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6" i="1" l="1"/>
  <c r="J92" i="1"/>
  <c r="J91" i="1"/>
  <c r="J90" i="1"/>
  <c r="J89" i="1"/>
  <c r="H82" i="1"/>
  <c r="D94" i="1" l="1"/>
  <c r="D93" i="1"/>
  <c r="D89" i="1"/>
  <c r="J85" i="1"/>
  <c r="D92" i="1"/>
  <c r="D88" i="1"/>
  <c r="J87" i="1"/>
  <c r="J88" i="1" s="1"/>
  <c r="J93" i="1" s="1"/>
  <c r="J94" i="1" s="1"/>
  <c r="C86" i="1" s="1"/>
  <c r="D91" i="1"/>
  <c r="D87" i="1"/>
  <c r="J81" i="1"/>
  <c r="J83" i="1" s="1"/>
  <c r="J86" i="1"/>
  <c r="C85" i="1" s="1"/>
  <c r="J84" i="1"/>
  <c r="D90" i="1"/>
  <c r="J107" i="1"/>
  <c r="J106" i="1"/>
  <c r="J105" i="1"/>
  <c r="J104" i="1"/>
  <c r="H97" i="1"/>
  <c r="E85" i="1" l="1"/>
  <c r="D86" i="1"/>
  <c r="G85" i="1"/>
  <c r="D85" i="1"/>
  <c r="D108" i="1"/>
  <c r="D107" i="1"/>
  <c r="D103" i="1"/>
  <c r="J102" i="1"/>
  <c r="J103" i="1" s="1"/>
  <c r="J108" i="1" s="1"/>
  <c r="J109" i="1" s="1"/>
  <c r="C101" i="1" s="1"/>
  <c r="J96" i="1"/>
  <c r="J98" i="1" s="1"/>
  <c r="J101" i="1"/>
  <c r="C100" i="1" s="1"/>
  <c r="D100" i="1" s="1"/>
  <c r="D105" i="1"/>
  <c r="J100" i="1"/>
  <c r="D106" i="1"/>
  <c r="D102" i="1"/>
  <c r="J99" i="1"/>
  <c r="D109" i="1"/>
  <c r="D104" i="1"/>
  <c r="D356" i="1"/>
  <c r="F356" i="1" s="1"/>
  <c r="D355" i="1"/>
  <c r="F355" i="1" s="1"/>
  <c r="D351" i="1"/>
  <c r="F351" i="1" s="1"/>
  <c r="D350" i="1"/>
  <c r="F350" i="1" s="1"/>
  <c r="D349" i="1"/>
  <c r="F349" i="1" s="1"/>
  <c r="D348" i="1"/>
  <c r="F348" i="1" s="1"/>
  <c r="D352" i="1"/>
  <c r="F352" i="1" s="1"/>
  <c r="D347" i="1"/>
  <c r="F347" i="1" s="1"/>
  <c r="D354" i="1"/>
  <c r="F354" i="1" s="1"/>
  <c r="D353" i="1"/>
  <c r="F353" i="1" s="1"/>
  <c r="D346" i="1"/>
  <c r="F346" i="1" s="1"/>
  <c r="D345" i="1"/>
  <c r="F345" i="1" s="1"/>
  <c r="I342" i="1"/>
  <c r="I346" i="1"/>
  <c r="G345" i="1"/>
  <c r="J344" i="1"/>
  <c r="I344" i="1"/>
  <c r="D341" i="1"/>
  <c r="D340" i="1"/>
  <c r="D339" i="1"/>
  <c r="D338" i="1"/>
  <c r="D337" i="1"/>
  <c r="D336" i="1"/>
  <c r="D334" i="1"/>
  <c r="D335" i="1"/>
  <c r="D333" i="1"/>
  <c r="A345" i="1"/>
  <c r="K344" i="1" l="1"/>
  <c r="I82" i="1"/>
  <c r="I83" i="1" s="1"/>
  <c r="J82" i="1"/>
  <c r="C194" i="1"/>
  <c r="G195" i="1"/>
  <c r="E195" i="1"/>
  <c r="E194" i="1"/>
  <c r="C195" i="1"/>
  <c r="E100" i="1"/>
  <c r="D101" i="1"/>
  <c r="I97" i="1" s="1"/>
  <c r="I98" i="1" s="1"/>
  <c r="J97" i="1"/>
  <c r="G100" i="1"/>
  <c r="I334" i="1"/>
  <c r="A346" i="1"/>
  <c r="I81" i="1" l="1"/>
  <c r="C83" i="1" s="1"/>
  <c r="I96" i="1"/>
  <c r="F341" i="1"/>
  <c r="F340" i="1"/>
  <c r="F339" i="1"/>
  <c r="F338" i="1"/>
  <c r="F337" i="1"/>
  <c r="A347" i="1"/>
  <c r="C98" i="1" l="1"/>
  <c r="F336" i="1"/>
  <c r="F335" i="1"/>
  <c r="F334" i="1"/>
  <c r="G333" i="1"/>
  <c r="F333" i="1"/>
  <c r="J332" i="1"/>
  <c r="I332" i="1"/>
  <c r="I330" i="1"/>
  <c r="C152" i="1"/>
  <c r="J163" i="1"/>
  <c r="J162" i="1"/>
  <c r="J161" i="1"/>
  <c r="J160" i="1"/>
  <c r="A333" i="1"/>
  <c r="A348" i="1"/>
  <c r="H153" i="1"/>
  <c r="K332" i="1" l="1"/>
  <c r="G194" i="1"/>
  <c r="J158" i="1"/>
  <c r="J159" i="1" s="1"/>
  <c r="J164" i="1" s="1"/>
  <c r="J165" i="1" s="1"/>
  <c r="C157" i="1" s="1"/>
  <c r="D164" i="1"/>
  <c r="D162" i="1"/>
  <c r="D160" i="1"/>
  <c r="D158" i="1"/>
  <c r="J156" i="1"/>
  <c r="J152" i="1"/>
  <c r="J154" i="1" s="1"/>
  <c r="J157" i="1"/>
  <c r="C156" i="1" s="1"/>
  <c r="J155" i="1"/>
  <c r="D165" i="1"/>
  <c r="D163" i="1"/>
  <c r="D161" i="1"/>
  <c r="D159" i="1"/>
  <c r="J149" i="1"/>
  <c r="J148" i="1"/>
  <c r="J147" i="1"/>
  <c r="J146" i="1"/>
  <c r="A334" i="1"/>
  <c r="H139" i="1"/>
  <c r="A349" i="1"/>
  <c r="E156" i="1" l="1"/>
  <c r="D157" i="1"/>
  <c r="G156" i="1"/>
  <c r="D156" i="1"/>
  <c r="D151" i="1"/>
  <c r="D149" i="1"/>
  <c r="D147" i="1"/>
  <c r="D145" i="1"/>
  <c r="D150" i="1"/>
  <c r="D148" i="1"/>
  <c r="D146" i="1"/>
  <c r="D144" i="1"/>
  <c r="J142" i="1"/>
  <c r="J138" i="1"/>
  <c r="J140" i="1" s="1"/>
  <c r="J143" i="1"/>
  <c r="C142" i="1" s="1"/>
  <c r="D142" i="1" s="1"/>
  <c r="J141" i="1"/>
  <c r="J144" i="1"/>
  <c r="J145" i="1" s="1"/>
  <c r="J150" i="1" s="1"/>
  <c r="J151" i="1" s="1"/>
  <c r="C143" i="1" s="1"/>
  <c r="I248" i="1"/>
  <c r="D309" i="1"/>
  <c r="D308" i="1"/>
  <c r="D310" i="1"/>
  <c r="D307" i="1"/>
  <c r="D306" i="1"/>
  <c r="D305" i="1"/>
  <c r="D303" i="1"/>
  <c r="F303" i="1" s="1"/>
  <c r="D290" i="1"/>
  <c r="D300" i="1"/>
  <c r="F300" i="1" s="1"/>
  <c r="D299" i="1"/>
  <c r="F299" i="1" s="1"/>
  <c r="D298" i="1"/>
  <c r="F298" i="1" s="1"/>
  <c r="D328" i="1"/>
  <c r="F328" i="1" s="1"/>
  <c r="D327" i="1"/>
  <c r="F327" i="1" s="1"/>
  <c r="D326" i="1"/>
  <c r="F326" i="1" s="1"/>
  <c r="D325" i="1"/>
  <c r="F325" i="1" s="1"/>
  <c r="D324" i="1"/>
  <c r="F324" i="1" s="1"/>
  <c r="G323" i="1"/>
  <c r="D323" i="1"/>
  <c r="F323" i="1" s="1"/>
  <c r="D321" i="1"/>
  <c r="F321" i="1" s="1"/>
  <c r="D320" i="1"/>
  <c r="F320" i="1" s="1"/>
  <c r="D319" i="1"/>
  <c r="F319" i="1" s="1"/>
  <c r="E318" i="1"/>
  <c r="D318" i="1"/>
  <c r="E317" i="1"/>
  <c r="D317" i="1"/>
  <c r="G316" i="1"/>
  <c r="D316" i="1"/>
  <c r="F316" i="1" s="1"/>
  <c r="A316" i="1"/>
  <c r="A317" i="1" s="1"/>
  <c r="A318" i="1" s="1"/>
  <c r="A319" i="1" s="1"/>
  <c r="A320" i="1" s="1"/>
  <c r="A321" i="1" s="1"/>
  <c r="D289" i="1"/>
  <c r="D288" i="1"/>
  <c r="D292" i="1"/>
  <c r="D291" i="1"/>
  <c r="D287" i="1"/>
  <c r="D285" i="1"/>
  <c r="D284" i="1"/>
  <c r="D283" i="1"/>
  <c r="D282" i="1"/>
  <c r="D281" i="1"/>
  <c r="D278" i="1"/>
  <c r="D280" i="1"/>
  <c r="E302" i="1"/>
  <c r="E301" i="1"/>
  <c r="D302" i="1"/>
  <c r="D301" i="1"/>
  <c r="G298" i="1"/>
  <c r="A298" i="1"/>
  <c r="A299" i="1" s="1"/>
  <c r="A300" i="1" s="1"/>
  <c r="A301" i="1" s="1"/>
  <c r="A302" i="1" s="1"/>
  <c r="A303" i="1" s="1"/>
  <c r="E282" i="1"/>
  <c r="A350" i="1"/>
  <c r="A323" i="1"/>
  <c r="A335" i="1"/>
  <c r="F317" i="1" l="1"/>
  <c r="I153" i="1"/>
  <c r="I154" i="1" s="1"/>
  <c r="J153" i="1"/>
  <c r="E142" i="1"/>
  <c r="D143" i="1"/>
  <c r="I139" i="1" s="1"/>
  <c r="G142" i="1"/>
  <c r="J139" i="1"/>
  <c r="F301" i="1"/>
  <c r="F318" i="1"/>
  <c r="F302" i="1"/>
  <c r="E281" i="1"/>
  <c r="F280" i="1"/>
  <c r="F282" i="1"/>
  <c r="F307" i="1"/>
  <c r="F308" i="1"/>
  <c r="F310" i="1"/>
  <c r="F309" i="1"/>
  <c r="F306" i="1"/>
  <c r="F305" i="1"/>
  <c r="G305" i="1"/>
  <c r="D314" i="1"/>
  <c r="F314" i="1" s="1"/>
  <c r="G313" i="1"/>
  <c r="D313" i="1"/>
  <c r="D295" i="1"/>
  <c r="G295" i="1"/>
  <c r="D296" i="1"/>
  <c r="F296" i="1" s="1"/>
  <c r="A296" i="1"/>
  <c r="D243" i="1"/>
  <c r="D242" i="1"/>
  <c r="D241" i="1"/>
  <c r="D240" i="1"/>
  <c r="D239" i="1"/>
  <c r="D238" i="1"/>
  <c r="D237" i="1"/>
  <c r="F292" i="1"/>
  <c r="F291" i="1"/>
  <c r="F290" i="1"/>
  <c r="F289" i="1"/>
  <c r="F287" i="1"/>
  <c r="A280" i="1"/>
  <c r="A281" i="1" s="1"/>
  <c r="A282" i="1" s="1"/>
  <c r="A283" i="1" s="1"/>
  <c r="A284" i="1" s="1"/>
  <c r="A285" i="1" s="1"/>
  <c r="G280" i="1"/>
  <c r="F283" i="1"/>
  <c r="F284" i="1"/>
  <c r="F285" i="1"/>
  <c r="F288" i="1"/>
  <c r="G287" i="1"/>
  <c r="A305" i="1"/>
  <c r="A351" i="1"/>
  <c r="A324" i="1"/>
  <c r="A287" i="1"/>
  <c r="A336" i="1"/>
  <c r="I152" i="1" l="1"/>
  <c r="C154" i="1" s="1"/>
  <c r="I140" i="1"/>
  <c r="I138" i="1" s="1"/>
  <c r="C140" i="1" s="1"/>
  <c r="E185" i="1"/>
  <c r="C185" i="1"/>
  <c r="F295" i="1"/>
  <c r="G192" i="1" s="1"/>
  <c r="E192" i="1"/>
  <c r="C192" i="1"/>
  <c r="F313" i="1"/>
  <c r="G193" i="1" s="1"/>
  <c r="E193" i="1"/>
  <c r="C193" i="1"/>
  <c r="F281" i="1"/>
  <c r="D233" i="1"/>
  <c r="F233" i="1" s="1"/>
  <c r="F243" i="1"/>
  <c r="F242" i="1"/>
  <c r="F241" i="1"/>
  <c r="F240" i="1"/>
  <c r="F239" i="1"/>
  <c r="F238" i="1"/>
  <c r="A238" i="1"/>
  <c r="A239" i="1" s="1"/>
  <c r="A240" i="1" s="1"/>
  <c r="A241" i="1" s="1"/>
  <c r="A242" i="1" s="1"/>
  <c r="A243" i="1" s="1"/>
  <c r="G237" i="1"/>
  <c r="F237" i="1"/>
  <c r="D234" i="1"/>
  <c r="F234" i="1" s="1"/>
  <c r="D232" i="1"/>
  <c r="F232" i="1" s="1"/>
  <c r="D231" i="1"/>
  <c r="F231" i="1" s="1"/>
  <c r="D230" i="1"/>
  <c r="F230" i="1" s="1"/>
  <c r="D229" i="1"/>
  <c r="F229" i="1" s="1"/>
  <c r="D228" i="1"/>
  <c r="A229" i="1"/>
  <c r="A230" i="1" s="1"/>
  <c r="A231" i="1" s="1"/>
  <c r="A232" i="1" s="1"/>
  <c r="A233" i="1" s="1"/>
  <c r="A234" i="1" s="1"/>
  <c r="F278" i="1"/>
  <c r="D274" i="1"/>
  <c r="D273" i="1"/>
  <c r="G228" i="1"/>
  <c r="D264" i="1"/>
  <c r="F264" i="1" s="1"/>
  <c r="E262" i="1"/>
  <c r="E263" i="1"/>
  <c r="D263" i="1"/>
  <c r="D262" i="1"/>
  <c r="D261" i="1"/>
  <c r="A262" i="1"/>
  <c r="A263" i="1" s="1"/>
  <c r="A264" i="1" s="1"/>
  <c r="G261" i="1"/>
  <c r="I259" i="1"/>
  <c r="D269" i="1"/>
  <c r="F269" i="1" s="1"/>
  <c r="D268" i="1"/>
  <c r="F268" i="1" s="1"/>
  <c r="D267" i="1"/>
  <c r="F267" i="1" s="1"/>
  <c r="I267" i="1" s="1"/>
  <c r="J265" i="1"/>
  <c r="I265" i="1"/>
  <c r="G266" i="1"/>
  <c r="D266" i="1"/>
  <c r="F266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A220" i="1"/>
  <c r="A221" i="1" s="1"/>
  <c r="A222" i="1" s="1"/>
  <c r="A223" i="1" s="1"/>
  <c r="A224" i="1" s="1"/>
  <c r="G219" i="1"/>
  <c r="E252" i="1"/>
  <c r="D253" i="1"/>
  <c r="F253" i="1" s="1"/>
  <c r="E251" i="1"/>
  <c r="E250" i="1"/>
  <c r="D252" i="1"/>
  <c r="D250" i="1"/>
  <c r="D251" i="1"/>
  <c r="A251" i="1"/>
  <c r="A252" i="1" s="1"/>
  <c r="A253" i="1" s="1"/>
  <c r="G250" i="1"/>
  <c r="D258" i="1"/>
  <c r="F258" i="1" s="1"/>
  <c r="D257" i="1"/>
  <c r="F257" i="1" s="1"/>
  <c r="D255" i="1"/>
  <c r="F255" i="1" s="1"/>
  <c r="D256" i="1"/>
  <c r="F256" i="1" s="1"/>
  <c r="J254" i="1"/>
  <c r="I254" i="1"/>
  <c r="G255" i="1"/>
  <c r="I269" i="1"/>
  <c r="D216" i="1"/>
  <c r="F216" i="1" s="1"/>
  <c r="I216" i="1" s="1"/>
  <c r="D215" i="1"/>
  <c r="F215" i="1" s="1"/>
  <c r="I215" i="1" s="1"/>
  <c r="D214" i="1"/>
  <c r="F214" i="1" s="1"/>
  <c r="I214" i="1" s="1"/>
  <c r="D212" i="1"/>
  <c r="F212" i="1" s="1"/>
  <c r="I212" i="1" s="1"/>
  <c r="D209" i="1"/>
  <c r="F209" i="1" s="1"/>
  <c r="I209" i="1" s="1"/>
  <c r="D206" i="1"/>
  <c r="D213" i="1"/>
  <c r="F213" i="1" s="1"/>
  <c r="I213" i="1" s="1"/>
  <c r="D211" i="1"/>
  <c r="F211" i="1" s="1"/>
  <c r="I211" i="1" s="1"/>
  <c r="D210" i="1"/>
  <c r="F210" i="1" s="1"/>
  <c r="I210" i="1" s="1"/>
  <c r="D208" i="1"/>
  <c r="F208" i="1" s="1"/>
  <c r="I208" i="1" s="1"/>
  <c r="D207" i="1"/>
  <c r="D205" i="1"/>
  <c r="D204" i="1"/>
  <c r="D53" i="1"/>
  <c r="G48" i="1"/>
  <c r="A266" i="1"/>
  <c r="A255" i="1"/>
  <c r="A352" i="1"/>
  <c r="A337" i="1"/>
  <c r="A288" i="1"/>
  <c r="A306" i="1"/>
  <c r="A325" i="1"/>
  <c r="E191" i="1" l="1"/>
  <c r="C191" i="1"/>
  <c r="E182" i="1"/>
  <c r="C182" i="1"/>
  <c r="E189" i="1"/>
  <c r="C189" i="1"/>
  <c r="E183" i="1"/>
  <c r="C183" i="1"/>
  <c r="F261" i="1"/>
  <c r="E190" i="1"/>
  <c r="C190" i="1"/>
  <c r="G185" i="1"/>
  <c r="E184" i="1"/>
  <c r="C184" i="1"/>
  <c r="F219" i="1"/>
  <c r="G183" i="1" s="1"/>
  <c r="F228" i="1"/>
  <c r="G184" i="1" s="1"/>
  <c r="F263" i="1"/>
  <c r="K265" i="1"/>
  <c r="K254" i="1"/>
  <c r="F262" i="1"/>
  <c r="F252" i="1"/>
  <c r="F251" i="1"/>
  <c r="F250" i="1"/>
  <c r="C13" i="1"/>
  <c r="A267" i="1"/>
  <c r="A307" i="1"/>
  <c r="A353" i="1"/>
  <c r="A256" i="1"/>
  <c r="A326" i="1"/>
  <c r="A338" i="1"/>
  <c r="A289" i="1"/>
  <c r="C196" i="1" l="1"/>
  <c r="E196" i="1"/>
  <c r="E186" i="1"/>
  <c r="G189" i="1"/>
  <c r="G190" i="1"/>
  <c r="C186" i="1"/>
  <c r="E28" i="1"/>
  <c r="A308" i="1"/>
  <c r="A339" i="1"/>
  <c r="A290" i="1"/>
  <c r="A354" i="1"/>
  <c r="A327" i="1"/>
  <c r="A257" i="1"/>
  <c r="A268" i="1"/>
  <c r="F274" i="1" l="1"/>
  <c r="F273" i="1"/>
  <c r="A274" i="1"/>
  <c r="A275" i="1" s="1"/>
  <c r="A276" i="1" s="1"/>
  <c r="A277" i="1" s="1"/>
  <c r="A278" i="1" s="1"/>
  <c r="G273" i="1"/>
  <c r="A269" i="1"/>
  <c r="A258" i="1"/>
  <c r="A309" i="1"/>
  <c r="A355" i="1"/>
  <c r="A328" i="1"/>
  <c r="A291" i="1"/>
  <c r="A340" i="1"/>
  <c r="G191" i="1" l="1"/>
  <c r="G196" i="1" s="1"/>
  <c r="F179" i="1"/>
  <c r="A292" i="1"/>
  <c r="A310" i="1"/>
  <c r="A356" i="1"/>
  <c r="A341" i="1"/>
  <c r="F205" i="1" l="1"/>
  <c r="I205" i="1" s="1"/>
  <c r="F206" i="1"/>
  <c r="I206" i="1" s="1"/>
  <c r="F207" i="1"/>
  <c r="I207" i="1" s="1"/>
  <c r="F204" i="1"/>
  <c r="G182" i="1" l="1"/>
  <c r="G186" i="1" s="1"/>
  <c r="I204" i="1"/>
  <c r="B359" i="1"/>
  <c r="B36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83" i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G204" i="1"/>
  <c r="J135" i="1"/>
  <c r="J134" i="1"/>
  <c r="J133" i="1"/>
  <c r="J132" i="1"/>
  <c r="J121" i="1"/>
  <c r="J120" i="1"/>
  <c r="J119" i="1"/>
  <c r="J118" i="1"/>
  <c r="C110" i="1"/>
  <c r="J78" i="1"/>
  <c r="J77" i="1"/>
  <c r="J76" i="1"/>
  <c r="J75" i="1"/>
  <c r="C48" i="1"/>
  <c r="E41" i="1"/>
  <c r="E42" i="1" s="1"/>
  <c r="E25" i="1"/>
  <c r="E23" i="1"/>
  <c r="E7" i="1"/>
  <c r="E3" i="1"/>
  <c r="H125" i="1"/>
  <c r="H68" i="1"/>
  <c r="H111" i="1"/>
  <c r="D61" i="1" l="1"/>
  <c r="D121" i="1"/>
  <c r="D122" i="1"/>
  <c r="D123" i="1"/>
  <c r="D117" i="1"/>
  <c r="D118" i="1"/>
  <c r="D119" i="1"/>
  <c r="D120" i="1"/>
  <c r="J110" i="1"/>
  <c r="J112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124" i="1"/>
  <c r="J126" i="1" s="1"/>
  <c r="J128" i="1"/>
  <c r="D137" i="1"/>
  <c r="D135" i="1"/>
  <c r="D133" i="1"/>
  <c r="D131" i="1"/>
  <c r="J129" i="1"/>
  <c r="C128" i="1" s="1"/>
  <c r="J127" i="1"/>
  <c r="J130" i="1"/>
  <c r="D136" i="1"/>
  <c r="D134" i="1"/>
  <c r="D132" i="1"/>
  <c r="J116" i="1"/>
  <c r="J117" i="1" s="1"/>
  <c r="J114" i="1"/>
  <c r="J115" i="1"/>
  <c r="J113" i="1"/>
  <c r="J131" i="1" l="1"/>
  <c r="J122" i="1"/>
  <c r="J74" i="1"/>
  <c r="D130" i="1"/>
  <c r="D128" i="1"/>
  <c r="D116" i="1"/>
  <c r="D73" i="1"/>
  <c r="J69" i="1"/>
  <c r="D71" i="1"/>
  <c r="D114" i="1"/>
  <c r="J123" i="1" l="1"/>
  <c r="C115" i="1" s="1"/>
  <c r="J79" i="1"/>
  <c r="J136" i="1"/>
  <c r="J137" i="1" s="1"/>
  <c r="C129" i="1" s="1"/>
  <c r="J125" i="1" s="1"/>
  <c r="D115" i="1" l="1"/>
  <c r="I111" i="1" s="1"/>
  <c r="I112" i="1" s="1"/>
  <c r="E114" i="1"/>
  <c r="J111" i="1"/>
  <c r="G114" i="1"/>
  <c r="J80" i="1"/>
  <c r="C72" i="1" s="1"/>
  <c r="D72" i="1" s="1"/>
  <c r="I68" i="1" s="1"/>
  <c r="I69" i="1" s="1"/>
  <c r="D129" i="1"/>
  <c r="I125" i="1" s="1"/>
  <c r="I126" i="1" s="1"/>
  <c r="I124" i="1" s="1"/>
  <c r="C126" i="1" s="1"/>
  <c r="G128" i="1"/>
  <c r="E128" i="1"/>
  <c r="I110" i="1" l="1"/>
  <c r="C112" i="1" s="1"/>
  <c r="J68" i="1"/>
  <c r="I67" i="1" s="1"/>
  <c r="C69" i="1" s="1"/>
  <c r="G71" i="1"/>
  <c r="E71" i="1"/>
  <c r="C95" i="1" s="1"/>
  <c r="D65" i="1" l="1"/>
  <c r="F66" i="1" s="1"/>
  <c r="G95" i="1"/>
  <c r="D66" i="1" l="1"/>
</calcChain>
</file>

<file path=xl/sharedStrings.xml><?xml version="1.0" encoding="utf-8"?>
<sst xmlns="http://schemas.openxmlformats.org/spreadsheetml/2006/main" count="650" uniqueCount="248">
  <si>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</si>
  <si>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</si>
  <si>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</si>
  <si>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</si>
  <si>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</si>
  <si>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</si>
  <si>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</si>
  <si>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</si>
  <si>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</si>
  <si>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</si>
  <si>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</si>
  <si>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</si>
  <si>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</si>
  <si>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</si>
  <si>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</si>
  <si>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</si>
  <si>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</si>
  <si>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</si>
  <si>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</si>
  <si>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</si>
  <si>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</si>
  <si>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</si>
  <si>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</si>
  <si>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</si>
  <si>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</si>
  <si>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</si>
  <si>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</si>
  <si>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</si>
  <si>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</si>
  <si>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</si>
  <si>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</si>
  <si>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</si>
  <si>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</si>
  <si>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</si>
  <si>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</si>
  <si>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</si>
  <si>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</si>
  <si>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</si>
  <si>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</si>
  <si>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</si>
  <si>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</si>
  <si>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</si>
  <si>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</si>
  <si>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</si>
  <si>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</si>
  <si>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</si>
  <si>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</si>
  <si>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</si>
  <si>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</si>
  <si>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</si>
  <si>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</si>
  <si>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</si>
  <si>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</si>
  <si>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</si>
  <si>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</si>
  <si>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</si>
  <si>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</si>
  <si>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</si>
  <si>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</si>
  <si>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</si>
  <si>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</si>
  <si>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</si>
  <si>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</si>
  <si>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</si>
  <si>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</si>
  <si>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</si>
  <si>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</si>
  <si>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</si>
  <si>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</si>
  <si>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</si>
  <si>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</si>
  <si>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</si>
  <si>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</si>
  <si>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</si>
  <si>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</si>
  <si>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</si>
  <si>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</si>
  <si>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</si>
  <si>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</si>
  <si>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</si>
  <si>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</si>
  <si>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</si>
  <si>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</si>
  <si>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</si>
  <si>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</si>
  <si>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</si>
  <si>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</si>
  <si>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</si>
  <si>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</si>
  <si>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</si>
  <si>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</si>
  <si>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</si>
  <si>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</si>
  <si>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</si>
  <si>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</si>
  <si>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</si>
  <si>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</si>
  <si>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</si>
  <si>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</si>
  <si>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</si>
  <si>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</si>
  <si>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</si>
  <si>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</si>
  <si>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</si>
  <si>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</si>
  <si>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</si>
  <si>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</si>
  <si>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</si>
  <si>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</si>
  <si>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</si>
  <si>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</si>
  <si>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</si>
  <si>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</si>
  <si>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</si>
  <si>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</si>
  <si>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</si>
  <si>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</si>
  <si>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</si>
  <si>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</si>
  <si>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</si>
  <si>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</si>
  <si>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</si>
  <si>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</si>
  <si>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</si>
  <si>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</si>
  <si>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</si>
  <si>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</si>
  <si>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</si>
  <si>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</si>
  <si>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</si>
  <si>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</si>
  <si>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</si>
  <si>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</si>
  <si>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</si>
  <si>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</si>
  <si>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</si>
  <si>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</si>
  <si>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</si>
  <si>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</si>
  <si>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</si>
  <si>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</si>
  <si>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</si>
  <si>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</si>
  <si>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</si>
  <si>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</si>
  <si>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</si>
  <si>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</si>
  <si>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</si>
  <si>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</si>
  <si>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</si>
  <si>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</si>
  <si>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</si>
  <si>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</si>
  <si>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</si>
  <si>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</si>
  <si>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</si>
  <si>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</si>
  <si>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</si>
  <si>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</si>
  <si>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</si>
  <si>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</si>
  <si>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</si>
  <si>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</si>
  <si>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</si>
  <si>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</si>
  <si>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</si>
  <si>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</si>
  <si>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</si>
  <si>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</si>
  <si>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</si>
  <si>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</si>
  <si>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</si>
  <si>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Goregaon</t>
  </si>
  <si>
    <t xml:space="preserve">M/s. Shree Shivbali Builders Private Limited  </t>
  </si>
  <si>
    <t>Shree Township Phase 2</t>
  </si>
  <si>
    <t>Kambalgaon</t>
  </si>
  <si>
    <t>Palghar</t>
  </si>
  <si>
    <t>Survey No</t>
  </si>
  <si>
    <t>8(Part) &amp; S.No.6</t>
  </si>
  <si>
    <t>Jilhadhikari Palghar</t>
  </si>
  <si>
    <t>MAHSUL/KAKSHA.1/T.1/NAP/SR-247/2018</t>
  </si>
  <si>
    <t>Boisar East</t>
  </si>
  <si>
    <t>MAHSUL/KAKSHA.1/NAP/SR/247/18</t>
  </si>
  <si>
    <t xml:space="preserve">Building No.3  </t>
  </si>
  <si>
    <t>Wing A</t>
  </si>
  <si>
    <t>Ground Floor for Commercial &amp; Parking</t>
  </si>
  <si>
    <t>Shop</t>
  </si>
  <si>
    <t>2BHK</t>
  </si>
  <si>
    <t>1BHK</t>
  </si>
  <si>
    <t>1st Floor for Residential</t>
  </si>
  <si>
    <t>2nd to 4th Floor</t>
  </si>
  <si>
    <t>Wing B</t>
  </si>
  <si>
    <t>Building No. 3</t>
  </si>
  <si>
    <t>Building No.4</t>
  </si>
  <si>
    <t>Wing C</t>
  </si>
  <si>
    <t>Ground Floor for Residential &amp; Parking</t>
  </si>
  <si>
    <t>Parking</t>
  </si>
  <si>
    <t>1st Floor</t>
  </si>
  <si>
    <t>Ground Floor for Residential + Commercial + Parking</t>
  </si>
  <si>
    <t>We considered Gross carpet area = Net carpet + Enclose balcony + C.B Area + Proj.</t>
  </si>
  <si>
    <t>Bldg No.3</t>
  </si>
  <si>
    <t xml:space="preserve">Wing B </t>
  </si>
  <si>
    <t>BldgNo.4</t>
  </si>
  <si>
    <t xml:space="preserve">Building No.4 (Wing B &amp; C) = Gr + 1st to 4th Floor </t>
  </si>
  <si>
    <t xml:space="preserve">Building No.4 (Wing A) = Gr + 1st to 4th Floor </t>
  </si>
  <si>
    <t xml:space="preserve">Building No.3 (Wing A &amp; B) = Gr + 1st to 4th Floor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</si>
  <si>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</si>
  <si>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Approved Plans, CC</t>
  </si>
  <si>
    <r>
      <t xml:space="preserve">Shop No.
</t>
    </r>
    <r>
      <rPr>
        <b/>
        <sz val="11"/>
        <rFont val="Times New Roman"/>
        <family val="1"/>
      </rPr>
      <t>(Approved Plan)</t>
    </r>
  </si>
  <si>
    <t>Internal Road</t>
  </si>
  <si>
    <t>Open Plot</t>
  </si>
  <si>
    <t>Building</t>
  </si>
  <si>
    <t>https://goo.gl/maps/ubMw38tdaJZk7f1S7</t>
  </si>
  <si>
    <t>4.3KM from BoisarRailway Station</t>
  </si>
  <si>
    <t xml:space="preserve">Shree Township </t>
  </si>
  <si>
    <t>We have taken approved CC from RERA site.</t>
  </si>
  <si>
    <t xml:space="preserve">As per RERA - 31/12/2028 </t>
  </si>
  <si>
    <t xml:space="preserve">Building No.4 (Wing B) = Gr + 1st to 4th Floor </t>
  </si>
  <si>
    <t xml:space="preserve">Building No.4 (Wing C) = Gr + 1st to 4th Floor </t>
  </si>
  <si>
    <t>3400 to 3500</t>
  </si>
  <si>
    <t>Nikhil</t>
  </si>
  <si>
    <t>costsheet</t>
  </si>
  <si>
    <t>Building No.3 (Wing A &amp; B)
Building No.4 (Wing A, B &amp; C)
Building No.5 (Wing A &amp; B)</t>
  </si>
  <si>
    <t>Building No.3 &amp; 4 - P99000035083
Building No.5 - P99000051250</t>
  </si>
  <si>
    <t xml:space="preserve">Building No.3 (Wing A &amp; B) = Gr + 1st to 4th Floor 
Building No.4 (Wing A, B &amp; C) = Gr + 1st to 4th Floor 
Building No.5 (Wing A &amp; B) = Gr + 1st to 7th Floor </t>
  </si>
  <si>
    <t xml:space="preserve">Building No.5 (Wing A &amp; B) = Gr + 1st to 7th Floor </t>
  </si>
  <si>
    <t>Building No. 5</t>
  </si>
  <si>
    <t>3 Building (7 Wings)</t>
  </si>
  <si>
    <t>1st to 7th Floor for Residential</t>
  </si>
  <si>
    <t>Ground Floor for Parking</t>
  </si>
  <si>
    <t>Bldg No.5</t>
  </si>
  <si>
    <t>Flats - 258, Shops - 33</t>
  </si>
  <si>
    <t>Location Plan</t>
  </si>
  <si>
    <t xml:space="preserve">We have updated revised approved floor plan &amp; C.C for building no.5 (on 26/07/2023).
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</si>
  <si>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</si>
  <si>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 xml:space="preserve">Building No.3 (Wing  B) = Gr + 1st to 4th Floor </t>
  </si>
  <si>
    <t xml:space="preserve">Part II = Building No.3 (Wing A) = Gr + 1st to 4th Floor </t>
  </si>
  <si>
    <t>Average Progress %</t>
  </si>
  <si>
    <t>Average Disbursement %</t>
  </si>
  <si>
    <t>Please check</t>
  </si>
  <si>
    <t>Percentages are given more</t>
  </si>
  <si>
    <t xml:space="preserve">Building No.3 (Wing A) = Gr + 1st to 4th Floor </t>
  </si>
  <si>
    <t>We have received layout from bank official on mail. Layout is attached below.</t>
  </si>
  <si>
    <t>Remark No.12 :</t>
  </si>
  <si>
    <t>On Site, we meet Ms. Arati : 7709545078.</t>
  </si>
  <si>
    <t>Shruti Tathare</t>
  </si>
  <si>
    <t xml:space="preserve">Bldg No. 3 (Wing A &amp; B) = Construction work is in process at the time of visit.
Bldg No.4 (Wing A) = Work is same as last visit (14/03/2024).
Bldg No.4 (Wing B) = Construction work is same as last visit ( dtd. 15/05/2025) but work is  in process.
Bldg No.4 (Wing C) = Construction work is same as last visit ( dtd. 22/02/2025).
Bldg No.5 (Wing A &amp; B) = Construction work is same as last visit dtd.11/01/2024. (Labour Not Found).
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</si>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</sst>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5" fillId="2" borderId="0" xfId="1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0" borderId="9" xfId="0" applyFont="1" applyBorder="1"/>
    <xf numFmtId="0" fontId="13" fillId="3" borderId="36" xfId="1" applyFont="1" applyFill="1" applyBorder="1" applyAlignment="1" applyProtection="1">
      <alignment horizontal="center" vertical="center" wrapText="1"/>
      <protection locked="0"/>
    </xf>
    <xf numFmtId="0" fontId="13" fillId="3" borderId="37" xfId="1" applyFont="1" applyFill="1" applyBorder="1" applyAlignment="1" applyProtection="1">
      <alignment horizontal="center" vertical="center" wrapText="1"/>
      <protection locked="0"/>
    </xf>
    <xf numFmtId="9" fontId="13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8" xfId="1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27" fillId="0" borderId="3" xfId="1" applyNumberFormat="1" applyFont="1" applyBorder="1" applyAlignment="1" applyProtection="1">
      <alignment horizontal="center" vertical="top" wrapText="1"/>
      <protection locked="0"/>
    </xf>
    <xf numFmtId="1" fontId="27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17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20" xfId="1" applyNumberFormat="1" applyFont="1" applyBorder="1" applyAlignment="1" applyProtection="1">
      <alignment horizontal="center" vertical="top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619890</xdr:colOff>
      <xdr:row>543</xdr:row>
      <xdr:rowOff>11713</xdr:rowOff>
    </xdr:from>
    <xdr:to>
      <xdr:col>6</xdr:col>
      <xdr:colOff>289894</xdr:colOff>
      <xdr:row>557</xdr:row>
      <xdr:rowOff>67831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1890" y="89659281"/>
          <a:ext cx="3817709" cy="28443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593913</xdr:colOff>
      <xdr:row>557</xdr:row>
      <xdr:rowOff>126274</xdr:rowOff>
    </xdr:from>
    <xdr:to>
      <xdr:col>6</xdr:col>
      <xdr:colOff>263917</xdr:colOff>
      <xdr:row>571</xdr:row>
      <xdr:rowOff>179845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5913" y="92562069"/>
          <a:ext cx="3817709" cy="28417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251113</xdr:colOff>
      <xdr:row>486</xdr:row>
      <xdr:rowOff>157574</xdr:rowOff>
    </xdr:from>
    <xdr:to>
      <xdr:col>6</xdr:col>
      <xdr:colOff>600306</xdr:colOff>
      <xdr:row>506</xdr:row>
      <xdr:rowOff>134392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3113" y="85423642"/>
          <a:ext cx="4496898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110555</xdr:colOff>
      <xdr:row>502</xdr:row>
      <xdr:rowOff>121471</xdr:rowOff>
    </xdr:from>
    <xdr:to>
      <xdr:col>6</xdr:col>
      <xdr:colOff>174478</xdr:colOff>
      <xdr:row>504</xdr:row>
      <xdr:rowOff>92485</xdr:rowOff>
    </xdr:to>
    <xdr:sp macro="" textlink="">
      <xdr:nvSpPr>
        <xdr:cNvPr id="51" name="Rectangle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/>
      </xdr:nvSpPr>
      <xdr:spPr>
        <a:xfrm>
          <a:off x="3461623" y="88574085"/>
          <a:ext cx="1622560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</a:t>
          </a:r>
        </a:p>
      </xdr:txBody>
    </xdr:sp>
    <xdr:clientData/>
  </xdr:twoCellAnchor>
  <xdr:twoCellAnchor>
    <xdr:from>
      <xdr:col>4</xdr:col>
      <xdr:colOff>196637</xdr:colOff>
      <xdr:row>491</xdr:row>
      <xdr:rowOff>64877</xdr:rowOff>
    </xdr:from>
    <xdr:to>
      <xdr:col>6</xdr:col>
      <xdr:colOff>119264</xdr:colOff>
      <xdr:row>493</xdr:row>
      <xdr:rowOff>35891</xdr:rowOff>
    </xdr:to>
    <xdr:sp macro="" textlink="">
      <xdr:nvSpPr>
        <xdr:cNvPr id="52" name="Rectangle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/>
      </xdr:nvSpPr>
      <xdr:spPr>
        <a:xfrm>
          <a:off x="3547705" y="86326741"/>
          <a:ext cx="148126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No.2</a:t>
          </a:r>
        </a:p>
      </xdr:txBody>
    </xdr:sp>
    <xdr:clientData/>
  </xdr:twoCellAnchor>
  <xdr:twoCellAnchor>
    <xdr:from>
      <xdr:col>1</xdr:col>
      <xdr:colOff>784073</xdr:colOff>
      <xdr:row>486</xdr:row>
      <xdr:rowOff>67065</xdr:rowOff>
    </xdr:from>
    <xdr:to>
      <xdr:col>3</xdr:col>
      <xdr:colOff>607518</xdr:colOff>
      <xdr:row>488</xdr:row>
      <xdr:rowOff>38079</xdr:rowOff>
    </xdr:to>
    <xdr:sp macro="" textlink="">
      <xdr:nvSpPr>
        <xdr:cNvPr id="53" name="Rectangle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1546073" y="85333133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No.4</a:t>
          </a:r>
        </a:p>
      </xdr:txBody>
    </xdr:sp>
    <xdr:clientData/>
  </xdr:twoCellAnchor>
  <xdr:twoCellAnchor>
    <xdr:from>
      <xdr:col>1</xdr:col>
      <xdr:colOff>751667</xdr:colOff>
      <xdr:row>497</xdr:row>
      <xdr:rowOff>102088</xdr:rowOff>
    </xdr:from>
    <xdr:to>
      <xdr:col>3</xdr:col>
      <xdr:colOff>748337</xdr:colOff>
      <xdr:row>499</xdr:row>
      <xdr:rowOff>73102</xdr:rowOff>
    </xdr:to>
    <xdr:sp macro="" textlink="">
      <xdr:nvSpPr>
        <xdr:cNvPr id="54" name="Rectangle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/>
      </xdr:nvSpPr>
      <xdr:spPr>
        <a:xfrm>
          <a:off x="1513667" y="87558906"/>
          <a:ext cx="164189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No.3</a:t>
          </a:r>
        </a:p>
      </xdr:txBody>
    </xdr:sp>
    <xdr:clientData/>
  </xdr:twoCellAnchor>
  <xdr:twoCellAnchor>
    <xdr:from>
      <xdr:col>2</xdr:col>
      <xdr:colOff>14510</xdr:colOff>
      <xdr:row>495</xdr:row>
      <xdr:rowOff>8186</xdr:rowOff>
    </xdr:from>
    <xdr:to>
      <xdr:col>3</xdr:col>
      <xdr:colOff>688859</xdr:colOff>
      <xdr:row>502</xdr:row>
      <xdr:rowOff>94529</xdr:rowOff>
    </xdr:to>
    <xdr:sp macro="" textlink="">
      <xdr:nvSpPr>
        <xdr:cNvPr id="55" name="Rectangle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1573146" y="87066686"/>
          <a:ext cx="1522940" cy="1480457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696093</xdr:colOff>
      <xdr:row>488</xdr:row>
      <xdr:rowOff>8834</xdr:rowOff>
    </xdr:from>
    <xdr:to>
      <xdr:col>3</xdr:col>
      <xdr:colOff>695498</xdr:colOff>
      <xdr:row>494</xdr:row>
      <xdr:rowOff>137040</xdr:rowOff>
    </xdr:to>
    <xdr:sp macro="" textlink="">
      <xdr:nvSpPr>
        <xdr:cNvPr id="56" name="Rectangle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/>
      </xdr:nvSpPr>
      <xdr:spPr>
        <a:xfrm>
          <a:off x="1458093" y="85673220"/>
          <a:ext cx="1644632" cy="1323161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68843</xdr:colOff>
      <xdr:row>493</xdr:row>
      <xdr:rowOff>35891</xdr:rowOff>
    </xdr:from>
    <xdr:to>
      <xdr:col>5</xdr:col>
      <xdr:colOff>700366</xdr:colOff>
      <xdr:row>497</xdr:row>
      <xdr:rowOff>182272</xdr:rowOff>
    </xdr:to>
    <xdr:sp macro="" textlink="">
      <xdr:nvSpPr>
        <xdr:cNvPr id="57" name="Rectangle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/>
      </xdr:nvSpPr>
      <xdr:spPr>
        <a:xfrm rot="5400000">
          <a:off x="3653823" y="86462161"/>
          <a:ext cx="943017" cy="1410841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931020</xdr:colOff>
      <xdr:row>498</xdr:row>
      <xdr:rowOff>67427</xdr:rowOff>
    </xdr:from>
    <xdr:to>
      <xdr:col>6</xdr:col>
      <xdr:colOff>328721</xdr:colOff>
      <xdr:row>502</xdr:row>
      <xdr:rowOff>56231</xdr:rowOff>
    </xdr:to>
    <xdr:sp macro="" textlink="">
      <xdr:nvSpPr>
        <xdr:cNvPr id="58" name="Rectangle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/>
      </xdr:nvSpPr>
      <xdr:spPr>
        <a:xfrm rot="5400000">
          <a:off x="3895616" y="87166035"/>
          <a:ext cx="785441" cy="1900179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1</xdr:col>
      <xdr:colOff>367292</xdr:colOff>
      <xdr:row>468</xdr:row>
      <xdr:rowOff>112568</xdr:rowOff>
    </xdr:from>
    <xdr:to>
      <xdr:col>6</xdr:col>
      <xdr:colOff>537397</xdr:colOff>
      <xdr:row>485</xdr:row>
      <xdr:rowOff>167319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9292" y="81802432"/>
          <a:ext cx="4317810" cy="34317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671994</xdr:colOff>
      <xdr:row>473</xdr:row>
      <xdr:rowOff>90696</xdr:rowOff>
    </xdr:from>
    <xdr:to>
      <xdr:col>4</xdr:col>
      <xdr:colOff>442076</xdr:colOff>
      <xdr:row>480</xdr:row>
      <xdr:rowOff>185432</xdr:rowOff>
    </xdr:to>
    <xdr:sp macro="" textlink="">
      <xdr:nvSpPr>
        <xdr:cNvPr id="60" name="Rectangle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/>
      </xdr:nvSpPr>
      <xdr:spPr>
        <a:xfrm rot="3545639">
          <a:off x="2267462" y="82730864"/>
          <a:ext cx="1488850" cy="1562514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528841</xdr:colOff>
      <xdr:row>470</xdr:row>
      <xdr:rowOff>186224</xdr:rowOff>
    </xdr:from>
    <xdr:to>
      <xdr:col>5</xdr:col>
      <xdr:colOff>118855</xdr:colOff>
      <xdr:row>478</xdr:row>
      <xdr:rowOff>79753</xdr:rowOff>
    </xdr:to>
    <xdr:sp macro="" textlink="">
      <xdr:nvSpPr>
        <xdr:cNvPr id="61" name="Rectangle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/>
      </xdr:nvSpPr>
      <xdr:spPr>
        <a:xfrm rot="3463815">
          <a:off x="3321174" y="82824482"/>
          <a:ext cx="148680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No.5</a:t>
          </a:r>
        </a:p>
      </xdr:txBody>
    </xdr:sp>
    <xdr:clientData/>
  </xdr:twoCellAnchor>
  <xdr:oneCellAnchor>
    <xdr:from>
      <xdr:col>12</xdr:col>
      <xdr:colOff>718623</xdr:colOff>
      <xdr:row>393</xdr:row>
      <xdr:rowOff>0</xdr:rowOff>
    </xdr:from>
    <xdr:ext cx="1286506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1145323" y="78130400"/>
          <a:ext cx="12865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Bldg No.3 (B Wing)</a:t>
          </a:r>
        </a:p>
      </xdr:txBody>
    </xdr:sp>
    <xdr:clientData/>
  </xdr:oneCellAnchor>
  <xdr:oneCellAnchor>
    <xdr:from>
      <xdr:col>12</xdr:col>
      <xdr:colOff>381673</xdr:colOff>
      <xdr:row>387</xdr:row>
      <xdr:rowOff>8808</xdr:rowOff>
    </xdr:from>
    <xdr:ext cx="1286506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808373" y="76913658"/>
          <a:ext cx="12865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Bldg No.4 (B Wing)</a:t>
          </a:r>
        </a:p>
      </xdr:txBody>
    </xdr:sp>
    <xdr:clientData/>
  </xdr:oneCellAnchor>
  <xdr:oneCellAnchor>
    <xdr:from>
      <xdr:col>14</xdr:col>
      <xdr:colOff>20925</xdr:colOff>
      <xdr:row>387</xdr:row>
      <xdr:rowOff>8808</xdr:rowOff>
    </xdr:from>
    <xdr:ext cx="1286506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2149425" y="76913658"/>
          <a:ext cx="12865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Bldg No.4 (B Wing)</a:t>
          </a:r>
        </a:p>
      </xdr:txBody>
    </xdr:sp>
    <xdr:clientData/>
  </xdr:oneCellAnchor>
  <xdr:twoCellAnchor editAs="oneCell">
    <xdr:from>
      <xdr:col>0</xdr:col>
      <xdr:colOff>158750</xdr:colOff>
      <xdr:row>509</xdr:row>
      <xdr:rowOff>114300</xdr:rowOff>
    </xdr:from>
    <xdr:to>
      <xdr:col>7</xdr:col>
      <xdr:colOff>663400</xdr:colOff>
      <xdr:row>528</xdr:row>
      <xdr:rowOff>79584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101932581"/>
          <a:ext cx="6477619" cy="37355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882651</xdr:colOff>
      <xdr:row>514</xdr:row>
      <xdr:rowOff>6351</xdr:rowOff>
    </xdr:from>
    <xdr:to>
      <xdr:col>4</xdr:col>
      <xdr:colOff>558801</xdr:colOff>
      <xdr:row>516</xdr:row>
      <xdr:rowOff>82551</xdr:rowOff>
    </xdr:to>
    <xdr:sp macro="" textlink="">
      <xdr:nvSpPr>
        <xdr:cNvPr id="118" name="Rectangle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>
        <a:xfrm rot="452452">
          <a:off x="3409951" y="101898451"/>
          <a:ext cx="666750" cy="4699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902817</xdr:colOff>
      <xdr:row>511</xdr:row>
      <xdr:rowOff>44106</xdr:rowOff>
    </xdr:from>
    <xdr:to>
      <xdr:col>4</xdr:col>
      <xdr:colOff>578967</xdr:colOff>
      <xdr:row>514</xdr:row>
      <xdr:rowOff>3214</xdr:rowOff>
    </xdr:to>
    <xdr:sp macro="" textlink="">
      <xdr:nvSpPr>
        <xdr:cNvPr id="119" name="Rectangle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>
        <a:xfrm rot="452452">
          <a:off x="3430117" y="101345656"/>
          <a:ext cx="666750" cy="549658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575742</xdr:colOff>
      <xdr:row>515</xdr:row>
      <xdr:rowOff>12563</xdr:rowOff>
    </xdr:from>
    <xdr:to>
      <xdr:col>5</xdr:col>
      <xdr:colOff>425460</xdr:colOff>
      <xdr:row>517</xdr:row>
      <xdr:rowOff>88763</xdr:rowOff>
    </xdr:to>
    <xdr:sp macro="" textlink="">
      <xdr:nvSpPr>
        <xdr:cNvPr id="120" name="Rectangle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/>
      </xdr:nvSpPr>
      <xdr:spPr>
        <a:xfrm rot="452452">
          <a:off x="4093642" y="102101513"/>
          <a:ext cx="668868" cy="4699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636865</xdr:colOff>
      <xdr:row>513</xdr:row>
      <xdr:rowOff>66999</xdr:rowOff>
    </xdr:from>
    <xdr:to>
      <xdr:col>5</xdr:col>
      <xdr:colOff>391773</xdr:colOff>
      <xdr:row>514</xdr:row>
      <xdr:rowOff>191673</xdr:rowOff>
    </xdr:to>
    <xdr:sp macro="" textlink="">
      <xdr:nvSpPr>
        <xdr:cNvPr id="121" name="Rectangle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/>
      </xdr:nvSpPr>
      <xdr:spPr>
        <a:xfrm rot="452452">
          <a:off x="4154765" y="101762249"/>
          <a:ext cx="574058" cy="321524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371812</xdr:colOff>
      <xdr:row>512</xdr:row>
      <xdr:rowOff>70988</xdr:rowOff>
    </xdr:from>
    <xdr:to>
      <xdr:col>3</xdr:col>
      <xdr:colOff>111332</xdr:colOff>
      <xdr:row>515</xdr:row>
      <xdr:rowOff>70417</xdr:rowOff>
    </xdr:to>
    <xdr:sp macro="" textlink="">
      <xdr:nvSpPr>
        <xdr:cNvPr id="122" name="Rectangle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/>
      </xdr:nvSpPr>
      <xdr:spPr>
        <a:xfrm rot="20522508">
          <a:off x="2010112" y="101569388"/>
          <a:ext cx="628520" cy="589979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603775</xdr:colOff>
      <xdr:row>511</xdr:row>
      <xdr:rowOff>89446</xdr:rowOff>
    </xdr:from>
    <xdr:to>
      <xdr:col>5</xdr:col>
      <xdr:colOff>517157</xdr:colOff>
      <xdr:row>512</xdr:row>
      <xdr:rowOff>139859</xdr:rowOff>
    </xdr:to>
    <xdr:sp macro="" textlink="">
      <xdr:nvSpPr>
        <xdr:cNvPr id="124" name="Rectangle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/>
      </xdr:nvSpPr>
      <xdr:spPr>
        <a:xfrm rot="434988">
          <a:off x="4124056" y="102304602"/>
          <a:ext cx="730945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twoCellAnchor>
  <xdr:twoCellAnchor>
    <xdr:from>
      <xdr:col>3</xdr:col>
      <xdr:colOff>786085</xdr:colOff>
      <xdr:row>516</xdr:row>
      <xdr:rowOff>59310</xdr:rowOff>
    </xdr:from>
    <xdr:to>
      <xdr:col>4</xdr:col>
      <xdr:colOff>591343</xdr:colOff>
      <xdr:row>517</xdr:row>
      <xdr:rowOff>111312</xdr:rowOff>
    </xdr:to>
    <xdr:sp macro="" textlink="">
      <xdr:nvSpPr>
        <xdr:cNvPr id="125" name="Rectangle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/>
      </xdr:nvSpPr>
      <xdr:spPr>
        <a:xfrm rot="480505">
          <a:off x="3314179" y="103266654"/>
          <a:ext cx="797445" cy="25043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No.3</a:t>
          </a:r>
        </a:p>
      </xdr:txBody>
    </xdr:sp>
    <xdr:clientData/>
  </xdr:twoCellAnchor>
  <xdr:twoCellAnchor>
    <xdr:from>
      <xdr:col>3</xdr:col>
      <xdr:colOff>315393</xdr:colOff>
      <xdr:row>510</xdr:row>
      <xdr:rowOff>14068</xdr:rowOff>
    </xdr:from>
    <xdr:to>
      <xdr:col>4</xdr:col>
      <xdr:colOff>120651</xdr:colOff>
      <xdr:row>511</xdr:row>
      <xdr:rowOff>66069</xdr:rowOff>
    </xdr:to>
    <xdr:sp macro="" textlink="">
      <xdr:nvSpPr>
        <xdr:cNvPr id="126" name="Rectangle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/>
      </xdr:nvSpPr>
      <xdr:spPr>
        <a:xfrm rot="19323584">
          <a:off x="2842693" y="101334668"/>
          <a:ext cx="795858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No.4</a:t>
          </a:r>
        </a:p>
      </xdr:txBody>
    </xdr:sp>
    <xdr:clientData/>
  </xdr:twoCellAnchor>
  <xdr:twoCellAnchor>
    <xdr:from>
      <xdr:col>1</xdr:col>
      <xdr:colOff>746462</xdr:colOff>
      <xdr:row>510</xdr:row>
      <xdr:rowOff>121787</xdr:rowOff>
    </xdr:from>
    <xdr:to>
      <xdr:col>2</xdr:col>
      <xdr:colOff>704120</xdr:colOff>
      <xdr:row>511</xdr:row>
      <xdr:rowOff>173788</xdr:rowOff>
    </xdr:to>
    <xdr:sp macro="" textlink="">
      <xdr:nvSpPr>
        <xdr:cNvPr id="127" name="Rectangle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/>
      </xdr:nvSpPr>
      <xdr:spPr>
        <a:xfrm rot="20467792">
          <a:off x="1546562" y="101226487"/>
          <a:ext cx="795858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No.5</a:t>
          </a:r>
        </a:p>
      </xdr:txBody>
    </xdr:sp>
    <xdr:clientData/>
  </xdr:twoCellAnchor>
  <xdr:twoCellAnchor>
    <xdr:from>
      <xdr:col>2</xdr:col>
      <xdr:colOff>387350</xdr:colOff>
      <xdr:row>511</xdr:row>
      <xdr:rowOff>139700</xdr:rowOff>
    </xdr:from>
    <xdr:to>
      <xdr:col>2</xdr:col>
      <xdr:colOff>539750</xdr:colOff>
      <xdr:row>512</xdr:row>
      <xdr:rowOff>133350</xdr:rowOff>
    </xdr:to>
    <xdr:cxnSp macro="">
      <xdr:nvCxnSpPr>
        <xdr:cNvPr id="7" name="Straight Arrow Connector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025650" y="101441250"/>
          <a:ext cx="152400" cy="1905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749300</xdr:colOff>
      <xdr:row>511</xdr:row>
      <xdr:rowOff>25400</xdr:rowOff>
    </xdr:from>
    <xdr:to>
      <xdr:col>3</xdr:col>
      <xdr:colOff>905700</xdr:colOff>
      <xdr:row>512</xdr:row>
      <xdr:rowOff>78335</xdr:rowOff>
    </xdr:to>
    <xdr:cxnSp macro="">
      <xdr:nvCxnSpPr>
        <xdr:cNvPr id="128" name="Straight Arrow Connector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CxnSpPr>
          <a:endCxn id="119" idx="1"/>
        </xdr:cNvCxnSpPr>
      </xdr:nvCxnSpPr>
      <xdr:spPr>
        <a:xfrm>
          <a:off x="3276600" y="101542850"/>
          <a:ext cx="156400" cy="24978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111125</xdr:colOff>
      <xdr:row>512</xdr:row>
      <xdr:rowOff>99219</xdr:rowOff>
    </xdr:from>
    <xdr:to>
      <xdr:col>5</xdr:col>
      <xdr:colOff>127000</xdr:colOff>
      <xdr:row>513</xdr:row>
      <xdr:rowOff>95250</xdr:rowOff>
    </xdr:to>
    <xdr:cxnSp macro="">
      <xdr:nvCxnSpPr>
        <xdr:cNvPr id="129" name="Straight Arrow Connector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CxnSpPr/>
      </xdr:nvCxnSpPr>
      <xdr:spPr>
        <a:xfrm flipH="1">
          <a:off x="4448969" y="102512813"/>
          <a:ext cx="15875" cy="19446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15098</xdr:colOff>
      <xdr:row>513</xdr:row>
      <xdr:rowOff>127120</xdr:rowOff>
    </xdr:from>
    <xdr:to>
      <xdr:col>6</xdr:col>
      <xdr:colOff>282833</xdr:colOff>
      <xdr:row>517</xdr:row>
      <xdr:rowOff>127641</xdr:rowOff>
    </xdr:to>
    <xdr:sp macro="" textlink="">
      <xdr:nvSpPr>
        <xdr:cNvPr id="130" name="Rectangle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/>
      </xdr:nvSpPr>
      <xdr:spPr>
        <a:xfrm rot="4092521">
          <a:off x="4907236" y="103002419"/>
          <a:ext cx="794271" cy="2677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No.1</a:t>
          </a:r>
        </a:p>
      </xdr:txBody>
    </xdr:sp>
    <xdr:clientData/>
  </xdr:twoCellAnchor>
  <xdr:twoCellAnchor>
    <xdr:from>
      <xdr:col>5</xdr:col>
      <xdr:colOff>422574</xdr:colOff>
      <xdr:row>516</xdr:row>
      <xdr:rowOff>43657</xdr:rowOff>
    </xdr:from>
    <xdr:to>
      <xdr:col>6</xdr:col>
      <xdr:colOff>59532</xdr:colOff>
      <xdr:row>516</xdr:row>
      <xdr:rowOff>94448</xdr:rowOff>
    </xdr:to>
    <xdr:cxnSp macro="">
      <xdr:nvCxnSpPr>
        <xdr:cNvPr id="131" name="Straight Arrow Connector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CxnSpPr>
          <a:endCxn id="120" idx="3"/>
        </xdr:cNvCxnSpPr>
      </xdr:nvCxnSpPr>
      <xdr:spPr>
        <a:xfrm flipH="1">
          <a:off x="4760418" y="103251001"/>
          <a:ext cx="454520" cy="5079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591039</xdr:colOff>
      <xdr:row>513</xdr:row>
      <xdr:rowOff>122135</xdr:rowOff>
    </xdr:from>
    <xdr:to>
      <xdr:col>5</xdr:col>
      <xdr:colOff>116748</xdr:colOff>
      <xdr:row>514</xdr:row>
      <xdr:rowOff>172548</xdr:rowOff>
    </xdr:to>
    <xdr:sp macro="" textlink="">
      <xdr:nvSpPr>
        <xdr:cNvPr id="132" name="Rectangle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/>
      </xdr:nvSpPr>
      <xdr:spPr>
        <a:xfrm rot="434988">
          <a:off x="4111320" y="102734166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2A</a:t>
          </a:r>
        </a:p>
      </xdr:txBody>
    </xdr:sp>
    <xdr:clientData/>
  </xdr:twoCellAnchor>
  <xdr:twoCellAnchor>
    <xdr:from>
      <xdr:col>5</xdr:col>
      <xdr:colOff>52876</xdr:colOff>
      <xdr:row>513</xdr:row>
      <xdr:rowOff>139597</xdr:rowOff>
    </xdr:from>
    <xdr:to>
      <xdr:col>5</xdr:col>
      <xdr:colOff>396148</xdr:colOff>
      <xdr:row>514</xdr:row>
      <xdr:rowOff>190010</xdr:rowOff>
    </xdr:to>
    <xdr:sp macro="" textlink="">
      <xdr:nvSpPr>
        <xdr:cNvPr id="133" name="Rectangle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/>
      </xdr:nvSpPr>
      <xdr:spPr>
        <a:xfrm rot="434988">
          <a:off x="4390720" y="102751628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2B</a:t>
          </a:r>
        </a:p>
      </xdr:txBody>
    </xdr:sp>
    <xdr:clientData/>
  </xdr:twoCellAnchor>
  <xdr:twoCellAnchor>
    <xdr:from>
      <xdr:col>4</xdr:col>
      <xdr:colOff>40483</xdr:colOff>
      <xdr:row>514</xdr:row>
      <xdr:rowOff>159546</xdr:rowOff>
    </xdr:from>
    <xdr:to>
      <xdr:col>4</xdr:col>
      <xdr:colOff>383755</xdr:colOff>
      <xdr:row>516</xdr:row>
      <xdr:rowOff>11522</xdr:rowOff>
    </xdr:to>
    <xdr:sp macro="" textlink="">
      <xdr:nvSpPr>
        <xdr:cNvPr id="134" name="Rectangle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/>
      </xdr:nvSpPr>
      <xdr:spPr>
        <a:xfrm rot="434988">
          <a:off x="3560764" y="102970015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3A</a:t>
          </a:r>
        </a:p>
      </xdr:txBody>
    </xdr:sp>
    <xdr:clientData/>
  </xdr:twoCellAnchor>
  <xdr:twoCellAnchor>
    <xdr:from>
      <xdr:col>4</xdr:col>
      <xdr:colOff>256383</xdr:colOff>
      <xdr:row>514</xdr:row>
      <xdr:rowOff>34134</xdr:rowOff>
    </xdr:from>
    <xdr:to>
      <xdr:col>4</xdr:col>
      <xdr:colOff>599655</xdr:colOff>
      <xdr:row>515</xdr:row>
      <xdr:rowOff>84548</xdr:rowOff>
    </xdr:to>
    <xdr:sp macro="" textlink="">
      <xdr:nvSpPr>
        <xdr:cNvPr id="135" name="Rectangle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/>
      </xdr:nvSpPr>
      <xdr:spPr>
        <a:xfrm rot="434988">
          <a:off x="3776664" y="102844603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3B</a:t>
          </a:r>
        </a:p>
      </xdr:txBody>
    </xdr:sp>
    <xdr:clientData/>
  </xdr:twoCellAnchor>
  <xdr:twoCellAnchor>
    <xdr:from>
      <xdr:col>3</xdr:col>
      <xdr:colOff>961556</xdr:colOff>
      <xdr:row>511</xdr:row>
      <xdr:rowOff>110783</xdr:rowOff>
    </xdr:from>
    <xdr:to>
      <xdr:col>4</xdr:col>
      <xdr:colOff>312641</xdr:colOff>
      <xdr:row>512</xdr:row>
      <xdr:rowOff>161196</xdr:rowOff>
    </xdr:to>
    <xdr:sp macro="" textlink="">
      <xdr:nvSpPr>
        <xdr:cNvPr id="136" name="Rectangle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/>
      </xdr:nvSpPr>
      <xdr:spPr>
        <a:xfrm rot="434988">
          <a:off x="3489650" y="102325939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4A</a:t>
          </a:r>
        </a:p>
      </xdr:txBody>
    </xdr:sp>
    <xdr:clientData/>
  </xdr:twoCellAnchor>
  <xdr:twoCellAnchor>
    <xdr:from>
      <xdr:col>4</xdr:col>
      <xdr:colOff>248769</xdr:colOff>
      <xdr:row>511</xdr:row>
      <xdr:rowOff>179841</xdr:rowOff>
    </xdr:from>
    <xdr:to>
      <xdr:col>4</xdr:col>
      <xdr:colOff>592041</xdr:colOff>
      <xdr:row>513</xdr:row>
      <xdr:rowOff>31817</xdr:rowOff>
    </xdr:to>
    <xdr:sp macro="" textlink="">
      <xdr:nvSpPr>
        <xdr:cNvPr id="137" name="Rectangle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/>
      </xdr:nvSpPr>
      <xdr:spPr>
        <a:xfrm rot="434988">
          <a:off x="3769050" y="102394997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4B</a:t>
          </a:r>
        </a:p>
      </xdr:txBody>
    </xdr:sp>
    <xdr:clientData/>
  </xdr:twoCellAnchor>
  <xdr:twoCellAnchor>
    <xdr:from>
      <xdr:col>4</xdr:col>
      <xdr:colOff>155106</xdr:colOff>
      <xdr:row>512</xdr:row>
      <xdr:rowOff>173490</xdr:rowOff>
    </xdr:from>
    <xdr:to>
      <xdr:col>4</xdr:col>
      <xdr:colOff>498378</xdr:colOff>
      <xdr:row>514</xdr:row>
      <xdr:rowOff>25466</xdr:rowOff>
    </xdr:to>
    <xdr:sp macro="" textlink="">
      <xdr:nvSpPr>
        <xdr:cNvPr id="138" name="Rectangle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/>
      </xdr:nvSpPr>
      <xdr:spPr>
        <a:xfrm rot="434988">
          <a:off x="3675387" y="102587084"/>
          <a:ext cx="34327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4C</a:t>
          </a:r>
        </a:p>
      </xdr:txBody>
    </xdr:sp>
    <xdr:clientData/>
  </xdr:twoCellAnchor>
  <xdr:twoCellAnchor>
    <xdr:from>
      <xdr:col>2</xdr:col>
      <xdr:colOff>393303</xdr:colOff>
      <xdr:row>513</xdr:row>
      <xdr:rowOff>143708</xdr:rowOff>
    </xdr:from>
    <xdr:to>
      <xdr:col>2</xdr:col>
      <xdr:colOff>735965</xdr:colOff>
      <xdr:row>515</xdr:row>
      <xdr:rowOff>1790</xdr:rowOff>
    </xdr:to>
    <xdr:sp macro="" textlink="">
      <xdr:nvSpPr>
        <xdr:cNvPr id="139" name="Rectangle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/>
      </xdr:nvSpPr>
      <xdr:spPr>
        <a:xfrm rot="20472173">
          <a:off x="2034534" y="101406670"/>
          <a:ext cx="34266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5A</a:t>
          </a:r>
        </a:p>
      </xdr:txBody>
    </xdr:sp>
    <xdr:clientData/>
  </xdr:twoCellAnchor>
  <xdr:twoCellAnchor>
    <xdr:from>
      <xdr:col>2</xdr:col>
      <xdr:colOff>653164</xdr:colOff>
      <xdr:row>512</xdr:row>
      <xdr:rowOff>188647</xdr:rowOff>
    </xdr:from>
    <xdr:to>
      <xdr:col>3</xdr:col>
      <xdr:colOff>106826</xdr:colOff>
      <xdr:row>514</xdr:row>
      <xdr:rowOff>46729</xdr:rowOff>
    </xdr:to>
    <xdr:sp macro="" textlink="">
      <xdr:nvSpPr>
        <xdr:cNvPr id="140" name="Rectangle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/>
      </xdr:nvSpPr>
      <xdr:spPr>
        <a:xfrm rot="20472173">
          <a:off x="2294395" y="101256224"/>
          <a:ext cx="34266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5B</a:t>
          </a:r>
        </a:p>
      </xdr:txBody>
    </xdr:sp>
    <xdr:clientData/>
  </xdr:twoCellAnchor>
  <xdr:twoCellAnchor>
    <xdr:from>
      <xdr:col>0</xdr:col>
      <xdr:colOff>75640</xdr:colOff>
      <xdr:row>427</xdr:row>
      <xdr:rowOff>189150</xdr:rowOff>
    </xdr:from>
    <xdr:to>
      <xdr:col>7</xdr:col>
      <xdr:colOff>734868</xdr:colOff>
      <xdr:row>450</xdr:row>
      <xdr:rowOff>187764</xdr:rowOff>
    </xdr:to>
    <xdr:grpSp>
      <xdr:nvGrpSpPr>
        <xdr:cNvPr id="4" name="Group 3"/>
        <xdr:cNvGrpSpPr/>
      </xdr:nvGrpSpPr>
      <xdr:grpSpPr>
        <a:xfrm>
          <a:off x="75640" y="88188944"/>
          <a:ext cx="6363022" cy="4637849"/>
          <a:chOff x="75640" y="88132915"/>
          <a:chExt cx="6363022" cy="4637849"/>
        </a:xfrm>
      </xdr:grpSpPr>
      <xdr:pic>
        <xdr:nvPicPr>
          <xdr:cNvPr id="112" name="Picture 111" descr="https://vsjcllp.vsjadon.com/upload/insp-24329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84786" y="90592275"/>
            <a:ext cx="1617753" cy="21784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3" name="Picture 112" descr="https://vsjcllp.vsjadon.com/upload/insp-243297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5640" y="88132915"/>
            <a:ext cx="3132429" cy="23699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6" name="Picture 115" descr="https://vsjcllp.vsjadon.com/upload/insp-24329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6824" y="90585552"/>
            <a:ext cx="2882719" cy="21784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3" name="Picture 122" descr="https://vsjcllp.vsjadon.com/upload/insp-24329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0133" y="88138107"/>
            <a:ext cx="3138529" cy="23718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136152</xdr:colOff>
      <xdr:row>383</xdr:row>
      <xdr:rowOff>74519</xdr:rowOff>
    </xdr:from>
    <xdr:to>
      <xdr:col>7</xdr:col>
      <xdr:colOff>731928</xdr:colOff>
      <xdr:row>422</xdr:row>
      <xdr:rowOff>186085</xdr:rowOff>
    </xdr:to>
    <xdr:grpSp>
      <xdr:nvGrpSpPr>
        <xdr:cNvPr id="5" name="Group 4"/>
        <xdr:cNvGrpSpPr/>
      </xdr:nvGrpSpPr>
      <xdr:grpSpPr>
        <a:xfrm>
          <a:off x="136152" y="79221666"/>
          <a:ext cx="6299570" cy="7966890"/>
          <a:chOff x="136152" y="79165637"/>
          <a:chExt cx="6299570" cy="7966889"/>
        </a:xfrm>
      </xdr:grpSpPr>
      <xdr:pic>
        <xdr:nvPicPr>
          <xdr:cNvPr id="141" name="Picture 140" descr="https://vsjcllp.vsjadon.com/upload/insp-243297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6152" y="84954037"/>
            <a:ext cx="2882719" cy="21784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2" name="Picture 141" descr="https://vsjcllp.vsjadon.com/upload/insp-243297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04591" y="84949554"/>
            <a:ext cx="1622235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3" name="Picture 142" descr="https://vsjcllp.vsjadon.com/upload/insp-243297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15168" y="84948433"/>
            <a:ext cx="1620554" cy="21768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4" name="Picture 143" descr="https://vsjcllp.vsjadon.com/upload/insp-243297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68053" y="82206914"/>
            <a:ext cx="1974476" cy="2655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5" name="Picture 144" descr="https://vsjcllp.vsjadon.com/upload/insp-243297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7392" y="82211955"/>
            <a:ext cx="1980621" cy="26551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6" name="Picture 145" descr="https://vsjcllp.vsjadon.com/upload/insp-243297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3606" y="79165637"/>
            <a:ext cx="2187863" cy="29398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7" name="Picture 146" descr="https://vsjcllp.vsjadon.com/upload/insp-243297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59692" y="79165637"/>
            <a:ext cx="3900788" cy="29398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8" name="Picture 147" descr="https://vsjcllp.vsjadon.com/upload/insp-243297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92722" y="82206914"/>
            <a:ext cx="1980621" cy="26551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bMw38tdaJZk7f1S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43"/>
  <sheetViews>
    <sheetView tabSelected="1" view="pageBreakPreview" topLeftCell="A348" zoomScale="85" zoomScaleNormal="100" zoomScaleSheetLayoutView="85" zoomScalePageLayoutView="85" workbookViewId="0">
      <selection activeCell="K378" sqref="K378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1.8554687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79" t="s">
        <v>234</v>
      </c>
      <c r="B1" s="179"/>
      <c r="C1" s="179"/>
      <c r="D1" s="179"/>
      <c r="E1" s="179"/>
      <c r="F1" s="179"/>
      <c r="G1" s="179"/>
      <c r="H1" s="179"/>
    </row>
    <row r="2" spans="1:8" ht="16.5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</row>
    <row r="3" spans="1:8" x14ac:dyDescent="0.25">
      <c r="A3" s="139" t="s">
        <v>1</v>
      </c>
      <c r="B3" s="139"/>
      <c r="C3" s="139"/>
      <c r="D3" s="139"/>
      <c r="E3" s="139" t="str">
        <f ca="1">TEXT(TODAY(),"DD/MM/YYYY")</f>
        <v>14/08/2025</v>
      </c>
      <c r="F3" s="139"/>
      <c r="G3" s="139"/>
      <c r="H3" s="139"/>
    </row>
    <row r="4" spans="1:8" ht="15" customHeight="1" x14ac:dyDescent="0.25">
      <c r="A4" s="139" t="s">
        <v>2</v>
      </c>
      <c r="B4" s="139"/>
      <c r="C4" s="139"/>
      <c r="D4" s="139"/>
      <c r="E4" s="139" t="s">
        <v>172</v>
      </c>
      <c r="F4" s="139"/>
      <c r="G4" s="139"/>
      <c r="H4" s="139"/>
    </row>
    <row r="5" spans="1:8" x14ac:dyDescent="0.25">
      <c r="A5" s="139" t="s">
        <v>3</v>
      </c>
      <c r="B5" s="139"/>
      <c r="C5" s="139"/>
      <c r="D5" s="139"/>
      <c r="E5" s="181">
        <v>45878</v>
      </c>
      <c r="F5" s="139"/>
      <c r="G5" s="139"/>
      <c r="H5" s="139"/>
    </row>
    <row r="6" spans="1:8" ht="16.5" customHeight="1" x14ac:dyDescent="0.25">
      <c r="A6" s="139" t="s">
        <v>4</v>
      </c>
      <c r="B6" s="139"/>
      <c r="C6" s="139"/>
      <c r="D6" s="139"/>
      <c r="E6" s="139" t="s">
        <v>173</v>
      </c>
      <c r="F6" s="139"/>
      <c r="G6" s="139"/>
      <c r="H6" s="139"/>
    </row>
    <row r="7" spans="1:8" ht="15" customHeight="1" x14ac:dyDescent="0.25">
      <c r="A7" s="139" t="s">
        <v>5</v>
      </c>
      <c r="B7" s="139"/>
      <c r="C7" s="139"/>
      <c r="D7" s="139"/>
      <c r="E7" s="139" t="str">
        <f>E6</f>
        <v xml:space="preserve">M/s. Shree Shivbali Builders Private Limited  </v>
      </c>
      <c r="F7" s="139"/>
      <c r="G7" s="139"/>
      <c r="H7" s="139"/>
    </row>
    <row r="8" spans="1:8" x14ac:dyDescent="0.25">
      <c r="A8" s="139" t="s">
        <v>6</v>
      </c>
      <c r="B8" s="139"/>
      <c r="C8" s="139"/>
      <c r="D8" s="139"/>
      <c r="E8" s="87" t="s">
        <v>174</v>
      </c>
      <c r="F8" s="87"/>
      <c r="G8" s="87"/>
      <c r="H8" s="87"/>
    </row>
    <row r="9" spans="1:8" x14ac:dyDescent="0.25">
      <c r="A9" s="139" t="s">
        <v>127</v>
      </c>
      <c r="B9" s="139"/>
      <c r="C9" s="139"/>
      <c r="D9" s="139"/>
      <c r="E9" s="139">
        <v>7709545078</v>
      </c>
      <c r="F9" s="139"/>
      <c r="G9" s="139"/>
      <c r="H9" s="139"/>
    </row>
    <row r="10" spans="1:8" ht="49.5" customHeight="1" x14ac:dyDescent="0.25">
      <c r="A10" s="139" t="s">
        <v>7</v>
      </c>
      <c r="B10" s="139"/>
      <c r="C10" s="139"/>
      <c r="D10" s="139"/>
      <c r="E10" s="143" t="s">
        <v>222</v>
      </c>
      <c r="F10" s="139"/>
      <c r="G10" s="139"/>
      <c r="H10" s="139"/>
    </row>
    <row r="11" spans="1:8" x14ac:dyDescent="0.25">
      <c r="A11" s="139" t="s">
        <v>8</v>
      </c>
      <c r="B11" s="139"/>
      <c r="C11" s="139"/>
      <c r="D11" s="139"/>
      <c r="E11" s="143" t="s">
        <v>207</v>
      </c>
      <c r="F11" s="143"/>
      <c r="G11" s="143"/>
      <c r="H11" s="143"/>
    </row>
    <row r="12" spans="1:8" ht="30.75" customHeight="1" x14ac:dyDescent="0.25">
      <c r="A12" s="139" t="s">
        <v>9</v>
      </c>
      <c r="B12" s="139"/>
      <c r="C12" s="139"/>
      <c r="D12" s="139"/>
      <c r="E12" s="143" t="s">
        <v>223</v>
      </c>
      <c r="F12" s="139"/>
      <c r="G12" s="139"/>
      <c r="H12" s="139"/>
    </row>
    <row r="13" spans="1:8" ht="34.5" customHeight="1" x14ac:dyDescent="0.25">
      <c r="A13" s="143" t="s">
        <v>10</v>
      </c>
      <c r="B13" s="143"/>
      <c r="C13" s="143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Shree Township Phase 2, Survey No.8(Part) &amp; S.No.6, near Shree Township , Internal Road, Kambalgaon, Kambalgaon, Boisar East, Palghar, Palghar - 401501.</v>
      </c>
      <c r="D13" s="143"/>
      <c r="E13" s="143"/>
      <c r="F13" s="143"/>
      <c r="G13" s="143"/>
      <c r="H13" s="143"/>
    </row>
    <row r="14" spans="1:8" x14ac:dyDescent="0.25">
      <c r="A14" s="143" t="s">
        <v>177</v>
      </c>
      <c r="B14" s="143"/>
      <c r="C14" s="143" t="s">
        <v>178</v>
      </c>
      <c r="D14" s="143"/>
      <c r="E14" s="143"/>
      <c r="F14" s="143"/>
      <c r="G14" s="143"/>
      <c r="H14" s="143"/>
    </row>
    <row r="15" spans="1:8" ht="15.75" customHeight="1" x14ac:dyDescent="0.25">
      <c r="A15" s="143" t="s">
        <v>171</v>
      </c>
      <c r="B15" s="143"/>
      <c r="C15" s="143" t="s">
        <v>175</v>
      </c>
      <c r="D15" s="143"/>
      <c r="E15" s="143"/>
      <c r="F15" s="143"/>
      <c r="G15" s="143"/>
      <c r="H15" s="143"/>
    </row>
    <row r="16" spans="1:8" ht="15.75" customHeight="1" x14ac:dyDescent="0.25">
      <c r="A16" s="143" t="s">
        <v>11</v>
      </c>
      <c r="B16" s="143"/>
      <c r="C16" s="139" t="s">
        <v>209</v>
      </c>
      <c r="D16" s="139"/>
      <c r="E16" s="143" t="s">
        <v>77</v>
      </c>
      <c r="F16" s="143"/>
      <c r="G16" s="143" t="s">
        <v>175</v>
      </c>
      <c r="H16" s="143"/>
    </row>
    <row r="17" spans="1:8" x14ac:dyDescent="0.25">
      <c r="A17" s="139" t="s">
        <v>13</v>
      </c>
      <c r="B17" s="139"/>
      <c r="C17" s="143" t="s">
        <v>181</v>
      </c>
      <c r="D17" s="143"/>
      <c r="E17" s="143" t="s">
        <v>12</v>
      </c>
      <c r="F17" s="143"/>
      <c r="G17" s="182" t="s">
        <v>176</v>
      </c>
      <c r="H17" s="182"/>
    </row>
    <row r="18" spans="1:8" x14ac:dyDescent="0.25">
      <c r="A18" s="139" t="s">
        <v>78</v>
      </c>
      <c r="B18" s="139"/>
      <c r="C18" s="143" t="s">
        <v>176</v>
      </c>
      <c r="D18" s="143"/>
      <c r="E18" s="143" t="s">
        <v>14</v>
      </c>
      <c r="F18" s="143"/>
      <c r="G18" s="143">
        <v>401501</v>
      </c>
      <c r="H18" s="143"/>
    </row>
    <row r="19" spans="1:8" ht="32.25" customHeight="1" x14ac:dyDescent="0.25">
      <c r="A19" s="139" t="s">
        <v>128</v>
      </c>
      <c r="B19" s="139"/>
      <c r="C19" s="143" t="s">
        <v>214</v>
      </c>
      <c r="D19" s="143"/>
      <c r="E19" s="143" t="s">
        <v>15</v>
      </c>
      <c r="F19" s="143"/>
      <c r="G19" s="143" t="s">
        <v>213</v>
      </c>
      <c r="H19" s="143"/>
    </row>
    <row r="20" spans="1:8" ht="15" customHeight="1" x14ac:dyDescent="0.25">
      <c r="A20" s="143" t="s">
        <v>80</v>
      </c>
      <c r="B20" s="143"/>
      <c r="C20" s="143"/>
      <c r="D20" s="143"/>
      <c r="E20" s="139" t="s">
        <v>16</v>
      </c>
      <c r="F20" s="139"/>
      <c r="G20" s="139"/>
      <c r="H20" s="139"/>
    </row>
    <row r="21" spans="1:8" ht="18.75" customHeight="1" x14ac:dyDescent="0.25">
      <c r="A21" s="143"/>
      <c r="B21" s="143"/>
      <c r="C21" s="143"/>
      <c r="D21" s="143"/>
      <c r="E21" s="139"/>
      <c r="F21" s="139"/>
      <c r="G21" s="139"/>
      <c r="H21" s="139"/>
    </row>
    <row r="22" spans="1:8" ht="15" customHeight="1" x14ac:dyDescent="0.25">
      <c r="A22" s="143" t="s">
        <v>17</v>
      </c>
      <c r="B22" s="143"/>
      <c r="C22" s="143"/>
      <c r="D22" s="143"/>
      <c r="E22" s="143" t="s">
        <v>18</v>
      </c>
      <c r="F22" s="143"/>
      <c r="G22" s="143"/>
      <c r="H22" s="143"/>
    </row>
    <row r="23" spans="1:8" ht="15" customHeight="1" x14ac:dyDescent="0.25">
      <c r="A23" s="139" t="s">
        <v>19</v>
      </c>
      <c r="B23" s="139"/>
      <c r="C23" s="139"/>
      <c r="D23" s="139"/>
      <c r="E23" s="143" t="str">
        <f>IF(AND(G17="Mumbai"),"Upper Class","Middle Class")</f>
        <v>Middle Class</v>
      </c>
      <c r="F23" s="143"/>
      <c r="G23" s="143"/>
      <c r="H23" s="143"/>
    </row>
    <row r="24" spans="1:8" x14ac:dyDescent="0.25">
      <c r="A24" s="139" t="s">
        <v>20</v>
      </c>
      <c r="B24" s="139"/>
      <c r="C24" s="139"/>
      <c r="D24" s="139"/>
      <c r="E24" s="143" t="s">
        <v>21</v>
      </c>
      <c r="F24" s="143"/>
      <c r="G24" s="143"/>
      <c r="H24" s="143"/>
    </row>
    <row r="25" spans="1:8" ht="15.75" customHeight="1" x14ac:dyDescent="0.25">
      <c r="A25" s="139" t="s">
        <v>22</v>
      </c>
      <c r="B25" s="139"/>
      <c r="C25" s="139"/>
      <c r="D25" s="139"/>
      <c r="E25" s="143" t="str">
        <f>IF(AND(G17="Mumbai"),"Developed","Developing")</f>
        <v>Developing</v>
      </c>
      <c r="F25" s="143"/>
      <c r="G25" s="143"/>
      <c r="H25" s="143"/>
    </row>
    <row r="26" spans="1:8" x14ac:dyDescent="0.25">
      <c r="A26" s="139" t="s">
        <v>23</v>
      </c>
      <c r="B26" s="139"/>
      <c r="C26" s="139"/>
      <c r="D26" s="139"/>
      <c r="E26" s="143" t="s">
        <v>24</v>
      </c>
      <c r="F26" s="143"/>
      <c r="G26" s="143"/>
      <c r="H26" s="143"/>
    </row>
    <row r="27" spans="1:8" ht="15.75" customHeight="1" x14ac:dyDescent="0.25">
      <c r="A27" s="139" t="s">
        <v>85</v>
      </c>
      <c r="B27" s="139"/>
      <c r="C27" s="139"/>
      <c r="D27" s="139"/>
      <c r="E27" s="143" t="s">
        <v>86</v>
      </c>
      <c r="F27" s="143"/>
      <c r="G27" s="143"/>
      <c r="H27" s="143"/>
    </row>
    <row r="28" spans="1:8" ht="15" customHeight="1" x14ac:dyDescent="0.25">
      <c r="A28" s="139" t="s">
        <v>35</v>
      </c>
      <c r="B28" s="139"/>
      <c r="C28" s="139"/>
      <c r="D28" s="139"/>
      <c r="E28" s="143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143"/>
      <c r="G28" s="143"/>
      <c r="H28" s="143"/>
    </row>
    <row r="29" spans="1:8" ht="15.75" customHeight="1" x14ac:dyDescent="0.25">
      <c r="A29" s="139" t="s">
        <v>97</v>
      </c>
      <c r="B29" s="139"/>
      <c r="C29" s="139"/>
      <c r="D29" s="139"/>
      <c r="E29" s="143" t="s">
        <v>36</v>
      </c>
      <c r="F29" s="143"/>
      <c r="G29" s="143"/>
      <c r="H29" s="143"/>
    </row>
    <row r="30" spans="1:8" s="19" customFormat="1" x14ac:dyDescent="0.25">
      <c r="A30" s="185" t="s">
        <v>98</v>
      </c>
      <c r="B30" s="185"/>
      <c r="C30" s="164" t="s">
        <v>29</v>
      </c>
      <c r="D30" s="164"/>
      <c r="E30" s="164"/>
      <c r="F30" s="164" t="s">
        <v>31</v>
      </c>
      <c r="G30" s="164"/>
      <c r="H30" s="164"/>
    </row>
    <row r="31" spans="1:8" s="19" customFormat="1" x14ac:dyDescent="0.25">
      <c r="A31" s="183" t="s">
        <v>25</v>
      </c>
      <c r="B31" s="183" t="s">
        <v>30</v>
      </c>
      <c r="C31" s="184" t="s">
        <v>30</v>
      </c>
      <c r="D31" s="184"/>
      <c r="E31" s="184"/>
      <c r="F31" s="184" t="s">
        <v>209</v>
      </c>
      <c r="G31" s="184"/>
      <c r="H31" s="184"/>
    </row>
    <row r="32" spans="1:8" x14ac:dyDescent="0.25">
      <c r="A32" s="183" t="s">
        <v>26</v>
      </c>
      <c r="B32" s="183" t="s">
        <v>30</v>
      </c>
      <c r="C32" s="184" t="s">
        <v>30</v>
      </c>
      <c r="D32" s="184"/>
      <c r="E32" s="184"/>
      <c r="F32" s="184" t="s">
        <v>210</v>
      </c>
      <c r="G32" s="184"/>
      <c r="H32" s="184"/>
    </row>
    <row r="33" spans="1:8" s="19" customFormat="1" x14ac:dyDescent="0.25">
      <c r="A33" s="183" t="s">
        <v>28</v>
      </c>
      <c r="B33" s="183" t="s">
        <v>30</v>
      </c>
      <c r="C33" s="184" t="s">
        <v>30</v>
      </c>
      <c r="D33" s="184"/>
      <c r="E33" s="184"/>
      <c r="F33" s="184" t="s">
        <v>210</v>
      </c>
      <c r="G33" s="184"/>
      <c r="H33" s="184"/>
    </row>
    <row r="34" spans="1:8" x14ac:dyDescent="0.25">
      <c r="A34" s="183" t="s">
        <v>27</v>
      </c>
      <c r="B34" s="183" t="s">
        <v>30</v>
      </c>
      <c r="C34" s="184" t="s">
        <v>30</v>
      </c>
      <c r="D34" s="184"/>
      <c r="E34" s="184"/>
      <c r="F34" s="184" t="s">
        <v>211</v>
      </c>
      <c r="G34" s="184"/>
      <c r="H34" s="184"/>
    </row>
    <row r="35" spans="1:8" x14ac:dyDescent="0.25">
      <c r="A35" s="139" t="s">
        <v>32</v>
      </c>
      <c r="B35" s="139"/>
      <c r="C35" s="139"/>
      <c r="D35" s="139"/>
      <c r="E35" s="139"/>
      <c r="F35" s="139"/>
      <c r="G35" s="139"/>
      <c r="H35" s="139"/>
    </row>
    <row r="36" spans="1:8" ht="15.75" customHeight="1" x14ac:dyDescent="0.25">
      <c r="A36" s="164" t="s">
        <v>33</v>
      </c>
      <c r="B36" s="164"/>
      <c r="C36" s="183">
        <v>19.775354725</v>
      </c>
      <c r="D36" s="183"/>
      <c r="E36" s="164" t="s">
        <v>34</v>
      </c>
      <c r="F36" s="164"/>
      <c r="G36" s="184">
        <v>72.763907130999996</v>
      </c>
      <c r="H36" s="184"/>
    </row>
    <row r="37" spans="1:8" x14ac:dyDescent="0.25">
      <c r="A37" s="164" t="s">
        <v>170</v>
      </c>
      <c r="B37" s="164"/>
      <c r="C37" s="189" t="s">
        <v>212</v>
      </c>
      <c r="D37" s="143"/>
      <c r="E37" s="143"/>
      <c r="F37" s="143"/>
      <c r="G37" s="143"/>
      <c r="H37" s="143"/>
    </row>
    <row r="38" spans="1:8" x14ac:dyDescent="0.25">
      <c r="A38" s="87" t="s">
        <v>37</v>
      </c>
      <c r="B38" s="87"/>
      <c r="C38" s="87"/>
      <c r="D38" s="87"/>
      <c r="E38" s="87"/>
      <c r="F38" s="87"/>
      <c r="G38" s="87"/>
      <c r="H38" s="87"/>
    </row>
    <row r="39" spans="1:8" x14ac:dyDescent="0.25">
      <c r="A39" s="139" t="s">
        <v>38</v>
      </c>
      <c r="B39" s="139"/>
      <c r="C39" s="139"/>
      <c r="D39" s="139"/>
      <c r="E39" s="186">
        <v>16392.849999999999</v>
      </c>
      <c r="F39" s="186"/>
      <c r="G39" s="186"/>
      <c r="H39" s="186"/>
    </row>
    <row r="40" spans="1:8" x14ac:dyDescent="0.25">
      <c r="A40" s="139" t="s">
        <v>39</v>
      </c>
      <c r="B40" s="139"/>
      <c r="C40" s="139"/>
      <c r="D40" s="139"/>
      <c r="E40" s="144">
        <v>0.9</v>
      </c>
      <c r="F40" s="144"/>
      <c r="G40" s="144"/>
      <c r="H40" s="144"/>
    </row>
    <row r="41" spans="1:8" x14ac:dyDescent="0.25">
      <c r="A41" s="139" t="s">
        <v>40</v>
      </c>
      <c r="B41" s="139"/>
      <c r="C41" s="139"/>
      <c r="D41" s="139"/>
      <c r="E41" s="144">
        <f>E43/E39-E40</f>
        <v>9.9412548763637809E-2</v>
      </c>
      <c r="F41" s="144"/>
      <c r="G41" s="144"/>
      <c r="H41" s="144"/>
    </row>
    <row r="42" spans="1:8" x14ac:dyDescent="0.25">
      <c r="A42" s="139" t="s">
        <v>41</v>
      </c>
      <c r="B42" s="139"/>
      <c r="C42" s="139"/>
      <c r="D42" s="139"/>
      <c r="E42" s="144">
        <f>E40+E41</f>
        <v>0.99941254876363783</v>
      </c>
      <c r="F42" s="144"/>
      <c r="G42" s="144"/>
      <c r="H42" s="144"/>
    </row>
    <row r="43" spans="1:8" x14ac:dyDescent="0.25">
      <c r="A43" s="139" t="s">
        <v>96</v>
      </c>
      <c r="B43" s="139"/>
      <c r="C43" s="139"/>
      <c r="D43" s="139"/>
      <c r="E43" s="188">
        <v>16383.22</v>
      </c>
      <c r="F43" s="188"/>
      <c r="G43" s="188"/>
      <c r="H43" s="188"/>
    </row>
    <row r="44" spans="1:8" x14ac:dyDescent="0.25">
      <c r="A44" s="139" t="s">
        <v>42</v>
      </c>
      <c r="B44" s="139"/>
      <c r="C44" s="139"/>
      <c r="D44" s="139"/>
      <c r="E44" s="139" t="s">
        <v>227</v>
      </c>
      <c r="F44" s="139"/>
      <c r="G44" s="139"/>
      <c r="H44" s="139"/>
    </row>
    <row r="45" spans="1:8" x14ac:dyDescent="0.25">
      <c r="A45" s="87" t="s">
        <v>43</v>
      </c>
      <c r="B45" s="87"/>
      <c r="C45" s="87"/>
      <c r="D45" s="87"/>
      <c r="E45" s="87"/>
      <c r="F45" s="87"/>
      <c r="G45" s="87"/>
      <c r="H45" s="87"/>
    </row>
    <row r="46" spans="1:8" ht="33.75" customHeight="1" x14ac:dyDescent="0.25">
      <c r="A46" s="140" t="s">
        <v>158</v>
      </c>
      <c r="B46" s="142"/>
      <c r="C46" s="205" t="s">
        <v>179</v>
      </c>
      <c r="D46" s="206"/>
      <c r="E46" s="206"/>
      <c r="F46" s="206"/>
      <c r="G46" s="206"/>
      <c r="H46" s="207"/>
    </row>
    <row r="47" spans="1:8" ht="15.75" customHeight="1" x14ac:dyDescent="0.25">
      <c r="A47" s="140" t="s">
        <v>44</v>
      </c>
      <c r="B47" s="142"/>
      <c r="C47" s="140" t="s">
        <v>182</v>
      </c>
      <c r="D47" s="141"/>
      <c r="E47" s="142"/>
      <c r="F47" s="56" t="s">
        <v>45</v>
      </c>
      <c r="G47" s="156">
        <v>43847</v>
      </c>
      <c r="H47" s="142"/>
    </row>
    <row r="48" spans="1:8" x14ac:dyDescent="0.25">
      <c r="A48" s="140" t="s">
        <v>46</v>
      </c>
      <c r="B48" s="142"/>
      <c r="C48" s="140" t="str">
        <f>C47</f>
        <v>MAHSUL/KAKSHA.1/NAP/SR/247/18</v>
      </c>
      <c r="D48" s="141"/>
      <c r="E48" s="142"/>
      <c r="F48" s="56" t="s">
        <v>45</v>
      </c>
      <c r="G48" s="156">
        <f>G47</f>
        <v>43847</v>
      </c>
      <c r="H48" s="142"/>
    </row>
    <row r="49" spans="1:14" s="20" customFormat="1" ht="32.25" customHeight="1" x14ac:dyDescent="0.25">
      <c r="A49" s="175" t="s">
        <v>161</v>
      </c>
      <c r="B49" s="176"/>
      <c r="C49" s="140" t="s">
        <v>180</v>
      </c>
      <c r="D49" s="141"/>
      <c r="E49" s="142"/>
      <c r="F49" s="56" t="s">
        <v>45</v>
      </c>
      <c r="G49" s="156">
        <v>43847</v>
      </c>
      <c r="H49" s="142"/>
    </row>
    <row r="50" spans="1:14" s="20" customFormat="1" ht="48" customHeight="1" x14ac:dyDescent="0.25">
      <c r="A50" s="177"/>
      <c r="B50" s="178"/>
      <c r="C50" s="140" t="s">
        <v>224</v>
      </c>
      <c r="D50" s="141"/>
      <c r="E50" s="141"/>
      <c r="F50" s="141"/>
      <c r="G50" s="141"/>
      <c r="H50" s="142"/>
    </row>
    <row r="51" spans="1:14" x14ac:dyDescent="0.25">
      <c r="A51" s="157" t="s">
        <v>47</v>
      </c>
      <c r="B51" s="158"/>
      <c r="C51" s="157" t="s">
        <v>110</v>
      </c>
      <c r="D51" s="159"/>
      <c r="E51" s="158"/>
      <c r="F51" s="41" t="s">
        <v>45</v>
      </c>
      <c r="G51" s="161" t="s">
        <v>30</v>
      </c>
      <c r="H51" s="162"/>
    </row>
    <row r="52" spans="1:14" x14ac:dyDescent="0.25">
      <c r="A52" s="160" t="s">
        <v>49</v>
      </c>
      <c r="B52" s="160"/>
      <c r="C52" s="160"/>
      <c r="D52" s="160"/>
      <c r="E52" s="160"/>
      <c r="F52" s="160"/>
      <c r="G52" s="160"/>
      <c r="H52" s="160"/>
    </row>
    <row r="53" spans="1:14" x14ac:dyDescent="0.25">
      <c r="A53" s="143" t="s">
        <v>95</v>
      </c>
      <c r="B53" s="143"/>
      <c r="C53" s="143"/>
      <c r="D53" s="139">
        <f>851.33+617.33+947.2+1019.24+1019.24</f>
        <v>4454.34</v>
      </c>
      <c r="E53" s="139"/>
      <c r="F53" s="139"/>
      <c r="G53" s="139"/>
      <c r="H53" s="139"/>
    </row>
    <row r="54" spans="1:14" x14ac:dyDescent="0.25">
      <c r="A54" s="143" t="s">
        <v>50</v>
      </c>
      <c r="B54" s="139"/>
      <c r="C54" s="139"/>
      <c r="D54" s="139" t="s">
        <v>231</v>
      </c>
      <c r="E54" s="139"/>
      <c r="F54" s="139"/>
      <c r="G54" s="139"/>
      <c r="H54" s="139"/>
      <c r="I54" s="21"/>
    </row>
    <row r="55" spans="1:14" ht="46.5" customHeight="1" x14ac:dyDescent="0.25">
      <c r="A55" s="143" t="s">
        <v>51</v>
      </c>
      <c r="B55" s="143"/>
      <c r="C55" s="143"/>
      <c r="D55" s="143" t="s">
        <v>224</v>
      </c>
      <c r="E55" s="139"/>
      <c r="F55" s="139"/>
      <c r="G55" s="139"/>
      <c r="H55" s="139"/>
    </row>
    <row r="56" spans="1:14" ht="15.75" customHeight="1" x14ac:dyDescent="0.25">
      <c r="A56" s="143" t="s">
        <v>93</v>
      </c>
      <c r="B56" s="143"/>
      <c r="C56" s="143"/>
      <c r="D56" s="139" t="s">
        <v>205</v>
      </c>
      <c r="E56" s="139"/>
      <c r="F56" s="139"/>
      <c r="G56" s="139"/>
      <c r="H56" s="139"/>
    </row>
    <row r="57" spans="1:14" ht="15.75" customHeight="1" x14ac:dyDescent="0.25">
      <c r="A57" s="143"/>
      <c r="B57" s="143"/>
      <c r="C57" s="143"/>
      <c r="D57" s="139" t="s">
        <v>204</v>
      </c>
      <c r="E57" s="139"/>
      <c r="F57" s="139"/>
      <c r="G57" s="139"/>
      <c r="H57" s="139"/>
    </row>
    <row r="58" spans="1:14" ht="15.75" customHeight="1" x14ac:dyDescent="0.25">
      <c r="A58" s="143"/>
      <c r="B58" s="143"/>
      <c r="C58" s="143"/>
      <c r="D58" s="139" t="s">
        <v>203</v>
      </c>
      <c r="E58" s="139"/>
      <c r="F58" s="139"/>
      <c r="G58" s="139"/>
      <c r="H58" s="139"/>
    </row>
    <row r="59" spans="1:14" ht="15.75" customHeight="1" x14ac:dyDescent="0.25">
      <c r="A59" s="143"/>
      <c r="B59" s="143"/>
      <c r="C59" s="143"/>
      <c r="D59" s="139" t="s">
        <v>225</v>
      </c>
      <c r="E59" s="139"/>
      <c r="F59" s="139"/>
      <c r="G59" s="139"/>
      <c r="H59" s="139"/>
    </row>
    <row r="60" spans="1:14" ht="15.75" customHeight="1" x14ac:dyDescent="0.25">
      <c r="A60" s="139" t="s">
        <v>48</v>
      </c>
      <c r="B60" s="139"/>
      <c r="C60" s="139"/>
      <c r="D60" s="143" t="s">
        <v>216</v>
      </c>
      <c r="E60" s="143"/>
      <c r="F60" s="143"/>
      <c r="G60" s="143"/>
      <c r="H60" s="143"/>
      <c r="J60" s="22"/>
      <c r="K60" s="21"/>
      <c r="N60" s="21"/>
    </row>
    <row r="61" spans="1:14" ht="15.75" customHeight="1" x14ac:dyDescent="0.25">
      <c r="A61" s="139" t="s">
        <v>91</v>
      </c>
      <c r="B61" s="139"/>
      <c r="C61" s="139"/>
      <c r="D61" s="187" t="str">
        <f>(IF(G51="NA","60 Years After Completion",IF(G51&lt;&gt;"NA",""&amp;60-ROUNDDOWN((E3-G51)/360,0)&amp;" Years"," ")))</f>
        <v>60 Years After Completion</v>
      </c>
      <c r="E61" s="187"/>
      <c r="F61" s="187"/>
      <c r="G61" s="187"/>
      <c r="H61" s="187"/>
      <c r="N61" s="21"/>
    </row>
    <row r="62" spans="1:14" ht="15.75" customHeight="1" x14ac:dyDescent="0.25">
      <c r="A62" s="139" t="s">
        <v>92</v>
      </c>
      <c r="B62" s="139"/>
      <c r="C62" s="139"/>
      <c r="D62" s="143" t="s">
        <v>24</v>
      </c>
      <c r="E62" s="143"/>
      <c r="F62" s="143"/>
      <c r="G62" s="143"/>
      <c r="H62" s="143"/>
      <c r="J62" s="23"/>
      <c r="K62" s="23"/>
    </row>
    <row r="63" spans="1:14" ht="15" hidden="1" customHeight="1" x14ac:dyDescent="0.25">
      <c r="A63" s="139" t="s">
        <v>206</v>
      </c>
      <c r="B63" s="139"/>
      <c r="C63" s="139"/>
      <c r="D63" s="143" t="s">
        <v>154</v>
      </c>
      <c r="E63" s="143"/>
      <c r="F63" s="143"/>
      <c r="G63" s="143"/>
      <c r="H63" s="143"/>
    </row>
    <row r="64" spans="1:14" x14ac:dyDescent="0.25">
      <c r="A64" s="172" t="s">
        <v>155</v>
      </c>
      <c r="B64" s="172"/>
      <c r="C64" s="172"/>
      <c r="D64" s="172" t="s">
        <v>30</v>
      </c>
      <c r="E64" s="172"/>
      <c r="F64" s="172"/>
      <c r="G64" s="172"/>
      <c r="H64" s="172"/>
      <c r="I64" s="24"/>
      <c r="J64" s="24"/>
      <c r="K64" s="24"/>
      <c r="L64" s="24"/>
      <c r="M64" s="24"/>
      <c r="N64" s="24"/>
    </row>
    <row r="65" spans="1:13" ht="15.75" customHeight="1" x14ac:dyDescent="0.25">
      <c r="A65" s="145" t="s">
        <v>90</v>
      </c>
      <c r="B65" s="145"/>
      <c r="C65" s="145"/>
      <c r="D65" s="143" t="str">
        <f ca="1">(IF(G71&gt;95%,"Nothing",IF(G71&gt;0%,"Cement, Aggregate, Steel, etc",IF(G71=0%,"Work not yet Started"))))</f>
        <v>Cement, Aggregate, Steel, etc</v>
      </c>
      <c r="E65" s="143"/>
      <c r="F65" s="143"/>
      <c r="G65" s="143"/>
      <c r="H65" s="143"/>
      <c r="J65" s="23"/>
    </row>
    <row r="66" spans="1:13" ht="33.75" customHeight="1" thickBot="1" x14ac:dyDescent="0.3">
      <c r="A66" s="172" t="s">
        <v>123</v>
      </c>
      <c r="B66" s="172"/>
      <c r="C66" s="172"/>
      <c r="D66" s="143" t="str">
        <f ca="1">(IF(D65="Nothing","Yes",IF(D65="Cement, Aggregate, Steel, etc","Under Construction",IF(D65="Work not yet Started","Work not yet Started"))))</f>
        <v>Under Construction</v>
      </c>
      <c r="E66" s="143"/>
      <c r="F66" s="143" t="str">
        <f ca="1">(IF(D65="Nothing","Yes",IF(D65="Cement, Aggregate, Steel, etc","Under Construction",IF(D65="Work not yet Started","Work not yet Started"))))</f>
        <v>Under Construction</v>
      </c>
      <c r="G66" s="143"/>
      <c r="H66" s="143"/>
    </row>
    <row r="67" spans="1:13" ht="15.75" customHeight="1" x14ac:dyDescent="0.25">
      <c r="A67" s="88" t="s">
        <v>146</v>
      </c>
      <c r="B67" s="88"/>
      <c r="C67" s="88" t="s">
        <v>241</v>
      </c>
      <c r="D67" s="88"/>
      <c r="E67" s="88"/>
      <c r="F67" s="88"/>
      <c r="G67" s="88"/>
      <c r="H67" s="88"/>
      <c r="I67" s="72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1 Floor, External Plaster upto 1 Floor Completed</v>
      </c>
      <c r="J67" s="43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Internal Plaster upto 1 Floor, External Plaster upto 1 Floor</v>
      </c>
    </row>
    <row r="68" spans="1:13" x14ac:dyDescent="0.25">
      <c r="A68" s="75" t="s">
        <v>148</v>
      </c>
      <c r="B68" s="75">
        <v>0</v>
      </c>
      <c r="C68" s="75" t="s">
        <v>76</v>
      </c>
      <c r="D68" s="75">
        <v>1</v>
      </c>
      <c r="E68" s="75" t="s">
        <v>75</v>
      </c>
      <c r="F68" s="75">
        <v>0</v>
      </c>
      <c r="G68" s="75" t="s">
        <v>84</v>
      </c>
      <c r="H68" s="75">
        <f ca="1">--TRIM(RIGHT(SUBSTITUTE(LEFT(C67,_xlfn.AGGREGATE(16,6,FIND({0,1,2,3,4,5,6,7,8,9},C67,ROW(INDIRECT("1:"&amp;LEN(C67)))),1))," ",REPT(" ",LEN(C67))),LEN(C67)))</f>
        <v>4</v>
      </c>
      <c r="I68" s="7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</v>
      </c>
      <c r="J68" s="45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3" ht="31.5" customHeight="1" x14ac:dyDescent="0.25">
      <c r="A69" s="87" t="s">
        <v>94</v>
      </c>
      <c r="B69" s="87"/>
      <c r="C69" s="88" t="str">
        <f ca="1">(IF($G$51="NA",I67,"All work Completed. OC Received."))</f>
        <v>Excavation, Plinth, RCC Slab, Brickwork Completed, Internal Plaster upto 1 Floor, External Plaster upto 1 Floor Completed</v>
      </c>
      <c r="D69" s="88"/>
      <c r="E69" s="88"/>
      <c r="F69" s="88"/>
      <c r="G69" s="88"/>
      <c r="H69" s="88"/>
      <c r="I69" s="76" t="str">
        <f ca="1">IF(I68&lt;&gt;""," Completed","")</f>
        <v xml:space="preserve"> Completed</v>
      </c>
      <c r="J69" s="45" t="str">
        <f ca="1">IF(J67&lt;&gt;"","Completed","")</f>
        <v>Completed</v>
      </c>
    </row>
    <row r="70" spans="1:13" ht="15.75" customHeight="1" x14ac:dyDescent="0.25">
      <c r="A70" s="90" t="s">
        <v>52</v>
      </c>
      <c r="B70" s="91"/>
      <c r="C70" s="49" t="s">
        <v>145</v>
      </c>
      <c r="D70" s="49" t="s">
        <v>87</v>
      </c>
      <c r="E70" s="91" t="s">
        <v>89</v>
      </c>
      <c r="F70" s="91"/>
      <c r="G70" s="91" t="s">
        <v>88</v>
      </c>
      <c r="H70" s="92"/>
      <c r="I70" s="14" t="s">
        <v>147</v>
      </c>
      <c r="J70" s="25">
        <f ca="1">H68*25%</f>
        <v>1</v>
      </c>
    </row>
    <row r="71" spans="1:13" x14ac:dyDescent="0.25">
      <c r="A71" s="90" t="s">
        <v>134</v>
      </c>
      <c r="B71" s="91"/>
      <c r="C71" s="49">
        <f ca="1">J72</f>
        <v>4</v>
      </c>
      <c r="D71" s="50">
        <f ca="1">((100/H68)*C71)/100</f>
        <v>1</v>
      </c>
      <c r="E71" s="93">
        <f ca="1">(((C72/H68*10)+(40/(D68+F68+H68)*C73)+(7.5/(H68)*C74)+(7.5/(H68)*C75)+(10/H68*C76)+(10/H68*C77)+(5/H68*C78)+(5/H68*C79)+(5/H68*C80))/100)</f>
        <v>0.61875000000000002</v>
      </c>
      <c r="F71" s="94"/>
      <c r="G71" s="93">
        <f ca="1">((((C71/H68)*20)+((C72/H68)*25)+(30/(H68+F68+D68)*C73)+(5/H68*C74)+(5/H68*C75)+(5/H68*C76)+(5/H68*C77)+(0/H68*C78)+(0/H68*C79)+(5/H68*C80))/100)</f>
        <v>0.82499999999999996</v>
      </c>
      <c r="H71" s="97"/>
      <c r="I71" s="14" t="s">
        <v>105</v>
      </c>
      <c r="J71" s="26">
        <f ca="1">H68*50%</f>
        <v>2</v>
      </c>
    </row>
    <row r="72" spans="1:13" x14ac:dyDescent="0.25">
      <c r="A72" s="90" t="s">
        <v>53</v>
      </c>
      <c r="B72" s="91"/>
      <c r="C72" s="51">
        <f ca="1">J80</f>
        <v>4</v>
      </c>
      <c r="D72" s="50">
        <f ca="1">((100/H68)*C72)/100</f>
        <v>1</v>
      </c>
      <c r="E72" s="95"/>
      <c r="F72" s="96"/>
      <c r="G72" s="95"/>
      <c r="H72" s="98"/>
      <c r="I72" s="14" t="s">
        <v>106</v>
      </c>
      <c r="J72" s="26">
        <f ca="1">H68</f>
        <v>4</v>
      </c>
    </row>
    <row r="73" spans="1:13" ht="15.75" customHeight="1" x14ac:dyDescent="0.25">
      <c r="A73" s="90" t="s">
        <v>135</v>
      </c>
      <c r="B73" s="91"/>
      <c r="C73" s="49">
        <v>5</v>
      </c>
      <c r="D73" s="50">
        <f ca="1">((100/(D68+F68+H68))*C73)/100</f>
        <v>1</v>
      </c>
      <c r="E73" s="95"/>
      <c r="F73" s="96"/>
      <c r="G73" s="95"/>
      <c r="H73" s="98"/>
      <c r="I73" s="14" t="s">
        <v>107</v>
      </c>
      <c r="J73" s="27">
        <f ca="1">(IF(B68&gt;1,(H68/(B68+2)),H68/4))</f>
        <v>1</v>
      </c>
      <c r="K73" s="69"/>
      <c r="L73" s="69"/>
      <c r="M73" s="69"/>
    </row>
    <row r="74" spans="1:13" ht="15.75" customHeight="1" x14ac:dyDescent="0.25">
      <c r="A74" s="90" t="s">
        <v>142</v>
      </c>
      <c r="B74" s="91" t="s">
        <v>136</v>
      </c>
      <c r="C74" s="49">
        <v>4</v>
      </c>
      <c r="D74" s="50">
        <f ca="1">((100/H68)*C74)/100</f>
        <v>1</v>
      </c>
      <c r="E74" s="95"/>
      <c r="F74" s="96"/>
      <c r="G74" s="95"/>
      <c r="H74" s="98"/>
      <c r="I74" s="14" t="s">
        <v>108</v>
      </c>
      <c r="J74" s="27">
        <f ca="1">(IF(B68&gt;1,(H68/(B68+2)+J73),H68/4+J73))</f>
        <v>2</v>
      </c>
      <c r="K74" s="19"/>
    </row>
    <row r="75" spans="1:13" ht="15.75" customHeight="1" x14ac:dyDescent="0.25">
      <c r="A75" s="90" t="s">
        <v>143</v>
      </c>
      <c r="B75" s="91" t="s">
        <v>136</v>
      </c>
      <c r="C75" s="49">
        <v>1</v>
      </c>
      <c r="D75" s="50">
        <f ca="1">((100/H68)*C75)/100</f>
        <v>0.25</v>
      </c>
      <c r="E75" s="95"/>
      <c r="F75" s="96"/>
      <c r="G75" s="95"/>
      <c r="H75" s="98"/>
      <c r="I75" s="14" t="s">
        <v>152</v>
      </c>
      <c r="J75" s="27">
        <f>(IF(B68&gt;1,(H68/(B68+2)+J74),0))</f>
        <v>0</v>
      </c>
    </row>
    <row r="76" spans="1:13" ht="15" customHeight="1" x14ac:dyDescent="0.25">
      <c r="A76" s="90" t="s">
        <v>141</v>
      </c>
      <c r="B76" s="91" t="s">
        <v>138</v>
      </c>
      <c r="C76" s="49">
        <v>1</v>
      </c>
      <c r="D76" s="50">
        <f ca="1">((100/(H68))*C76)/100</f>
        <v>0.25</v>
      </c>
      <c r="E76" s="95"/>
      <c r="F76" s="96"/>
      <c r="G76" s="95"/>
      <c r="H76" s="98"/>
      <c r="I76" s="14" t="s">
        <v>149</v>
      </c>
      <c r="J76" s="27">
        <f>(IF(B68&gt;2,(H68/(B68+2)+J75),0))</f>
        <v>0</v>
      </c>
    </row>
    <row r="77" spans="1:13" ht="15.75" customHeight="1" x14ac:dyDescent="0.25">
      <c r="A77" s="90" t="s">
        <v>137</v>
      </c>
      <c r="B77" s="91" t="s">
        <v>137</v>
      </c>
      <c r="C77" s="49">
        <v>0</v>
      </c>
      <c r="D77" s="50">
        <f ca="1">((100/H68)*C77)/100</f>
        <v>0</v>
      </c>
      <c r="E77" s="95"/>
      <c r="F77" s="96"/>
      <c r="G77" s="95"/>
      <c r="H77" s="98"/>
      <c r="I77" s="14" t="s">
        <v>150</v>
      </c>
      <c r="J77" s="28">
        <f>(IF(B68&gt;3,(H68/(B68+2)+J76),0))</f>
        <v>0</v>
      </c>
    </row>
    <row r="78" spans="1:13" ht="15.75" customHeight="1" x14ac:dyDescent="0.25">
      <c r="A78" s="90" t="s">
        <v>144</v>
      </c>
      <c r="B78" s="91"/>
      <c r="C78" s="49">
        <v>0</v>
      </c>
      <c r="D78" s="50">
        <f ca="1">((100/H68)*C78)/100</f>
        <v>0</v>
      </c>
      <c r="E78" s="95"/>
      <c r="F78" s="96"/>
      <c r="G78" s="95"/>
      <c r="H78" s="98"/>
      <c r="I78" s="14" t="s">
        <v>151</v>
      </c>
      <c r="J78" s="27">
        <f>(IF(B68&gt;4,(H68/(B68+2)+J77),0))</f>
        <v>0</v>
      </c>
    </row>
    <row r="79" spans="1:13" ht="15.75" customHeight="1" x14ac:dyDescent="0.25">
      <c r="A79" s="90" t="s">
        <v>139</v>
      </c>
      <c r="B79" s="91" t="s">
        <v>139</v>
      </c>
      <c r="C79" s="49">
        <v>0</v>
      </c>
      <c r="D79" s="50">
        <f ca="1">((100/(H68))*C79)/100</f>
        <v>0</v>
      </c>
      <c r="E79" s="95"/>
      <c r="F79" s="96"/>
      <c r="G79" s="95"/>
      <c r="H79" s="98"/>
      <c r="I79" s="14" t="s">
        <v>153</v>
      </c>
      <c r="J79" s="27">
        <f ca="1">(IF(B68=1,(H68/(B68+3)+J74),IF(B68=0,(H68/4+J74),IF(B68&gt;1,0))))</f>
        <v>3</v>
      </c>
    </row>
    <row r="80" spans="1:13" ht="16.5" thickBot="1" x14ac:dyDescent="0.3">
      <c r="A80" s="109" t="s">
        <v>140</v>
      </c>
      <c r="B80" s="110"/>
      <c r="C80" s="52">
        <v>0</v>
      </c>
      <c r="D80" s="53">
        <f ca="1">((100/(H68))*C80)/100</f>
        <v>0</v>
      </c>
      <c r="E80" s="106"/>
      <c r="F80" s="107"/>
      <c r="G80" s="106"/>
      <c r="H80" s="108"/>
      <c r="I80" s="15" t="s">
        <v>109</v>
      </c>
      <c r="J80" s="29">
        <f ca="1">(IF(B68&gt;1.5,(H68/(B68+2)+J74+MAX(0,J75-J74)+MAX(0,J76-J75)+MAX(0,J77-J76)+MAX(0,J78-J77)+MAX(0,J79-J78)),IF(B68=1,(H68/(B68+3)+J79),IF(B68=0,H68/4+J79))))</f>
        <v>4</v>
      </c>
    </row>
    <row r="81" spans="1:13" ht="15.75" hidden="1" customHeight="1" x14ac:dyDescent="0.25">
      <c r="A81" s="81" t="s">
        <v>146</v>
      </c>
      <c r="B81" s="82"/>
      <c r="C81" s="83" t="s">
        <v>236</v>
      </c>
      <c r="D81" s="84"/>
      <c r="E81" s="84"/>
      <c r="F81" s="84"/>
      <c r="G81" s="84"/>
      <c r="H81" s="85"/>
      <c r="I81" s="42" t="str">
        <f ca="1">IF(D94=100%,"All work Completed. Possession granted to the Building.",IF(D93=100%,"All work Completed, Waiting for OC",I82&amp;""&amp;I83&amp;""&amp;J82&amp;""&amp;J81&amp;" "&amp;J83))</f>
        <v>Excavation, Plinth Completed, RCC upto 1 Slab Completed</v>
      </c>
      <c r="J81" s="43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 Slab</v>
      </c>
    </row>
    <row r="82" spans="1:13" hidden="1" x14ac:dyDescent="0.25">
      <c r="A82" s="16" t="s">
        <v>148</v>
      </c>
      <c r="B82" s="71">
        <v>0</v>
      </c>
      <c r="C82" s="71" t="s">
        <v>76</v>
      </c>
      <c r="D82" s="71">
        <v>1</v>
      </c>
      <c r="E82" s="71" t="s">
        <v>75</v>
      </c>
      <c r="F82" s="71">
        <v>0</v>
      </c>
      <c r="G82" s="71" t="s">
        <v>84</v>
      </c>
      <c r="H82" s="17">
        <f ca="1">--TRIM(RIGHT(SUBSTITUTE(LEFT(C81,_xlfn.AGGREGATE(16,6,FIND({0,1,2,3,4,5,6,7,8,9},C81,ROW(INDIRECT("1:"&amp;LEN(C81)))),1))," ",REPT(" ",LEN(C81))),LEN(C81)))</f>
        <v>4</v>
      </c>
      <c r="I82" s="44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5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3" hidden="1" x14ac:dyDescent="0.25">
      <c r="A83" s="86" t="s">
        <v>94</v>
      </c>
      <c r="B83" s="87"/>
      <c r="C83" s="88" t="str">
        <f ca="1">(IF($G$51="NA",I81,"All work Completed. OC Received."))</f>
        <v>Excavation, Plinth Completed, RCC upto 1 Slab Completed</v>
      </c>
      <c r="D83" s="88"/>
      <c r="E83" s="88"/>
      <c r="F83" s="88"/>
      <c r="G83" s="88"/>
      <c r="H83" s="89"/>
      <c r="I83" s="44" t="str">
        <f ca="1">IF(I82&lt;&gt;""," Completed","")</f>
        <v xml:space="preserve"> Completed</v>
      </c>
      <c r="J83" s="45" t="str">
        <f ca="1">IF(J81&lt;&gt;"","Completed","")</f>
        <v>Completed</v>
      </c>
    </row>
    <row r="84" spans="1:13" ht="15.75" hidden="1" customHeight="1" x14ac:dyDescent="0.25">
      <c r="A84" s="90" t="s">
        <v>52</v>
      </c>
      <c r="B84" s="91"/>
      <c r="C84" s="70" t="s">
        <v>145</v>
      </c>
      <c r="D84" s="70" t="s">
        <v>87</v>
      </c>
      <c r="E84" s="91" t="s">
        <v>89</v>
      </c>
      <c r="F84" s="91"/>
      <c r="G84" s="91" t="s">
        <v>88</v>
      </c>
      <c r="H84" s="92"/>
      <c r="I84" s="14" t="s">
        <v>147</v>
      </c>
      <c r="J84" s="25">
        <f ca="1">H82*25%</f>
        <v>1</v>
      </c>
    </row>
    <row r="85" spans="1:13" hidden="1" x14ac:dyDescent="0.25">
      <c r="A85" s="90" t="s">
        <v>134</v>
      </c>
      <c r="B85" s="91"/>
      <c r="C85" s="70">
        <f ca="1">J86</f>
        <v>4</v>
      </c>
      <c r="D85" s="50">
        <f ca="1">((100/H82)*C85)/100</f>
        <v>1</v>
      </c>
      <c r="E85" s="93">
        <f ca="1">(((C86/H82*10)+(40/(D82+F82+H82)*C87)+(7.5/(H82)*C88)+(7.5/(H82)*C89)+(10/H82*C90)+(10/H82*C91)+(5/H82*C92)+(5/H82*C93)+(5/H82*C94))/100)</f>
        <v>0.18</v>
      </c>
      <c r="F85" s="94"/>
      <c r="G85" s="93">
        <f ca="1">((((C85/H82)*20)+((C86/H82)*25)+(30/(H82+F82+D82)*C87)+(5/H82*C88)+(5/H82*C89)+(5/H82*C90)+(5/H82*C91)+(0/H82*C92)+(0/H82*C93)+(5/H82*C94))/100)</f>
        <v>0.51</v>
      </c>
      <c r="H85" s="97"/>
      <c r="I85" s="14" t="s">
        <v>105</v>
      </c>
      <c r="J85" s="26">
        <f ca="1">H82*50%</f>
        <v>2</v>
      </c>
    </row>
    <row r="86" spans="1:13" hidden="1" x14ac:dyDescent="0.25">
      <c r="A86" s="90" t="s">
        <v>53</v>
      </c>
      <c r="B86" s="91"/>
      <c r="C86" s="51">
        <f ca="1">J94</f>
        <v>4</v>
      </c>
      <c r="D86" s="50">
        <f ca="1">((100/H82)*C86)/100</f>
        <v>1</v>
      </c>
      <c r="E86" s="95"/>
      <c r="F86" s="96"/>
      <c r="G86" s="95"/>
      <c r="H86" s="98"/>
      <c r="I86" s="14" t="s">
        <v>106</v>
      </c>
      <c r="J86" s="26">
        <f ca="1">H82</f>
        <v>4</v>
      </c>
    </row>
    <row r="87" spans="1:13" ht="15.75" hidden="1" customHeight="1" x14ac:dyDescent="0.25">
      <c r="A87" s="90" t="s">
        <v>135</v>
      </c>
      <c r="B87" s="91"/>
      <c r="C87" s="70">
        <v>1</v>
      </c>
      <c r="D87" s="50">
        <f ca="1">((100/(D82+F82+H82))*C87)/100</f>
        <v>0.2</v>
      </c>
      <c r="E87" s="95"/>
      <c r="F87" s="96"/>
      <c r="G87" s="95"/>
      <c r="H87" s="98"/>
      <c r="I87" s="14" t="s">
        <v>107</v>
      </c>
      <c r="J87" s="27">
        <f ca="1">(IF(B82&gt;1,(H82/(B82+2)),H82/4))</f>
        <v>1</v>
      </c>
      <c r="K87" s="69"/>
      <c r="L87" s="69"/>
      <c r="M87" s="69"/>
    </row>
    <row r="88" spans="1:13" ht="15.75" hidden="1" customHeight="1" x14ac:dyDescent="0.25">
      <c r="A88" s="90" t="s">
        <v>142</v>
      </c>
      <c r="B88" s="91" t="s">
        <v>136</v>
      </c>
      <c r="C88" s="70">
        <v>0</v>
      </c>
      <c r="D88" s="50">
        <f ca="1">((100/H82)*C88)/100</f>
        <v>0</v>
      </c>
      <c r="E88" s="95"/>
      <c r="F88" s="96"/>
      <c r="G88" s="95"/>
      <c r="H88" s="98"/>
      <c r="I88" s="14" t="s">
        <v>108</v>
      </c>
      <c r="J88" s="27">
        <f ca="1">(IF(B82&gt;1,(H82/(B82+2)+J87),H82/4+J87))</f>
        <v>2</v>
      </c>
      <c r="K88" s="19"/>
    </row>
    <row r="89" spans="1:13" ht="15.75" hidden="1" customHeight="1" x14ac:dyDescent="0.25">
      <c r="A89" s="90" t="s">
        <v>143</v>
      </c>
      <c r="B89" s="91" t="s">
        <v>136</v>
      </c>
      <c r="C89" s="70">
        <v>0</v>
      </c>
      <c r="D89" s="50">
        <f ca="1">((100/H82)*C89)/100</f>
        <v>0</v>
      </c>
      <c r="E89" s="95"/>
      <c r="F89" s="96"/>
      <c r="G89" s="95"/>
      <c r="H89" s="98"/>
      <c r="I89" s="14" t="s">
        <v>152</v>
      </c>
      <c r="J89" s="27">
        <f>(IF(B82&gt;1,(H82/(B82+2)+J88),0))</f>
        <v>0</v>
      </c>
    </row>
    <row r="90" spans="1:13" ht="15" hidden="1" customHeight="1" x14ac:dyDescent="0.25">
      <c r="A90" s="90" t="s">
        <v>141</v>
      </c>
      <c r="B90" s="91" t="s">
        <v>138</v>
      </c>
      <c r="C90" s="70">
        <v>0</v>
      </c>
      <c r="D90" s="50">
        <f ca="1">((100/(H82))*C90)/100</f>
        <v>0</v>
      </c>
      <c r="E90" s="95"/>
      <c r="F90" s="96"/>
      <c r="G90" s="95"/>
      <c r="H90" s="98"/>
      <c r="I90" s="14" t="s">
        <v>149</v>
      </c>
      <c r="J90" s="27">
        <f>(IF(B82&gt;2,(H82/(B82+2)+J89),0))</f>
        <v>0</v>
      </c>
    </row>
    <row r="91" spans="1:13" ht="15.75" hidden="1" customHeight="1" x14ac:dyDescent="0.25">
      <c r="A91" s="90" t="s">
        <v>137</v>
      </c>
      <c r="B91" s="91" t="s">
        <v>137</v>
      </c>
      <c r="C91" s="70">
        <v>0</v>
      </c>
      <c r="D91" s="50">
        <f ca="1">((100/H82)*C91)/100</f>
        <v>0</v>
      </c>
      <c r="E91" s="95"/>
      <c r="F91" s="96"/>
      <c r="G91" s="95"/>
      <c r="H91" s="98"/>
      <c r="I91" s="14" t="s">
        <v>150</v>
      </c>
      <c r="J91" s="28">
        <f>(IF(B82&gt;3,(H82/(B82+2)+J90),0))</f>
        <v>0</v>
      </c>
    </row>
    <row r="92" spans="1:13" ht="15.75" hidden="1" customHeight="1" x14ac:dyDescent="0.25">
      <c r="A92" s="90" t="s">
        <v>144</v>
      </c>
      <c r="B92" s="91"/>
      <c r="C92" s="70">
        <v>0</v>
      </c>
      <c r="D92" s="50">
        <f ca="1">((100/H82)*C92)/100</f>
        <v>0</v>
      </c>
      <c r="E92" s="95"/>
      <c r="F92" s="96"/>
      <c r="G92" s="95"/>
      <c r="H92" s="98"/>
      <c r="I92" s="14" t="s">
        <v>151</v>
      </c>
      <c r="J92" s="27">
        <f>(IF(B82&gt;4,(H82/(B82+2)+J91),0))</f>
        <v>0</v>
      </c>
    </row>
    <row r="93" spans="1:13" ht="15.75" hidden="1" customHeight="1" x14ac:dyDescent="0.25">
      <c r="A93" s="90" t="s">
        <v>139</v>
      </c>
      <c r="B93" s="91" t="s">
        <v>139</v>
      </c>
      <c r="C93" s="70">
        <v>0</v>
      </c>
      <c r="D93" s="50">
        <f ca="1">((100/(H82))*C93)/100</f>
        <v>0</v>
      </c>
      <c r="E93" s="95"/>
      <c r="F93" s="96"/>
      <c r="G93" s="95"/>
      <c r="H93" s="98"/>
      <c r="I93" s="14" t="s">
        <v>153</v>
      </c>
      <c r="J93" s="27">
        <f ca="1">(IF(B82=1,(H82/(B82+3)+J88),IF(B82=0,(H82/4+J88),IF(B82&gt;1,0))))</f>
        <v>3</v>
      </c>
    </row>
    <row r="94" spans="1:13" ht="15.6" hidden="1" customHeight="1" thickBot="1" x14ac:dyDescent="0.3">
      <c r="A94" s="99" t="s">
        <v>140</v>
      </c>
      <c r="B94" s="100"/>
      <c r="C94" s="73">
        <v>0</v>
      </c>
      <c r="D94" s="74">
        <f ca="1">((100/(H82))*C94)/100</f>
        <v>0</v>
      </c>
      <c r="E94" s="95"/>
      <c r="F94" s="96"/>
      <c r="G94" s="95"/>
      <c r="H94" s="98"/>
      <c r="I94" s="15" t="s">
        <v>109</v>
      </c>
      <c r="J94" s="29">
        <f ca="1">(IF(B82&gt;1.5,(H82/(B82+2)+J88+MAX(0,J89-J88)+MAX(0,J90-J89)+MAX(0,J91-J90)+MAX(0,J92-J91)+MAX(0,J93-J92)),IF(B82=1,(H82/(B82+3)+J93),IF(B82=0,H82/4+J93))))</f>
        <v>4</v>
      </c>
    </row>
    <row r="95" spans="1:13" ht="33.6" hidden="1" customHeight="1" thickBot="1" x14ac:dyDescent="0.3">
      <c r="A95" s="77" t="s">
        <v>237</v>
      </c>
      <c r="B95" s="78"/>
      <c r="C95" s="79">
        <f ca="1">AVERAGE(E71,E85)</f>
        <v>0.39937500000000004</v>
      </c>
      <c r="D95" s="78"/>
      <c r="E95" s="78" t="s">
        <v>238</v>
      </c>
      <c r="F95" s="78"/>
      <c r="G95" s="79">
        <f ca="1">AVERAGE(G71,G85)</f>
        <v>0.66749999999999998</v>
      </c>
      <c r="H95" s="80"/>
      <c r="I95" s="72"/>
      <c r="J95" s="43"/>
    </row>
    <row r="96" spans="1:13" ht="15.75" customHeight="1" x14ac:dyDescent="0.25">
      <c r="A96" s="101" t="s">
        <v>146</v>
      </c>
      <c r="B96" s="102"/>
      <c r="C96" s="103" t="s">
        <v>235</v>
      </c>
      <c r="D96" s="104"/>
      <c r="E96" s="104"/>
      <c r="F96" s="104"/>
      <c r="G96" s="104"/>
      <c r="H96" s="105"/>
      <c r="I96" s="42" t="str">
        <f ca="1">IF(D109=100%,"All work Completed. Possession granted to the Building.",IF(D108=100%,"All work Completed, Waiting for OC",I97&amp;""&amp;I98&amp;""&amp;J97&amp;""&amp;J96&amp;" "&amp;J98))</f>
        <v>Excavation, Plinth, RCC Slab Completed, Brickwork upto 1 Floor Completed</v>
      </c>
      <c r="J96" s="43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Brickwork upto 1 Floor</v>
      </c>
    </row>
    <row r="97" spans="1:10" x14ac:dyDescent="0.25">
      <c r="A97" s="16" t="s">
        <v>148</v>
      </c>
      <c r="B97" s="68">
        <v>0</v>
      </c>
      <c r="C97" s="68" t="s">
        <v>76</v>
      </c>
      <c r="D97" s="68">
        <v>1</v>
      </c>
      <c r="E97" s="68" t="s">
        <v>75</v>
      </c>
      <c r="F97" s="68">
        <v>0</v>
      </c>
      <c r="G97" s="68" t="s">
        <v>84</v>
      </c>
      <c r="H97" s="17">
        <f ca="1">--TRIM(RIGHT(SUBSTITUTE(LEFT(C96,_xlfn.AGGREGATE(16,6,FIND({0,1,2,3,4,5,6,7,8,9},C96,ROW(INDIRECT("1:"&amp;LEN(C96)))),1))," ",REPT(" ",LEN(C96))),LEN(C96)))</f>
        <v>4</v>
      </c>
      <c r="I97" s="44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45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customHeight="1" x14ac:dyDescent="0.25">
      <c r="A98" s="86" t="s">
        <v>94</v>
      </c>
      <c r="B98" s="87"/>
      <c r="C98" s="88" t="str">
        <f ca="1">(IF($G$51="NA",I96,"All work Completed. OC Received."))</f>
        <v>Excavation, Plinth, RCC Slab Completed, Brickwork upto 1 Floor Completed</v>
      </c>
      <c r="D98" s="88"/>
      <c r="E98" s="88"/>
      <c r="F98" s="88"/>
      <c r="G98" s="88"/>
      <c r="H98" s="89"/>
      <c r="I98" s="44" t="str">
        <f ca="1">IF(I97&lt;&gt;""," Completed","")</f>
        <v xml:space="preserve"> Completed</v>
      </c>
      <c r="J98" s="45" t="str">
        <f ca="1">IF(J96&lt;&gt;"","Completed","")</f>
        <v>Completed</v>
      </c>
    </row>
    <row r="99" spans="1:10" ht="15.75" customHeight="1" x14ac:dyDescent="0.25">
      <c r="A99" s="90" t="s">
        <v>52</v>
      </c>
      <c r="B99" s="91"/>
      <c r="C99" s="66" t="s">
        <v>145</v>
      </c>
      <c r="D99" s="66" t="s">
        <v>87</v>
      </c>
      <c r="E99" s="91" t="s">
        <v>89</v>
      </c>
      <c r="F99" s="91"/>
      <c r="G99" s="91" t="s">
        <v>88</v>
      </c>
      <c r="H99" s="92"/>
      <c r="I99" s="14" t="s">
        <v>147</v>
      </c>
      <c r="J99" s="25">
        <f ca="1">H97*25%</f>
        <v>1</v>
      </c>
    </row>
    <row r="100" spans="1:10" x14ac:dyDescent="0.25">
      <c r="A100" s="90" t="s">
        <v>134</v>
      </c>
      <c r="B100" s="91"/>
      <c r="C100" s="66">
        <f ca="1">J101</f>
        <v>4</v>
      </c>
      <c r="D100" s="50">
        <f ca="1">((100/H97)*C100)/100</f>
        <v>1</v>
      </c>
      <c r="E100" s="93">
        <f ca="1">(((C101/H97*10)+(40/(D97+F97+H97)*C102)+(7.5/(H97)*C103)+(7.5/(H97)*C104)+(10/H97*C105)+(10/H97*C106)+(5/H97*C107)+(5/H97*C108)+(5/H97*C109))/100)</f>
        <v>0.51875000000000004</v>
      </c>
      <c r="F100" s="94"/>
      <c r="G100" s="93">
        <f ca="1">((((C100/H97)*20)+((C101/H97)*25)+(30/(H97+F97+D97)*C102)+(5/H97*C103)+(5/H97*C104)+(5/H97*C105)+(5/H97*C106)+(0/H97*C107)+(0/H97*C108)+(5/H97*C109))/100)</f>
        <v>0.76249999999999996</v>
      </c>
      <c r="H100" s="97"/>
      <c r="I100" s="14" t="s">
        <v>105</v>
      </c>
      <c r="J100" s="26">
        <f ca="1">H97*50%</f>
        <v>2</v>
      </c>
    </row>
    <row r="101" spans="1:10" x14ac:dyDescent="0.25">
      <c r="A101" s="90" t="s">
        <v>53</v>
      </c>
      <c r="B101" s="91"/>
      <c r="C101" s="51">
        <f ca="1">J109</f>
        <v>4</v>
      </c>
      <c r="D101" s="50">
        <f ca="1">((100/H97)*C101)/100</f>
        <v>1</v>
      </c>
      <c r="E101" s="95"/>
      <c r="F101" s="96"/>
      <c r="G101" s="95"/>
      <c r="H101" s="98"/>
      <c r="I101" s="14" t="s">
        <v>106</v>
      </c>
      <c r="J101" s="26">
        <f ca="1">H97</f>
        <v>4</v>
      </c>
    </row>
    <row r="102" spans="1:10" ht="15.75" customHeight="1" x14ac:dyDescent="0.25">
      <c r="A102" s="90" t="s">
        <v>135</v>
      </c>
      <c r="B102" s="91"/>
      <c r="C102" s="66">
        <v>5</v>
      </c>
      <c r="D102" s="50">
        <f ca="1">((100/(D97+F97+H97))*C102)/100</f>
        <v>1</v>
      </c>
      <c r="E102" s="95"/>
      <c r="F102" s="96"/>
      <c r="G102" s="95"/>
      <c r="H102" s="98"/>
      <c r="I102" s="14" t="s">
        <v>107</v>
      </c>
      <c r="J102" s="27">
        <f ca="1">(IF(B97&gt;1,(H97/(B97+2)),H97/4))</f>
        <v>1</v>
      </c>
    </row>
    <row r="103" spans="1:10" ht="15.75" customHeight="1" x14ac:dyDescent="0.25">
      <c r="A103" s="90" t="s">
        <v>142</v>
      </c>
      <c r="B103" s="91" t="s">
        <v>136</v>
      </c>
      <c r="C103" s="66">
        <v>1</v>
      </c>
      <c r="D103" s="50">
        <f ca="1">((100/H97)*C103)/100</f>
        <v>0.25</v>
      </c>
      <c r="E103" s="95"/>
      <c r="F103" s="96"/>
      <c r="G103" s="95"/>
      <c r="H103" s="98"/>
      <c r="I103" s="14" t="s">
        <v>108</v>
      </c>
      <c r="J103" s="27">
        <f ca="1">(IF(B97&gt;1,(H97/(B97+2)+J102),H97/4+J102))</f>
        <v>2</v>
      </c>
    </row>
    <row r="104" spans="1:10" ht="15.75" customHeight="1" x14ac:dyDescent="0.25">
      <c r="A104" s="90" t="s">
        <v>143</v>
      </c>
      <c r="B104" s="91" t="s">
        <v>136</v>
      </c>
      <c r="C104" s="66">
        <v>0</v>
      </c>
      <c r="D104" s="50">
        <f ca="1">((100/H97)*C104)/100</f>
        <v>0</v>
      </c>
      <c r="E104" s="95"/>
      <c r="F104" s="96"/>
      <c r="G104" s="95"/>
      <c r="H104" s="98"/>
      <c r="I104" s="14" t="s">
        <v>152</v>
      </c>
      <c r="J104" s="27">
        <f>(IF(B97&gt;1,(H97/(B97+2)+J103),0))</f>
        <v>0</v>
      </c>
    </row>
    <row r="105" spans="1:10" ht="15" customHeight="1" x14ac:dyDescent="0.25">
      <c r="A105" s="90" t="s">
        <v>141</v>
      </c>
      <c r="B105" s="91" t="s">
        <v>138</v>
      </c>
      <c r="C105" s="66">
        <v>0</v>
      </c>
      <c r="D105" s="50">
        <f ca="1">((100/(H97))*C105)/100</f>
        <v>0</v>
      </c>
      <c r="E105" s="95"/>
      <c r="F105" s="96"/>
      <c r="G105" s="95"/>
      <c r="H105" s="98"/>
      <c r="I105" s="14" t="s">
        <v>149</v>
      </c>
      <c r="J105" s="27">
        <f>(IF(B97&gt;2,(H97/(B97+2)+J104),0))</f>
        <v>0</v>
      </c>
    </row>
    <row r="106" spans="1:10" ht="15.75" customHeight="1" x14ac:dyDescent="0.25">
      <c r="A106" s="90" t="s">
        <v>137</v>
      </c>
      <c r="B106" s="91" t="s">
        <v>137</v>
      </c>
      <c r="C106" s="66">
        <v>0</v>
      </c>
      <c r="D106" s="50">
        <f ca="1">((100/H97)*C106)/100</f>
        <v>0</v>
      </c>
      <c r="E106" s="95"/>
      <c r="F106" s="96"/>
      <c r="G106" s="95"/>
      <c r="H106" s="98"/>
      <c r="I106" s="14" t="s">
        <v>150</v>
      </c>
      <c r="J106" s="28">
        <f>(IF(B97&gt;3,(H97/(B97+2)+J105),0))</f>
        <v>0</v>
      </c>
    </row>
    <row r="107" spans="1:10" ht="15.75" customHeight="1" x14ac:dyDescent="0.25">
      <c r="A107" s="90" t="s">
        <v>144</v>
      </c>
      <c r="B107" s="91"/>
      <c r="C107" s="66">
        <v>0</v>
      </c>
      <c r="D107" s="50">
        <f ca="1">((100/H97)*C107)/100</f>
        <v>0</v>
      </c>
      <c r="E107" s="95"/>
      <c r="F107" s="96"/>
      <c r="G107" s="95"/>
      <c r="H107" s="98"/>
      <c r="I107" s="14" t="s">
        <v>151</v>
      </c>
      <c r="J107" s="27">
        <f>(IF(B97&gt;4,(H97/(B97+2)+J106),0))</f>
        <v>0</v>
      </c>
    </row>
    <row r="108" spans="1:10" ht="15.75" customHeight="1" x14ac:dyDescent="0.25">
      <c r="A108" s="90" t="s">
        <v>139</v>
      </c>
      <c r="B108" s="91" t="s">
        <v>139</v>
      </c>
      <c r="C108" s="66">
        <v>0</v>
      </c>
      <c r="D108" s="50">
        <f ca="1">((100/(H97))*C108)/100</f>
        <v>0</v>
      </c>
      <c r="E108" s="95"/>
      <c r="F108" s="96"/>
      <c r="G108" s="95"/>
      <c r="H108" s="98"/>
      <c r="I108" s="14" t="s">
        <v>153</v>
      </c>
      <c r="J108" s="27">
        <f ca="1">(IF(B97=1,(H97/(B97+3)+J103),IF(B97=0,(H97/4+J103),IF(B97&gt;1,0))))</f>
        <v>3</v>
      </c>
    </row>
    <row r="109" spans="1:10" ht="16.5" thickBot="1" x14ac:dyDescent="0.3">
      <c r="A109" s="109" t="s">
        <v>140</v>
      </c>
      <c r="B109" s="110"/>
      <c r="C109" s="67">
        <v>0</v>
      </c>
      <c r="D109" s="53">
        <f ca="1">((100/(H97))*C109)/100</f>
        <v>0</v>
      </c>
      <c r="E109" s="106"/>
      <c r="F109" s="107"/>
      <c r="G109" s="106"/>
      <c r="H109" s="108"/>
      <c r="I109" s="15" t="s">
        <v>109</v>
      </c>
      <c r="J109" s="29">
        <f ca="1">(IF(B97&gt;1.5,(H97/(B97+2)+J103+MAX(0,J104-J103)+MAX(0,J105-J104)+MAX(0,J106-J105)+MAX(0,J107-J106)+MAX(0,J108-J107)),IF(B97=1,(H97/(B97+3)+J108),IF(B97=0,H97/4+J108))))</f>
        <v>4</v>
      </c>
    </row>
    <row r="110" spans="1:10" ht="15.75" customHeight="1" x14ac:dyDescent="0.25">
      <c r="A110" s="81" t="s">
        <v>146</v>
      </c>
      <c r="B110" s="82"/>
      <c r="C110" s="83" t="str">
        <f>D57</f>
        <v xml:space="preserve">Building No.4 (Wing A) = Gr + 1st to 4th Floor </v>
      </c>
      <c r="D110" s="84"/>
      <c r="E110" s="84"/>
      <c r="F110" s="84"/>
      <c r="G110" s="84"/>
      <c r="H110" s="85"/>
      <c r="I110" s="42" t="str">
        <f ca="1">IF(D123=100%,"All work Completed. Possession granted to the Building.",IF(D122=100%,"All work Completed, Waiting for OC",I111&amp;""&amp;I112&amp;""&amp;J111&amp;""&amp;J110&amp;" "&amp;J112))</f>
        <v xml:space="preserve">Excavation, Plinth Completed </v>
      </c>
      <c r="J110" s="43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/>
      </c>
    </row>
    <row r="111" spans="1:10" x14ac:dyDescent="0.25">
      <c r="A111" s="16" t="s">
        <v>148</v>
      </c>
      <c r="B111" s="46">
        <v>0</v>
      </c>
      <c r="C111" s="46" t="s">
        <v>76</v>
      </c>
      <c r="D111" s="46">
        <v>1</v>
      </c>
      <c r="E111" s="46" t="s">
        <v>75</v>
      </c>
      <c r="F111" s="46">
        <v>0</v>
      </c>
      <c r="G111" s="46" t="s">
        <v>84</v>
      </c>
      <c r="H111" s="17">
        <f ca="1">--TRIM(RIGHT(SUBSTITUTE(LEFT(C110,_xlfn.AGGREGATE(16,6,FIND({0,1,2,3,4,5,6,7,8,9},C110,ROW(INDIRECT("1:"&amp;LEN(C110)))),1))," ",REPT(" ",LEN(C110))),LEN(C110)))</f>
        <v>4</v>
      </c>
      <c r="I111" s="44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</v>
      </c>
      <c r="J111" s="45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x14ac:dyDescent="0.25">
      <c r="A112" s="86" t="s">
        <v>94</v>
      </c>
      <c r="B112" s="87"/>
      <c r="C112" s="88" t="str">
        <f ca="1">(IF($G$51="NA",I110,"All work Completed. OC Received."))</f>
        <v xml:space="preserve">Excavation, Plinth Completed </v>
      </c>
      <c r="D112" s="88"/>
      <c r="E112" s="88"/>
      <c r="F112" s="88"/>
      <c r="G112" s="88"/>
      <c r="H112" s="89"/>
      <c r="I112" s="44" t="str">
        <f ca="1">IF(I111&lt;&gt;""," Completed","")</f>
        <v xml:space="preserve"> Completed</v>
      </c>
      <c r="J112" s="45" t="str">
        <f ca="1">IF(J110&lt;&gt;"","Completed","")</f>
        <v/>
      </c>
    </row>
    <row r="113" spans="1:12" ht="15.75" customHeight="1" x14ac:dyDescent="0.25">
      <c r="A113" s="90" t="s">
        <v>52</v>
      </c>
      <c r="B113" s="91"/>
      <c r="C113" s="49" t="s">
        <v>145</v>
      </c>
      <c r="D113" s="49" t="s">
        <v>87</v>
      </c>
      <c r="E113" s="91" t="s">
        <v>89</v>
      </c>
      <c r="F113" s="91"/>
      <c r="G113" s="91" t="s">
        <v>88</v>
      </c>
      <c r="H113" s="92"/>
      <c r="I113" s="14" t="s">
        <v>147</v>
      </c>
      <c r="J113" s="25">
        <f ca="1">H111*25%</f>
        <v>1</v>
      </c>
      <c r="L113" s="19"/>
    </row>
    <row r="114" spans="1:12" x14ac:dyDescent="0.25">
      <c r="A114" s="90" t="s">
        <v>134</v>
      </c>
      <c r="B114" s="91"/>
      <c r="C114" s="49">
        <v>4</v>
      </c>
      <c r="D114" s="50">
        <f ca="1">((100/H111)*C114)/100</f>
        <v>1</v>
      </c>
      <c r="E114" s="93">
        <f ca="1">(((C115/H111*10)+(40/(D111+F111+H111)*C116)+(7.5/(H111)*C117)+(7.5/(H111)*C118)+(10/H111*C119)+(10/H111*C120)+(5/H111*C121)+(5/H111*C122)+(5/H111*C123))/100)</f>
        <v>0.1</v>
      </c>
      <c r="F114" s="94"/>
      <c r="G114" s="93">
        <f ca="1">((((C114/H111)*20)+((C115/H111)*25)+(30/(H111+F111+D111)*C116)+(5/H111*C117)+(5/H111*C118)+(5/H111*C119)+(5/H111*C120)+(0/H111*C121)+(0/H111*C122)+(5/H111*C123))/100)</f>
        <v>0.45</v>
      </c>
      <c r="H114" s="97"/>
      <c r="I114" s="14" t="s">
        <v>105</v>
      </c>
      <c r="J114" s="26">
        <f ca="1">H111*50%</f>
        <v>2</v>
      </c>
      <c r="L114" s="19" t="s">
        <v>240</v>
      </c>
    </row>
    <row r="115" spans="1:12" x14ac:dyDescent="0.25">
      <c r="A115" s="90" t="s">
        <v>53</v>
      </c>
      <c r="B115" s="91"/>
      <c r="C115" s="51">
        <f ca="1">J123</f>
        <v>4</v>
      </c>
      <c r="D115" s="50">
        <f ca="1">((100/H111)*C115)/100</f>
        <v>1</v>
      </c>
      <c r="E115" s="95"/>
      <c r="F115" s="96"/>
      <c r="G115" s="95"/>
      <c r="H115" s="98"/>
      <c r="I115" s="14" t="s">
        <v>106</v>
      </c>
      <c r="J115" s="26">
        <f ca="1">H111</f>
        <v>4</v>
      </c>
      <c r="L115" s="19" t="s">
        <v>239</v>
      </c>
    </row>
    <row r="116" spans="1:12" ht="15.75" customHeight="1" x14ac:dyDescent="0.25">
      <c r="A116" s="90" t="s">
        <v>135</v>
      </c>
      <c r="B116" s="91"/>
      <c r="C116" s="49">
        <v>0</v>
      </c>
      <c r="D116" s="50">
        <f ca="1">((100/(D111+F111+H111))*C116)/100</f>
        <v>0</v>
      </c>
      <c r="E116" s="95"/>
      <c r="F116" s="96"/>
      <c r="G116" s="95"/>
      <c r="H116" s="98"/>
      <c r="I116" s="14" t="s">
        <v>107</v>
      </c>
      <c r="J116" s="27">
        <f ca="1">(IF(B111&gt;1,(H111/(B111+2)),H111/4))</f>
        <v>1</v>
      </c>
    </row>
    <row r="117" spans="1:12" ht="15.75" customHeight="1" x14ac:dyDescent="0.25">
      <c r="A117" s="90" t="s">
        <v>142</v>
      </c>
      <c r="B117" s="91" t="s">
        <v>136</v>
      </c>
      <c r="C117" s="49">
        <v>0</v>
      </c>
      <c r="D117" s="50">
        <f ca="1">((100/H111)*C117)/100</f>
        <v>0</v>
      </c>
      <c r="E117" s="95"/>
      <c r="F117" s="96"/>
      <c r="G117" s="95"/>
      <c r="H117" s="98"/>
      <c r="I117" s="14" t="s">
        <v>108</v>
      </c>
      <c r="J117" s="27">
        <f ca="1">(IF(B111&gt;1,(H111/(B111+2)+J116),H111/4+J116))</f>
        <v>2</v>
      </c>
    </row>
    <row r="118" spans="1:12" ht="15.75" customHeight="1" x14ac:dyDescent="0.25">
      <c r="A118" s="90" t="s">
        <v>143</v>
      </c>
      <c r="B118" s="91" t="s">
        <v>136</v>
      </c>
      <c r="C118" s="49">
        <v>0</v>
      </c>
      <c r="D118" s="50">
        <f ca="1">((100/H111)*C118)/100</f>
        <v>0</v>
      </c>
      <c r="E118" s="95"/>
      <c r="F118" s="96"/>
      <c r="G118" s="95"/>
      <c r="H118" s="98"/>
      <c r="I118" s="14" t="s">
        <v>152</v>
      </c>
      <c r="J118" s="27">
        <f>(IF(B111&gt;1,(H111/(B111+2)+J117),0))</f>
        <v>0</v>
      </c>
    </row>
    <row r="119" spans="1:12" ht="15" customHeight="1" x14ac:dyDescent="0.25">
      <c r="A119" s="90" t="s">
        <v>141</v>
      </c>
      <c r="B119" s="91" t="s">
        <v>138</v>
      </c>
      <c r="C119" s="49">
        <v>0</v>
      </c>
      <c r="D119" s="50">
        <f ca="1">((100/(H111))*C119)/100</f>
        <v>0</v>
      </c>
      <c r="E119" s="95"/>
      <c r="F119" s="96"/>
      <c r="G119" s="95"/>
      <c r="H119" s="98"/>
      <c r="I119" s="14" t="s">
        <v>149</v>
      </c>
      <c r="J119" s="27">
        <f>(IF(B111&gt;2,(H111/(B111+2)+J118),0))</f>
        <v>0</v>
      </c>
    </row>
    <row r="120" spans="1:12" ht="15.75" customHeight="1" x14ac:dyDescent="0.25">
      <c r="A120" s="90" t="s">
        <v>137</v>
      </c>
      <c r="B120" s="91" t="s">
        <v>137</v>
      </c>
      <c r="C120" s="49">
        <v>0</v>
      </c>
      <c r="D120" s="50">
        <f ca="1">((100/H111)*C120)/100</f>
        <v>0</v>
      </c>
      <c r="E120" s="95"/>
      <c r="F120" s="96"/>
      <c r="G120" s="95"/>
      <c r="H120" s="98"/>
      <c r="I120" s="14" t="s">
        <v>150</v>
      </c>
      <c r="J120" s="28">
        <f>(IF(B111&gt;3,(H111/(B111+2)+J119),0))</f>
        <v>0</v>
      </c>
    </row>
    <row r="121" spans="1:12" ht="15.75" customHeight="1" x14ac:dyDescent="0.25">
      <c r="A121" s="90" t="s">
        <v>144</v>
      </c>
      <c r="B121" s="91"/>
      <c r="C121" s="49">
        <v>0</v>
      </c>
      <c r="D121" s="50">
        <f ca="1">((100/H111)*C121)/100</f>
        <v>0</v>
      </c>
      <c r="E121" s="95"/>
      <c r="F121" s="96"/>
      <c r="G121" s="95"/>
      <c r="H121" s="98"/>
      <c r="I121" s="14" t="s">
        <v>151</v>
      </c>
      <c r="J121" s="27">
        <f>(IF(B111&gt;4,(H111/(B111+2)+J120),0))</f>
        <v>0</v>
      </c>
    </row>
    <row r="122" spans="1:12" ht="15.75" customHeight="1" x14ac:dyDescent="0.25">
      <c r="A122" s="90" t="s">
        <v>139</v>
      </c>
      <c r="B122" s="91" t="s">
        <v>139</v>
      </c>
      <c r="C122" s="49">
        <v>0</v>
      </c>
      <c r="D122" s="50">
        <f ca="1">((100/(H111))*C122)/100</f>
        <v>0</v>
      </c>
      <c r="E122" s="95"/>
      <c r="F122" s="96"/>
      <c r="G122" s="95"/>
      <c r="H122" s="98"/>
      <c r="I122" s="14" t="s">
        <v>153</v>
      </c>
      <c r="J122" s="27">
        <f ca="1">(IF(B111=1,(H111/(B111+3)+J117),IF(B111=0,(H111/4+J117),IF(B111&gt;1,0))))</f>
        <v>3</v>
      </c>
    </row>
    <row r="123" spans="1:12" ht="16.5" thickBot="1" x14ac:dyDescent="0.3">
      <c r="A123" s="109" t="s">
        <v>140</v>
      </c>
      <c r="B123" s="110"/>
      <c r="C123" s="52">
        <v>0</v>
      </c>
      <c r="D123" s="53">
        <f ca="1">((100/(H111))*C123)/100</f>
        <v>0</v>
      </c>
      <c r="E123" s="106"/>
      <c r="F123" s="107"/>
      <c r="G123" s="106"/>
      <c r="H123" s="108"/>
      <c r="I123" s="15" t="s">
        <v>109</v>
      </c>
      <c r="J123" s="29">
        <f ca="1">(IF(B111&gt;1.5,(H111/(B111+2)+J117+MAX(0,J118-J117)+MAX(0,J119-J118)+MAX(0,J120-J119)+MAX(0,J121-J120)+MAX(0,J122-J121)),IF(B111=1,(H111/(B111+3)+J122),IF(B111=0,H111/4+J122))))</f>
        <v>4</v>
      </c>
    </row>
    <row r="124" spans="1:12" ht="15.75" customHeight="1" x14ac:dyDescent="0.25">
      <c r="A124" s="81" t="s">
        <v>146</v>
      </c>
      <c r="B124" s="82"/>
      <c r="C124" s="83" t="s">
        <v>217</v>
      </c>
      <c r="D124" s="84"/>
      <c r="E124" s="84"/>
      <c r="F124" s="84"/>
      <c r="G124" s="84"/>
      <c r="H124" s="85"/>
      <c r="I124" s="42" t="str">
        <f ca="1">IF(D137=100%,"All work Completed. Possession granted to the Building.",IF(D136=100%,"All work Completed, Waiting for OC",I125&amp;""&amp;I126&amp;""&amp;J125&amp;""&amp;J124&amp;" "&amp;J126))</f>
        <v>Excavation, Plinth, RCC Slab, Brickwork Completed, External Plaster upto 1 Floor Completed</v>
      </c>
      <c r="J124" s="43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External Plaster upto 1 Floor</v>
      </c>
    </row>
    <row r="125" spans="1:12" x14ac:dyDescent="0.25">
      <c r="A125" s="16" t="s">
        <v>148</v>
      </c>
      <c r="B125" s="46">
        <v>0</v>
      </c>
      <c r="C125" s="46" t="s">
        <v>76</v>
      </c>
      <c r="D125" s="46">
        <v>1</v>
      </c>
      <c r="E125" s="46" t="s">
        <v>75</v>
      </c>
      <c r="F125" s="46">
        <v>0</v>
      </c>
      <c r="G125" s="46" t="s">
        <v>84</v>
      </c>
      <c r="H125" s="17">
        <f ca="1">--TRIM(RIGHT(SUBSTITUTE(LEFT(C124,_xlfn.AGGREGATE(16,6,FIND({0,1,2,3,4,5,6,7,8,9},C124,ROW(INDIRECT("1:"&amp;LEN(C124)))),1))," ",REPT(" ",LEN(C124))),LEN(C124)))</f>
        <v>4</v>
      </c>
      <c r="I125" s="44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Plinth, RCC Slab, Brickwork</v>
      </c>
      <c r="J125" s="45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2" ht="34.5" customHeight="1" x14ac:dyDescent="0.25">
      <c r="A126" s="86" t="s">
        <v>94</v>
      </c>
      <c r="B126" s="87"/>
      <c r="C126" s="88" t="str">
        <f ca="1">(IF($G$51="NA",I124,"All work Completed. OC Received."))</f>
        <v>Excavation, Plinth, RCC Slab, Brickwork Completed, External Plaster upto 1 Floor Completed</v>
      </c>
      <c r="D126" s="88"/>
      <c r="E126" s="88"/>
      <c r="F126" s="88"/>
      <c r="G126" s="88"/>
      <c r="H126" s="89"/>
      <c r="I126" s="44" t="str">
        <f ca="1">IF(I125&lt;&gt;""," Completed","")</f>
        <v xml:space="preserve"> Completed</v>
      </c>
      <c r="J126" s="45" t="str">
        <f ca="1">IF(J124&lt;&gt;"","Completed","")</f>
        <v>Completed</v>
      </c>
    </row>
    <row r="127" spans="1:12" ht="15.75" customHeight="1" x14ac:dyDescent="0.25">
      <c r="A127" s="90" t="s">
        <v>52</v>
      </c>
      <c r="B127" s="91"/>
      <c r="C127" s="49" t="s">
        <v>145</v>
      </c>
      <c r="D127" s="49" t="s">
        <v>87</v>
      </c>
      <c r="E127" s="91" t="s">
        <v>89</v>
      </c>
      <c r="F127" s="91"/>
      <c r="G127" s="91" t="s">
        <v>88</v>
      </c>
      <c r="H127" s="92"/>
      <c r="I127" s="14" t="s">
        <v>147</v>
      </c>
      <c r="J127" s="25">
        <f ca="1">H125*25%</f>
        <v>1</v>
      </c>
    </row>
    <row r="128" spans="1:12" x14ac:dyDescent="0.25">
      <c r="A128" s="90" t="s">
        <v>134</v>
      </c>
      <c r="B128" s="91"/>
      <c r="C128" s="49">
        <f ca="1">J129</f>
        <v>4</v>
      </c>
      <c r="D128" s="50">
        <f ca="1">((100/H125)*C128)/100</f>
        <v>1</v>
      </c>
      <c r="E128" s="93">
        <f ca="1">(((C129/H125*10)+(40/(D125+F125+H125)*C130)+(7.5/(H125)*C131)+(7.5/(H125)*C132)+(10/H125*C133)+(10/H125*C134)+(5/H125*C135)+(5/H125*C136)+(5/H125*C137))/100)</f>
        <v>0.6</v>
      </c>
      <c r="F128" s="94"/>
      <c r="G128" s="93">
        <f ca="1">((((C128/H125)*20)+((C129/H125)*25)+(30/(H125+F125+D125)*C130)+(5/H125*C131)+(5/H125*C132)+(5/H125*C133)+(5/H125*C134)+(0/H125*C135)+(0/H125*C136)+(5/H125*C137))/100)</f>
        <v>0.8125</v>
      </c>
      <c r="H128" s="97"/>
      <c r="I128" s="14" t="s">
        <v>105</v>
      </c>
      <c r="J128" s="26">
        <f ca="1">H125*50%</f>
        <v>2</v>
      </c>
    </row>
    <row r="129" spans="1:10" x14ac:dyDescent="0.25">
      <c r="A129" s="90" t="s">
        <v>53</v>
      </c>
      <c r="B129" s="91"/>
      <c r="C129" s="51">
        <f ca="1">J137</f>
        <v>4</v>
      </c>
      <c r="D129" s="50">
        <f ca="1">((100/H125)*C129)/100</f>
        <v>1</v>
      </c>
      <c r="E129" s="95"/>
      <c r="F129" s="96"/>
      <c r="G129" s="95"/>
      <c r="H129" s="98"/>
      <c r="I129" s="14" t="s">
        <v>106</v>
      </c>
      <c r="J129" s="26">
        <f ca="1">H125</f>
        <v>4</v>
      </c>
    </row>
    <row r="130" spans="1:10" ht="15.75" customHeight="1" x14ac:dyDescent="0.25">
      <c r="A130" s="90" t="s">
        <v>135</v>
      </c>
      <c r="B130" s="91"/>
      <c r="C130" s="49">
        <v>5</v>
      </c>
      <c r="D130" s="50">
        <f ca="1">((100/(D125+F125+H125))*C130)/100</f>
        <v>1</v>
      </c>
      <c r="E130" s="95"/>
      <c r="F130" s="96"/>
      <c r="G130" s="95"/>
      <c r="H130" s="98"/>
      <c r="I130" s="14" t="s">
        <v>107</v>
      </c>
      <c r="J130" s="27">
        <f ca="1">(IF(B125&gt;1,(H125/(B125+2)),H125/4))</f>
        <v>1</v>
      </c>
    </row>
    <row r="131" spans="1:10" ht="15.75" customHeight="1" x14ac:dyDescent="0.25">
      <c r="A131" s="90" t="s">
        <v>142</v>
      </c>
      <c r="B131" s="91" t="s">
        <v>136</v>
      </c>
      <c r="C131" s="49">
        <v>4</v>
      </c>
      <c r="D131" s="50">
        <f ca="1">((100/H125)*C131)/100</f>
        <v>1</v>
      </c>
      <c r="E131" s="95"/>
      <c r="F131" s="96"/>
      <c r="G131" s="95"/>
      <c r="H131" s="98"/>
      <c r="I131" s="14" t="s">
        <v>108</v>
      </c>
      <c r="J131" s="27">
        <f ca="1">(IF(B125&gt;1,(H125/(B125+2)+J130),H125/4+J130))</f>
        <v>2</v>
      </c>
    </row>
    <row r="132" spans="1:10" ht="15.75" customHeight="1" x14ac:dyDescent="0.25">
      <c r="A132" s="90" t="s">
        <v>143</v>
      </c>
      <c r="B132" s="91" t="s">
        <v>136</v>
      </c>
      <c r="C132" s="49">
        <v>0</v>
      </c>
      <c r="D132" s="50">
        <f ca="1">((100/H125)*C132)/100</f>
        <v>0</v>
      </c>
      <c r="E132" s="95"/>
      <c r="F132" s="96"/>
      <c r="G132" s="95"/>
      <c r="H132" s="98"/>
      <c r="I132" s="14" t="s">
        <v>152</v>
      </c>
      <c r="J132" s="27">
        <f>(IF(B125&gt;1,(H125/(B125+2)+J131),0))</f>
        <v>0</v>
      </c>
    </row>
    <row r="133" spans="1:10" ht="15" customHeight="1" x14ac:dyDescent="0.25">
      <c r="A133" s="90" t="s">
        <v>141</v>
      </c>
      <c r="B133" s="91" t="s">
        <v>138</v>
      </c>
      <c r="C133" s="49">
        <v>1</v>
      </c>
      <c r="D133" s="50">
        <f ca="1">((100/(H125))*C133)/100</f>
        <v>0.25</v>
      </c>
      <c r="E133" s="95"/>
      <c r="F133" s="96"/>
      <c r="G133" s="95"/>
      <c r="H133" s="98"/>
      <c r="I133" s="14" t="s">
        <v>149</v>
      </c>
      <c r="J133" s="27">
        <f>(IF(B125&gt;2,(H125/(B125+2)+J132),0))</f>
        <v>0</v>
      </c>
    </row>
    <row r="134" spans="1:10" ht="15.75" customHeight="1" x14ac:dyDescent="0.25">
      <c r="A134" s="90" t="s">
        <v>137</v>
      </c>
      <c r="B134" s="91" t="s">
        <v>137</v>
      </c>
      <c r="C134" s="49">
        <v>0</v>
      </c>
      <c r="D134" s="50">
        <f ca="1">((100/H125)*C134)/100</f>
        <v>0</v>
      </c>
      <c r="E134" s="95"/>
      <c r="F134" s="96"/>
      <c r="G134" s="95"/>
      <c r="H134" s="98"/>
      <c r="I134" s="14" t="s">
        <v>150</v>
      </c>
      <c r="J134" s="28">
        <f>(IF(B125&gt;3,(H125/(B125+2)+J133),0))</f>
        <v>0</v>
      </c>
    </row>
    <row r="135" spans="1:10" ht="15.75" customHeight="1" x14ac:dyDescent="0.25">
      <c r="A135" s="90" t="s">
        <v>144</v>
      </c>
      <c r="B135" s="91"/>
      <c r="C135" s="49">
        <v>0</v>
      </c>
      <c r="D135" s="50">
        <f ca="1">((100/H125)*C135)/100</f>
        <v>0</v>
      </c>
      <c r="E135" s="95"/>
      <c r="F135" s="96"/>
      <c r="G135" s="95"/>
      <c r="H135" s="98"/>
      <c r="I135" s="14" t="s">
        <v>151</v>
      </c>
      <c r="J135" s="27">
        <f>(IF(B125&gt;4,(H125/(B125+2)+J134),0))</f>
        <v>0</v>
      </c>
    </row>
    <row r="136" spans="1:10" ht="15.75" customHeight="1" x14ac:dyDescent="0.25">
      <c r="A136" s="90" t="s">
        <v>139</v>
      </c>
      <c r="B136" s="91" t="s">
        <v>139</v>
      </c>
      <c r="C136" s="49">
        <v>0</v>
      </c>
      <c r="D136" s="50">
        <f ca="1">((100/(H125))*C136)/100</f>
        <v>0</v>
      </c>
      <c r="E136" s="95"/>
      <c r="F136" s="96"/>
      <c r="G136" s="95"/>
      <c r="H136" s="98"/>
      <c r="I136" s="14" t="s">
        <v>153</v>
      </c>
      <c r="J136" s="27">
        <f ca="1">(IF(B125=1,(H125/(B125+3)+J131),IF(B125=0,(H125/4+J131),IF(B125&gt;1,0))))</f>
        <v>3</v>
      </c>
    </row>
    <row r="137" spans="1:10" ht="16.5" thickBot="1" x14ac:dyDescent="0.3">
      <c r="A137" s="109" t="s">
        <v>140</v>
      </c>
      <c r="B137" s="110"/>
      <c r="C137" s="52">
        <v>0</v>
      </c>
      <c r="D137" s="53">
        <f ca="1">((100/(H125))*C137)/100</f>
        <v>0</v>
      </c>
      <c r="E137" s="106"/>
      <c r="F137" s="107"/>
      <c r="G137" s="106"/>
      <c r="H137" s="108"/>
      <c r="I137" s="15" t="s">
        <v>109</v>
      </c>
      <c r="J137" s="29">
        <f ca="1">(IF(B125&gt;1.5,(H125/(B125+2)+J131+MAX(0,J132-J131)+MAX(0,J133-J132)+MAX(0,J134-J133)+MAX(0,J135-J134)+MAX(0,J136-J135)),IF(B125=1,(H125/(B125+3)+J136),IF(B125=0,H125/4+J136))))</f>
        <v>4</v>
      </c>
    </row>
    <row r="138" spans="1:10" ht="15.75" customHeight="1" x14ac:dyDescent="0.25">
      <c r="A138" s="81" t="s">
        <v>146</v>
      </c>
      <c r="B138" s="82"/>
      <c r="C138" s="83" t="s">
        <v>218</v>
      </c>
      <c r="D138" s="84"/>
      <c r="E138" s="84"/>
      <c r="F138" s="84"/>
      <c r="G138" s="84"/>
      <c r="H138" s="85"/>
      <c r="I138" s="42" t="str">
        <f ca="1">IF(D151=100%,"All work Completed. Possession granted to the Building.",IF(D150=100%,"All work Completed, Waiting for OC",I139&amp;""&amp;I140&amp;""&amp;J139&amp;""&amp;J138&amp;" "&amp;J140))</f>
        <v>Excavation, Plinth, RCC Slab, Brickwork Completed, Internal Plaster upto 1 Floor, External Plaster upto 1 Floor Completed</v>
      </c>
      <c r="J138" s="43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>, Internal Plaster upto 1 Floor, External Plaster upto 1 Floor</v>
      </c>
    </row>
    <row r="139" spans="1:10" x14ac:dyDescent="0.25">
      <c r="A139" s="16" t="s">
        <v>148</v>
      </c>
      <c r="B139" s="59">
        <v>0</v>
      </c>
      <c r="C139" s="59" t="s">
        <v>76</v>
      </c>
      <c r="D139" s="59">
        <v>1</v>
      </c>
      <c r="E139" s="59" t="s">
        <v>75</v>
      </c>
      <c r="F139" s="59">
        <v>0</v>
      </c>
      <c r="G139" s="59" t="s">
        <v>84</v>
      </c>
      <c r="H139" s="17">
        <f ca="1">--TRIM(RIGHT(SUBSTITUTE(LEFT(C138,_xlfn.AGGREGATE(16,6,FIND({0,1,2,3,4,5,6,7,8,9},C138,ROW(INDIRECT("1:"&amp;LEN(C138)))),1))," ",REPT(" ",LEN(C138))),LEN(C138)))</f>
        <v>4</v>
      </c>
      <c r="I139" s="44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Plinth, RCC Slab, Brickwork</v>
      </c>
      <c r="J139" s="45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 ht="32.25" customHeight="1" x14ac:dyDescent="0.25">
      <c r="A140" s="86" t="s">
        <v>94</v>
      </c>
      <c r="B140" s="87"/>
      <c r="C140" s="88" t="str">
        <f ca="1">(IF($G$51="NA",I138,"All work Completed. OC Received."))</f>
        <v>Excavation, Plinth, RCC Slab, Brickwork Completed, Internal Plaster upto 1 Floor, External Plaster upto 1 Floor Completed</v>
      </c>
      <c r="D140" s="88"/>
      <c r="E140" s="88"/>
      <c r="F140" s="88"/>
      <c r="G140" s="88"/>
      <c r="H140" s="89"/>
      <c r="I140" s="44" t="str">
        <f ca="1">IF(I139&lt;&gt;""," Completed","")</f>
        <v xml:space="preserve"> Completed</v>
      </c>
      <c r="J140" s="45" t="str">
        <f ca="1">IF(J138&lt;&gt;"","Completed","")</f>
        <v>Completed</v>
      </c>
    </row>
    <row r="141" spans="1:10" ht="15.75" customHeight="1" x14ac:dyDescent="0.25">
      <c r="A141" s="90" t="s">
        <v>52</v>
      </c>
      <c r="B141" s="91"/>
      <c r="C141" s="57" t="s">
        <v>145</v>
      </c>
      <c r="D141" s="57" t="s">
        <v>87</v>
      </c>
      <c r="E141" s="91" t="s">
        <v>89</v>
      </c>
      <c r="F141" s="91"/>
      <c r="G141" s="91" t="s">
        <v>88</v>
      </c>
      <c r="H141" s="92"/>
      <c r="I141" s="14" t="s">
        <v>147</v>
      </c>
      <c r="J141" s="25">
        <f ca="1">H139*25%</f>
        <v>1</v>
      </c>
    </row>
    <row r="142" spans="1:10" x14ac:dyDescent="0.25">
      <c r="A142" s="90" t="s">
        <v>134</v>
      </c>
      <c r="B142" s="91"/>
      <c r="C142" s="57">
        <f ca="1">J143</f>
        <v>4</v>
      </c>
      <c r="D142" s="50">
        <f ca="1">((100/H139)*C142)/100</f>
        <v>1</v>
      </c>
      <c r="E142" s="93">
        <f ca="1">(((C143/H139*10)+(40/(D139+F139+H139)*C144)+(7.5/(H139)*C145)+(7.5/(H139)*C146)+(10/H139*C147)+(10/H139*C148)+(5/H139*C149)+(5/H139*C150)+(5/H139*C151))/100)</f>
        <v>0.61875000000000002</v>
      </c>
      <c r="F142" s="94"/>
      <c r="G142" s="93">
        <f ca="1">((((C142/H139)*20)+((C143/H139)*25)+(30/(H139+F139+D139)*C144)+(5/H139*C145)+(5/H139*C146)+(5/H139*C147)+(5/H139*C148)+(0/H139*C149)+(0/H139*C150)+(5/H139*C151))/100)</f>
        <v>0.82499999999999996</v>
      </c>
      <c r="H142" s="97"/>
      <c r="I142" s="14" t="s">
        <v>105</v>
      </c>
      <c r="J142" s="26">
        <f ca="1">H139*50%</f>
        <v>2</v>
      </c>
    </row>
    <row r="143" spans="1:10" x14ac:dyDescent="0.25">
      <c r="A143" s="90" t="s">
        <v>53</v>
      </c>
      <c r="B143" s="91"/>
      <c r="C143" s="51">
        <f ca="1">J151</f>
        <v>4</v>
      </c>
      <c r="D143" s="50">
        <f ca="1">((100/H139)*C143)/100</f>
        <v>1</v>
      </c>
      <c r="E143" s="95"/>
      <c r="F143" s="96"/>
      <c r="G143" s="95"/>
      <c r="H143" s="98"/>
      <c r="I143" s="14" t="s">
        <v>106</v>
      </c>
      <c r="J143" s="26">
        <f ca="1">H139</f>
        <v>4</v>
      </c>
    </row>
    <row r="144" spans="1:10" ht="15.75" customHeight="1" x14ac:dyDescent="0.25">
      <c r="A144" s="90" t="s">
        <v>135</v>
      </c>
      <c r="B144" s="91"/>
      <c r="C144" s="57">
        <v>5</v>
      </c>
      <c r="D144" s="50">
        <f ca="1">((100/(D139+F139+H139))*C144)/100</f>
        <v>1</v>
      </c>
      <c r="E144" s="95"/>
      <c r="F144" s="96"/>
      <c r="G144" s="95"/>
      <c r="H144" s="98"/>
      <c r="I144" s="14" t="s">
        <v>107</v>
      </c>
      <c r="J144" s="27">
        <f ca="1">(IF(B139&gt;1,(H139/(B139+2)),H139/4))</f>
        <v>1</v>
      </c>
    </row>
    <row r="145" spans="1:10" ht="15.75" customHeight="1" x14ac:dyDescent="0.25">
      <c r="A145" s="90" t="s">
        <v>142</v>
      </c>
      <c r="B145" s="91" t="s">
        <v>136</v>
      </c>
      <c r="C145" s="57">
        <v>4</v>
      </c>
      <c r="D145" s="50">
        <f ca="1">((100/H139)*C145)/100</f>
        <v>1</v>
      </c>
      <c r="E145" s="95"/>
      <c r="F145" s="96"/>
      <c r="G145" s="95"/>
      <c r="H145" s="98"/>
      <c r="I145" s="14" t="s">
        <v>108</v>
      </c>
      <c r="J145" s="27">
        <f ca="1">(IF(B139&gt;1,(H139/(B139+2)+J144),H139/4+J144))</f>
        <v>2</v>
      </c>
    </row>
    <row r="146" spans="1:10" ht="15.75" customHeight="1" x14ac:dyDescent="0.25">
      <c r="A146" s="90" t="s">
        <v>143</v>
      </c>
      <c r="B146" s="91" t="s">
        <v>136</v>
      </c>
      <c r="C146" s="57">
        <v>1</v>
      </c>
      <c r="D146" s="50">
        <f ca="1">((100/H139)*C146)/100</f>
        <v>0.25</v>
      </c>
      <c r="E146" s="95"/>
      <c r="F146" s="96"/>
      <c r="G146" s="95"/>
      <c r="H146" s="98"/>
      <c r="I146" s="14" t="s">
        <v>152</v>
      </c>
      <c r="J146" s="27">
        <f>(IF(B139&gt;1,(H139/(B139+2)+J145),0))</f>
        <v>0</v>
      </c>
    </row>
    <row r="147" spans="1:10" ht="15" customHeight="1" x14ac:dyDescent="0.25">
      <c r="A147" s="90" t="s">
        <v>141</v>
      </c>
      <c r="B147" s="91" t="s">
        <v>138</v>
      </c>
      <c r="C147" s="57">
        <v>1</v>
      </c>
      <c r="D147" s="50">
        <f ca="1">((100/(H139))*C147)/100</f>
        <v>0.25</v>
      </c>
      <c r="E147" s="95"/>
      <c r="F147" s="96"/>
      <c r="G147" s="95"/>
      <c r="H147" s="98"/>
      <c r="I147" s="14" t="s">
        <v>149</v>
      </c>
      <c r="J147" s="27">
        <f>(IF(B139&gt;2,(H139/(B139+2)+J146),0))</f>
        <v>0</v>
      </c>
    </row>
    <row r="148" spans="1:10" ht="15.75" customHeight="1" x14ac:dyDescent="0.25">
      <c r="A148" s="90" t="s">
        <v>137</v>
      </c>
      <c r="B148" s="91" t="s">
        <v>137</v>
      </c>
      <c r="C148" s="57">
        <v>0</v>
      </c>
      <c r="D148" s="50">
        <f ca="1">((100/H139)*C148)/100</f>
        <v>0</v>
      </c>
      <c r="E148" s="95"/>
      <c r="F148" s="96"/>
      <c r="G148" s="95"/>
      <c r="H148" s="98"/>
      <c r="I148" s="14" t="s">
        <v>150</v>
      </c>
      <c r="J148" s="28">
        <f>(IF(B139&gt;3,(H139/(B139+2)+J147),0))</f>
        <v>0</v>
      </c>
    </row>
    <row r="149" spans="1:10" ht="15.75" customHeight="1" x14ac:dyDescent="0.25">
      <c r="A149" s="90" t="s">
        <v>144</v>
      </c>
      <c r="B149" s="91"/>
      <c r="C149" s="57">
        <v>0</v>
      </c>
      <c r="D149" s="50">
        <f ca="1">((100/H139)*C149)/100</f>
        <v>0</v>
      </c>
      <c r="E149" s="95"/>
      <c r="F149" s="96"/>
      <c r="G149" s="95"/>
      <c r="H149" s="98"/>
      <c r="I149" s="14" t="s">
        <v>151</v>
      </c>
      <c r="J149" s="27">
        <f>(IF(B139&gt;4,(H139/(B139+2)+J148),0))</f>
        <v>0</v>
      </c>
    </row>
    <row r="150" spans="1:10" ht="15.75" customHeight="1" x14ac:dyDescent="0.25">
      <c r="A150" s="90" t="s">
        <v>139</v>
      </c>
      <c r="B150" s="91" t="s">
        <v>139</v>
      </c>
      <c r="C150" s="57">
        <v>0</v>
      </c>
      <c r="D150" s="50">
        <f ca="1">((100/(H139))*C150)/100</f>
        <v>0</v>
      </c>
      <c r="E150" s="95"/>
      <c r="F150" s="96"/>
      <c r="G150" s="95"/>
      <c r="H150" s="98"/>
      <c r="I150" s="14" t="s">
        <v>153</v>
      </c>
      <c r="J150" s="27">
        <f ca="1">(IF(B139=1,(H139/(B139+3)+J145),IF(B139=0,(H139/4+J145),IF(B139&gt;1,0))))</f>
        <v>3</v>
      </c>
    </row>
    <row r="151" spans="1:10" ht="16.5" thickBot="1" x14ac:dyDescent="0.3">
      <c r="A151" s="109" t="s">
        <v>140</v>
      </c>
      <c r="B151" s="110"/>
      <c r="C151" s="58">
        <v>0</v>
      </c>
      <c r="D151" s="53">
        <f ca="1">((100/(H139))*C151)/100</f>
        <v>0</v>
      </c>
      <c r="E151" s="106"/>
      <c r="F151" s="107"/>
      <c r="G151" s="106"/>
      <c r="H151" s="108"/>
      <c r="I151" s="15" t="s">
        <v>109</v>
      </c>
      <c r="J151" s="29">
        <f ca="1">(IF(B139&gt;1.5,(H139/(B139+2)+J145+MAX(0,J146-J145)+MAX(0,J147-J146)+MAX(0,J148-J147)+MAX(0,J149-J148)+MAX(0,J150-J149)),IF(B139=1,(H139/(B139+3)+J150),IF(B139=0,H139/4+J150))))</f>
        <v>4</v>
      </c>
    </row>
    <row r="152" spans="1:10" ht="15.75" customHeight="1" x14ac:dyDescent="0.25">
      <c r="A152" s="81" t="s">
        <v>146</v>
      </c>
      <c r="B152" s="82"/>
      <c r="C152" s="83" t="str">
        <f>D59</f>
        <v xml:space="preserve">Building No.5 (Wing A &amp; B) = Gr + 1st to 7th Floor </v>
      </c>
      <c r="D152" s="84"/>
      <c r="E152" s="84"/>
      <c r="F152" s="84"/>
      <c r="G152" s="84"/>
      <c r="H152" s="85"/>
      <c r="I152" s="42" t="str">
        <f ca="1">IF(D165=100%,"All work Completed. Possession granted to the Building.",IF(D164=100%,"All work Completed, Waiting for OC",I153&amp;""&amp;I154&amp;""&amp;J153&amp;""&amp;J152&amp;" "&amp;J154))</f>
        <v xml:space="preserve">Excavation, Plinth Completed </v>
      </c>
      <c r="J152" s="43" t="str">
        <f ca="1">(IF(C158=(D153+F153+H153),"",IF(C158&gt;0,", RCC upto "&amp;C158&amp;" Slab","")))&amp;(IF(C159=H153,"",IF(C159&gt;0,", Brickwork upto "&amp;C159&amp;" Floor","")))&amp;(IF(C160=H153,"",IF(C160&gt;0,", Internal Plaster upto "&amp;C160&amp;" Floor","")))&amp;(IF(C161=H153,"",IF(C161&gt;0,", External Plaster upto "&amp;C161&amp;" Floor","")))&amp;(IF(C162=H153,"",IF(C162&gt;0,", Flooring upto "&amp;C162&amp;" Floor","")))&amp;(IF(C163=H153,"",IF(C163&gt;0,", Painting upto "&amp;C163&amp;" Floor","")))&amp;(IF(C164=H153,"",IF(C164&gt;0,", Finishing upto "&amp;C164&amp;" Floor","")))&amp;(IF(C165=H153,"",IF(C165&gt;0,", Possession upto "&amp;C165&amp;" Floor","")))</f>
        <v/>
      </c>
    </row>
    <row r="153" spans="1:10" x14ac:dyDescent="0.25">
      <c r="A153" s="16" t="s">
        <v>148</v>
      </c>
      <c r="B153" s="65">
        <v>0</v>
      </c>
      <c r="C153" s="65" t="s">
        <v>76</v>
      </c>
      <c r="D153" s="65">
        <v>1</v>
      </c>
      <c r="E153" s="65" t="s">
        <v>75</v>
      </c>
      <c r="F153" s="65">
        <v>0</v>
      </c>
      <c r="G153" s="65" t="s">
        <v>84</v>
      </c>
      <c r="H153" s="17">
        <f ca="1">--TRIM(RIGHT(SUBSTITUTE(LEFT(C152,_xlfn.AGGREGATE(16,6,FIND({0,1,2,3,4,5,6,7,8,9},C152,ROW(INDIRECT("1:"&amp;LEN(C152)))),1))," ",REPT(" ",LEN(C152))),LEN(C152)))</f>
        <v>7</v>
      </c>
      <c r="I153" s="44" t="str">
        <f ca="1">IF(D156=100%,"Excavation","")&amp;IF(D157=100%,", Plinth","")&amp;IF(D158=100%,", RCC Slab","")&amp;IF(D159=100%,", Brickwork","")&amp;IF(D160=100%,", Internal Plaster","")&amp;IF(D161=100%,", External Plaster","")&amp;IF(D162=100%,", Flooring","")&amp;IF(D163=100%,", Painting","")&amp;IF(D164=100%,", Building common Amenities","")</f>
        <v>Excavation, Plinth</v>
      </c>
      <c r="J153" s="45" t="str">
        <f ca="1">(IF(C156=0,"Work not yet Started.",IF(D156=25%,"Piling work in process",IF(D156=50%,"Excavation work in process",IF(D156=100%,"","0")))))&amp;(IF(C157=0%,"",IF(C157=J158,", Footing work is process",IF(C157=J159,", Footing work Completed",IF(C157=J160,", 1st Basement Completed",IF(C157=J161,", 1st &amp; 2nd Basement Completed",IF(C157=J162,", 1st to 3rd Basement Completed",IF(C157=J163,", 1st to 4th Basement Completed",IF(C157=J164,", Plinth work is process",IF(C157=J165,"","0"))))))))))</f>
        <v/>
      </c>
    </row>
    <row r="154" spans="1:10" x14ac:dyDescent="0.25">
      <c r="A154" s="86" t="s">
        <v>94</v>
      </c>
      <c r="B154" s="87"/>
      <c r="C154" s="88" t="str">
        <f ca="1">(IF($G$51="NA",I152,"All work Completed. OC Received."))</f>
        <v xml:space="preserve">Excavation, Plinth Completed </v>
      </c>
      <c r="D154" s="88"/>
      <c r="E154" s="88"/>
      <c r="F154" s="88"/>
      <c r="G154" s="88"/>
      <c r="H154" s="89"/>
      <c r="I154" s="44" t="str">
        <f ca="1">IF(I153&lt;&gt;""," Completed","")</f>
        <v xml:space="preserve"> Completed</v>
      </c>
      <c r="J154" s="45" t="str">
        <f ca="1">IF(J152&lt;&gt;"","Completed","")</f>
        <v/>
      </c>
    </row>
    <row r="155" spans="1:10" ht="15.75" customHeight="1" x14ac:dyDescent="0.25">
      <c r="A155" s="90" t="s">
        <v>52</v>
      </c>
      <c r="B155" s="91"/>
      <c r="C155" s="63" t="s">
        <v>145</v>
      </c>
      <c r="D155" s="63" t="s">
        <v>87</v>
      </c>
      <c r="E155" s="91" t="s">
        <v>89</v>
      </c>
      <c r="F155" s="91"/>
      <c r="G155" s="91" t="s">
        <v>88</v>
      </c>
      <c r="H155" s="92"/>
      <c r="I155" s="14" t="s">
        <v>147</v>
      </c>
      <c r="J155" s="25">
        <f ca="1">H153*25%</f>
        <v>1.75</v>
      </c>
    </row>
    <row r="156" spans="1:10" x14ac:dyDescent="0.25">
      <c r="A156" s="90" t="s">
        <v>134</v>
      </c>
      <c r="B156" s="91"/>
      <c r="C156" s="63">
        <f ca="1">J157</f>
        <v>7</v>
      </c>
      <c r="D156" s="50">
        <f ca="1">((100/H153)*C156)/100</f>
        <v>1</v>
      </c>
      <c r="E156" s="93">
        <f ca="1">(((C157/H153*10)+(40/(D153+F153+H153)*C158)+(7.5/(H153)*C159)+(7.5/(H153)*C160)+(10/H153*C161)+(10/H153*C162)+(5/H153*C163)+(5/H153*C164)+(5/H153*C165))/100)</f>
        <v>0.1</v>
      </c>
      <c r="F156" s="94"/>
      <c r="G156" s="93">
        <f ca="1">((((C156/H153)*20)+((C157/H153)*25)+(30/(H153+F153+D153)*C158)+(5/H153*C159)+(5/H153*C160)+(5/H153*C161)+(5/H153*C162)+(0/H153*C163)+(0/H153*C164)+(5/H153*C165))/100)</f>
        <v>0.45</v>
      </c>
      <c r="H156" s="97"/>
      <c r="I156" s="14" t="s">
        <v>105</v>
      </c>
      <c r="J156" s="26">
        <f ca="1">H153*50%</f>
        <v>3.5</v>
      </c>
    </row>
    <row r="157" spans="1:10" x14ac:dyDescent="0.25">
      <c r="A157" s="90" t="s">
        <v>53</v>
      </c>
      <c r="B157" s="91"/>
      <c r="C157" s="51">
        <f ca="1">J165</f>
        <v>7</v>
      </c>
      <c r="D157" s="50">
        <f ca="1">((100/H153)*C157)/100</f>
        <v>1</v>
      </c>
      <c r="E157" s="95"/>
      <c r="F157" s="96"/>
      <c r="G157" s="95"/>
      <c r="H157" s="98"/>
      <c r="I157" s="14" t="s">
        <v>106</v>
      </c>
      <c r="J157" s="26">
        <f ca="1">H153</f>
        <v>7</v>
      </c>
    </row>
    <row r="158" spans="1:10" ht="15.75" customHeight="1" x14ac:dyDescent="0.25">
      <c r="A158" s="90" t="s">
        <v>135</v>
      </c>
      <c r="B158" s="91"/>
      <c r="C158" s="63">
        <v>0</v>
      </c>
      <c r="D158" s="50">
        <f ca="1">((100/(D153+F153+H153))*C158)/100</f>
        <v>0</v>
      </c>
      <c r="E158" s="95"/>
      <c r="F158" s="96"/>
      <c r="G158" s="95"/>
      <c r="H158" s="98"/>
      <c r="I158" s="14" t="s">
        <v>107</v>
      </c>
      <c r="J158" s="27">
        <f ca="1">(IF(B153&gt;1,(H153/(B153+2)),H153/4))</f>
        <v>1.75</v>
      </c>
    </row>
    <row r="159" spans="1:10" ht="15.75" customHeight="1" x14ac:dyDescent="0.25">
      <c r="A159" s="90" t="s">
        <v>142</v>
      </c>
      <c r="B159" s="91" t="s">
        <v>136</v>
      </c>
      <c r="C159" s="63">
        <v>0</v>
      </c>
      <c r="D159" s="50">
        <f ca="1">((100/H153)*C159)/100</f>
        <v>0</v>
      </c>
      <c r="E159" s="95"/>
      <c r="F159" s="96"/>
      <c r="G159" s="95"/>
      <c r="H159" s="98"/>
      <c r="I159" s="14" t="s">
        <v>108</v>
      </c>
      <c r="J159" s="27">
        <f ca="1">(IF(B153&gt;1,(H153/(B153+2)+J158),H153/4+J158))</f>
        <v>3.5</v>
      </c>
    </row>
    <row r="160" spans="1:10" ht="15.75" customHeight="1" x14ac:dyDescent="0.25">
      <c r="A160" s="90" t="s">
        <v>143</v>
      </c>
      <c r="B160" s="91" t="s">
        <v>136</v>
      </c>
      <c r="C160" s="63">
        <v>0</v>
      </c>
      <c r="D160" s="50">
        <f ca="1">((100/H153)*C160)/100</f>
        <v>0</v>
      </c>
      <c r="E160" s="95"/>
      <c r="F160" s="96"/>
      <c r="G160" s="95"/>
      <c r="H160" s="98"/>
      <c r="I160" s="14" t="s">
        <v>152</v>
      </c>
      <c r="J160" s="27">
        <f>(IF(B153&gt;1,(H153/(B153+2)+J159),0))</f>
        <v>0</v>
      </c>
    </row>
    <row r="161" spans="1:13" ht="15" customHeight="1" x14ac:dyDescent="0.25">
      <c r="A161" s="90" t="s">
        <v>141</v>
      </c>
      <c r="B161" s="91" t="s">
        <v>138</v>
      </c>
      <c r="C161" s="63">
        <v>0</v>
      </c>
      <c r="D161" s="50">
        <f ca="1">((100/(H153))*C161)/100</f>
        <v>0</v>
      </c>
      <c r="E161" s="95"/>
      <c r="F161" s="96"/>
      <c r="G161" s="95"/>
      <c r="H161" s="98"/>
      <c r="I161" s="14" t="s">
        <v>149</v>
      </c>
      <c r="J161" s="27">
        <f>(IF(B153&gt;2,(H153/(B153+2)+J160),0))</f>
        <v>0</v>
      </c>
    </row>
    <row r="162" spans="1:13" ht="15.75" customHeight="1" x14ac:dyDescent="0.25">
      <c r="A162" s="90" t="s">
        <v>137</v>
      </c>
      <c r="B162" s="91" t="s">
        <v>137</v>
      </c>
      <c r="C162" s="63">
        <v>0</v>
      </c>
      <c r="D162" s="50">
        <f ca="1">((100/H153)*C162)/100</f>
        <v>0</v>
      </c>
      <c r="E162" s="95"/>
      <c r="F162" s="96"/>
      <c r="G162" s="95"/>
      <c r="H162" s="98"/>
      <c r="I162" s="14" t="s">
        <v>150</v>
      </c>
      <c r="J162" s="28">
        <f>(IF(B153&gt;3,(H153/(B153+2)+J161),0))</f>
        <v>0</v>
      </c>
    </row>
    <row r="163" spans="1:13" ht="15.75" customHeight="1" x14ac:dyDescent="0.25">
      <c r="A163" s="90" t="s">
        <v>144</v>
      </c>
      <c r="B163" s="91"/>
      <c r="C163" s="63">
        <v>0</v>
      </c>
      <c r="D163" s="50">
        <f ca="1">((100/H153)*C163)/100</f>
        <v>0</v>
      </c>
      <c r="E163" s="95"/>
      <c r="F163" s="96"/>
      <c r="G163" s="95"/>
      <c r="H163" s="98"/>
      <c r="I163" s="14" t="s">
        <v>151</v>
      </c>
      <c r="J163" s="27">
        <f>(IF(B153&gt;4,(H153/(B153+2)+J162),0))</f>
        <v>0</v>
      </c>
    </row>
    <row r="164" spans="1:13" ht="15.75" customHeight="1" x14ac:dyDescent="0.25">
      <c r="A164" s="90" t="s">
        <v>139</v>
      </c>
      <c r="B164" s="91" t="s">
        <v>139</v>
      </c>
      <c r="C164" s="63">
        <v>0</v>
      </c>
      <c r="D164" s="50">
        <f ca="1">((100/(H153))*C164)/100</f>
        <v>0</v>
      </c>
      <c r="E164" s="95"/>
      <c r="F164" s="96"/>
      <c r="G164" s="95"/>
      <c r="H164" s="98"/>
      <c r="I164" s="14" t="s">
        <v>153</v>
      </c>
      <c r="J164" s="27">
        <f ca="1">(IF(B153=1,(H153/(B153+3)+J159),IF(B153=0,(H153/4+J159),IF(B153&gt;1,0))))</f>
        <v>5.25</v>
      </c>
    </row>
    <row r="165" spans="1:13" ht="16.5" thickBot="1" x14ac:dyDescent="0.3">
      <c r="A165" s="109" t="s">
        <v>140</v>
      </c>
      <c r="B165" s="110"/>
      <c r="C165" s="64">
        <v>0</v>
      </c>
      <c r="D165" s="53">
        <f ca="1">((100/(H153))*C165)/100</f>
        <v>0</v>
      </c>
      <c r="E165" s="106"/>
      <c r="F165" s="107"/>
      <c r="G165" s="106"/>
      <c r="H165" s="108"/>
      <c r="I165" s="15" t="s">
        <v>109</v>
      </c>
      <c r="J165" s="29">
        <f ca="1">(IF(B153&gt;1.5,(H153/(B153+2)+J159+MAX(0,J160-J159)+MAX(0,J161-J160)+MAX(0,J162-J161)+MAX(0,J163-J162)+MAX(0,J164-J163)),IF(B153=1,(H153/(B153+3)+J164),IF(B153=0,H153/4+J164))))</f>
        <v>7</v>
      </c>
    </row>
    <row r="166" spans="1:13" x14ac:dyDescent="0.25">
      <c r="A166" s="208" t="s">
        <v>163</v>
      </c>
      <c r="B166" s="208"/>
      <c r="C166" s="208"/>
      <c r="D166" s="208"/>
      <c r="E166" s="208"/>
      <c r="F166" s="209" t="s">
        <v>168</v>
      </c>
      <c r="G166" s="209"/>
      <c r="H166" s="209"/>
    </row>
    <row r="167" spans="1:13" x14ac:dyDescent="0.25">
      <c r="A167" s="139" t="s">
        <v>166</v>
      </c>
      <c r="B167" s="139"/>
      <c r="C167" s="139"/>
      <c r="D167" s="139"/>
      <c r="E167" s="139"/>
      <c r="F167" s="155">
        <v>3500</v>
      </c>
      <c r="G167" s="155"/>
      <c r="H167" s="155"/>
      <c r="J167" s="60" t="s">
        <v>219</v>
      </c>
      <c r="K167" s="61">
        <v>45034</v>
      </c>
      <c r="L167" s="60" t="s">
        <v>220</v>
      </c>
      <c r="M167" s="60" t="s">
        <v>221</v>
      </c>
    </row>
    <row r="168" spans="1:13" x14ac:dyDescent="0.25">
      <c r="A168" s="139" t="s">
        <v>165</v>
      </c>
      <c r="B168" s="139"/>
      <c r="C168" s="139"/>
      <c r="D168" s="139"/>
      <c r="E168" s="139"/>
      <c r="F168" s="163">
        <v>5700</v>
      </c>
      <c r="G168" s="163"/>
      <c r="H168" s="163"/>
    </row>
    <row r="169" spans="1:13" hidden="1" x14ac:dyDescent="0.25">
      <c r="A169" s="139" t="s">
        <v>167</v>
      </c>
      <c r="B169" s="139"/>
      <c r="C169" s="139"/>
      <c r="D169" s="139"/>
      <c r="E169" s="139"/>
      <c r="F169" s="163"/>
      <c r="G169" s="163"/>
      <c r="H169" s="163"/>
    </row>
    <row r="170" spans="1:13" s="30" customFormat="1" hidden="1" x14ac:dyDescent="0.25">
      <c r="A170" s="139" t="s">
        <v>164</v>
      </c>
      <c r="B170" s="139"/>
      <c r="C170" s="139"/>
      <c r="D170" s="139"/>
      <c r="E170" s="139"/>
      <c r="F170" s="163"/>
      <c r="G170" s="163"/>
      <c r="H170" s="163"/>
    </row>
    <row r="171" spans="1:13" s="30" customFormat="1" x14ac:dyDescent="0.25">
      <c r="A171" s="139" t="s">
        <v>99</v>
      </c>
      <c r="B171" s="139"/>
      <c r="C171" s="139"/>
      <c r="D171" s="139"/>
      <c r="E171" s="139"/>
      <c r="F171" s="163">
        <v>100000</v>
      </c>
      <c r="G171" s="163"/>
      <c r="H171" s="163"/>
    </row>
    <row r="172" spans="1:13" s="30" customFormat="1" hidden="1" x14ac:dyDescent="0.25">
      <c r="A172" s="139" t="s">
        <v>100</v>
      </c>
      <c r="B172" s="139"/>
      <c r="C172" s="139"/>
      <c r="D172" s="139"/>
      <c r="E172" s="139"/>
      <c r="F172" s="163"/>
      <c r="G172" s="163"/>
      <c r="H172" s="163"/>
    </row>
    <row r="173" spans="1:13" s="30" customFormat="1" hidden="1" x14ac:dyDescent="0.25">
      <c r="A173" s="139" t="s">
        <v>169</v>
      </c>
      <c r="B173" s="139"/>
      <c r="C173" s="139"/>
      <c r="D173" s="139"/>
      <c r="E173" s="139"/>
      <c r="F173" s="163"/>
      <c r="G173" s="163"/>
      <c r="H173" s="163"/>
    </row>
    <row r="174" spans="1:13" s="30" customFormat="1" hidden="1" x14ac:dyDescent="0.25">
      <c r="A174" s="139" t="s">
        <v>101</v>
      </c>
      <c r="B174" s="139"/>
      <c r="C174" s="139"/>
      <c r="D174" s="139"/>
      <c r="E174" s="139"/>
      <c r="F174" s="163"/>
      <c r="G174" s="163"/>
      <c r="H174" s="163"/>
    </row>
    <row r="175" spans="1:13" s="30" customFormat="1" hidden="1" x14ac:dyDescent="0.25">
      <c r="A175" s="139" t="s">
        <v>102</v>
      </c>
      <c r="B175" s="139"/>
      <c r="C175" s="139"/>
      <c r="D175" s="139"/>
      <c r="E175" s="139"/>
      <c r="F175" s="163"/>
      <c r="G175" s="163"/>
      <c r="H175" s="163"/>
    </row>
    <row r="176" spans="1:13" s="30" customFormat="1" x14ac:dyDescent="0.25">
      <c r="A176" s="139" t="s">
        <v>103</v>
      </c>
      <c r="B176" s="139"/>
      <c r="C176" s="139"/>
      <c r="D176" s="139"/>
      <c r="E176" s="139"/>
      <c r="F176" s="163">
        <v>100000</v>
      </c>
      <c r="G176" s="163"/>
      <c r="H176" s="163"/>
    </row>
    <row r="177" spans="1:8" s="30" customFormat="1" x14ac:dyDescent="0.25">
      <c r="A177" s="139" t="s">
        <v>104</v>
      </c>
      <c r="B177" s="139"/>
      <c r="C177" s="139"/>
      <c r="D177" s="139"/>
      <c r="E177" s="139"/>
      <c r="F177" s="163">
        <v>50000</v>
      </c>
      <c r="G177" s="163"/>
      <c r="H177" s="163"/>
    </row>
    <row r="178" spans="1:8" x14ac:dyDescent="0.25">
      <c r="A178" s="139" t="s">
        <v>54</v>
      </c>
      <c r="B178" s="139"/>
      <c r="C178" s="139"/>
      <c r="D178" s="139"/>
      <c r="E178" s="139"/>
      <c r="F178" s="163">
        <v>100000</v>
      </c>
      <c r="G178" s="163"/>
      <c r="H178" s="163"/>
    </row>
    <row r="179" spans="1:8" s="31" customFormat="1" x14ac:dyDescent="0.25">
      <c r="A179" s="87" t="s">
        <v>55</v>
      </c>
      <c r="B179" s="87"/>
      <c r="C179" s="87"/>
      <c r="D179" s="87"/>
      <c r="E179" s="87"/>
      <c r="F179" s="163">
        <f>F167*0.8</f>
        <v>2800</v>
      </c>
      <c r="G179" s="163"/>
      <c r="H179" s="163"/>
    </row>
    <row r="180" spans="1:8" s="32" customFormat="1" ht="15.75" customHeight="1" x14ac:dyDescent="0.25">
      <c r="A180" s="166" t="s">
        <v>79</v>
      </c>
      <c r="B180" s="166"/>
      <c r="C180" s="166"/>
      <c r="D180" s="166"/>
      <c r="E180" s="166"/>
      <c r="F180" s="166"/>
      <c r="G180" s="166"/>
      <c r="H180" s="166"/>
    </row>
    <row r="181" spans="1:8" s="32" customFormat="1" ht="15.75" customHeight="1" x14ac:dyDescent="0.25">
      <c r="A181" s="116" t="s">
        <v>56</v>
      </c>
      <c r="B181" s="116"/>
      <c r="C181" s="165" t="s">
        <v>82</v>
      </c>
      <c r="D181" s="165"/>
      <c r="E181" s="117" t="s">
        <v>57</v>
      </c>
      <c r="F181" s="117"/>
      <c r="G181" s="116" t="s">
        <v>58</v>
      </c>
      <c r="H181" s="116"/>
    </row>
    <row r="182" spans="1:8" s="32" customFormat="1" x14ac:dyDescent="0.25">
      <c r="A182" s="202" t="s">
        <v>200</v>
      </c>
      <c r="B182" s="48" t="s">
        <v>184</v>
      </c>
      <c r="C182" s="113">
        <f>COUNT(D204:D216)</f>
        <v>13</v>
      </c>
      <c r="D182" s="113"/>
      <c r="E182" s="114">
        <f>SUM(D204:D216)</f>
        <v>1890.1583999999998</v>
      </c>
      <c r="F182" s="115"/>
      <c r="G182" s="114">
        <f>SUM(F204:F216)</f>
        <v>3024.2534399999995</v>
      </c>
      <c r="H182" s="115"/>
    </row>
    <row r="183" spans="1:8" s="32" customFormat="1" x14ac:dyDescent="0.25">
      <c r="A183" s="204"/>
      <c r="B183" s="48" t="s">
        <v>201</v>
      </c>
      <c r="C183" s="113">
        <f>COUNT(D219:D224)</f>
        <v>6</v>
      </c>
      <c r="D183" s="113"/>
      <c r="E183" s="114">
        <f>SUM(D219:D224)</f>
        <v>557.14463999999998</v>
      </c>
      <c r="F183" s="115"/>
      <c r="G183" s="114">
        <f>SUM(F219:F224)</f>
        <v>891.43142399999988</v>
      </c>
      <c r="H183" s="115"/>
    </row>
    <row r="184" spans="1:8" s="32" customFormat="1" x14ac:dyDescent="0.25">
      <c r="A184" s="202" t="s">
        <v>202</v>
      </c>
      <c r="B184" s="48" t="s">
        <v>184</v>
      </c>
      <c r="C184" s="113">
        <f>COUNT(D228:D234)</f>
        <v>7</v>
      </c>
      <c r="D184" s="113"/>
      <c r="E184" s="114">
        <f>SUM(D228:D234)</f>
        <v>975.27739999999994</v>
      </c>
      <c r="F184" s="115"/>
      <c r="G184" s="114">
        <f>SUM(F228:F234)</f>
        <v>1560.4438399999999</v>
      </c>
      <c r="H184" s="115"/>
    </row>
    <row r="185" spans="1:8" s="32" customFormat="1" x14ac:dyDescent="0.25">
      <c r="A185" s="203"/>
      <c r="B185" s="48" t="s">
        <v>201</v>
      </c>
      <c r="C185" s="113">
        <f>COUNT(D237:D243)</f>
        <v>7</v>
      </c>
      <c r="D185" s="113"/>
      <c r="E185" s="114">
        <f>SUM(D237:D243)</f>
        <v>975.32603999999992</v>
      </c>
      <c r="F185" s="115"/>
      <c r="G185" s="114">
        <f>SUM(F237:F243)</f>
        <v>1560.5216640000001</v>
      </c>
      <c r="H185" s="115"/>
    </row>
    <row r="186" spans="1:8" s="32" customFormat="1" x14ac:dyDescent="0.25">
      <c r="A186" s="166" t="s">
        <v>157</v>
      </c>
      <c r="B186" s="166"/>
      <c r="C186" s="165">
        <f>SUM(C182:D185)</f>
        <v>33</v>
      </c>
      <c r="D186" s="165"/>
      <c r="E186" s="116">
        <f>SUM(E182:F185)</f>
        <v>4397.9064799999996</v>
      </c>
      <c r="F186" s="117"/>
      <c r="G186" s="116">
        <f>SUM(G182:H185)</f>
        <v>7036.6503679999987</v>
      </c>
      <c r="H186" s="116"/>
    </row>
    <row r="187" spans="1:8" s="32" customFormat="1" x14ac:dyDescent="0.25">
      <c r="A187" s="166" t="s">
        <v>74</v>
      </c>
      <c r="B187" s="166"/>
      <c r="C187" s="166"/>
      <c r="D187" s="166"/>
      <c r="E187" s="166"/>
      <c r="F187" s="166"/>
      <c r="G187" s="166"/>
      <c r="H187" s="166"/>
    </row>
    <row r="188" spans="1:8" s="32" customFormat="1" ht="15.75" customHeight="1" x14ac:dyDescent="0.25">
      <c r="A188" s="116" t="s">
        <v>56</v>
      </c>
      <c r="B188" s="116"/>
      <c r="C188" s="165" t="s">
        <v>82</v>
      </c>
      <c r="D188" s="165"/>
      <c r="E188" s="117" t="s">
        <v>57</v>
      </c>
      <c r="F188" s="117"/>
      <c r="G188" s="116" t="s">
        <v>58</v>
      </c>
      <c r="H188" s="116"/>
    </row>
    <row r="189" spans="1:8" s="32" customFormat="1" x14ac:dyDescent="0.25">
      <c r="A189" s="202" t="s">
        <v>200</v>
      </c>
      <c r="B189" s="48" t="s">
        <v>184</v>
      </c>
      <c r="C189" s="113">
        <f>COUNT(D250:D253)+COUNT(D255:D258)*3</f>
        <v>16</v>
      </c>
      <c r="D189" s="113"/>
      <c r="E189" s="114">
        <f>SUM(D250:D253)+SUM(D255:D258)*3</f>
        <v>7248.9079289999991</v>
      </c>
      <c r="F189" s="115"/>
      <c r="G189" s="114">
        <f>SUM(F250:F253)+SUM(F255:F258)*3</f>
        <v>10877.919562049998</v>
      </c>
      <c r="H189" s="115"/>
    </row>
    <row r="190" spans="1:8" s="32" customFormat="1" x14ac:dyDescent="0.25">
      <c r="A190" s="204"/>
      <c r="B190" s="48" t="s">
        <v>201</v>
      </c>
      <c r="C190" s="113">
        <f>COUNT(D261:D264)+COUNT(D266:D269)*3</f>
        <v>16</v>
      </c>
      <c r="D190" s="113"/>
      <c r="E190" s="114">
        <f>SUM(D261:D264)+SUM(D266:D269)*3</f>
        <v>7170.2218889999995</v>
      </c>
      <c r="F190" s="115"/>
      <c r="G190" s="114">
        <f>SUM(F261:F264)+SUM(F266:F269)*3</f>
        <v>10543.884889049998</v>
      </c>
      <c r="H190" s="115"/>
    </row>
    <row r="191" spans="1:8" s="32" customFormat="1" x14ac:dyDescent="0.25">
      <c r="A191" s="202" t="s">
        <v>202</v>
      </c>
      <c r="B191" s="48" t="s">
        <v>184</v>
      </c>
      <c r="C191" s="113">
        <f>COUNT(D273:D274,D278)+COUNT(D280:D285)+COUNT(D287:D292)*3</f>
        <v>27</v>
      </c>
      <c r="D191" s="113"/>
      <c r="E191" s="114">
        <f>SUM(D273:D274,D278)+SUM(D280:D285)+SUM(D287:D292)*3</f>
        <v>10399.477139999999</v>
      </c>
      <c r="F191" s="115"/>
      <c r="G191" s="114">
        <f>SUM(F273:F274,F278)+SUM(F280:F285)+SUM(F287:F292)*3</f>
        <v>15254.641233</v>
      </c>
      <c r="H191" s="115"/>
    </row>
    <row r="192" spans="1:8" s="32" customFormat="1" x14ac:dyDescent="0.25">
      <c r="A192" s="203"/>
      <c r="B192" s="48" t="s">
        <v>201</v>
      </c>
      <c r="C192" s="113">
        <f>COUNT(D295:D296,D298:D303)+COUNT(D305:D310)*3</f>
        <v>26</v>
      </c>
      <c r="D192" s="113"/>
      <c r="E192" s="114">
        <f>SUM(D295:D296,D298:D303)+SUM(D305:D310)*3</f>
        <v>10188.152909999997</v>
      </c>
      <c r="F192" s="115"/>
      <c r="G192" s="114">
        <f>SUM(F295:F296,F298:F303)+SUM(F305:F310)*3</f>
        <v>14948.2210995</v>
      </c>
      <c r="H192" s="115"/>
    </row>
    <row r="193" spans="1:14" s="32" customFormat="1" x14ac:dyDescent="0.25">
      <c r="A193" s="204"/>
      <c r="B193" s="48" t="s">
        <v>194</v>
      </c>
      <c r="C193" s="113">
        <f>COUNT(D313:D314,D316:D321)+COUNT(D323:D328)*3</f>
        <v>26</v>
      </c>
      <c r="D193" s="113"/>
      <c r="E193" s="114">
        <f>SUM(D313:D314,D316:D321)+SUM(D323:D328)*3</f>
        <v>10102.821299999998</v>
      </c>
      <c r="F193" s="115"/>
      <c r="G193" s="114">
        <f>SUM(F313:F314,F316:F321)+SUM(F323:F328)*3</f>
        <v>14824.490265</v>
      </c>
      <c r="H193" s="115"/>
    </row>
    <row r="194" spans="1:14" s="32" customFormat="1" x14ac:dyDescent="0.25">
      <c r="A194" s="202" t="s">
        <v>230</v>
      </c>
      <c r="B194" s="48" t="s">
        <v>184</v>
      </c>
      <c r="C194" s="113">
        <f>COUNT(D333:D341)*7</f>
        <v>63</v>
      </c>
      <c r="D194" s="113"/>
      <c r="E194" s="114">
        <f t="shared" ref="E194" si="0">SUM(D333:D341)*7</f>
        <v>26556.940987499998</v>
      </c>
      <c r="F194" s="115"/>
      <c r="G194" s="114">
        <f>SUM(F333:F341)*7</f>
        <v>38507.564431875006</v>
      </c>
      <c r="H194" s="115"/>
    </row>
    <row r="195" spans="1:14" s="32" customFormat="1" x14ac:dyDescent="0.25">
      <c r="A195" s="204"/>
      <c r="B195" s="48" t="s">
        <v>201</v>
      </c>
      <c r="C195" s="113">
        <f>COUNT(D345:D356)*7</f>
        <v>84</v>
      </c>
      <c r="D195" s="113"/>
      <c r="E195" s="114">
        <f t="shared" ref="E195" si="1">SUM(D345:D356)*7</f>
        <v>36389.837946</v>
      </c>
      <c r="F195" s="115"/>
      <c r="G195" s="114">
        <f>SUM(F345:F356)*7</f>
        <v>52765.265021700005</v>
      </c>
      <c r="H195" s="115"/>
    </row>
    <row r="196" spans="1:14" s="32" customFormat="1" x14ac:dyDescent="0.25">
      <c r="A196" s="166" t="s">
        <v>157</v>
      </c>
      <c r="B196" s="166"/>
      <c r="C196" s="165">
        <f>SUM(C189:D195)</f>
        <v>258</v>
      </c>
      <c r="D196" s="165"/>
      <c r="E196" s="116">
        <f>SUM(E189:F195)</f>
        <v>108056.36010149999</v>
      </c>
      <c r="F196" s="117"/>
      <c r="G196" s="116">
        <f>SUM(G189:H195)</f>
        <v>157721.98650217502</v>
      </c>
      <c r="H196" s="116"/>
    </row>
    <row r="197" spans="1:14" s="31" customFormat="1" x14ac:dyDescent="0.25">
      <c r="A197" s="164" t="s">
        <v>59</v>
      </c>
      <c r="B197" s="164"/>
      <c r="C197" s="164"/>
      <c r="D197" s="164"/>
      <c r="E197" s="164"/>
      <c r="F197" s="164"/>
      <c r="G197" s="164"/>
      <c r="H197" s="164"/>
    </row>
    <row r="198" spans="1:14" x14ac:dyDescent="0.25">
      <c r="A198" s="164" t="s">
        <v>60</v>
      </c>
      <c r="B198" s="164"/>
      <c r="C198" s="164"/>
      <c r="D198" s="164"/>
      <c r="E198" s="164"/>
      <c r="F198" s="164"/>
      <c r="G198" s="164"/>
      <c r="H198" s="164"/>
    </row>
    <row r="199" spans="1:14" ht="47.25" customHeight="1" x14ac:dyDescent="0.25">
      <c r="A199" s="170" t="s">
        <v>208</v>
      </c>
      <c r="B199" s="170" t="s">
        <v>124</v>
      </c>
      <c r="C199" s="170" t="s">
        <v>61</v>
      </c>
      <c r="D199" s="170" t="s">
        <v>62</v>
      </c>
      <c r="E199" s="190" t="s">
        <v>162</v>
      </c>
      <c r="F199" s="54" t="s">
        <v>156</v>
      </c>
      <c r="G199" s="192" t="s">
        <v>64</v>
      </c>
      <c r="H199" s="193"/>
    </row>
    <row r="200" spans="1:14" s="34" customFormat="1" x14ac:dyDescent="0.25">
      <c r="A200" s="171"/>
      <c r="B200" s="171"/>
      <c r="C200" s="171"/>
      <c r="D200" s="171"/>
      <c r="E200" s="191"/>
      <c r="F200" s="55">
        <v>0.6</v>
      </c>
      <c r="G200" s="194"/>
      <c r="H200" s="195"/>
    </row>
    <row r="201" spans="1:14" s="34" customFormat="1" x14ac:dyDescent="0.25">
      <c r="A201" s="135" t="s">
        <v>183</v>
      </c>
      <c r="B201" s="136"/>
      <c r="C201" s="136"/>
      <c r="D201" s="136"/>
      <c r="E201" s="136"/>
      <c r="F201" s="136"/>
      <c r="G201" s="136"/>
      <c r="H201" s="137"/>
    </row>
    <row r="202" spans="1:14" s="34" customFormat="1" x14ac:dyDescent="0.25">
      <c r="A202" s="135" t="s">
        <v>184</v>
      </c>
      <c r="B202" s="136"/>
      <c r="C202" s="136"/>
      <c r="D202" s="136"/>
      <c r="E202" s="136"/>
      <c r="F202" s="136"/>
      <c r="G202" s="136"/>
      <c r="H202" s="137"/>
    </row>
    <row r="203" spans="1:14" s="34" customFormat="1" x14ac:dyDescent="0.25">
      <c r="A203" s="135" t="s">
        <v>185</v>
      </c>
      <c r="B203" s="136"/>
      <c r="C203" s="136"/>
      <c r="D203" s="136"/>
      <c r="E203" s="136"/>
      <c r="F203" s="136"/>
      <c r="G203" s="136"/>
      <c r="H203" s="137"/>
      <c r="J203" s="33"/>
    </row>
    <row r="204" spans="1:14" s="34" customFormat="1" ht="15.75" customHeight="1" x14ac:dyDescent="0.25">
      <c r="A204" s="111">
        <v>1</v>
      </c>
      <c r="B204" s="112"/>
      <c r="C204" s="47" t="s">
        <v>186</v>
      </c>
      <c r="D204" s="47">
        <f>10.82*10.764</f>
        <v>116.46647999999999</v>
      </c>
      <c r="E204" s="47">
        <v>0</v>
      </c>
      <c r="F204" s="47">
        <f>(D204+E204)*(($F$200)+1)</f>
        <v>186.34636799999998</v>
      </c>
      <c r="G204" s="196" t="str">
        <f>A203</f>
        <v>Ground Floor for Commercial &amp; Parking</v>
      </c>
      <c r="H204" s="197"/>
      <c r="I204" s="33">
        <f>6500*F204</f>
        <v>1211251.392</v>
      </c>
      <c r="L204" s="129"/>
      <c r="M204" s="129"/>
      <c r="N204" s="33"/>
    </row>
    <row r="205" spans="1:14" s="34" customFormat="1" ht="15.75" customHeight="1" x14ac:dyDescent="0.25">
      <c r="A205" s="111">
        <f t="shared" ref="A205:A216" si="2">A204+1</f>
        <v>2</v>
      </c>
      <c r="B205" s="112"/>
      <c r="C205" s="47" t="s">
        <v>186</v>
      </c>
      <c r="D205" s="47">
        <f>14.53*10.764</f>
        <v>156.40091999999999</v>
      </c>
      <c r="E205" s="47">
        <v>0</v>
      </c>
      <c r="F205" s="47">
        <f t="shared" ref="F205:F207" si="3">(D205+E205)*(($F$200)+1)</f>
        <v>250.24147199999999</v>
      </c>
      <c r="G205" s="198"/>
      <c r="H205" s="199"/>
      <c r="I205" s="33">
        <f t="shared" ref="I205:I216" si="4">6500*F205</f>
        <v>1626569.568</v>
      </c>
      <c r="L205" s="129"/>
      <c r="M205" s="129"/>
      <c r="N205" s="33"/>
    </row>
    <row r="206" spans="1:14" s="34" customFormat="1" ht="15.75" customHeight="1" x14ac:dyDescent="0.25">
      <c r="A206" s="111">
        <f t="shared" si="2"/>
        <v>3</v>
      </c>
      <c r="B206" s="112"/>
      <c r="C206" s="47" t="s">
        <v>186</v>
      </c>
      <c r="D206" s="47">
        <f>11.88*10.764</f>
        <v>127.87632000000001</v>
      </c>
      <c r="E206" s="47">
        <v>0</v>
      </c>
      <c r="F206" s="47">
        <f t="shared" si="3"/>
        <v>204.60211200000003</v>
      </c>
      <c r="G206" s="198"/>
      <c r="H206" s="199"/>
      <c r="I206" s="33">
        <f t="shared" si="4"/>
        <v>1329913.7280000001</v>
      </c>
      <c r="L206" s="129"/>
      <c r="M206" s="129"/>
      <c r="N206" s="33"/>
    </row>
    <row r="207" spans="1:14" s="34" customFormat="1" ht="15.75" customHeight="1" x14ac:dyDescent="0.25">
      <c r="A207" s="111">
        <f t="shared" si="2"/>
        <v>4</v>
      </c>
      <c r="B207" s="112"/>
      <c r="C207" s="47" t="s">
        <v>186</v>
      </c>
      <c r="D207" s="47">
        <f t="shared" ref="D207:D208" si="5">14.53*10.764</f>
        <v>156.40091999999999</v>
      </c>
      <c r="E207" s="47">
        <v>0</v>
      </c>
      <c r="F207" s="47">
        <f t="shared" si="3"/>
        <v>250.24147199999999</v>
      </c>
      <c r="G207" s="198"/>
      <c r="H207" s="199"/>
      <c r="I207" s="33">
        <f t="shared" si="4"/>
        <v>1626569.568</v>
      </c>
      <c r="L207" s="129"/>
      <c r="M207" s="129"/>
      <c r="N207" s="33"/>
    </row>
    <row r="208" spans="1:14" s="34" customFormat="1" ht="15.75" customHeight="1" x14ac:dyDescent="0.25">
      <c r="A208" s="111">
        <f t="shared" si="2"/>
        <v>5</v>
      </c>
      <c r="B208" s="112"/>
      <c r="C208" s="47" t="s">
        <v>186</v>
      </c>
      <c r="D208" s="47">
        <f t="shared" si="5"/>
        <v>156.40091999999999</v>
      </c>
      <c r="E208" s="47">
        <v>0</v>
      </c>
      <c r="F208" s="47">
        <f t="shared" ref="F208:F213" si="6">(D208+E208)*(($F$200)+1)</f>
        <v>250.24147199999999</v>
      </c>
      <c r="G208" s="198"/>
      <c r="H208" s="199"/>
      <c r="I208" s="33">
        <f t="shared" si="4"/>
        <v>1626569.568</v>
      </c>
      <c r="L208" s="129"/>
      <c r="M208" s="129"/>
      <c r="N208" s="33"/>
    </row>
    <row r="209" spans="1:14" s="34" customFormat="1" ht="15.75" customHeight="1" x14ac:dyDescent="0.25">
      <c r="A209" s="111">
        <f t="shared" si="2"/>
        <v>6</v>
      </c>
      <c r="B209" s="112"/>
      <c r="C209" s="47" t="s">
        <v>186</v>
      </c>
      <c r="D209" s="47">
        <f>11.88*10.764</f>
        <v>127.87632000000001</v>
      </c>
      <c r="E209" s="47">
        <v>0</v>
      </c>
      <c r="F209" s="47">
        <f t="shared" si="6"/>
        <v>204.60211200000003</v>
      </c>
      <c r="G209" s="198"/>
      <c r="H209" s="199"/>
      <c r="I209" s="33">
        <f t="shared" si="4"/>
        <v>1329913.7280000001</v>
      </c>
      <c r="L209" s="129"/>
      <c r="M209" s="129"/>
      <c r="N209" s="33"/>
    </row>
    <row r="210" spans="1:14" s="34" customFormat="1" ht="15.75" customHeight="1" x14ac:dyDescent="0.25">
      <c r="A210" s="111">
        <f t="shared" si="2"/>
        <v>7</v>
      </c>
      <c r="B210" s="112"/>
      <c r="C210" s="47" t="s">
        <v>186</v>
      </c>
      <c r="D210" s="47">
        <f t="shared" ref="D210:D211" si="7">14.53*10.764</f>
        <v>156.40091999999999</v>
      </c>
      <c r="E210" s="47">
        <v>0</v>
      </c>
      <c r="F210" s="47">
        <f t="shared" si="6"/>
        <v>250.24147199999999</v>
      </c>
      <c r="G210" s="198"/>
      <c r="H210" s="199"/>
      <c r="I210" s="33">
        <f t="shared" si="4"/>
        <v>1626569.568</v>
      </c>
      <c r="L210" s="129"/>
      <c r="M210" s="129"/>
      <c r="N210" s="33"/>
    </row>
    <row r="211" spans="1:14" s="34" customFormat="1" ht="15.75" customHeight="1" x14ac:dyDescent="0.25">
      <c r="A211" s="111">
        <f t="shared" si="2"/>
        <v>8</v>
      </c>
      <c r="B211" s="112"/>
      <c r="C211" s="47" t="s">
        <v>186</v>
      </c>
      <c r="D211" s="47">
        <f t="shared" si="7"/>
        <v>156.40091999999999</v>
      </c>
      <c r="E211" s="47">
        <v>0</v>
      </c>
      <c r="F211" s="47">
        <f t="shared" si="6"/>
        <v>250.24147199999999</v>
      </c>
      <c r="G211" s="198"/>
      <c r="H211" s="199"/>
      <c r="I211" s="33">
        <f t="shared" si="4"/>
        <v>1626569.568</v>
      </c>
      <c r="L211" s="129"/>
      <c r="M211" s="129"/>
      <c r="N211" s="33"/>
    </row>
    <row r="212" spans="1:14" s="34" customFormat="1" ht="15.75" customHeight="1" x14ac:dyDescent="0.25">
      <c r="A212" s="111">
        <f t="shared" si="2"/>
        <v>9</v>
      </c>
      <c r="B212" s="112"/>
      <c r="C212" s="47" t="s">
        <v>186</v>
      </c>
      <c r="D212" s="47">
        <f>11.35*10.764</f>
        <v>122.17139999999999</v>
      </c>
      <c r="E212" s="47">
        <v>0</v>
      </c>
      <c r="F212" s="47">
        <f t="shared" si="6"/>
        <v>195.47424000000001</v>
      </c>
      <c r="G212" s="198"/>
      <c r="H212" s="199"/>
      <c r="I212" s="33">
        <f t="shared" si="4"/>
        <v>1270582.56</v>
      </c>
      <c r="L212" s="129"/>
      <c r="M212" s="129"/>
      <c r="N212" s="33"/>
    </row>
    <row r="213" spans="1:14" s="34" customFormat="1" ht="15.75" customHeight="1" x14ac:dyDescent="0.25">
      <c r="A213" s="111">
        <f t="shared" si="2"/>
        <v>10</v>
      </c>
      <c r="B213" s="112"/>
      <c r="C213" s="47" t="s">
        <v>186</v>
      </c>
      <c r="D213" s="47">
        <f>14.53*10.764</f>
        <v>156.40091999999999</v>
      </c>
      <c r="E213" s="47">
        <v>0</v>
      </c>
      <c r="F213" s="47">
        <f t="shared" si="6"/>
        <v>250.24147199999999</v>
      </c>
      <c r="G213" s="198"/>
      <c r="H213" s="199"/>
      <c r="I213" s="33">
        <f t="shared" si="4"/>
        <v>1626569.568</v>
      </c>
      <c r="L213" s="129"/>
      <c r="M213" s="129"/>
      <c r="N213" s="33"/>
    </row>
    <row r="214" spans="1:14" s="34" customFormat="1" ht="15.75" customHeight="1" x14ac:dyDescent="0.25">
      <c r="A214" s="111">
        <f t="shared" si="2"/>
        <v>11</v>
      </c>
      <c r="B214" s="112"/>
      <c r="C214" s="47" t="s">
        <v>186</v>
      </c>
      <c r="D214" s="47">
        <f>22.82*10.764</f>
        <v>245.63448</v>
      </c>
      <c r="E214" s="47">
        <v>0</v>
      </c>
      <c r="F214" s="47">
        <f t="shared" ref="F214:F216" si="8">(D214+E214)*(($F$200)+1)</f>
        <v>393.01516800000002</v>
      </c>
      <c r="G214" s="198"/>
      <c r="H214" s="199"/>
      <c r="I214" s="33">
        <f t="shared" si="4"/>
        <v>2554598.5920000002</v>
      </c>
      <c r="L214" s="129"/>
      <c r="M214" s="129"/>
      <c r="N214" s="33"/>
    </row>
    <row r="215" spans="1:14" s="34" customFormat="1" ht="15.75" customHeight="1" x14ac:dyDescent="0.25">
      <c r="A215" s="111">
        <f t="shared" si="2"/>
        <v>12</v>
      </c>
      <c r="B215" s="112"/>
      <c r="C215" s="47" t="s">
        <v>186</v>
      </c>
      <c r="D215" s="47">
        <f>8.65*10.764</f>
        <v>93.108599999999996</v>
      </c>
      <c r="E215" s="47">
        <v>0</v>
      </c>
      <c r="F215" s="47">
        <f t="shared" si="8"/>
        <v>148.97376</v>
      </c>
      <c r="G215" s="198"/>
      <c r="H215" s="199"/>
      <c r="I215" s="33">
        <f t="shared" si="4"/>
        <v>968329.44</v>
      </c>
      <c r="L215" s="129"/>
      <c r="M215" s="129"/>
      <c r="N215" s="33"/>
    </row>
    <row r="216" spans="1:14" s="34" customFormat="1" ht="15.75" customHeight="1" x14ac:dyDescent="0.25">
      <c r="A216" s="111">
        <f t="shared" si="2"/>
        <v>13</v>
      </c>
      <c r="B216" s="112"/>
      <c r="C216" s="47" t="s">
        <v>186</v>
      </c>
      <c r="D216" s="47">
        <f>11.02*10.764</f>
        <v>118.61927999999999</v>
      </c>
      <c r="E216" s="47">
        <v>0</v>
      </c>
      <c r="F216" s="47">
        <f t="shared" si="8"/>
        <v>189.79084799999998</v>
      </c>
      <c r="G216" s="200"/>
      <c r="H216" s="201"/>
      <c r="I216" s="33">
        <f t="shared" si="4"/>
        <v>1233640.5119999999</v>
      </c>
      <c r="L216" s="129"/>
      <c r="M216" s="129"/>
      <c r="N216" s="33"/>
    </row>
    <row r="217" spans="1:14" s="34" customFormat="1" x14ac:dyDescent="0.25">
      <c r="A217" s="135" t="s">
        <v>191</v>
      </c>
      <c r="B217" s="136"/>
      <c r="C217" s="136"/>
      <c r="D217" s="136"/>
      <c r="E217" s="136"/>
      <c r="F217" s="136"/>
      <c r="G217" s="136"/>
      <c r="H217" s="137"/>
    </row>
    <row r="218" spans="1:14" s="34" customFormat="1" x14ac:dyDescent="0.25">
      <c r="A218" s="135" t="s">
        <v>185</v>
      </c>
      <c r="B218" s="136"/>
      <c r="C218" s="136"/>
      <c r="D218" s="136"/>
      <c r="E218" s="136"/>
      <c r="F218" s="136"/>
      <c r="G218" s="136"/>
      <c r="H218" s="137"/>
      <c r="J218" s="33"/>
    </row>
    <row r="219" spans="1:14" s="34" customFormat="1" ht="15.75" customHeight="1" x14ac:dyDescent="0.25">
      <c r="A219" s="111">
        <v>14</v>
      </c>
      <c r="B219" s="112"/>
      <c r="C219" s="47" t="s">
        <v>186</v>
      </c>
      <c r="D219" s="47">
        <f>6.96*10.764</f>
        <v>74.917439999999999</v>
      </c>
      <c r="E219" s="47">
        <v>0</v>
      </c>
      <c r="F219" s="47">
        <f>(D219+E219)*(($F$200)+1)</f>
        <v>119.86790400000001</v>
      </c>
      <c r="G219" s="196" t="str">
        <f>A218</f>
        <v>Ground Floor for Commercial &amp; Parking</v>
      </c>
      <c r="H219" s="197"/>
      <c r="I219" s="33"/>
      <c r="L219" s="129"/>
      <c r="M219" s="129"/>
      <c r="N219" s="33"/>
    </row>
    <row r="220" spans="1:14" s="34" customFormat="1" ht="15.75" customHeight="1" x14ac:dyDescent="0.25">
      <c r="A220" s="111">
        <f t="shared" ref="A220:A224" si="9">A219+1</f>
        <v>15</v>
      </c>
      <c r="B220" s="112"/>
      <c r="C220" s="47" t="s">
        <v>186</v>
      </c>
      <c r="D220" s="47">
        <f>8.51*10.764</f>
        <v>91.601639999999989</v>
      </c>
      <c r="E220" s="47">
        <v>0</v>
      </c>
      <c r="F220" s="47">
        <f t="shared" ref="F220:F224" si="10">(D220+E220)*(($F$200)+1)</f>
        <v>146.562624</v>
      </c>
      <c r="G220" s="198"/>
      <c r="H220" s="199"/>
      <c r="I220" s="33"/>
      <c r="L220" s="129"/>
      <c r="M220" s="129"/>
      <c r="N220" s="33"/>
    </row>
    <row r="221" spans="1:14" s="34" customFormat="1" ht="15.75" customHeight="1" x14ac:dyDescent="0.25">
      <c r="A221" s="111">
        <f t="shared" si="9"/>
        <v>16</v>
      </c>
      <c r="B221" s="112"/>
      <c r="C221" s="47" t="s">
        <v>186</v>
      </c>
      <c r="D221" s="47">
        <f>10.41*10.764</f>
        <v>112.05323999999999</v>
      </c>
      <c r="E221" s="47">
        <v>0</v>
      </c>
      <c r="F221" s="47">
        <f t="shared" si="10"/>
        <v>179.28518399999999</v>
      </c>
      <c r="G221" s="198"/>
      <c r="H221" s="199"/>
      <c r="I221" s="33"/>
      <c r="L221" s="129"/>
      <c r="M221" s="129"/>
      <c r="N221" s="33"/>
    </row>
    <row r="222" spans="1:14" s="34" customFormat="1" ht="15.75" customHeight="1" x14ac:dyDescent="0.25">
      <c r="A222" s="111">
        <f t="shared" si="9"/>
        <v>17</v>
      </c>
      <c r="B222" s="112"/>
      <c r="C222" s="47" t="s">
        <v>186</v>
      </c>
      <c r="D222" s="47">
        <f>10.41*10.764</f>
        <v>112.05323999999999</v>
      </c>
      <c r="E222" s="47">
        <v>0</v>
      </c>
      <c r="F222" s="47">
        <f t="shared" si="10"/>
        <v>179.28518399999999</v>
      </c>
      <c r="G222" s="198"/>
      <c r="H222" s="199"/>
      <c r="I222" s="33"/>
      <c r="L222" s="129"/>
      <c r="M222" s="129"/>
      <c r="N222" s="33"/>
    </row>
    <row r="223" spans="1:14" s="34" customFormat="1" ht="15.75" customHeight="1" x14ac:dyDescent="0.25">
      <c r="A223" s="111">
        <f t="shared" si="9"/>
        <v>18</v>
      </c>
      <c r="B223" s="112"/>
      <c r="C223" s="47" t="s">
        <v>186</v>
      </c>
      <c r="D223" s="47">
        <f>8.51*10.764</f>
        <v>91.601639999999989</v>
      </c>
      <c r="E223" s="47">
        <v>0</v>
      </c>
      <c r="F223" s="47">
        <f t="shared" si="10"/>
        <v>146.562624</v>
      </c>
      <c r="G223" s="198"/>
      <c r="H223" s="199"/>
      <c r="I223" s="33"/>
      <c r="L223" s="129"/>
      <c r="M223" s="129"/>
      <c r="N223" s="33"/>
    </row>
    <row r="224" spans="1:14" s="34" customFormat="1" ht="15.75" customHeight="1" x14ac:dyDescent="0.25">
      <c r="A224" s="111">
        <f t="shared" si="9"/>
        <v>19</v>
      </c>
      <c r="B224" s="112"/>
      <c r="C224" s="47" t="s">
        <v>186</v>
      </c>
      <c r="D224" s="47">
        <f>6.96*10.764</f>
        <v>74.917439999999999</v>
      </c>
      <c r="E224" s="47">
        <v>0</v>
      </c>
      <c r="F224" s="47">
        <f t="shared" si="10"/>
        <v>119.86790400000001</v>
      </c>
      <c r="G224" s="200"/>
      <c r="H224" s="201"/>
      <c r="I224" s="33"/>
      <c r="L224" s="129"/>
      <c r="M224" s="129"/>
      <c r="N224" s="33"/>
    </row>
    <row r="225" spans="1:14" s="34" customFormat="1" x14ac:dyDescent="0.25">
      <c r="A225" s="135" t="s">
        <v>193</v>
      </c>
      <c r="B225" s="136"/>
      <c r="C225" s="136"/>
      <c r="D225" s="136"/>
      <c r="E225" s="136"/>
      <c r="F225" s="136"/>
      <c r="G225" s="136"/>
      <c r="H225" s="137"/>
    </row>
    <row r="226" spans="1:14" s="34" customFormat="1" x14ac:dyDescent="0.25">
      <c r="A226" s="135" t="s">
        <v>191</v>
      </c>
      <c r="B226" s="136"/>
      <c r="C226" s="136"/>
      <c r="D226" s="136"/>
      <c r="E226" s="136"/>
      <c r="F226" s="136"/>
      <c r="G226" s="136"/>
      <c r="H226" s="137"/>
      <c r="J226" s="33"/>
    </row>
    <row r="227" spans="1:14" s="34" customFormat="1" x14ac:dyDescent="0.25">
      <c r="A227" s="135" t="s">
        <v>185</v>
      </c>
      <c r="B227" s="136"/>
      <c r="C227" s="136"/>
      <c r="D227" s="136"/>
      <c r="E227" s="136"/>
      <c r="F227" s="136"/>
      <c r="G227" s="136"/>
      <c r="H227" s="137"/>
      <c r="I227" s="33"/>
      <c r="L227" s="129"/>
      <c r="M227" s="129"/>
      <c r="N227" s="33"/>
    </row>
    <row r="228" spans="1:14" s="34" customFormat="1" ht="15.75" customHeight="1" x14ac:dyDescent="0.25">
      <c r="A228" s="111">
        <v>8</v>
      </c>
      <c r="B228" s="112"/>
      <c r="C228" s="47" t="s">
        <v>186</v>
      </c>
      <c r="D228" s="47">
        <f>16.59*10.764</f>
        <v>178.57476</v>
      </c>
      <c r="E228" s="47">
        <v>0</v>
      </c>
      <c r="F228" s="47">
        <f>(D228+E228)*(($F$200)+1)</f>
        <v>285.71961600000003</v>
      </c>
      <c r="G228" s="196" t="str">
        <f>A227</f>
        <v>Ground Floor for Commercial &amp; Parking</v>
      </c>
      <c r="H228" s="197"/>
      <c r="I228" s="33"/>
      <c r="L228" s="129"/>
      <c r="M228" s="129"/>
      <c r="N228" s="33"/>
    </row>
    <row r="229" spans="1:14" s="34" customFormat="1" ht="15.75" customHeight="1" x14ac:dyDescent="0.25">
      <c r="A229" s="111">
        <f t="shared" ref="A229:A234" si="11">A228+1</f>
        <v>9</v>
      </c>
      <c r="B229" s="112"/>
      <c r="C229" s="47" t="s">
        <v>186</v>
      </c>
      <c r="D229" s="47">
        <f>11.75*10.764</f>
        <v>126.47699999999999</v>
      </c>
      <c r="E229" s="47">
        <v>0</v>
      </c>
      <c r="F229" s="47">
        <f t="shared" ref="F229:F233" si="12">(D229+E229)*(($F$200)+1)</f>
        <v>202.36320000000001</v>
      </c>
      <c r="G229" s="198"/>
      <c r="H229" s="199"/>
      <c r="I229" s="33"/>
      <c r="L229" s="129"/>
      <c r="M229" s="129"/>
      <c r="N229" s="33"/>
    </row>
    <row r="230" spans="1:14" s="34" customFormat="1" ht="15.75" customHeight="1" x14ac:dyDescent="0.25">
      <c r="A230" s="111">
        <f t="shared" si="11"/>
        <v>10</v>
      </c>
      <c r="B230" s="112"/>
      <c r="C230" s="47" t="s">
        <v>186</v>
      </c>
      <c r="D230" s="47">
        <f>14.29*10.764</f>
        <v>153.81755999999999</v>
      </c>
      <c r="E230" s="47">
        <v>0</v>
      </c>
      <c r="F230" s="47">
        <f t="shared" si="12"/>
        <v>246.10809599999999</v>
      </c>
      <c r="G230" s="198"/>
      <c r="H230" s="199"/>
      <c r="I230" s="33"/>
      <c r="L230" s="129"/>
      <c r="M230" s="129"/>
      <c r="N230" s="33"/>
    </row>
    <row r="231" spans="1:14" s="34" customFormat="1" ht="15.75" customHeight="1" x14ac:dyDescent="0.25">
      <c r="A231" s="111">
        <f t="shared" si="11"/>
        <v>11</v>
      </c>
      <c r="B231" s="112"/>
      <c r="C231" s="47" t="s">
        <v>186</v>
      </c>
      <c r="D231" s="47">
        <f>12.88*10.764</f>
        <v>138.64032</v>
      </c>
      <c r="E231" s="47">
        <v>0</v>
      </c>
      <c r="F231" s="47">
        <f t="shared" si="12"/>
        <v>221.82451200000003</v>
      </c>
      <c r="G231" s="198"/>
      <c r="H231" s="199"/>
      <c r="I231" s="33"/>
      <c r="L231" s="129"/>
      <c r="M231" s="129"/>
      <c r="N231" s="33"/>
    </row>
    <row r="232" spans="1:14" s="34" customFormat="1" ht="15.75" customHeight="1" x14ac:dyDescent="0.25">
      <c r="A232" s="111">
        <f t="shared" si="11"/>
        <v>12</v>
      </c>
      <c r="B232" s="112"/>
      <c r="C232" s="47" t="s">
        <v>186</v>
      </c>
      <c r="D232" s="47">
        <f>10.06*10.764</f>
        <v>108.28583999999999</v>
      </c>
      <c r="E232" s="47">
        <v>0</v>
      </c>
      <c r="F232" s="47">
        <f t="shared" si="12"/>
        <v>173.25734399999999</v>
      </c>
      <c r="G232" s="198"/>
      <c r="H232" s="199"/>
      <c r="I232" s="33"/>
      <c r="L232" s="129"/>
      <c r="M232" s="129"/>
      <c r="N232" s="33"/>
    </row>
    <row r="233" spans="1:14" s="34" customFormat="1" ht="15.75" customHeight="1" x14ac:dyDescent="0.25">
      <c r="A233" s="111">
        <f t="shared" si="11"/>
        <v>13</v>
      </c>
      <c r="B233" s="112"/>
      <c r="C233" s="47" t="s">
        <v>186</v>
      </c>
      <c r="D233" s="47">
        <f>12.16*10.76</f>
        <v>130.8416</v>
      </c>
      <c r="E233" s="47">
        <v>0</v>
      </c>
      <c r="F233" s="47">
        <f t="shared" si="12"/>
        <v>209.34656000000001</v>
      </c>
      <c r="G233" s="198"/>
      <c r="H233" s="199"/>
      <c r="I233" s="33"/>
      <c r="N233" s="33"/>
    </row>
    <row r="234" spans="1:14" s="34" customFormat="1" ht="15.75" customHeight="1" x14ac:dyDescent="0.25">
      <c r="A234" s="111">
        <f t="shared" si="11"/>
        <v>14</v>
      </c>
      <c r="B234" s="112"/>
      <c r="C234" s="47" t="s">
        <v>186</v>
      </c>
      <c r="D234" s="47">
        <f>12.88*10.764</f>
        <v>138.64032</v>
      </c>
      <c r="E234" s="47">
        <v>0</v>
      </c>
      <c r="F234" s="47">
        <f t="shared" ref="F234" si="13">(D234+E234)*(($F$200)+1)</f>
        <v>221.82451200000003</v>
      </c>
      <c r="G234" s="200"/>
      <c r="H234" s="201"/>
      <c r="I234" s="33"/>
      <c r="N234" s="33"/>
    </row>
    <row r="235" spans="1:14" s="34" customFormat="1" x14ac:dyDescent="0.25">
      <c r="A235" s="135" t="s">
        <v>194</v>
      </c>
      <c r="B235" s="136"/>
      <c r="C235" s="136"/>
      <c r="D235" s="136"/>
      <c r="E235" s="136"/>
      <c r="F235" s="136"/>
      <c r="G235" s="136"/>
      <c r="H235" s="137"/>
      <c r="J235" s="33"/>
    </row>
    <row r="236" spans="1:14" s="34" customFormat="1" x14ac:dyDescent="0.25">
      <c r="A236" s="120" t="s">
        <v>185</v>
      </c>
      <c r="B236" s="121"/>
      <c r="C236" s="121"/>
      <c r="D236" s="121"/>
      <c r="E236" s="121"/>
      <c r="F236" s="121"/>
      <c r="G236" s="121"/>
      <c r="H236" s="122"/>
      <c r="I236" s="33"/>
      <c r="L236" s="129"/>
      <c r="M236" s="129"/>
      <c r="N236" s="33"/>
    </row>
    <row r="237" spans="1:14" s="34" customFormat="1" ht="15.75" customHeight="1" x14ac:dyDescent="0.25">
      <c r="A237" s="118">
        <v>1</v>
      </c>
      <c r="B237" s="119"/>
      <c r="C237" s="39" t="s">
        <v>186</v>
      </c>
      <c r="D237" s="39">
        <f>12.88*10.764</f>
        <v>138.64032</v>
      </c>
      <c r="E237" s="39">
        <v>0</v>
      </c>
      <c r="F237" s="39">
        <f>(D237+E237)*(($F$200)+1)</f>
        <v>221.82451200000003</v>
      </c>
      <c r="G237" s="123" t="str">
        <f>A236</f>
        <v>Ground Floor for Commercial &amp; Parking</v>
      </c>
      <c r="H237" s="124"/>
      <c r="I237" s="33"/>
      <c r="L237" s="129"/>
      <c r="M237" s="129"/>
      <c r="N237" s="33"/>
    </row>
    <row r="238" spans="1:14" s="34" customFormat="1" ht="15.75" customHeight="1" x14ac:dyDescent="0.25">
      <c r="A238" s="118">
        <f t="shared" ref="A238:A243" si="14">A237+1</f>
        <v>2</v>
      </c>
      <c r="B238" s="119"/>
      <c r="C238" s="39" t="s">
        <v>186</v>
      </c>
      <c r="D238" s="39">
        <f>12.16*10.764</f>
        <v>130.89024000000001</v>
      </c>
      <c r="E238" s="39">
        <v>0</v>
      </c>
      <c r="F238" s="39">
        <f t="shared" ref="F238:F243" si="15">(D238+E238)*(($F$200)+1)</f>
        <v>209.42438400000003</v>
      </c>
      <c r="G238" s="125"/>
      <c r="H238" s="126"/>
      <c r="I238" s="33"/>
      <c r="L238" s="129"/>
      <c r="M238" s="129"/>
      <c r="N238" s="33"/>
    </row>
    <row r="239" spans="1:14" s="34" customFormat="1" ht="15.75" customHeight="1" x14ac:dyDescent="0.25">
      <c r="A239" s="118">
        <f t="shared" si="14"/>
        <v>3</v>
      </c>
      <c r="B239" s="119"/>
      <c r="C239" s="39" t="s">
        <v>186</v>
      </c>
      <c r="D239" s="39">
        <f>10.06*10.764</f>
        <v>108.28583999999999</v>
      </c>
      <c r="E239" s="39">
        <v>0</v>
      </c>
      <c r="F239" s="39">
        <f t="shared" si="15"/>
        <v>173.25734399999999</v>
      </c>
      <c r="G239" s="125"/>
      <c r="H239" s="126"/>
      <c r="I239" s="33"/>
      <c r="L239" s="129"/>
      <c r="M239" s="129"/>
      <c r="N239" s="33"/>
    </row>
    <row r="240" spans="1:14" s="34" customFormat="1" ht="15.75" customHeight="1" x14ac:dyDescent="0.25">
      <c r="A240" s="118">
        <f t="shared" si="14"/>
        <v>4</v>
      </c>
      <c r="B240" s="119"/>
      <c r="C240" s="39" t="s">
        <v>186</v>
      </c>
      <c r="D240" s="39">
        <f>12.88*10.764</f>
        <v>138.64032</v>
      </c>
      <c r="E240" s="39">
        <v>0</v>
      </c>
      <c r="F240" s="39">
        <f t="shared" si="15"/>
        <v>221.82451200000003</v>
      </c>
      <c r="G240" s="125"/>
      <c r="H240" s="126"/>
      <c r="I240" s="33"/>
      <c r="L240" s="129"/>
      <c r="M240" s="129"/>
      <c r="N240" s="33"/>
    </row>
    <row r="241" spans="1:14" s="34" customFormat="1" ht="15.75" customHeight="1" x14ac:dyDescent="0.25">
      <c r="A241" s="118">
        <f t="shared" si="14"/>
        <v>5</v>
      </c>
      <c r="B241" s="119"/>
      <c r="C241" s="39" t="s">
        <v>186</v>
      </c>
      <c r="D241" s="39">
        <f>14.29*10.764</f>
        <v>153.81755999999999</v>
      </c>
      <c r="E241" s="39">
        <v>0</v>
      </c>
      <c r="F241" s="39">
        <f t="shared" si="15"/>
        <v>246.10809599999999</v>
      </c>
      <c r="G241" s="125"/>
      <c r="H241" s="126"/>
      <c r="I241" s="33"/>
      <c r="L241" s="129"/>
      <c r="M241" s="129"/>
      <c r="N241" s="33"/>
    </row>
    <row r="242" spans="1:14" s="34" customFormat="1" ht="15.75" customHeight="1" x14ac:dyDescent="0.25">
      <c r="A242" s="118">
        <f t="shared" si="14"/>
        <v>6</v>
      </c>
      <c r="B242" s="119"/>
      <c r="C242" s="39" t="s">
        <v>186</v>
      </c>
      <c r="D242" s="39">
        <f>11.75*10.764</f>
        <v>126.47699999999999</v>
      </c>
      <c r="E242" s="39">
        <v>0</v>
      </c>
      <c r="F242" s="39">
        <f t="shared" si="15"/>
        <v>202.36320000000001</v>
      </c>
      <c r="G242" s="125"/>
      <c r="H242" s="126"/>
      <c r="I242" s="33"/>
      <c r="N242" s="33"/>
    </row>
    <row r="243" spans="1:14" s="34" customFormat="1" ht="15.75" customHeight="1" x14ac:dyDescent="0.25">
      <c r="A243" s="118">
        <f t="shared" si="14"/>
        <v>7</v>
      </c>
      <c r="B243" s="119"/>
      <c r="C243" s="39" t="s">
        <v>186</v>
      </c>
      <c r="D243" s="39">
        <f>16.59*10.764</f>
        <v>178.57476</v>
      </c>
      <c r="E243" s="39">
        <v>0</v>
      </c>
      <c r="F243" s="39">
        <f t="shared" si="15"/>
        <v>285.71961600000003</v>
      </c>
      <c r="G243" s="127"/>
      <c r="H243" s="128"/>
      <c r="I243" s="33"/>
      <c r="N243" s="33"/>
    </row>
    <row r="244" spans="1:14" x14ac:dyDescent="0.25">
      <c r="A244" s="118"/>
      <c r="B244" s="138"/>
      <c r="C244" s="138"/>
      <c r="D244" s="138"/>
      <c r="E244" s="138"/>
      <c r="F244" s="138"/>
      <c r="G244" s="138"/>
      <c r="H244" s="119"/>
      <c r="I244" s="33"/>
    </row>
    <row r="245" spans="1:14" s="34" customFormat="1" ht="47.25" x14ac:dyDescent="0.25">
      <c r="A245" s="147" t="s">
        <v>125</v>
      </c>
      <c r="B245" s="147" t="s">
        <v>126</v>
      </c>
      <c r="C245" s="147" t="s">
        <v>61</v>
      </c>
      <c r="D245" s="147" t="s">
        <v>62</v>
      </c>
      <c r="E245" s="149" t="s">
        <v>63</v>
      </c>
      <c r="F245" s="40" t="s">
        <v>156</v>
      </c>
      <c r="G245" s="151" t="s">
        <v>64</v>
      </c>
      <c r="H245" s="152"/>
      <c r="I245" s="33"/>
    </row>
    <row r="246" spans="1:14" s="34" customFormat="1" x14ac:dyDescent="0.25">
      <c r="A246" s="148"/>
      <c r="B246" s="148"/>
      <c r="C246" s="148"/>
      <c r="D246" s="148"/>
      <c r="E246" s="150"/>
      <c r="F246" s="13">
        <v>0.45</v>
      </c>
      <c r="G246" s="153"/>
      <c r="H246" s="154"/>
      <c r="I246" s="33"/>
    </row>
    <row r="247" spans="1:14" s="34" customFormat="1" x14ac:dyDescent="0.25">
      <c r="A247" s="130" t="s">
        <v>192</v>
      </c>
      <c r="B247" s="130"/>
      <c r="C247" s="130"/>
      <c r="D247" s="130"/>
      <c r="E247" s="130"/>
      <c r="F247" s="130"/>
      <c r="G247" s="130"/>
      <c r="H247" s="130"/>
      <c r="I247" s="33"/>
    </row>
    <row r="248" spans="1:14" s="34" customFormat="1" x14ac:dyDescent="0.25">
      <c r="A248" s="130" t="s">
        <v>184</v>
      </c>
      <c r="B248" s="130"/>
      <c r="C248" s="130"/>
      <c r="D248" s="130"/>
      <c r="E248" s="130"/>
      <c r="F248" s="130"/>
      <c r="G248" s="130"/>
      <c r="H248" s="130"/>
      <c r="I248" s="33">
        <f>(3.25*2.8+1.2*1.35+0.55*1.35+2.2*2.2+1.2*1.95+2.75*2.75+2.4*2.75+0.9*1.25+0.9*1.8+2.05*1.2+1.2*1.95+(2.95+2.35+2.9)*1)</f>
        <v>48.55</v>
      </c>
      <c r="L248" s="129"/>
      <c r="M248" s="129"/>
      <c r="N248" s="33"/>
    </row>
    <row r="249" spans="1:14" s="34" customFormat="1" x14ac:dyDescent="0.25">
      <c r="A249" s="130" t="s">
        <v>189</v>
      </c>
      <c r="B249" s="130"/>
      <c r="C249" s="130"/>
      <c r="D249" s="130"/>
      <c r="E249" s="130"/>
      <c r="F249" s="130"/>
      <c r="G249" s="130"/>
      <c r="H249" s="130"/>
      <c r="I249" s="33"/>
      <c r="L249" s="129"/>
      <c r="M249" s="129"/>
      <c r="N249" s="33"/>
    </row>
    <row r="250" spans="1:14" s="34" customFormat="1" ht="15.75" customHeight="1" x14ac:dyDescent="0.25">
      <c r="A250" s="134">
        <v>101</v>
      </c>
      <c r="B250" s="134"/>
      <c r="C250" s="39" t="s">
        <v>187</v>
      </c>
      <c r="D250" s="39">
        <f>(46.85)*10.7646</f>
        <v>504.32150999999999</v>
      </c>
      <c r="E250" s="39">
        <f>(2.5+2.8+1.8*2.35+1.2*3.05+1.5*4+3.55*1.2)*10.764</f>
        <v>252.41580000000002</v>
      </c>
      <c r="F250" s="39">
        <f>D250*(($F$246)+1)+(IF(E250&lt;101,E250,IF(E250&lt;201,E250/2,IF(E250&lt;=301,E250/3,E250/4))))</f>
        <v>815.40478949999999</v>
      </c>
      <c r="G250" s="134" t="str">
        <f>A249</f>
        <v>1st Floor for Residential</v>
      </c>
      <c r="H250" s="134"/>
      <c r="I250" s="33"/>
      <c r="L250" s="129"/>
      <c r="M250" s="129"/>
      <c r="N250" s="33"/>
    </row>
    <row r="251" spans="1:14" s="34" customFormat="1" ht="15.75" customHeight="1" x14ac:dyDescent="0.25">
      <c r="A251" s="134">
        <f t="shared" ref="A251:A253" si="16">A250+1</f>
        <v>102</v>
      </c>
      <c r="B251" s="134"/>
      <c r="C251" s="39" t="s">
        <v>188</v>
      </c>
      <c r="D251" s="39">
        <f>(30.91)*10.764</f>
        <v>332.71523999999999</v>
      </c>
      <c r="E251" s="39">
        <f>(2.9*2+5*1)*10.764</f>
        <v>116.2512</v>
      </c>
      <c r="F251" s="39">
        <f>D251*(($F$246)+1)+(IF(E251&lt;101,E251,IF(E251&lt;201,E251/2,IF(E251&lt;=301,E251/3,E251/4))))</f>
        <v>540.56269799999995</v>
      </c>
      <c r="G251" s="134"/>
      <c r="H251" s="134"/>
      <c r="I251" s="33"/>
      <c r="L251" s="129"/>
      <c r="M251" s="129"/>
      <c r="N251" s="33"/>
    </row>
    <row r="252" spans="1:14" s="34" customFormat="1" ht="15.75" customHeight="1" x14ac:dyDescent="0.25">
      <c r="A252" s="134">
        <f t="shared" si="16"/>
        <v>103</v>
      </c>
      <c r="B252" s="134"/>
      <c r="C252" s="39" t="s">
        <v>188</v>
      </c>
      <c r="D252" s="39">
        <f>(31.22+2.4*0.45)*10.764</f>
        <v>347.67719999999997</v>
      </c>
      <c r="E252" s="39">
        <f>(2.9*2+2.4*1.1+2.75*1.7+11*6.4)*10.764</f>
        <v>898.9554599999999</v>
      </c>
      <c r="F252" s="39">
        <f>D252*(($F$246)+1)+(IF(E252&lt;101,E252,IF(E252&lt;201,E252/2,IF(E252&lt;=301,E252/3,E252/4))))</f>
        <v>728.8708049999999</v>
      </c>
      <c r="G252" s="134"/>
      <c r="H252" s="134"/>
      <c r="I252" s="33"/>
      <c r="L252" s="129"/>
      <c r="M252" s="129"/>
    </row>
    <row r="253" spans="1:14" s="34" customFormat="1" ht="15.75" customHeight="1" x14ac:dyDescent="0.25">
      <c r="A253" s="134">
        <f t="shared" si="16"/>
        <v>104</v>
      </c>
      <c r="B253" s="134"/>
      <c r="C253" s="39" t="s">
        <v>188</v>
      </c>
      <c r="D253" s="39">
        <f>(31.09+(2.9+2.55+2.9)*0.85+2.4*0.45)*10.764</f>
        <v>422.67536999999993</v>
      </c>
      <c r="E253" s="39">
        <v>0</v>
      </c>
      <c r="F253" s="39">
        <f>D253*(($F$246)+1)+(IF(E253&lt;101,E253,IF(E253&lt;201,E253/2,IF(E253&lt;=301,E253/3,E253/4))))</f>
        <v>612.87928649999992</v>
      </c>
      <c r="G253" s="134"/>
      <c r="H253" s="134"/>
      <c r="I253" s="33"/>
    </row>
    <row r="254" spans="1:14" s="34" customFormat="1" x14ac:dyDescent="0.25">
      <c r="A254" s="130" t="s">
        <v>190</v>
      </c>
      <c r="B254" s="130"/>
      <c r="C254" s="130"/>
      <c r="D254" s="130"/>
      <c r="E254" s="130"/>
      <c r="F254" s="130"/>
      <c r="G254" s="130"/>
      <c r="H254" s="130"/>
      <c r="I254" s="33">
        <f>3.25*2.8+2.2*2.2+2.75*2.75+2.4*2.75+2.05*1.2+1.2*1.95+0.9*1.8+0.9*1.25+0.55*1.35+1.2*1.35</f>
        <v>38.01</v>
      </c>
      <c r="J254" s="34">
        <f>2.95*1.1+2.35*1+2.9*1</f>
        <v>8.495000000000001</v>
      </c>
      <c r="K254" s="33">
        <f>I254+J254</f>
        <v>46.504999999999995</v>
      </c>
    </row>
    <row r="255" spans="1:14" s="34" customFormat="1" ht="15.75" customHeight="1" x14ac:dyDescent="0.25">
      <c r="A255" s="118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10^ROW(INDIRECT("1:"&amp;LEN((LEFT(A254,SUM(LEN(A254)-LEN(SUBSTITUTE(A254,{"0","1","2"},""))))))))/10))*100+1&amp;""&amp;" to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",LEN(A254))),LEN(A254)))))))/10))*100+1</f>
        <v>201 to 401</v>
      </c>
      <c r="B255" s="119"/>
      <c r="C255" s="39" t="s">
        <v>187</v>
      </c>
      <c r="D255" s="39">
        <f>(46.85+(2.95+2.35+2.75+2.9+3.35)*0.85)*10.7646</f>
        <v>635.16522299999997</v>
      </c>
      <c r="E255" s="39">
        <v>0</v>
      </c>
      <c r="F255" s="39">
        <f>D255*(($F$246)+1)+(IF(E255&lt;101,E255,IF(E255&lt;201,E255/2,IF(E255&lt;=301,E255/3,E255/4))))</f>
        <v>920.98957334999989</v>
      </c>
      <c r="G255" s="123" t="str">
        <f>A254</f>
        <v>2nd to 4th Floor</v>
      </c>
      <c r="H255" s="124"/>
      <c r="I255" s="33"/>
    </row>
    <row r="256" spans="1:14" s="34" customFormat="1" ht="15.75" customHeight="1" x14ac:dyDescent="0.25">
      <c r="A256" s="118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10^ROW(INDIRECT("1:"&amp;LEN((LEFT(A255,SUM(LEN(A255)-LEN(SUBSTITUTE(A255,{"0","1","2"},""))))))))/10))*1+1&amp;""&amp;" to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",LEN(A255))),LEN(A255)))))))/10))*1+1</f>
        <v>202 to 402</v>
      </c>
      <c r="B256" s="119"/>
      <c r="C256" s="39" t="s">
        <v>188</v>
      </c>
      <c r="D256" s="39">
        <f>(30.91+(2.75+2.3+2.75)*0.85)*10.764</f>
        <v>404.08055999999999</v>
      </c>
      <c r="E256" s="39">
        <v>0</v>
      </c>
      <c r="F256" s="39">
        <f>D256*(($F$246)+1)+(IF(E256&lt;101,E256,IF(E256&lt;201,E256/2,IF(E256&lt;=301,E256/3,E256/4))))</f>
        <v>585.91681199999994</v>
      </c>
      <c r="G256" s="125"/>
      <c r="H256" s="126"/>
      <c r="I256" s="33"/>
    </row>
    <row r="257" spans="1:14" s="34" customFormat="1" ht="15.75" customHeight="1" x14ac:dyDescent="0.25">
      <c r="A257" s="118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10^ROW(INDIRECT("1:"&amp;LEN((LEFT(A256,SUM(LEN(A256)-LEN(SUBSTITUTE(A256,{"0","1","2"},""))))))))/10))*1+1&amp;""&amp;" to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",LEN(A256))),LEN(A256)))))))/10))*1+1</f>
        <v>203 to 403</v>
      </c>
      <c r="B257" s="119"/>
      <c r="C257" s="39" t="s">
        <v>188</v>
      </c>
      <c r="D257" s="39">
        <f>(31.22+(2.9+2.4+2.75)*0.85+2.4*0.45)*10.764</f>
        <v>421.32986999999997</v>
      </c>
      <c r="E257" s="39">
        <v>0</v>
      </c>
      <c r="F257" s="39">
        <f>D257*(($F$246)+1)+(IF(E257&lt;101,E257,IF(E257&lt;201,E257/2,IF(E257&lt;=301,E257/3,E257/4))))</f>
        <v>610.92831149999995</v>
      </c>
      <c r="G257" s="125"/>
      <c r="H257" s="126"/>
      <c r="J257" s="33"/>
    </row>
    <row r="258" spans="1:14" s="34" customFormat="1" ht="15.75" customHeight="1" x14ac:dyDescent="0.25">
      <c r="A258" s="118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to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204 to 404</v>
      </c>
      <c r="B258" s="119"/>
      <c r="C258" s="39" t="s">
        <v>188</v>
      </c>
      <c r="D258" s="39">
        <f>(31.09+(2.9+2.4+2.75)*0.85+2.4*0.45)*10.764</f>
        <v>419.93054999999993</v>
      </c>
      <c r="E258" s="39">
        <v>0</v>
      </c>
      <c r="F258" s="39">
        <f>D258*(($F$246)+1)+(IF(E258&lt;101,E258,IF(E258&lt;201,E258/2,IF(E258&lt;=301,E258/3,E258/4))))</f>
        <v>608.89929749999988</v>
      </c>
      <c r="G258" s="127"/>
      <c r="H258" s="128"/>
      <c r="J258" s="33"/>
    </row>
    <row r="259" spans="1:14" s="34" customFormat="1" x14ac:dyDescent="0.25">
      <c r="A259" s="120" t="s">
        <v>191</v>
      </c>
      <c r="B259" s="121"/>
      <c r="C259" s="121"/>
      <c r="D259" s="121"/>
      <c r="E259" s="121"/>
      <c r="F259" s="121"/>
      <c r="G259" s="121"/>
      <c r="H259" s="122"/>
      <c r="I259" s="33">
        <f>(3.25*2.8+1.2*1.35+0.55*1.35+2.2*2.2+1.2*1.95+2.75*2.75+2.4*2.75+0.9*1.25+0.9*1.8+2.05*1.2+1.2*1.95+(2.95+2.35+2.9)*1)</f>
        <v>48.55</v>
      </c>
      <c r="L259" s="129"/>
      <c r="M259" s="129"/>
      <c r="N259" s="33"/>
    </row>
    <row r="260" spans="1:14" s="34" customFormat="1" x14ac:dyDescent="0.25">
      <c r="A260" s="120" t="s">
        <v>189</v>
      </c>
      <c r="B260" s="121"/>
      <c r="C260" s="121"/>
      <c r="D260" s="121"/>
      <c r="E260" s="121"/>
      <c r="F260" s="121"/>
      <c r="G260" s="121"/>
      <c r="H260" s="122"/>
      <c r="I260" s="33"/>
      <c r="L260" s="129"/>
      <c r="M260" s="129"/>
      <c r="N260" s="33"/>
    </row>
    <row r="261" spans="1:14" s="34" customFormat="1" ht="15.75" customHeight="1" x14ac:dyDescent="0.25">
      <c r="A261" s="118">
        <v>101</v>
      </c>
      <c r="B261" s="119"/>
      <c r="C261" s="39" t="s">
        <v>188</v>
      </c>
      <c r="D261" s="39">
        <f>(31.27+(3.65+2.25+2.75)*0.85+2.4*0.4)*10.764</f>
        <v>426.06603000000001</v>
      </c>
      <c r="E261" s="39">
        <v>0</v>
      </c>
      <c r="F261" s="39">
        <f>D261*(($F$246)+1)+(IF(E261&lt;101,E261,IF(E261&lt;201,E261/2,IF(E261&lt;=301,E261/3,E261/4))))</f>
        <v>617.79574349999996</v>
      </c>
      <c r="G261" s="123" t="str">
        <f>A260</f>
        <v>1st Floor for Residential</v>
      </c>
      <c r="H261" s="124"/>
      <c r="I261" s="33"/>
      <c r="L261" s="129"/>
      <c r="M261" s="129"/>
      <c r="N261" s="33"/>
    </row>
    <row r="262" spans="1:14" s="34" customFormat="1" ht="15.75" customHeight="1" x14ac:dyDescent="0.25">
      <c r="A262" s="118">
        <f t="shared" ref="A262:A264" si="17">A261+1</f>
        <v>102</v>
      </c>
      <c r="B262" s="119"/>
      <c r="C262" s="39" t="s">
        <v>188</v>
      </c>
      <c r="D262" s="39">
        <f>(31.27+2.4*0.4)*10.764</f>
        <v>346.92371999999995</v>
      </c>
      <c r="E262" s="39">
        <f>(2.6*2.75+1.1*2.4+1.4*2.9)*10.764</f>
        <v>149.0814</v>
      </c>
      <c r="F262" s="39">
        <f>D262*(($F$246)+1)+(IF(E262&lt;101,E262,IF(E262&lt;201,E262/2,IF(E262&lt;=301,E262/3,E262/4))))</f>
        <v>577.58009399999992</v>
      </c>
      <c r="G262" s="125"/>
      <c r="H262" s="126"/>
      <c r="I262" s="33"/>
      <c r="L262" s="129"/>
      <c r="M262" s="129"/>
      <c r="N262" s="33"/>
    </row>
    <row r="263" spans="1:14" s="34" customFormat="1" ht="15.75" customHeight="1" x14ac:dyDescent="0.25">
      <c r="A263" s="118">
        <f t="shared" si="17"/>
        <v>103</v>
      </c>
      <c r="B263" s="119"/>
      <c r="C263" s="39" t="s">
        <v>188</v>
      </c>
      <c r="D263" s="39">
        <f>(31.27+2.4*0.45)*10.764</f>
        <v>348.21539999999999</v>
      </c>
      <c r="E263" s="39">
        <f>(2.5*2.75+1.1*2.25+1.5*2.75)*10.764</f>
        <v>145.04489999999998</v>
      </c>
      <c r="F263" s="39">
        <f>D263*(($F$246)+1)+(IF(E263&lt;101,E263,IF(E263&lt;201,E263/2,IF(E263&lt;=301,E263/3,E263/4))))</f>
        <v>577.43477999999993</v>
      </c>
      <c r="G263" s="125"/>
      <c r="H263" s="126"/>
      <c r="I263" s="33"/>
      <c r="L263" s="129"/>
      <c r="M263" s="129"/>
    </row>
    <row r="264" spans="1:14" s="34" customFormat="1" ht="15.75" customHeight="1" x14ac:dyDescent="0.25">
      <c r="A264" s="118">
        <f t="shared" si="17"/>
        <v>104</v>
      </c>
      <c r="B264" s="119"/>
      <c r="C264" s="39" t="s">
        <v>188</v>
      </c>
      <c r="D264" s="39">
        <f>(31.27+(2.75+2.25+2.75)*0.85)*10.764</f>
        <v>407.49813</v>
      </c>
      <c r="E264" s="39">
        <v>0</v>
      </c>
      <c r="F264" s="39">
        <f>D264*(($F$246)+1)+(IF(E264&lt;101,E264,IF(E264&lt;201,E264/2,IF(E264&lt;=301,E264/3,E264/4))))</f>
        <v>590.87228849999997</v>
      </c>
      <c r="G264" s="127"/>
      <c r="H264" s="128"/>
      <c r="I264" s="33"/>
    </row>
    <row r="265" spans="1:14" s="34" customFormat="1" x14ac:dyDescent="0.25">
      <c r="A265" s="120" t="s">
        <v>190</v>
      </c>
      <c r="B265" s="121"/>
      <c r="C265" s="121"/>
      <c r="D265" s="121"/>
      <c r="E265" s="121"/>
      <c r="F265" s="121"/>
      <c r="G265" s="121"/>
      <c r="H265" s="122"/>
      <c r="I265" s="33">
        <f>3.25*2.8+2.2*2.2+2.75*2.75+2.4*2.75+2.05*1.2+1.2*1.95+0.9*1.8+0.9*1.25+0.55*1.35+1.2*1.35</f>
        <v>38.01</v>
      </c>
      <c r="J265" s="34">
        <f>2.95*1.1+2.35*1+2.9*1</f>
        <v>8.495000000000001</v>
      </c>
      <c r="K265" s="33">
        <f>I265+J265</f>
        <v>46.504999999999995</v>
      </c>
    </row>
    <row r="266" spans="1:14" s="34" customFormat="1" ht="15.75" customHeight="1" x14ac:dyDescent="0.25">
      <c r="A266" s="118" t="str">
        <f ca="1">(SUMPRODUCT(MID(0&amp;(LEFT(A265,SUM(LEN(A265)-LEN(SUBSTITUTE(A265,{"0","1","2"},""))))), LARGE(INDEX(ISNUMBER(--MID((LEFT(A265,SUM(LEN(A265)-LEN(SUBSTITUTE(A265,{"0","1","2"},""))))), ROW(INDIRECT("1:"&amp;LEN((LEFT(A265,SUM(LEN(A265)-LEN(SUBSTITUTE(A265,{"0","1","2"},"")))))))), 1)) * ROW(INDIRECT("1:"&amp;LEN((LEFT(A265,SUM(LEN(A265)-LEN(SUBSTITUTE(A265,{"0","1","2"},"")))))))), 0), ROW(INDIRECT("1:"&amp;LEN((LEFT(A265,SUM(LEN(A265)-LEN(SUBSTITUTE(A265,{"0","1","2"},"")))))))))+1, 1) * 10^ROW(INDIRECT("1:"&amp;LEN((LEFT(A265,SUM(LEN(A265)-LEN(SUBSTITUTE(A265,{"0","1","2"},""))))))))/10))*100+1&amp;""&amp;" to "&amp;""&amp;(SUMPRODUCT(MID(0&amp;(--TRIM(RIGHT(SUBSTITUTE(LEFT(A265,_xlfn.AGGREGATE(16,6,FIND({0,1,2,3,4,5,6,7,8,9},A265,ROW(INDIRECT("1:"&amp;LEN(A265)))),1))," ",REPT(" ",LEN(A265))),LEN(A265)))), LARGE(INDEX(ISNUMBER(--MID((--TRIM(RIGHT(SUBSTITUTE(LEFT(A265,_xlfn.AGGREGATE(16,6,FIND({0,1,2,3,4,5,6,7,8,9},A265,ROW(INDIRECT("1:"&amp;LEN(A265)))),1))," ",REPT(" ",LEN(A265))),LEN(A265)))), ROW(INDIRECT("1:"&amp;LEN((--TRIM(RIGHT(SUBSTITUTE(LEFT(A265,_xlfn.AGGREGATE(16,6,FIND({0,1,2,3,4,5,6,7,8,9},A265,ROW(INDIRECT("1:"&amp;LEN(A265)))),1))," ",REPT(" ",LEN(A265))),LEN(A265))))))), 1)) * ROW(INDIRECT("1:"&amp;LEN((--TRIM(RIGHT(SUBSTITUTE(LEFT(A265,_xlfn.AGGREGATE(16,6,FIND({0,1,2,3,4,5,6,7,8,9},A265,ROW(INDIRECT("1:"&amp;LEN(A265)))),1))," ",REPT(" ",LEN(A265))),LEN(A265))))))), 0), ROW(INDIRECT("1:"&amp;LEN((--TRIM(RIGHT(SUBSTITUTE(LEFT(A265,_xlfn.AGGREGATE(16,6,FIND({0,1,2,3,4,5,6,7,8,9},A265,ROW(INDIRECT("1:"&amp;LEN(A265)))),1))," ",REPT(" ",LEN(A265))),LEN(A265))))))))+1, 1) * 10^ROW(INDIRECT("1:"&amp;LEN((--TRIM(RIGHT(SUBSTITUTE(LEFT(A265,_xlfn.AGGREGATE(16,6,FIND({0,1,2,3,4,5,6,7,8,9},A265,ROW(INDIRECT("1:"&amp;LEN(A265)))),1))," ",REPT(" ",LEN(A265))),LEN(A265)))))))/10))*100+1</f>
        <v>201 to 401</v>
      </c>
      <c r="B266" s="119"/>
      <c r="C266" s="39" t="s">
        <v>187</v>
      </c>
      <c r="D266" s="39">
        <f>(46.85+(2.95+2.35+2.75+2.9+3.35)*0.85)*10.7646</f>
        <v>635.16522299999997</v>
      </c>
      <c r="E266" s="39">
        <v>0</v>
      </c>
      <c r="F266" s="39">
        <f>D266*(($F$246)+1)+(IF(E266&lt;101,E266,IF(E266&lt;201,E266/2,IF(E266&lt;=301,E266/3,E266/4))))</f>
        <v>920.98957334999989</v>
      </c>
      <c r="G266" s="123" t="str">
        <f>A265</f>
        <v>2nd to 4th Floor</v>
      </c>
      <c r="H266" s="124"/>
      <c r="I266" s="33"/>
    </row>
    <row r="267" spans="1:14" s="34" customFormat="1" ht="15.75" customHeight="1" x14ac:dyDescent="0.25">
      <c r="A267" s="118" t="str">
        <f ca="1">(SUMPRODUCT(MID(0&amp;(LEFT(A266,SUM(LEN(A266)-LEN(SUBSTITUTE(A266,{"0","1","2"},""))))), LARGE(INDEX(ISNUMBER(--MID((LEFT(A266,SUM(LEN(A266)-LEN(SUBSTITUTE(A266,{"0","1","2"},""))))), ROW(INDIRECT("1:"&amp;LEN((LEFT(A266,SUM(LEN(A266)-LEN(SUBSTITUTE(A266,{"0","1","2"},"")))))))), 1)) * ROW(INDIRECT("1:"&amp;LEN((LEFT(A266,SUM(LEN(A266)-LEN(SUBSTITUTE(A266,{"0","1","2"},"")))))))), 0), ROW(INDIRECT("1:"&amp;LEN((LEFT(A266,SUM(LEN(A266)-LEN(SUBSTITUTE(A266,{"0","1","2"},"")))))))))+1, 1) * 10^ROW(INDIRECT("1:"&amp;LEN((LEFT(A266,SUM(LEN(A266)-LEN(SUBSTITUTE(A266,{"0","1","2"},""))))))))/10))*1+1&amp;""&amp;" to "&amp;""&amp;(SUMPRODUCT(MID(0&amp;(--TRIM(RIGHT(SUBSTITUTE(LEFT(A266,_xlfn.AGGREGATE(16,6,FIND({0,1,2,3,4,5,6,7,8,9},A266,ROW(INDIRECT("1:"&amp;LEN(A266)))),1)),"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",LEN(A266))),LEN(A266)))))))/10))*1+1</f>
        <v>202 to 402</v>
      </c>
      <c r="B267" s="119"/>
      <c r="C267" s="39" t="s">
        <v>188</v>
      </c>
      <c r="D267" s="39">
        <f>(30.91+(2.75+2.3+2.75)*0.85)*10.764</f>
        <v>404.08055999999999</v>
      </c>
      <c r="E267" s="39">
        <v>0</v>
      </c>
      <c r="F267" s="39">
        <f>D267*(($F$246)+1)+(IF(E267&lt;101,E267,IF(E267&lt;201,E267/2,IF(E267&lt;=301,E267/3,E267/4))))</f>
        <v>585.91681199999994</v>
      </c>
      <c r="G267" s="125"/>
      <c r="H267" s="126"/>
      <c r="I267" s="33">
        <f>2000000/F267</f>
        <v>3413.45385392355</v>
      </c>
    </row>
    <row r="268" spans="1:14" s="34" customFormat="1" ht="15.75" customHeight="1" x14ac:dyDescent="0.25">
      <c r="A268" s="118" t="str">
        <f ca="1">(SUMPRODUCT(MID(0&amp;(LEFT(A267,SUM(LEN(A267)-LEN(SUBSTITUTE(A267,{"0","1","2"},""))))), LARGE(INDEX(ISNUMBER(--MID((LEFT(A267,SUM(LEN(A267)-LEN(SUBSTITUTE(A267,{"0","1","2"},""))))), ROW(INDIRECT("1:"&amp;LEN((LEFT(A267,SUM(LEN(A267)-LEN(SUBSTITUTE(A267,{"0","1","2"},"")))))))), 1)) * ROW(INDIRECT("1:"&amp;LEN((LEFT(A267,SUM(LEN(A267)-LEN(SUBSTITUTE(A267,{"0","1","2"},"")))))))), 0), ROW(INDIRECT("1:"&amp;LEN((LEFT(A267,SUM(LEN(A267)-LEN(SUBSTITUTE(A267,{"0","1","2"},"")))))))))+1, 1) * 10^ROW(INDIRECT("1:"&amp;LEN((LEFT(A267,SUM(LEN(A267)-LEN(SUBSTITUTE(A267,{"0","1","2"},""))))))))/10))*1+1&amp;""&amp;" to "&amp;""&amp;(SUMPRODUCT(MID(0&amp;(--TRIM(RIGHT(SUBSTITUTE(LEFT(A267,_xlfn.AGGREGATE(16,6,FIND({0,1,2,3,4,5,6,7,8,9},A267,ROW(INDIRECT("1:"&amp;LEN(A267)))),1))," ",REPT(" ",LEN(A267))),LEN(A267)))), LARGE(INDEX(ISNUMBER(--MID((--TRIM(RIGHT(SUBSTITUTE(LEFT(A267,_xlfn.AGGREGATE(16,6,FIND({0,1,2,3,4,5,6,7,8,9},A267,ROW(INDIRECT("1:"&amp;LEN(A267)))),1))," ",REPT(" ",LEN(A267))),LEN(A267)))), ROW(INDIRECT("1:"&amp;LEN((--TRIM(RIGHT(SUBSTITUTE(LEFT(A267,_xlfn.AGGREGATE(16,6,FIND({0,1,2,3,4,5,6,7,8,9},A267,ROW(INDIRECT("1:"&amp;LEN(A267)))),1))," ",REPT(" ",LEN(A267))),LEN(A267))))))), 1)) * ROW(INDIRECT("1:"&amp;LEN((--TRIM(RIGHT(SUBSTITUTE(LEFT(A267,_xlfn.AGGREGATE(16,6,FIND({0,1,2,3,4,5,6,7,8,9},A267,ROW(INDIRECT("1:"&amp;LEN(A267)))),1))," ",REPT(" ",LEN(A267))),LEN(A267))))))), 0), ROW(INDIRECT("1:"&amp;LEN((--TRIM(RIGHT(SUBSTITUTE(LEFT(A267,_xlfn.AGGREGATE(16,6,FIND({0,1,2,3,4,5,6,7,8,9},A267,ROW(INDIRECT("1:"&amp;LEN(A267)))),1))," ",REPT(" ",LEN(A267))),LEN(A267))))))))+1, 1) * 10^ROW(INDIRECT("1:"&amp;LEN((--TRIM(RIGHT(SUBSTITUTE(LEFT(A267,_xlfn.AGGREGATE(16,6,FIND({0,1,2,3,4,5,6,7,8,9},A267,ROW(INDIRECT("1:"&amp;LEN(A267)))),1))," ",REPT(" ",LEN(A267))),LEN(A267)))))))/10))*1+1</f>
        <v>203 to 403</v>
      </c>
      <c r="B268" s="119"/>
      <c r="C268" s="39" t="s">
        <v>188</v>
      </c>
      <c r="D268" s="39">
        <f>(31.22+(2.9+2.4+2.75)*0.85+2.4*0.45)*10.764</f>
        <v>421.32986999999997</v>
      </c>
      <c r="E268" s="39">
        <v>0</v>
      </c>
      <c r="F268" s="39">
        <f>D268*(($F$246)+1)+(IF(E268&lt;101,E268,IF(E268&lt;201,E268/2,IF(E268&lt;=301,E268/3,E268/4))))</f>
        <v>610.92831149999995</v>
      </c>
      <c r="G268" s="125"/>
      <c r="H268" s="126"/>
      <c r="J268" s="33"/>
    </row>
    <row r="269" spans="1:14" s="34" customFormat="1" ht="15.75" customHeight="1" x14ac:dyDescent="0.25">
      <c r="A269" s="118" t="str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10^ROW(INDIRECT("1:"&amp;LEN((LEFT(A268,SUM(LEN(A268)-LEN(SUBSTITUTE(A268,{"0","1","2"},""))))))))/10))*1+1&amp;""&amp;" to "&amp;""&amp;(SUMPRODUCT(MID(0&amp;(--TRIM(RIGHT(SUBSTITUTE(LEFT(A268,_xlfn.AGGREGATE(16,6,FIND({0,1,2,3,4,5,6,7,8,9},A268,ROW(INDIRECT("1:"&amp;LEN(A268)))),1)),"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",LEN(A268))),LEN(A268)))))))/10))*1+1</f>
        <v>204 to 404</v>
      </c>
      <c r="B269" s="119"/>
      <c r="C269" s="39" t="s">
        <v>188</v>
      </c>
      <c r="D269" s="39">
        <f>(31.09+(2.9+2.4+2.75)*0.85+2.4*0.45)*10.764</f>
        <v>419.93054999999993</v>
      </c>
      <c r="E269" s="39">
        <v>0</v>
      </c>
      <c r="F269" s="39">
        <f>D269*(($F$246)+1)+(IF(E269&lt;101,E269,IF(E269&lt;201,E269/2,IF(E269&lt;=301,E269/3,E269/4))))</f>
        <v>608.89929749999988</v>
      </c>
      <c r="G269" s="127"/>
      <c r="H269" s="128"/>
      <c r="I269" s="33">
        <f>(3.25*2.8+1.2*1.35+0.55*1.35+2.2*2.2+1.2*1.95+2.75*2.75+2.4*2.75+0.9*1.25+0.9*1.8+2.05*1.2+1.2*1.95+(2.95+2.35+2.9)*1)</f>
        <v>48.55</v>
      </c>
      <c r="L269" s="129"/>
      <c r="M269" s="129"/>
      <c r="N269" s="33"/>
    </row>
    <row r="270" spans="1:14" s="34" customFormat="1" x14ac:dyDescent="0.25">
      <c r="A270" s="120" t="s">
        <v>193</v>
      </c>
      <c r="B270" s="121"/>
      <c r="C270" s="121"/>
      <c r="D270" s="121"/>
      <c r="E270" s="121"/>
      <c r="F270" s="121"/>
      <c r="G270" s="121"/>
      <c r="H270" s="122"/>
      <c r="I270" s="33"/>
      <c r="N270" s="33"/>
    </row>
    <row r="271" spans="1:14" s="34" customFormat="1" x14ac:dyDescent="0.25">
      <c r="A271" s="120" t="s">
        <v>184</v>
      </c>
      <c r="B271" s="121"/>
      <c r="C271" s="121"/>
      <c r="D271" s="121"/>
      <c r="E271" s="121"/>
      <c r="F271" s="121"/>
      <c r="G271" s="121"/>
      <c r="H271" s="122"/>
      <c r="I271" s="33"/>
      <c r="N271" s="33"/>
    </row>
    <row r="272" spans="1:14" s="34" customFormat="1" x14ac:dyDescent="0.25">
      <c r="A272" s="120" t="s">
        <v>195</v>
      </c>
      <c r="B272" s="121"/>
      <c r="C272" s="121"/>
      <c r="D272" s="121"/>
      <c r="E272" s="121"/>
      <c r="F272" s="121"/>
      <c r="G272" s="121"/>
      <c r="H272" s="122"/>
      <c r="I272" s="33"/>
      <c r="L272" s="129"/>
      <c r="M272" s="129"/>
      <c r="N272" s="33"/>
    </row>
    <row r="273" spans="1:14" s="34" customFormat="1" ht="15.75" customHeight="1" x14ac:dyDescent="0.25">
      <c r="A273" s="118">
        <v>1</v>
      </c>
      <c r="B273" s="119"/>
      <c r="C273" s="39" t="s">
        <v>188</v>
      </c>
      <c r="D273" s="39">
        <f>(27.56)*10.764</f>
        <v>296.65583999999996</v>
      </c>
      <c r="E273" s="39">
        <v>0</v>
      </c>
      <c r="F273" s="39">
        <f>D273*(($F$246)+1)+(IF(E273&lt;101,E273,IF(E273&lt;201,E273/2,IF(E273&lt;=301,E273/3,E273/4))))</f>
        <v>430.15096799999992</v>
      </c>
      <c r="G273" s="123" t="str">
        <f>A272</f>
        <v>Ground Floor for Residential &amp; Parking</v>
      </c>
      <c r="H273" s="124"/>
      <c r="I273" s="33"/>
      <c r="L273" s="129"/>
      <c r="M273" s="129"/>
      <c r="N273" s="33"/>
    </row>
    <row r="274" spans="1:14" s="34" customFormat="1" ht="15.75" customHeight="1" x14ac:dyDescent="0.25">
      <c r="A274" s="118">
        <f t="shared" ref="A274:A278" si="18">A273+1</f>
        <v>2</v>
      </c>
      <c r="B274" s="119"/>
      <c r="C274" s="39" t="s">
        <v>188</v>
      </c>
      <c r="D274" s="39">
        <f>(27.56)*10.764</f>
        <v>296.65583999999996</v>
      </c>
      <c r="E274" s="39">
        <v>0</v>
      </c>
      <c r="F274" s="39">
        <f>D274*(($F$246)+1)+(IF(E274&lt;101,E274,IF(E274&lt;201,E274/2,IF(E274&lt;=301,E274/3,E274/4))))</f>
        <v>430.15096799999992</v>
      </c>
      <c r="G274" s="125"/>
      <c r="H274" s="126"/>
      <c r="I274" s="33"/>
      <c r="L274" s="129"/>
      <c r="M274" s="129"/>
      <c r="N274" s="33"/>
    </row>
    <row r="275" spans="1:14" s="34" customFormat="1" ht="15.75" customHeight="1" x14ac:dyDescent="0.25">
      <c r="A275" s="118">
        <f t="shared" si="18"/>
        <v>3</v>
      </c>
      <c r="B275" s="119"/>
      <c r="C275" s="123" t="s">
        <v>196</v>
      </c>
      <c r="D275" s="131"/>
      <c r="E275" s="131"/>
      <c r="F275" s="124"/>
      <c r="G275" s="125"/>
      <c r="H275" s="126"/>
      <c r="I275" s="33"/>
      <c r="L275" s="129"/>
      <c r="M275" s="129"/>
    </row>
    <row r="276" spans="1:14" s="34" customFormat="1" ht="15.75" customHeight="1" x14ac:dyDescent="0.25">
      <c r="A276" s="118">
        <f t="shared" si="18"/>
        <v>4</v>
      </c>
      <c r="B276" s="119"/>
      <c r="C276" s="125"/>
      <c r="D276" s="132"/>
      <c r="E276" s="132"/>
      <c r="F276" s="126"/>
      <c r="G276" s="125"/>
      <c r="H276" s="126"/>
      <c r="I276" s="33"/>
      <c r="N276" s="33"/>
    </row>
    <row r="277" spans="1:14" s="34" customFormat="1" ht="15.75" customHeight="1" x14ac:dyDescent="0.25">
      <c r="A277" s="118">
        <f t="shared" si="18"/>
        <v>5</v>
      </c>
      <c r="B277" s="119"/>
      <c r="C277" s="127"/>
      <c r="D277" s="133"/>
      <c r="E277" s="133"/>
      <c r="F277" s="128"/>
      <c r="G277" s="125"/>
      <c r="H277" s="126"/>
      <c r="I277" s="33"/>
      <c r="L277" s="129"/>
      <c r="M277" s="129"/>
    </row>
    <row r="278" spans="1:14" s="34" customFormat="1" ht="15.75" customHeight="1" x14ac:dyDescent="0.25">
      <c r="A278" s="118">
        <f t="shared" si="18"/>
        <v>6</v>
      </c>
      <c r="B278" s="119"/>
      <c r="C278" s="39" t="s">
        <v>188</v>
      </c>
      <c r="D278" s="39">
        <f>(27.56)*10.764</f>
        <v>296.65583999999996</v>
      </c>
      <c r="E278" s="39">
        <v>0</v>
      </c>
      <c r="F278" s="39">
        <f>D278*(($F$246)+1)+(IF(E278&lt;101,E278,IF(E278&lt;201,E278/2,IF(E278&lt;=301,E278/3,E278/4))))</f>
        <v>430.15096799999992</v>
      </c>
      <c r="G278" s="127"/>
      <c r="H278" s="128"/>
      <c r="I278" s="33"/>
      <c r="N278" s="33"/>
    </row>
    <row r="279" spans="1:14" s="34" customFormat="1" x14ac:dyDescent="0.25">
      <c r="A279" s="120" t="s">
        <v>197</v>
      </c>
      <c r="B279" s="121"/>
      <c r="C279" s="121"/>
      <c r="D279" s="121"/>
      <c r="E279" s="121"/>
      <c r="F279" s="121"/>
      <c r="G279" s="121"/>
      <c r="H279" s="122"/>
      <c r="I279" s="33"/>
      <c r="N279" s="33"/>
    </row>
    <row r="280" spans="1:14" s="34" customFormat="1" x14ac:dyDescent="0.25">
      <c r="A280" s="118">
        <f>LEFT(A279,SUM(LEN(A279)-LEN(SUBSTITUTE(A279,{"0","1","2","3","4","5","6","7","8","9"},""))))*100+1</f>
        <v>101</v>
      </c>
      <c r="B280" s="119"/>
      <c r="C280" s="39" t="s">
        <v>188</v>
      </c>
      <c r="D280" s="39">
        <f>(27.56+(2+2.25+2.9)*0.75+1.25*0.45)*10.764</f>
        <v>360.43253999999996</v>
      </c>
      <c r="E280" s="39">
        <v>0</v>
      </c>
      <c r="F280" s="39">
        <f t="shared" ref="F280:F281" si="19">D280*(($F$246)+1)+(IF(E280&lt;101,E280,IF(E280&lt;201,E280/2,IF(E280&lt;=301,E280/3,E280/4))))</f>
        <v>522.62718299999995</v>
      </c>
      <c r="G280" s="123" t="str">
        <f>A279</f>
        <v>1st Floor</v>
      </c>
      <c r="H280" s="124"/>
      <c r="I280" s="33"/>
      <c r="N280" s="33"/>
    </row>
    <row r="281" spans="1:14" s="34" customFormat="1" x14ac:dyDescent="0.25">
      <c r="A281" s="118">
        <f>A280+1</f>
        <v>102</v>
      </c>
      <c r="B281" s="119"/>
      <c r="C281" s="39" t="s">
        <v>188</v>
      </c>
      <c r="D281" s="39">
        <f>(27.56+1.25*0.45)*10.764</f>
        <v>302.71058999999997</v>
      </c>
      <c r="E281" s="39">
        <f>(2*4+1.1*1.95+1.9*2.75)*10.764</f>
        <v>165.44268</v>
      </c>
      <c r="F281" s="39">
        <f t="shared" si="19"/>
        <v>521.65169549999996</v>
      </c>
      <c r="G281" s="125"/>
      <c r="H281" s="126"/>
      <c r="I281" s="33"/>
      <c r="N281" s="33"/>
    </row>
    <row r="282" spans="1:14" s="34" customFormat="1" x14ac:dyDescent="0.25">
      <c r="A282" s="118">
        <f>A281+1</f>
        <v>103</v>
      </c>
      <c r="B282" s="119"/>
      <c r="C282" s="39" t="s">
        <v>187</v>
      </c>
      <c r="D282" s="39">
        <f>(45.25+2.4*0.45)*10.764</f>
        <v>498.69611999999995</v>
      </c>
      <c r="E282" s="39">
        <f>(1.5*3.05+1.7*2.15+1.3*2.9+1.8*2.9)*10.764</f>
        <v>185.35607999999996</v>
      </c>
      <c r="F282" s="39">
        <f>D282*(($F$246)+1)+(IF(E282&lt;101,E282,IF(E282&lt;201,E282/2,IF(E282&lt;=301,E282/3,E282/4))))</f>
        <v>815.7874139999999</v>
      </c>
      <c r="G282" s="125"/>
      <c r="H282" s="126"/>
      <c r="I282" s="33"/>
      <c r="N282" s="33"/>
    </row>
    <row r="283" spans="1:14" s="34" customFormat="1" ht="15.75" customHeight="1" x14ac:dyDescent="0.25">
      <c r="A283" s="118">
        <f>A282+1</f>
        <v>104</v>
      </c>
      <c r="B283" s="119"/>
      <c r="C283" s="39" t="s">
        <v>188</v>
      </c>
      <c r="D283" s="39">
        <f>(30.9+(2.9+2.3+2.75)*0.75)*10.764</f>
        <v>396.78794999999997</v>
      </c>
      <c r="E283" s="39">
        <v>0</v>
      </c>
      <c r="F283" s="39">
        <f>D283*(($F$246)+1)+(IF(E283&lt;101,E283,IF(E283&lt;201,E283/2,IF(E283&lt;=301,E283/3,E283/4))))</f>
        <v>575.34252749999996</v>
      </c>
      <c r="G283" s="125"/>
      <c r="H283" s="126"/>
      <c r="I283" s="33"/>
    </row>
    <row r="284" spans="1:14" s="34" customFormat="1" x14ac:dyDescent="0.25">
      <c r="A284" s="118">
        <f>A283+1</f>
        <v>105</v>
      </c>
      <c r="B284" s="119"/>
      <c r="C284" s="39" t="s">
        <v>188</v>
      </c>
      <c r="D284" s="39">
        <f>(27.56+(1.8+1.8+2.75)*0.75+1.25*0.45)*10.764</f>
        <v>353.97413999999998</v>
      </c>
      <c r="E284" s="39">
        <v>0</v>
      </c>
      <c r="F284" s="39">
        <f>D284*(($F$246)+1)+(IF(E284&lt;101,E284,IF(E284&lt;201,E284/2,IF(E284&lt;=301,E284/3,E284/4))))</f>
        <v>513.26250299999992</v>
      </c>
      <c r="G284" s="125"/>
      <c r="H284" s="126"/>
      <c r="I284" s="33"/>
    </row>
    <row r="285" spans="1:14" s="34" customFormat="1" x14ac:dyDescent="0.25">
      <c r="A285" s="118">
        <f>A284+1</f>
        <v>106</v>
      </c>
      <c r="B285" s="119"/>
      <c r="C285" s="39" t="s">
        <v>188</v>
      </c>
      <c r="D285" s="39">
        <f>(27.56+(1.8+2.25+2.75)*0.75+1.25*0.45)*10.764</f>
        <v>357.60698999999994</v>
      </c>
      <c r="E285" s="39">
        <v>0</v>
      </c>
      <c r="F285" s="39">
        <f>D285*(($F$246)+1)+(IF(E285&lt;101,E285,IF(E285&lt;201,E285/2,IF(E285&lt;=301,E285/3,E285/4))))</f>
        <v>518.53013549999991</v>
      </c>
      <c r="G285" s="127"/>
      <c r="H285" s="128"/>
      <c r="I285" s="33"/>
    </row>
    <row r="286" spans="1:14" s="34" customFormat="1" x14ac:dyDescent="0.25">
      <c r="A286" s="120" t="s">
        <v>190</v>
      </c>
      <c r="B286" s="121"/>
      <c r="C286" s="121"/>
      <c r="D286" s="121"/>
      <c r="E286" s="121"/>
      <c r="F286" s="121"/>
      <c r="G286" s="121"/>
      <c r="H286" s="122"/>
      <c r="I286" s="33"/>
    </row>
    <row r="287" spans="1:14" s="34" customFormat="1" ht="15.75" customHeight="1" x14ac:dyDescent="0.25">
      <c r="A287" s="118" t="str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10^ROW(INDIRECT("1:"&amp;LEN((LEFT(A286,SUM(LEN(A286)-LEN(SUBSTITUTE(A286,{"0","1","2"},""))))))))/10))*100+1&amp;""&amp;" to "&amp;""&amp;(SUMPRODUCT(MID(0&amp;(--TRIM(RIGHT(SUBSTITUTE(LEFT(A286,_xlfn.AGGREGATE(16,6,FIND({0,1,2,3,4,5,6,7,8,9},A286,ROW(INDIRECT("1:"&amp;LEN(A286)))),1)),"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",LEN(A286))),LEN(A286)))))))/10))*100+1</f>
        <v>201 to 401</v>
      </c>
      <c r="B287" s="119"/>
      <c r="C287" s="39" t="s">
        <v>188</v>
      </c>
      <c r="D287" s="39">
        <f>(27.56+(2+2.25+2.9)*0.75+1.25*0.45)*10.764</f>
        <v>360.43253999999996</v>
      </c>
      <c r="E287" s="39">
        <v>0</v>
      </c>
      <c r="F287" s="39">
        <f t="shared" ref="F287:F292" si="20">D287*(($F$246)+1)+(IF(E287&lt;101,E287,IF(E287&lt;201,E287/2,IF(E287&lt;=301,E287/3,E287/4))))</f>
        <v>522.62718299999995</v>
      </c>
      <c r="G287" s="123" t="str">
        <f>A286</f>
        <v>2nd to 4th Floor</v>
      </c>
      <c r="H287" s="124"/>
      <c r="I287" s="33"/>
    </row>
    <row r="288" spans="1:14" s="34" customFormat="1" ht="15.75" customHeight="1" x14ac:dyDescent="0.25">
      <c r="A288" s="118" t="str">
        <f ca="1">(SUMPRODUCT(MID(0&amp;(LEFT(A287,SUM(LEN(A287)-LEN(SUBSTITUTE(A287,{"0","1","2"},""))))), LARGE(INDEX(ISNUMBER(--MID((LEFT(A287,SUM(LEN(A287)-LEN(SUBSTITUTE(A287,{"0","1","2"},""))))), ROW(INDIRECT("1:"&amp;LEN((LEFT(A287,SUM(LEN(A287)-LEN(SUBSTITUTE(A287,{"0","1","2"},"")))))))), 1)) * ROW(INDIRECT("1:"&amp;LEN((LEFT(A287,SUM(LEN(A287)-LEN(SUBSTITUTE(A287,{"0","1","2"},"")))))))), 0), ROW(INDIRECT("1:"&amp;LEN((LEFT(A287,SUM(LEN(A287)-LEN(SUBSTITUTE(A287,{"0","1","2"},"")))))))))+1, 1) * 10^ROW(INDIRECT("1:"&amp;LEN((LEFT(A287,SUM(LEN(A287)-LEN(SUBSTITUTE(A287,{"0","1","2"},""))))))))/10))*1+1&amp;""&amp;" to "&amp;""&amp;(SUMPRODUCT(MID(0&amp;(--TRIM(RIGHT(SUBSTITUTE(LEFT(A287,_xlfn.AGGREGATE(16,6,FIND({0,1,2,3,4,5,6,7,8,9},A287,ROW(INDIRECT("1:"&amp;LEN(A287)))),1))," ",REPT(" ",LEN(A287))),LEN(A287)))), LARGE(INDEX(ISNUMBER(--MID((--TRIM(RIGHT(SUBSTITUTE(LEFT(A287,_xlfn.AGGREGATE(16,6,FIND({0,1,2,3,4,5,6,7,8,9},A287,ROW(INDIRECT("1:"&amp;LEN(A287)))),1))," ",REPT(" ",LEN(A287))),LEN(A287)))), ROW(INDIRECT("1:"&amp;LEN((--TRIM(RIGHT(SUBSTITUTE(LEFT(A287,_xlfn.AGGREGATE(16,6,FIND({0,1,2,3,4,5,6,7,8,9},A287,ROW(INDIRECT("1:"&amp;LEN(A287)))),1))," ",REPT(" ",LEN(A287))),LEN(A287))))))), 1)) * ROW(INDIRECT("1:"&amp;LEN((--TRIM(RIGHT(SUBSTITUTE(LEFT(A287,_xlfn.AGGREGATE(16,6,FIND({0,1,2,3,4,5,6,7,8,9},A287,ROW(INDIRECT("1:"&amp;LEN(A287)))),1))," ",REPT(" ",LEN(A287))),LEN(A287))))))), 0), ROW(INDIRECT("1:"&amp;LEN((--TRIM(RIGHT(SUBSTITUTE(LEFT(A287,_xlfn.AGGREGATE(16,6,FIND({0,1,2,3,4,5,6,7,8,9},A287,ROW(INDIRECT("1:"&amp;LEN(A287)))),1))," ",REPT(" ",LEN(A287))),LEN(A287))))))))+1, 1) * 10^ROW(INDIRECT("1:"&amp;LEN((--TRIM(RIGHT(SUBSTITUTE(LEFT(A287,_xlfn.AGGREGATE(16,6,FIND({0,1,2,3,4,5,6,7,8,9},A287,ROW(INDIRECT("1:"&amp;LEN(A287)))),1))," ",REPT(" ",LEN(A287))),LEN(A287)))))))/10))*1+1</f>
        <v>202 to 402</v>
      </c>
      <c r="B288" s="119"/>
      <c r="C288" s="39" t="s">
        <v>188</v>
      </c>
      <c r="D288" s="39">
        <f>(27.56+1.25*0.45+(2+2.25+2.75)*0.75)*10.764</f>
        <v>359.22158999999999</v>
      </c>
      <c r="E288" s="39">
        <v>0</v>
      </c>
      <c r="F288" s="39">
        <f t="shared" si="20"/>
        <v>520.87130549999995</v>
      </c>
      <c r="G288" s="125"/>
      <c r="H288" s="126"/>
      <c r="I288" s="33"/>
    </row>
    <row r="289" spans="1:14" s="34" customFormat="1" ht="15.75" customHeight="1" x14ac:dyDescent="0.25">
      <c r="A289" s="118" t="str">
        <f ca="1">(SUMPRODUCT(MID(0&amp;(LEFT(A288,SUM(LEN(A288)-LEN(SUBSTITUTE(A288,{"0","1","2"},""))))), LARGE(INDEX(ISNUMBER(--MID((LEFT(A288,SUM(LEN(A288)-LEN(SUBSTITUTE(A288,{"0","1","2"},""))))), ROW(INDIRECT("1:"&amp;LEN((LEFT(A288,SUM(LEN(A288)-LEN(SUBSTITUTE(A288,{"0","1","2"},"")))))))), 1)) * ROW(INDIRECT("1:"&amp;LEN((LEFT(A288,SUM(LEN(A288)-LEN(SUBSTITUTE(A288,{"0","1","2"},"")))))))), 0), ROW(INDIRECT("1:"&amp;LEN((LEFT(A288,SUM(LEN(A288)-LEN(SUBSTITUTE(A288,{"0","1","2"},"")))))))))+1, 1) * 10^ROW(INDIRECT("1:"&amp;LEN((LEFT(A288,SUM(LEN(A288)-LEN(SUBSTITUTE(A288,{"0","1","2"},""))))))))/10))*1+1&amp;""&amp;" to "&amp;""&amp;(SUMPRODUCT(MID(0&amp;(--TRIM(RIGHT(SUBSTITUTE(LEFT(A288,_xlfn.AGGREGATE(16,6,FIND({0,1,2,3,4,5,6,7,8,9},A288,ROW(INDIRECT("1:"&amp;LEN(A288)))),1))," ",REPT(" ",LEN(A288))),LEN(A288)))), LARGE(INDEX(ISNUMBER(--MID((--TRIM(RIGHT(SUBSTITUTE(LEFT(A288,_xlfn.AGGREGATE(16,6,FIND({0,1,2,3,4,5,6,7,8,9},A288,ROW(INDIRECT("1:"&amp;LEN(A288)))),1))," ",REPT(" ",LEN(A288))),LEN(A288)))), ROW(INDIRECT("1:"&amp;LEN((--TRIM(RIGHT(SUBSTITUTE(LEFT(A288,_xlfn.AGGREGATE(16,6,FIND({0,1,2,3,4,5,6,7,8,9},A288,ROW(INDIRECT("1:"&amp;LEN(A288)))),1))," ",REPT(" ",LEN(A288))),LEN(A288))))))), 1)) * ROW(INDIRECT("1:"&amp;LEN((--TRIM(RIGHT(SUBSTITUTE(LEFT(A288,_xlfn.AGGREGATE(16,6,FIND({0,1,2,3,4,5,6,7,8,9},A288,ROW(INDIRECT("1:"&amp;LEN(A288)))),1))," ",REPT(" ",LEN(A288))),LEN(A288))))))), 0), ROW(INDIRECT("1:"&amp;LEN((--TRIM(RIGHT(SUBSTITUTE(LEFT(A288,_xlfn.AGGREGATE(16,6,FIND({0,1,2,3,4,5,6,7,8,9},A288,ROW(INDIRECT("1:"&amp;LEN(A288)))),1))," ",REPT(" ",LEN(A288))),LEN(A288))))))))+1, 1) * 10^ROW(INDIRECT("1:"&amp;LEN((--TRIM(RIGHT(SUBSTITUTE(LEFT(A288,_xlfn.AGGREGATE(16,6,FIND({0,1,2,3,4,5,6,7,8,9},A288,ROW(INDIRECT("1:"&amp;LEN(A288)))),1))," ",REPT(" ",LEN(A288))),LEN(A288)))))))/10))*1+1</f>
        <v>203 to 403</v>
      </c>
      <c r="B289" s="119"/>
      <c r="C289" s="39" t="s">
        <v>187</v>
      </c>
      <c r="D289" s="39">
        <f>(45.25+2.4*0.45+(3.05+2.15+2.75+2.75)*0.75)*10.764</f>
        <v>585.0772199999999</v>
      </c>
      <c r="E289" s="39">
        <v>0</v>
      </c>
      <c r="F289" s="39">
        <f t="shared" si="20"/>
        <v>848.36196899999982</v>
      </c>
      <c r="G289" s="125"/>
      <c r="H289" s="126"/>
      <c r="I289" s="33"/>
    </row>
    <row r="290" spans="1:14" s="34" customFormat="1" ht="15.75" customHeight="1" x14ac:dyDescent="0.25">
      <c r="A290" s="118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10^ROW(INDIRECT("1:"&amp;LEN((LEFT(A289,SUM(LEN(A289)-LEN(SUBSTITUTE(A289,{"0","1","2"},""))))))))/10))*1+1&amp;""&amp;" to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",LEN(A289))),LEN(A289)))))))/10))*1+1</f>
        <v>204 to 404</v>
      </c>
      <c r="B290" s="119"/>
      <c r="C290" s="39" t="s">
        <v>188</v>
      </c>
      <c r="D290" s="39">
        <f>(30.9+(2.9+2.3+2.75)*0.75)*10.764</f>
        <v>396.78794999999997</v>
      </c>
      <c r="E290" s="39">
        <v>0</v>
      </c>
      <c r="F290" s="39">
        <f t="shared" si="20"/>
        <v>575.34252749999996</v>
      </c>
      <c r="G290" s="125"/>
      <c r="H290" s="126"/>
      <c r="I290" s="33"/>
    </row>
    <row r="291" spans="1:14" s="34" customFormat="1" ht="15.75" customHeight="1" x14ac:dyDescent="0.25">
      <c r="A291" s="118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to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205 to 405</v>
      </c>
      <c r="B291" s="119"/>
      <c r="C291" s="39" t="s">
        <v>188</v>
      </c>
      <c r="D291" s="39">
        <f>(27.56+(1.8+1.8+2.75)*0.75+1.25*0.45)*10.764</f>
        <v>353.97413999999998</v>
      </c>
      <c r="E291" s="39">
        <v>0</v>
      </c>
      <c r="F291" s="39">
        <f t="shared" si="20"/>
        <v>513.26250299999992</v>
      </c>
      <c r="G291" s="125"/>
      <c r="H291" s="126"/>
      <c r="I291" s="33"/>
    </row>
    <row r="292" spans="1:14" s="34" customFormat="1" ht="15.75" customHeight="1" x14ac:dyDescent="0.25">
      <c r="A292" s="118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to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206 to 406</v>
      </c>
      <c r="B292" s="119"/>
      <c r="C292" s="39" t="s">
        <v>188</v>
      </c>
      <c r="D292" s="39">
        <f>(27.56+(1.8+2.25+2.75)*0.75+1.25*0.45)*10.764</f>
        <v>357.60698999999994</v>
      </c>
      <c r="E292" s="39">
        <v>0</v>
      </c>
      <c r="F292" s="39">
        <f t="shared" si="20"/>
        <v>518.53013549999991</v>
      </c>
      <c r="G292" s="127"/>
      <c r="H292" s="128"/>
      <c r="I292" s="33"/>
    </row>
    <row r="293" spans="1:14" s="34" customFormat="1" x14ac:dyDescent="0.25">
      <c r="A293" s="130" t="s">
        <v>191</v>
      </c>
      <c r="B293" s="130"/>
      <c r="C293" s="130"/>
      <c r="D293" s="130"/>
      <c r="E293" s="130"/>
      <c r="F293" s="130"/>
      <c r="G293" s="130"/>
      <c r="H293" s="130"/>
      <c r="I293" s="33"/>
      <c r="N293" s="33"/>
    </row>
    <row r="294" spans="1:14" s="34" customFormat="1" x14ac:dyDescent="0.25">
      <c r="A294" s="130" t="s">
        <v>198</v>
      </c>
      <c r="B294" s="130"/>
      <c r="C294" s="130"/>
      <c r="D294" s="130"/>
      <c r="E294" s="130"/>
      <c r="F294" s="130"/>
      <c r="G294" s="130"/>
      <c r="H294" s="130"/>
      <c r="I294" s="33"/>
      <c r="L294" s="129"/>
      <c r="M294" s="129"/>
      <c r="N294" s="33"/>
    </row>
    <row r="295" spans="1:14" s="34" customFormat="1" ht="25.5" customHeight="1" x14ac:dyDescent="0.25">
      <c r="A295" s="134">
        <v>1</v>
      </c>
      <c r="B295" s="134"/>
      <c r="C295" s="39" t="s">
        <v>188</v>
      </c>
      <c r="D295" s="39">
        <f>(27.56)*10.764</f>
        <v>296.65583999999996</v>
      </c>
      <c r="E295" s="39">
        <v>0</v>
      </c>
      <c r="F295" s="39">
        <f>D295*(($F$246)+1)+(IF(E295&lt;101,E295,IF(E295&lt;201,E295/2,IF(E295&lt;=301,E295/3,E295/4))))</f>
        <v>430.15096799999992</v>
      </c>
      <c r="G295" s="134" t="str">
        <f>A294</f>
        <v>Ground Floor for Residential + Commercial + Parking</v>
      </c>
      <c r="H295" s="134"/>
      <c r="I295" s="33"/>
      <c r="L295" s="129"/>
      <c r="M295" s="129"/>
      <c r="N295" s="33"/>
    </row>
    <row r="296" spans="1:14" s="34" customFormat="1" ht="25.5" customHeight="1" x14ac:dyDescent="0.25">
      <c r="A296" s="134">
        <f t="shared" ref="A296" si="21">A295+1</f>
        <v>2</v>
      </c>
      <c r="B296" s="134"/>
      <c r="C296" s="39" t="s">
        <v>188</v>
      </c>
      <c r="D296" s="39">
        <f>(27.56)*10.764</f>
        <v>296.65583999999996</v>
      </c>
      <c r="E296" s="39">
        <v>0</v>
      </c>
      <c r="F296" s="39">
        <f>D296*(($F$246)+1)+(IF(E296&lt;101,E296,IF(E296&lt;201,E296/2,IF(E296&lt;=301,E296/3,E296/4))))</f>
        <v>430.15096799999992</v>
      </c>
      <c r="G296" s="134"/>
      <c r="H296" s="134"/>
      <c r="I296" s="33"/>
      <c r="L296" s="129"/>
      <c r="M296" s="129"/>
      <c r="N296" s="33"/>
    </row>
    <row r="297" spans="1:14" s="34" customFormat="1" x14ac:dyDescent="0.25">
      <c r="A297" s="120" t="s">
        <v>197</v>
      </c>
      <c r="B297" s="121"/>
      <c r="C297" s="121"/>
      <c r="D297" s="121"/>
      <c r="E297" s="121"/>
      <c r="F297" s="121"/>
      <c r="G297" s="121"/>
      <c r="H297" s="122"/>
      <c r="I297" s="33"/>
      <c r="N297" s="33"/>
    </row>
    <row r="298" spans="1:14" s="34" customFormat="1" x14ac:dyDescent="0.25">
      <c r="A298" s="118">
        <f>LEFT(A297,SUM(LEN(A297)-LEN(SUBSTITUTE(A297,{"0","1","2","3","4","5","6","7","8","9"},""))))*100+1</f>
        <v>101</v>
      </c>
      <c r="B298" s="119"/>
      <c r="C298" s="39" t="s">
        <v>188</v>
      </c>
      <c r="D298" s="39">
        <f>(27.56+(1.8+2.25+2.75)*0.75+1.25*0.45)*10.764</f>
        <v>357.60698999999994</v>
      </c>
      <c r="E298" s="39">
        <v>0</v>
      </c>
      <c r="F298" s="39">
        <f t="shared" ref="F298:F299" si="22">D298*(($F$246)+1)+(IF(E298&lt;101,E298,IF(E298&lt;201,E298/2,IF(E298&lt;=301,E298/3,E298/4))))</f>
        <v>518.53013549999991</v>
      </c>
      <c r="G298" s="123" t="str">
        <f>A297</f>
        <v>1st Floor</v>
      </c>
      <c r="H298" s="124"/>
      <c r="I298" s="33"/>
      <c r="N298" s="33"/>
    </row>
    <row r="299" spans="1:14" s="34" customFormat="1" x14ac:dyDescent="0.25">
      <c r="A299" s="118">
        <f>A298+1</f>
        <v>102</v>
      </c>
      <c r="B299" s="119"/>
      <c r="C299" s="39" t="s">
        <v>188</v>
      </c>
      <c r="D299" s="39">
        <f>(27.56+(1.8+1.8+2.75)*0.75+1.25*0.45)*10.764</f>
        <v>353.97413999999998</v>
      </c>
      <c r="E299" s="39">
        <v>0</v>
      </c>
      <c r="F299" s="39">
        <f t="shared" si="22"/>
        <v>513.26250299999992</v>
      </c>
      <c r="G299" s="125"/>
      <c r="H299" s="126"/>
      <c r="I299" s="33"/>
      <c r="N299" s="33"/>
    </row>
    <row r="300" spans="1:14" s="34" customFormat="1" x14ac:dyDescent="0.25">
      <c r="A300" s="118">
        <f>A299+1</f>
        <v>103</v>
      </c>
      <c r="B300" s="119"/>
      <c r="C300" s="39" t="s">
        <v>188</v>
      </c>
      <c r="D300" s="39">
        <f>(30.9+(2.75+2.15+2.75)*0.75)*10.764</f>
        <v>394.36605000000003</v>
      </c>
      <c r="E300" s="39">
        <v>0</v>
      </c>
      <c r="F300" s="39">
        <f>D300*(($F$246)+1)+(IF(E300&lt;101,E300,IF(E300&lt;201,E300/2,IF(E300&lt;=301,E300/3,E300/4))))</f>
        <v>571.83077250000008</v>
      </c>
      <c r="G300" s="125"/>
      <c r="H300" s="126"/>
      <c r="I300" s="33"/>
      <c r="N300" s="33"/>
    </row>
    <row r="301" spans="1:14" s="34" customFormat="1" ht="15.75" customHeight="1" x14ac:dyDescent="0.25">
      <c r="A301" s="118">
        <f>A300+1</f>
        <v>104</v>
      </c>
      <c r="B301" s="119"/>
      <c r="C301" s="39" t="s">
        <v>187</v>
      </c>
      <c r="D301" s="39">
        <f>(45.25)*10.764</f>
        <v>487.07099999999997</v>
      </c>
      <c r="E301" s="39">
        <f>(1.5*3.05+1.7*2.15+1.3*2.9+1.8*2.9)*10.764</f>
        <v>185.35607999999996</v>
      </c>
      <c r="F301" s="39">
        <f>D301*(($F$246)+1)+(IF(E301&lt;101,E301,IF(E301&lt;201,E301/2,IF(E301&lt;=301,E301/3,E301/4))))</f>
        <v>798.93098999999995</v>
      </c>
      <c r="G301" s="125"/>
      <c r="H301" s="126"/>
      <c r="I301" s="33"/>
    </row>
    <row r="302" spans="1:14" s="34" customFormat="1" x14ac:dyDescent="0.25">
      <c r="A302" s="118">
        <f>A301+1</f>
        <v>105</v>
      </c>
      <c r="B302" s="119"/>
      <c r="C302" s="39" t="s">
        <v>188</v>
      </c>
      <c r="D302" s="39">
        <f>(27.56)*10.764</f>
        <v>296.65583999999996</v>
      </c>
      <c r="E302" s="39">
        <f>(2*4+1.1*1.95+1.9*2.75)*10.764</f>
        <v>165.44268</v>
      </c>
      <c r="F302" s="39">
        <f>D302*(($F$246)+1)+(IF(E302&lt;101,E302,IF(E302&lt;201,E302/2,IF(E302&lt;=301,E302/3,E302/4))))</f>
        <v>512.87230799999998</v>
      </c>
      <c r="G302" s="125"/>
      <c r="H302" s="126"/>
      <c r="I302" s="33"/>
    </row>
    <row r="303" spans="1:14" s="34" customFormat="1" x14ac:dyDescent="0.25">
      <c r="A303" s="118">
        <f>A302+1</f>
        <v>106</v>
      </c>
      <c r="B303" s="119"/>
      <c r="C303" s="39" t="s">
        <v>188</v>
      </c>
      <c r="D303" s="39">
        <f>(27.56+(2+2.25+2.9)*0.75+1.25*0.45)*10.764</f>
        <v>360.43253999999996</v>
      </c>
      <c r="E303" s="39">
        <v>0</v>
      </c>
      <c r="F303" s="39">
        <f>D303*(($F$246)+1)+(IF(E303&lt;101,E303,IF(E303&lt;201,E303/2,IF(E303&lt;=301,E303/3,E303/4))))</f>
        <v>522.62718299999995</v>
      </c>
      <c r="G303" s="127"/>
      <c r="H303" s="128"/>
      <c r="I303" s="33"/>
    </row>
    <row r="304" spans="1:14" s="34" customFormat="1" x14ac:dyDescent="0.25">
      <c r="A304" s="120" t="s">
        <v>190</v>
      </c>
      <c r="B304" s="121"/>
      <c r="C304" s="121"/>
      <c r="D304" s="121"/>
      <c r="E304" s="121"/>
      <c r="F304" s="121"/>
      <c r="G304" s="121"/>
      <c r="H304" s="122"/>
      <c r="I304" s="33"/>
    </row>
    <row r="305" spans="1:14" s="34" customFormat="1" ht="15.75" customHeight="1" x14ac:dyDescent="0.25">
      <c r="A305" s="118" t="str">
        <f ca="1">(SUMPRODUCT(MID(0&amp;(LEFT(A304,SUM(LEN(A304)-LEN(SUBSTITUTE(A304,{"0","1","2"},""))))), LARGE(INDEX(ISNUMBER(--MID((LEFT(A304,SUM(LEN(A304)-LEN(SUBSTITUTE(A304,{"0","1","2"},""))))), ROW(INDIRECT("1:"&amp;LEN((LEFT(A304,SUM(LEN(A304)-LEN(SUBSTITUTE(A304,{"0","1","2"},"")))))))), 1)) * ROW(INDIRECT("1:"&amp;LEN((LEFT(A304,SUM(LEN(A304)-LEN(SUBSTITUTE(A304,{"0","1","2"},"")))))))), 0), ROW(INDIRECT("1:"&amp;LEN((LEFT(A304,SUM(LEN(A304)-LEN(SUBSTITUTE(A304,{"0","1","2"},"")))))))))+1, 1) * 10^ROW(INDIRECT("1:"&amp;LEN((LEFT(A304,SUM(LEN(A304)-LEN(SUBSTITUTE(A304,{"0","1","2"},""))))))))/10))*100+1&amp;""&amp;" to "&amp;""&amp;(SUMPRODUCT(MID(0&amp;(--TRIM(RIGHT(SUBSTITUTE(LEFT(A304,_xlfn.AGGREGATE(16,6,FIND({0,1,2,3,4,5,6,7,8,9},A304,ROW(INDIRECT("1:"&amp;LEN(A304)))),1))," ",REPT(" ",LEN(A304))),LEN(A304)))), LARGE(INDEX(ISNUMBER(--MID((--TRIM(RIGHT(SUBSTITUTE(LEFT(A304,_xlfn.AGGREGATE(16,6,FIND({0,1,2,3,4,5,6,7,8,9},A304,ROW(INDIRECT("1:"&amp;LEN(A304)))),1))," ",REPT(" ",LEN(A304))),LEN(A304)))), ROW(INDIRECT("1:"&amp;LEN((--TRIM(RIGHT(SUBSTITUTE(LEFT(A304,_xlfn.AGGREGATE(16,6,FIND({0,1,2,3,4,5,6,7,8,9},A304,ROW(INDIRECT("1:"&amp;LEN(A304)))),1))," ",REPT(" ",LEN(A304))),LEN(A304))))))), 1)) * ROW(INDIRECT("1:"&amp;LEN((--TRIM(RIGHT(SUBSTITUTE(LEFT(A304,_xlfn.AGGREGATE(16,6,FIND({0,1,2,3,4,5,6,7,8,9},A304,ROW(INDIRECT("1:"&amp;LEN(A304)))),1))," ",REPT(" ",LEN(A304))),LEN(A304))))))), 0), ROW(INDIRECT("1:"&amp;LEN((--TRIM(RIGHT(SUBSTITUTE(LEFT(A304,_xlfn.AGGREGATE(16,6,FIND({0,1,2,3,4,5,6,7,8,9},A304,ROW(INDIRECT("1:"&amp;LEN(A304)))),1))," ",REPT(" ",LEN(A304))),LEN(A304))))))))+1, 1) * 10^ROW(INDIRECT("1:"&amp;LEN((--TRIM(RIGHT(SUBSTITUTE(LEFT(A304,_xlfn.AGGREGATE(16,6,FIND({0,1,2,3,4,5,6,7,8,9},A304,ROW(INDIRECT("1:"&amp;LEN(A304)))),1))," ",REPT(" ",LEN(A304))),LEN(A304)))))))/10))*100+1</f>
        <v>201 to 401</v>
      </c>
      <c r="B305" s="119"/>
      <c r="C305" s="39" t="s">
        <v>188</v>
      </c>
      <c r="D305" s="39">
        <f>(27.56+(1.8+2.25+2.75)*0.75+1.25*0.45)*10.764</f>
        <v>357.60698999999994</v>
      </c>
      <c r="E305" s="39">
        <v>0</v>
      </c>
      <c r="F305" s="39">
        <f t="shared" ref="F305:F310" si="23">D305*(($F$246)+1)+(IF(E305&lt;101,E305,IF(E305&lt;201,E305/2,IF(E305&lt;=301,E305/3,E305/4))))</f>
        <v>518.53013549999991</v>
      </c>
      <c r="G305" s="123" t="str">
        <f>A304</f>
        <v>2nd to 4th Floor</v>
      </c>
      <c r="H305" s="124"/>
      <c r="I305" s="33"/>
    </row>
    <row r="306" spans="1:14" s="34" customFormat="1" ht="15.75" customHeight="1" x14ac:dyDescent="0.25">
      <c r="A306" s="118" t="str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10^ROW(INDIRECT("1:"&amp;LEN((LEFT(A305,SUM(LEN(A305)-LEN(SUBSTITUTE(A305,{"0","1","2"},""))))))))/10))*1+1&amp;""&amp;" to "&amp;""&amp;(SUMPRODUCT(MID(0&amp;(--TRIM(RIGHT(SUBSTITUTE(LEFT(A305,_xlfn.AGGREGATE(16,6,FIND({0,1,2,3,4,5,6,7,8,9},A305,ROW(INDIRECT("1:"&amp;LEN(A305)))),1)),"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",LEN(A305))),LEN(A305)))))))/10))*1+1</f>
        <v>202 to 402</v>
      </c>
      <c r="B306" s="119"/>
      <c r="C306" s="39" t="s">
        <v>188</v>
      </c>
      <c r="D306" s="39">
        <f>(27.56+(1.8+1.8+2.75)*0.75+1.25*0.45)*10.764</f>
        <v>353.97413999999998</v>
      </c>
      <c r="E306" s="39">
        <v>0</v>
      </c>
      <c r="F306" s="39">
        <f t="shared" si="23"/>
        <v>513.26250299999992</v>
      </c>
      <c r="G306" s="125"/>
      <c r="H306" s="126"/>
      <c r="I306" s="33"/>
    </row>
    <row r="307" spans="1:14" s="34" customFormat="1" ht="15.75" customHeight="1" x14ac:dyDescent="0.25">
      <c r="A307" s="118" t="str">
        <f ca="1">(SUMPRODUCT(MID(0&amp;(LEFT(A306,SUM(LEN(A306)-LEN(SUBSTITUTE(A306,{"0","1","2"},""))))), LARGE(INDEX(ISNUMBER(--MID((LEFT(A306,SUM(LEN(A306)-LEN(SUBSTITUTE(A306,{"0","1","2"},""))))), ROW(INDIRECT("1:"&amp;LEN((LEFT(A306,SUM(LEN(A306)-LEN(SUBSTITUTE(A306,{"0","1","2"},"")))))))), 1)) * ROW(INDIRECT("1:"&amp;LEN((LEFT(A306,SUM(LEN(A306)-LEN(SUBSTITUTE(A306,{"0","1","2"},"")))))))), 0), ROW(INDIRECT("1:"&amp;LEN((LEFT(A306,SUM(LEN(A306)-LEN(SUBSTITUTE(A306,{"0","1","2"},"")))))))))+1, 1) * 10^ROW(INDIRECT("1:"&amp;LEN((LEFT(A306,SUM(LEN(A306)-LEN(SUBSTITUTE(A306,{"0","1","2"},""))))))))/10))*1+1&amp;""&amp;" to "&amp;""&amp;(SUMPRODUCT(MID(0&amp;(--TRIM(RIGHT(SUBSTITUTE(LEFT(A306,_xlfn.AGGREGATE(16,6,FIND({0,1,2,3,4,5,6,7,8,9},A306,ROW(INDIRECT("1:"&amp;LEN(A306)))),1))," ",REPT(" ",LEN(A306))),LEN(A306)))), LARGE(INDEX(ISNUMBER(--MID((--TRIM(RIGHT(SUBSTITUTE(LEFT(A306,_xlfn.AGGREGATE(16,6,FIND({0,1,2,3,4,5,6,7,8,9},A306,ROW(INDIRECT("1:"&amp;LEN(A306)))),1))," ",REPT(" ",LEN(A306))),LEN(A306)))), ROW(INDIRECT("1:"&amp;LEN((--TRIM(RIGHT(SUBSTITUTE(LEFT(A306,_xlfn.AGGREGATE(16,6,FIND({0,1,2,3,4,5,6,7,8,9},A306,ROW(INDIRECT("1:"&amp;LEN(A306)))),1))," ",REPT(" ",LEN(A306))),LEN(A306))))))), 1)) * ROW(INDIRECT("1:"&amp;LEN((--TRIM(RIGHT(SUBSTITUTE(LEFT(A306,_xlfn.AGGREGATE(16,6,FIND({0,1,2,3,4,5,6,7,8,9},A306,ROW(INDIRECT("1:"&amp;LEN(A306)))),1))," ",REPT(" ",LEN(A306))),LEN(A306))))))), 0), ROW(INDIRECT("1:"&amp;LEN((--TRIM(RIGHT(SUBSTITUTE(LEFT(A306,_xlfn.AGGREGATE(16,6,FIND({0,1,2,3,4,5,6,7,8,9},A306,ROW(INDIRECT("1:"&amp;LEN(A306)))),1))," ",REPT(" ",LEN(A306))),LEN(A306))))))))+1, 1) * 10^ROW(INDIRECT("1:"&amp;LEN((--TRIM(RIGHT(SUBSTITUTE(LEFT(A306,_xlfn.AGGREGATE(16,6,FIND({0,1,2,3,4,5,6,7,8,9},A306,ROW(INDIRECT("1:"&amp;LEN(A306)))),1))," ",REPT(" ",LEN(A306))),LEN(A306)))))))/10))*1+1</f>
        <v>203 to 403</v>
      </c>
      <c r="B307" s="119"/>
      <c r="C307" s="39" t="s">
        <v>188</v>
      </c>
      <c r="D307" s="39">
        <f>(30.9+(2.75+2.15+2.75)*0.75)*10.764</f>
        <v>394.36605000000003</v>
      </c>
      <c r="E307" s="39">
        <v>0</v>
      </c>
      <c r="F307" s="39">
        <f t="shared" si="23"/>
        <v>571.83077250000008</v>
      </c>
      <c r="G307" s="125"/>
      <c r="H307" s="126"/>
      <c r="I307" s="33"/>
    </row>
    <row r="308" spans="1:14" s="34" customFormat="1" ht="15.75" customHeight="1" x14ac:dyDescent="0.25">
      <c r="A308" s="118" t="str">
        <f ca="1">(SUMPRODUCT(MID(0&amp;(LEFT(A307,SUM(LEN(A307)-LEN(SUBSTITUTE(A307,{"0","1","2"},""))))), LARGE(INDEX(ISNUMBER(--MID((LEFT(A307,SUM(LEN(A307)-LEN(SUBSTITUTE(A307,{"0","1","2"},""))))), ROW(INDIRECT("1:"&amp;LEN((LEFT(A307,SUM(LEN(A307)-LEN(SUBSTITUTE(A307,{"0","1","2"},"")))))))), 1)) * ROW(INDIRECT("1:"&amp;LEN((LEFT(A307,SUM(LEN(A307)-LEN(SUBSTITUTE(A307,{"0","1","2"},"")))))))), 0), ROW(INDIRECT("1:"&amp;LEN((LEFT(A307,SUM(LEN(A307)-LEN(SUBSTITUTE(A307,{"0","1","2"},"")))))))))+1, 1) * 10^ROW(INDIRECT("1:"&amp;LEN((LEFT(A307,SUM(LEN(A307)-LEN(SUBSTITUTE(A307,{"0","1","2"},""))))))))/10))*1+1&amp;""&amp;" to "&amp;""&amp;(SUMPRODUCT(MID(0&amp;(--TRIM(RIGHT(SUBSTITUTE(LEFT(A307,_xlfn.AGGREGATE(16,6,FIND({0,1,2,3,4,5,6,7,8,9},A307,ROW(INDIRECT("1:"&amp;LEN(A307)))),1))," ",REPT(" ",LEN(A307))),LEN(A307)))), LARGE(INDEX(ISNUMBER(--MID((--TRIM(RIGHT(SUBSTITUTE(LEFT(A307,_xlfn.AGGREGATE(16,6,FIND({0,1,2,3,4,5,6,7,8,9},A307,ROW(INDIRECT("1:"&amp;LEN(A307)))),1))," ",REPT(" ",LEN(A307))),LEN(A307)))), ROW(INDIRECT("1:"&amp;LEN((--TRIM(RIGHT(SUBSTITUTE(LEFT(A307,_xlfn.AGGREGATE(16,6,FIND({0,1,2,3,4,5,6,7,8,9},A307,ROW(INDIRECT("1:"&amp;LEN(A307)))),1))," ",REPT(" ",LEN(A307))),LEN(A307))))))), 1)) * ROW(INDIRECT("1:"&amp;LEN((--TRIM(RIGHT(SUBSTITUTE(LEFT(A307,_xlfn.AGGREGATE(16,6,FIND({0,1,2,3,4,5,6,7,8,9},A307,ROW(INDIRECT("1:"&amp;LEN(A307)))),1))," ",REPT(" ",LEN(A307))),LEN(A307))))))), 0), ROW(INDIRECT("1:"&amp;LEN((--TRIM(RIGHT(SUBSTITUTE(LEFT(A307,_xlfn.AGGREGATE(16,6,FIND({0,1,2,3,4,5,6,7,8,9},A307,ROW(INDIRECT("1:"&amp;LEN(A307)))),1))," ",REPT(" ",LEN(A307))),LEN(A307))))))))+1, 1) * 10^ROW(INDIRECT("1:"&amp;LEN((--TRIM(RIGHT(SUBSTITUTE(LEFT(A307,_xlfn.AGGREGATE(16,6,FIND({0,1,2,3,4,5,6,7,8,9},A307,ROW(INDIRECT("1:"&amp;LEN(A307)))),1))," ",REPT(" ",LEN(A307))),LEN(A307)))))))/10))*1+1</f>
        <v>204 to 404</v>
      </c>
      <c r="B308" s="119"/>
      <c r="C308" s="39" t="s">
        <v>187</v>
      </c>
      <c r="D308" s="39">
        <f>(45.25+2.4*0.45+(3.05+2.15+2.75+2.75)*0.75)*10.764</f>
        <v>585.0772199999999</v>
      </c>
      <c r="E308" s="39">
        <v>0</v>
      </c>
      <c r="F308" s="39">
        <f t="shared" si="23"/>
        <v>848.36196899999982</v>
      </c>
      <c r="G308" s="125"/>
      <c r="H308" s="126"/>
      <c r="I308" s="33"/>
    </row>
    <row r="309" spans="1:14" s="34" customFormat="1" ht="15.75" customHeight="1" x14ac:dyDescent="0.25">
      <c r="A309" s="118" t="str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10^ROW(INDIRECT("1:"&amp;LEN((LEFT(A308,SUM(LEN(A308)-LEN(SUBSTITUTE(A308,{"0","1","2"},""))))))))/10))*1+1&amp;""&amp;" to "&amp;""&amp;(SUMPRODUCT(MID(0&amp;(--TRIM(RIGHT(SUBSTITUTE(LEFT(A308,_xlfn.AGGREGATE(16,6,FIND({0,1,2,3,4,5,6,7,8,9},A308,ROW(INDIRECT("1:"&amp;LEN(A308)))),1)),"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",LEN(A308))),LEN(A308)))))))/10))*1+1</f>
        <v>205 to 405</v>
      </c>
      <c r="B309" s="119"/>
      <c r="C309" s="39" t="s">
        <v>188</v>
      </c>
      <c r="D309" s="39">
        <f>(30.9+(2.9+2.3+2.75)*0.75)*10.764</f>
        <v>396.78794999999997</v>
      </c>
      <c r="E309" s="39">
        <v>0</v>
      </c>
      <c r="F309" s="39">
        <f t="shared" si="23"/>
        <v>575.34252749999996</v>
      </c>
      <c r="G309" s="125"/>
      <c r="H309" s="126"/>
      <c r="I309" s="33"/>
    </row>
    <row r="310" spans="1:14" s="34" customFormat="1" ht="15.75" customHeight="1" x14ac:dyDescent="0.25">
      <c r="A310" s="118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10^ROW(INDIRECT("1:"&amp;LEN((LEFT(A309,SUM(LEN(A309)-LEN(SUBSTITUTE(A309,{"0","1","2"},""))))))))/10))*1+1&amp;""&amp;" to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",LEN(A309))),LEN(A309)))))))/10))*1+1</f>
        <v>206 to 406</v>
      </c>
      <c r="B310" s="119"/>
      <c r="C310" s="39" t="s">
        <v>188</v>
      </c>
      <c r="D310" s="39">
        <f>(27.56+(2+2.25+2.9)*0.75+1.25*0.45)*10.764</f>
        <v>360.43253999999996</v>
      </c>
      <c r="E310" s="39">
        <v>0</v>
      </c>
      <c r="F310" s="39">
        <f t="shared" si="23"/>
        <v>522.62718299999995</v>
      </c>
      <c r="G310" s="127"/>
      <c r="H310" s="128"/>
      <c r="I310" s="33"/>
    </row>
    <row r="311" spans="1:14" s="34" customFormat="1" x14ac:dyDescent="0.25">
      <c r="A311" s="120" t="s">
        <v>194</v>
      </c>
      <c r="B311" s="121"/>
      <c r="C311" s="121"/>
      <c r="D311" s="121"/>
      <c r="E311" s="121"/>
      <c r="F311" s="121"/>
      <c r="G311" s="121"/>
      <c r="H311" s="122"/>
      <c r="I311" s="33"/>
      <c r="N311" s="33"/>
    </row>
    <row r="312" spans="1:14" s="34" customFormat="1" ht="15.75" customHeight="1" x14ac:dyDescent="0.25">
      <c r="A312" s="120" t="s">
        <v>198</v>
      </c>
      <c r="B312" s="121"/>
      <c r="C312" s="121"/>
      <c r="D312" s="121"/>
      <c r="E312" s="121"/>
      <c r="F312" s="121"/>
      <c r="G312" s="121"/>
      <c r="H312" s="122"/>
      <c r="I312" s="33"/>
      <c r="L312" s="129"/>
      <c r="M312" s="129"/>
      <c r="N312" s="33"/>
    </row>
    <row r="313" spans="1:14" s="34" customFormat="1" ht="25.5" customHeight="1" x14ac:dyDescent="0.25">
      <c r="A313" s="118">
        <v>5</v>
      </c>
      <c r="B313" s="119"/>
      <c r="C313" s="39" t="s">
        <v>188</v>
      </c>
      <c r="D313" s="39">
        <f>(27.56)*10.764</f>
        <v>296.65583999999996</v>
      </c>
      <c r="E313" s="39">
        <v>0</v>
      </c>
      <c r="F313" s="39">
        <f>D313*(($F$246)+1)+(IF(E313&lt;101,E313,IF(E313&lt;201,E313/2,IF(E313&lt;=301,E313/3,E313/4))))</f>
        <v>430.15096799999992</v>
      </c>
      <c r="G313" s="123" t="str">
        <f>A312</f>
        <v>Ground Floor for Residential + Commercial + Parking</v>
      </c>
      <c r="H313" s="124"/>
      <c r="I313" s="33"/>
      <c r="L313" s="129"/>
      <c r="M313" s="129"/>
      <c r="N313" s="33"/>
    </row>
    <row r="314" spans="1:14" s="34" customFormat="1" ht="25.5" customHeight="1" x14ac:dyDescent="0.25">
      <c r="A314" s="118">
        <v>6</v>
      </c>
      <c r="B314" s="119"/>
      <c r="C314" s="39" t="s">
        <v>188</v>
      </c>
      <c r="D314" s="39">
        <f>(27.56)*10.764</f>
        <v>296.65583999999996</v>
      </c>
      <c r="E314" s="39">
        <v>0</v>
      </c>
      <c r="F314" s="39">
        <f>D314*(($F$246)+1)+(IF(E314&lt;101,E314,IF(E314&lt;201,E314/2,IF(E314&lt;=301,E314/3,E314/4))))</f>
        <v>430.15096799999992</v>
      </c>
      <c r="G314" s="127"/>
      <c r="H314" s="128"/>
      <c r="I314" s="33"/>
      <c r="L314" s="129"/>
      <c r="M314" s="129"/>
      <c r="N314" s="33"/>
    </row>
    <row r="315" spans="1:14" s="34" customFormat="1" x14ac:dyDescent="0.25">
      <c r="A315" s="120" t="s">
        <v>197</v>
      </c>
      <c r="B315" s="121"/>
      <c r="C315" s="121"/>
      <c r="D315" s="121"/>
      <c r="E315" s="121"/>
      <c r="F315" s="121"/>
      <c r="G315" s="121"/>
      <c r="H315" s="122"/>
      <c r="I315" s="33"/>
      <c r="N315" s="33"/>
    </row>
    <row r="316" spans="1:14" s="34" customFormat="1" x14ac:dyDescent="0.25">
      <c r="A316" s="118">
        <f>LEFT(A315,SUM(LEN(A315)-LEN(SUBSTITUTE(A315,{"0","1","2","3","4","5","6","7","8","9"},""))))*100+1</f>
        <v>101</v>
      </c>
      <c r="B316" s="119"/>
      <c r="C316" s="39" t="s">
        <v>188</v>
      </c>
      <c r="D316" s="39">
        <f>(27.56+(2+2.25+2.9)*0.75+1.25*0.45)*10.764</f>
        <v>360.43253999999996</v>
      </c>
      <c r="E316" s="39">
        <v>0</v>
      </c>
      <c r="F316" s="39">
        <f t="shared" ref="F316:F317" si="24">D316*(($F$246)+1)+(IF(E316&lt;101,E316,IF(E316&lt;201,E316/2,IF(E316&lt;=301,E316/3,E316/4))))</f>
        <v>522.62718299999995</v>
      </c>
      <c r="G316" s="123" t="str">
        <f>A315</f>
        <v>1st Floor</v>
      </c>
      <c r="H316" s="124"/>
      <c r="I316" s="33"/>
      <c r="N316" s="33"/>
    </row>
    <row r="317" spans="1:14" s="34" customFormat="1" x14ac:dyDescent="0.25">
      <c r="A317" s="118">
        <f>A316+1</f>
        <v>102</v>
      </c>
      <c r="B317" s="119"/>
      <c r="C317" s="39" t="s">
        <v>188</v>
      </c>
      <c r="D317" s="39">
        <f>(27.56+1.25*0.45)*10.764</f>
        <v>302.71058999999997</v>
      </c>
      <c r="E317" s="39">
        <f>(2*4+1.1*1.95+1.9*2.75)*10.764</f>
        <v>165.44268</v>
      </c>
      <c r="F317" s="39">
        <f t="shared" si="24"/>
        <v>521.65169549999996</v>
      </c>
      <c r="G317" s="125"/>
      <c r="H317" s="126"/>
      <c r="I317" s="33"/>
      <c r="N317" s="33"/>
    </row>
    <row r="318" spans="1:14" s="34" customFormat="1" x14ac:dyDescent="0.25">
      <c r="A318" s="118">
        <f>A317+1</f>
        <v>103</v>
      </c>
      <c r="B318" s="119"/>
      <c r="C318" s="39" t="s">
        <v>187</v>
      </c>
      <c r="D318" s="39">
        <f>(45.25+2.4*0.45)*10.764</f>
        <v>498.69611999999995</v>
      </c>
      <c r="E318" s="39">
        <f>(1.5*3.05+1.7*2.15+1.3*2.9+1.8*2.9)*10.764</f>
        <v>185.35607999999996</v>
      </c>
      <c r="F318" s="39">
        <f>D318*(($F$246)+1)+(IF(E318&lt;101,E318,IF(E318&lt;201,E318/2,IF(E318&lt;=301,E318/3,E318/4))))</f>
        <v>815.7874139999999</v>
      </c>
      <c r="G318" s="125"/>
      <c r="H318" s="126"/>
      <c r="I318" s="33"/>
      <c r="N318" s="33"/>
    </row>
    <row r="319" spans="1:14" s="34" customFormat="1" ht="15.75" customHeight="1" x14ac:dyDescent="0.25">
      <c r="A319" s="118">
        <f>A318+1</f>
        <v>104</v>
      </c>
      <c r="B319" s="119"/>
      <c r="C319" s="39" t="s">
        <v>188</v>
      </c>
      <c r="D319" s="39">
        <f>(30.9+(2.9+2.3+2.75)*0.75)*10.764</f>
        <v>396.78794999999997</v>
      </c>
      <c r="E319" s="39">
        <v>0</v>
      </c>
      <c r="F319" s="39">
        <f>D319*(($F$246)+1)+(IF(E319&lt;101,E319,IF(E319&lt;201,E319/2,IF(E319&lt;=301,E319/3,E319/4))))</f>
        <v>575.34252749999996</v>
      </c>
      <c r="G319" s="125"/>
      <c r="H319" s="126"/>
      <c r="I319" s="33"/>
    </row>
    <row r="320" spans="1:14" s="34" customFormat="1" x14ac:dyDescent="0.25">
      <c r="A320" s="118">
        <f>A319+1</f>
        <v>105</v>
      </c>
      <c r="B320" s="119"/>
      <c r="C320" s="39" t="s">
        <v>188</v>
      </c>
      <c r="D320" s="39">
        <f>(27.56+(1.8+1.8+2.75)*0.75+1.25*0.45)*10.764</f>
        <v>353.97413999999998</v>
      </c>
      <c r="E320" s="39">
        <v>0</v>
      </c>
      <c r="F320" s="39">
        <f>D320*(($F$246)+1)+(IF(E320&lt;101,E320,IF(E320&lt;201,E320/2,IF(E320&lt;=301,E320/3,E320/4))))</f>
        <v>513.26250299999992</v>
      </c>
      <c r="G320" s="125"/>
      <c r="H320" s="126"/>
      <c r="I320" s="33"/>
    </row>
    <row r="321" spans="1:14" s="34" customFormat="1" x14ac:dyDescent="0.25">
      <c r="A321" s="118">
        <f>A320+1</f>
        <v>106</v>
      </c>
      <c r="B321" s="119"/>
      <c r="C321" s="39" t="s">
        <v>188</v>
      </c>
      <c r="D321" s="39">
        <f>(27.56+(1.8+2.25+2.75)*0.75+1.25*0.45)*10.764</f>
        <v>357.60698999999994</v>
      </c>
      <c r="E321" s="39">
        <v>0</v>
      </c>
      <c r="F321" s="39">
        <f>D321*(($F$246)+1)+(IF(E321&lt;101,E321,IF(E321&lt;201,E321/2,IF(E321&lt;=301,E321/3,E321/4))))</f>
        <v>518.53013549999991</v>
      </c>
      <c r="G321" s="127"/>
      <c r="H321" s="128"/>
      <c r="I321" s="33"/>
    </row>
    <row r="322" spans="1:14" s="34" customFormat="1" x14ac:dyDescent="0.25">
      <c r="A322" s="120" t="s">
        <v>190</v>
      </c>
      <c r="B322" s="121"/>
      <c r="C322" s="121"/>
      <c r="D322" s="121"/>
      <c r="E322" s="121"/>
      <c r="F322" s="121"/>
      <c r="G322" s="121"/>
      <c r="H322" s="122"/>
      <c r="I322" s="33"/>
    </row>
    <row r="323" spans="1:14" s="34" customFormat="1" ht="15.75" customHeight="1" x14ac:dyDescent="0.25">
      <c r="A323" s="118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10^ROW(INDIRECT("1:"&amp;LEN((LEFT(A322,SUM(LEN(A322)-LEN(SUBSTITUTE(A322,{"0","1","2"},""))))))))/10))*100+1&amp;""&amp;" to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",LEN(A322))),LEN(A322)))))))/10))*100+1</f>
        <v>201 to 401</v>
      </c>
      <c r="B323" s="119"/>
      <c r="C323" s="39" t="s">
        <v>188</v>
      </c>
      <c r="D323" s="39">
        <f>(27.56+(2+2.25+2.9)*0.75+1.25*0.45)*10.764</f>
        <v>360.43253999999996</v>
      </c>
      <c r="E323" s="39">
        <v>0</v>
      </c>
      <c r="F323" s="39">
        <f t="shared" ref="F323:F328" si="25">D323*(($F$246)+1)+(IF(E323&lt;101,E323,IF(E323&lt;201,E323/2,IF(E323&lt;=301,E323/3,E323/4))))</f>
        <v>522.62718299999995</v>
      </c>
      <c r="G323" s="123" t="str">
        <f>A322</f>
        <v>2nd to 4th Floor</v>
      </c>
      <c r="H323" s="124"/>
      <c r="I323" s="33"/>
    </row>
    <row r="324" spans="1:14" s="34" customFormat="1" ht="15.75" customHeight="1" x14ac:dyDescent="0.25">
      <c r="A324" s="118" t="str">
        <f ca="1">(SUMPRODUCT(MID(0&amp;(LEFT(A323,SUM(LEN(A323)-LEN(SUBSTITUTE(A323,{"0","1","2"},""))))), LARGE(INDEX(ISNUMBER(--MID((LEFT(A323,SUM(LEN(A323)-LEN(SUBSTITUTE(A323,{"0","1","2"},""))))), ROW(INDIRECT("1:"&amp;LEN((LEFT(A323,SUM(LEN(A323)-LEN(SUBSTITUTE(A323,{"0","1","2"},"")))))))), 1)) * ROW(INDIRECT("1:"&amp;LEN((LEFT(A323,SUM(LEN(A323)-LEN(SUBSTITUTE(A323,{"0","1","2"},"")))))))), 0), ROW(INDIRECT("1:"&amp;LEN((LEFT(A323,SUM(LEN(A323)-LEN(SUBSTITUTE(A323,{"0","1","2"},"")))))))))+1, 1) * 10^ROW(INDIRECT("1:"&amp;LEN((LEFT(A323,SUM(LEN(A323)-LEN(SUBSTITUTE(A323,{"0","1","2"},""))))))))/10))*1+1&amp;""&amp;" to "&amp;""&amp;(SUMPRODUCT(MID(0&amp;(--TRIM(RIGHT(SUBSTITUTE(LEFT(A323,_xlfn.AGGREGATE(16,6,FIND({0,1,2,3,4,5,6,7,8,9},A323,ROW(INDIRECT("1:"&amp;LEN(A323)))),1))," ",REPT(" ",LEN(A323))),LEN(A323)))), LARGE(INDEX(ISNUMBER(--MID((--TRIM(RIGHT(SUBSTITUTE(LEFT(A323,_xlfn.AGGREGATE(16,6,FIND({0,1,2,3,4,5,6,7,8,9},A323,ROW(INDIRECT("1:"&amp;LEN(A323)))),1))," ",REPT(" ",LEN(A323))),LEN(A323)))), ROW(INDIRECT("1:"&amp;LEN((--TRIM(RIGHT(SUBSTITUTE(LEFT(A323,_xlfn.AGGREGATE(16,6,FIND({0,1,2,3,4,5,6,7,8,9},A323,ROW(INDIRECT("1:"&amp;LEN(A323)))),1))," ",REPT(" ",LEN(A323))),LEN(A323))))))), 1)) * ROW(INDIRECT("1:"&amp;LEN((--TRIM(RIGHT(SUBSTITUTE(LEFT(A323,_xlfn.AGGREGATE(16,6,FIND({0,1,2,3,4,5,6,7,8,9},A323,ROW(INDIRECT("1:"&amp;LEN(A323)))),1))," ",REPT(" ",LEN(A323))),LEN(A323))))))), 0), ROW(INDIRECT("1:"&amp;LEN((--TRIM(RIGHT(SUBSTITUTE(LEFT(A323,_xlfn.AGGREGATE(16,6,FIND({0,1,2,3,4,5,6,7,8,9},A323,ROW(INDIRECT("1:"&amp;LEN(A323)))),1))," ",REPT(" ",LEN(A323))),LEN(A323))))))))+1, 1) * 10^ROW(INDIRECT("1:"&amp;LEN((--TRIM(RIGHT(SUBSTITUTE(LEFT(A323,_xlfn.AGGREGATE(16,6,FIND({0,1,2,3,4,5,6,7,8,9},A323,ROW(INDIRECT("1:"&amp;LEN(A323)))),1))," ",REPT(" ",LEN(A323))),LEN(A323)))))))/10))*1+1</f>
        <v>202 to 402</v>
      </c>
      <c r="B324" s="119"/>
      <c r="C324" s="39" t="s">
        <v>188</v>
      </c>
      <c r="D324" s="39">
        <f>(27.56+1.25*0.45+(2+2.25+2.75)*0.75)*10.764</f>
        <v>359.22158999999999</v>
      </c>
      <c r="E324" s="39">
        <v>0</v>
      </c>
      <c r="F324" s="39">
        <f t="shared" si="25"/>
        <v>520.87130549999995</v>
      </c>
      <c r="G324" s="125"/>
      <c r="H324" s="126"/>
      <c r="I324" s="33"/>
    </row>
    <row r="325" spans="1:14" s="34" customFormat="1" ht="15.75" customHeight="1" x14ac:dyDescent="0.25">
      <c r="A325" s="118" t="str">
        <f ca="1">(SUMPRODUCT(MID(0&amp;(LEFT(A324,SUM(LEN(A324)-LEN(SUBSTITUTE(A324,{"0","1","2"},""))))), LARGE(INDEX(ISNUMBER(--MID((LEFT(A324,SUM(LEN(A324)-LEN(SUBSTITUTE(A324,{"0","1","2"},""))))), ROW(INDIRECT("1:"&amp;LEN((LEFT(A324,SUM(LEN(A324)-LEN(SUBSTITUTE(A324,{"0","1","2"},"")))))))), 1)) * ROW(INDIRECT("1:"&amp;LEN((LEFT(A324,SUM(LEN(A324)-LEN(SUBSTITUTE(A324,{"0","1","2"},"")))))))), 0), ROW(INDIRECT("1:"&amp;LEN((LEFT(A324,SUM(LEN(A324)-LEN(SUBSTITUTE(A324,{"0","1","2"},"")))))))))+1, 1) * 10^ROW(INDIRECT("1:"&amp;LEN((LEFT(A324,SUM(LEN(A324)-LEN(SUBSTITUTE(A324,{"0","1","2"},""))))))))/10))*1+1&amp;""&amp;" to "&amp;""&amp;(SUMPRODUCT(MID(0&amp;(--TRIM(RIGHT(SUBSTITUTE(LEFT(A324,_xlfn.AGGREGATE(16,6,FIND({0,1,2,3,4,5,6,7,8,9},A324,ROW(INDIRECT("1:"&amp;LEN(A324)))),1))," ",REPT(" ",LEN(A324))),LEN(A324)))), LARGE(INDEX(ISNUMBER(--MID((--TRIM(RIGHT(SUBSTITUTE(LEFT(A324,_xlfn.AGGREGATE(16,6,FIND({0,1,2,3,4,5,6,7,8,9},A324,ROW(INDIRECT("1:"&amp;LEN(A324)))),1))," ",REPT(" ",LEN(A324))),LEN(A324)))), ROW(INDIRECT("1:"&amp;LEN((--TRIM(RIGHT(SUBSTITUTE(LEFT(A324,_xlfn.AGGREGATE(16,6,FIND({0,1,2,3,4,5,6,7,8,9},A324,ROW(INDIRECT("1:"&amp;LEN(A324)))),1))," ",REPT(" ",LEN(A324))),LEN(A324))))))), 1)) * ROW(INDIRECT("1:"&amp;LEN((--TRIM(RIGHT(SUBSTITUTE(LEFT(A324,_xlfn.AGGREGATE(16,6,FIND({0,1,2,3,4,5,6,7,8,9},A324,ROW(INDIRECT("1:"&amp;LEN(A324)))),1))," ",REPT(" ",LEN(A324))),LEN(A324))))))), 0), ROW(INDIRECT("1:"&amp;LEN((--TRIM(RIGHT(SUBSTITUTE(LEFT(A324,_xlfn.AGGREGATE(16,6,FIND({0,1,2,3,4,5,6,7,8,9},A324,ROW(INDIRECT("1:"&amp;LEN(A324)))),1))," ",REPT(" ",LEN(A324))),LEN(A324))))))))+1, 1) * 10^ROW(INDIRECT("1:"&amp;LEN((--TRIM(RIGHT(SUBSTITUTE(LEFT(A324,_xlfn.AGGREGATE(16,6,FIND({0,1,2,3,4,5,6,7,8,9},A324,ROW(INDIRECT("1:"&amp;LEN(A324)))),1))," ",REPT(" ",LEN(A324))),LEN(A324)))))))/10))*1+1</f>
        <v>203 to 403</v>
      </c>
      <c r="B325" s="119"/>
      <c r="C325" s="39" t="s">
        <v>187</v>
      </c>
      <c r="D325" s="39">
        <f>(45.25+2.4*0.45+(3.05+2.15+2.75+2.75)*0.75)*10.764</f>
        <v>585.0772199999999</v>
      </c>
      <c r="E325" s="39">
        <v>0</v>
      </c>
      <c r="F325" s="39">
        <f t="shared" si="25"/>
        <v>848.36196899999982</v>
      </c>
      <c r="G325" s="125"/>
      <c r="H325" s="126"/>
      <c r="I325" s="33"/>
    </row>
    <row r="326" spans="1:14" s="34" customFormat="1" ht="15.75" customHeight="1" x14ac:dyDescent="0.25">
      <c r="A326" s="118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10^ROW(INDIRECT("1:"&amp;LEN((LEFT(A325,SUM(LEN(A325)-LEN(SUBSTITUTE(A325,{"0","1","2"},""))))))))/10))*1+1&amp;""&amp;" to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",LEN(A325))),LEN(A325)))))))/10))*1+1</f>
        <v>204 to 404</v>
      </c>
      <c r="B326" s="119"/>
      <c r="C326" s="39" t="s">
        <v>188</v>
      </c>
      <c r="D326" s="39">
        <f>(30.9+(2.9+2.3+2.75)*0.75)*10.764</f>
        <v>396.78794999999997</v>
      </c>
      <c r="E326" s="39">
        <v>0</v>
      </c>
      <c r="F326" s="39">
        <f t="shared" si="25"/>
        <v>575.34252749999996</v>
      </c>
      <c r="G326" s="125"/>
      <c r="H326" s="126"/>
      <c r="I326" s="33"/>
    </row>
    <row r="327" spans="1:14" s="34" customFormat="1" ht="15.75" customHeight="1" x14ac:dyDescent="0.25">
      <c r="A327" s="118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10^ROW(INDIRECT("1:"&amp;LEN((LEFT(A326,SUM(LEN(A326)-LEN(SUBSTITUTE(A326,{"0","1","2"},""))))))))/10))*1+1&amp;""&amp;" to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",LEN(A326))),LEN(A326)))))))/10))*1+1</f>
        <v>205 to 405</v>
      </c>
      <c r="B327" s="119"/>
      <c r="C327" s="39" t="s">
        <v>188</v>
      </c>
      <c r="D327" s="39">
        <f>(27.56+(1.8+1.8+2.75)*0.75+1.25*0.45)*10.764</f>
        <v>353.97413999999998</v>
      </c>
      <c r="E327" s="39">
        <v>0</v>
      </c>
      <c r="F327" s="39">
        <f t="shared" si="25"/>
        <v>513.26250299999992</v>
      </c>
      <c r="G327" s="125"/>
      <c r="H327" s="126"/>
      <c r="I327" s="33"/>
    </row>
    <row r="328" spans="1:14" s="34" customFormat="1" ht="15.75" customHeight="1" x14ac:dyDescent="0.25">
      <c r="A328" s="111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10^ROW(INDIRECT("1:"&amp;LEN((LEFT(A327,SUM(LEN(A327)-LEN(SUBSTITUTE(A327,{"0","1","2"},""))))))))/10))*1+1&amp;""&amp;" to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",LEN(A327))),LEN(A327)))))))/10))*1+1</f>
        <v>206 to 406</v>
      </c>
      <c r="B328" s="112"/>
      <c r="C328" s="47" t="s">
        <v>188</v>
      </c>
      <c r="D328" s="47">
        <f>(27.56+(1.8+2.25+2.75)*0.75+1.25*0.45)*10.764</f>
        <v>357.60698999999994</v>
      </c>
      <c r="E328" s="47">
        <v>0</v>
      </c>
      <c r="F328" s="47">
        <f t="shared" si="25"/>
        <v>518.53013549999991</v>
      </c>
      <c r="G328" s="127"/>
      <c r="H328" s="128"/>
      <c r="I328" s="33"/>
    </row>
    <row r="329" spans="1:14" s="62" customFormat="1" x14ac:dyDescent="0.25">
      <c r="A329" s="130" t="s">
        <v>226</v>
      </c>
      <c r="B329" s="130"/>
      <c r="C329" s="130"/>
      <c r="D329" s="130"/>
      <c r="E329" s="130"/>
      <c r="F329" s="130"/>
      <c r="G329" s="130"/>
      <c r="H329" s="130"/>
      <c r="I329" s="33"/>
    </row>
    <row r="330" spans="1:14" s="62" customFormat="1" x14ac:dyDescent="0.25">
      <c r="A330" s="130" t="s">
        <v>184</v>
      </c>
      <c r="B330" s="130"/>
      <c r="C330" s="130"/>
      <c r="D330" s="130"/>
      <c r="E330" s="130"/>
      <c r="F330" s="130"/>
      <c r="G330" s="130"/>
      <c r="H330" s="130"/>
      <c r="I330" s="33">
        <f>(3.25*2.8+1.2*1.35+0.55*1.35+2.2*2.2+1.2*1.95+2.75*2.75+2.4*2.75+0.9*1.25+0.9*1.8+2.05*1.2+1.2*1.95+(2.95+2.35+2.9)*1)</f>
        <v>48.55</v>
      </c>
      <c r="L330" s="129"/>
      <c r="M330" s="129"/>
      <c r="N330" s="33"/>
    </row>
    <row r="331" spans="1:14" s="62" customFormat="1" x14ac:dyDescent="0.25">
      <c r="A331" s="130" t="s">
        <v>229</v>
      </c>
      <c r="B331" s="130"/>
      <c r="C331" s="130"/>
      <c r="D331" s="130"/>
      <c r="E331" s="130"/>
      <c r="F331" s="130"/>
      <c r="G331" s="130"/>
      <c r="H331" s="130"/>
      <c r="I331" s="33"/>
      <c r="L331" s="129"/>
      <c r="M331" s="129"/>
      <c r="N331" s="33"/>
    </row>
    <row r="332" spans="1:14" s="62" customFormat="1" x14ac:dyDescent="0.25">
      <c r="A332" s="130" t="s">
        <v>228</v>
      </c>
      <c r="B332" s="130"/>
      <c r="C332" s="130"/>
      <c r="D332" s="130"/>
      <c r="E332" s="130"/>
      <c r="F332" s="130"/>
      <c r="G332" s="130"/>
      <c r="H332" s="130"/>
      <c r="I332" s="33">
        <f>3.25*2.8+2.2*2.2+2.75*2.75+2.4*2.75+2.05*1.2+1.2*1.95+0.9*1.8+0.9*1.25+0.55*1.35+1.2*1.35</f>
        <v>38.01</v>
      </c>
      <c r="J332" s="62">
        <f>2.95*1.1+2.35*1+2.9*1</f>
        <v>8.495000000000001</v>
      </c>
      <c r="K332" s="33">
        <f>I332+J332</f>
        <v>46.504999999999995</v>
      </c>
    </row>
    <row r="333" spans="1:14" s="62" customFormat="1" ht="15.75" customHeight="1" x14ac:dyDescent="0.25">
      <c r="A333" s="134" t="str">
        <f ca="1">(SUMPRODUCT(MID(0&amp;(LEFT(A332,SUM(LEN(A332)-LEN(SUBSTITUTE(A332,{"0","1","2"},""))))), LARGE(INDEX(ISNUMBER(--MID((LEFT(A332,SUM(LEN(A332)-LEN(SUBSTITUTE(A332,{"0","1","2"},""))))), ROW(INDIRECT("1:"&amp;LEN((LEFT(A332,SUM(LEN(A332)-LEN(SUBSTITUTE(A332,{"0","1","2"},"")))))))), 1)) * ROW(INDIRECT("1:"&amp;LEN((LEFT(A332,SUM(LEN(A332)-LEN(SUBSTITUTE(A332,{"0","1","2"},"")))))))), 0), ROW(INDIRECT("1:"&amp;LEN((LEFT(A332,SUM(LEN(A332)-LEN(SUBSTITUTE(A332,{"0","1","2"},"")))))))))+1, 1) * 10^ROW(INDIRECT("1:"&amp;LEN((LEFT(A332,SUM(LEN(A332)-LEN(SUBSTITUTE(A332,{"0","1","2"},""))))))))/10))*100+1&amp;""&amp;" to "&amp;""&amp;(SUMPRODUCT(MID(0&amp;(--TRIM(RIGHT(SUBSTITUTE(LEFT(A332,_xlfn.AGGREGATE(16,6,FIND({0,1,2,3,4,5,6,7,8,9},A332,ROW(INDIRECT("1:"&amp;LEN(A332)))),1))," ",REPT(" ",LEN(A332))),LEN(A332)))), LARGE(INDEX(ISNUMBER(--MID((--TRIM(RIGHT(SUBSTITUTE(LEFT(A332,_xlfn.AGGREGATE(16,6,FIND({0,1,2,3,4,5,6,7,8,9},A332,ROW(INDIRECT("1:"&amp;LEN(A332)))),1))," ",REPT(" ",LEN(A332))),LEN(A332)))), ROW(INDIRECT("1:"&amp;LEN((--TRIM(RIGHT(SUBSTITUTE(LEFT(A332,_xlfn.AGGREGATE(16,6,FIND({0,1,2,3,4,5,6,7,8,9},A332,ROW(INDIRECT("1:"&amp;LEN(A332)))),1))," ",REPT(" ",LEN(A332))),LEN(A332))))))), 1)) * ROW(INDIRECT("1:"&amp;LEN((--TRIM(RIGHT(SUBSTITUTE(LEFT(A332,_xlfn.AGGREGATE(16,6,FIND({0,1,2,3,4,5,6,7,8,9},A332,ROW(INDIRECT("1:"&amp;LEN(A332)))),1))," ",REPT(" ",LEN(A332))),LEN(A332))))))), 0), ROW(INDIRECT("1:"&amp;LEN((--TRIM(RIGHT(SUBSTITUTE(LEFT(A332,_xlfn.AGGREGATE(16,6,FIND({0,1,2,3,4,5,6,7,8,9},A332,ROW(INDIRECT("1:"&amp;LEN(A332)))),1))," ",REPT(" ",LEN(A332))),LEN(A332))))))))+1, 1) * 10^ROW(INDIRECT("1:"&amp;LEN((--TRIM(RIGHT(SUBSTITUTE(LEFT(A332,_xlfn.AGGREGATE(16,6,FIND({0,1,2,3,4,5,6,7,8,9},A332,ROW(INDIRECT("1:"&amp;LEN(A332)))),1))," ",REPT(" ",LEN(A332))),LEN(A332)))))))/10))*100+1</f>
        <v>101 to 701</v>
      </c>
      <c r="B333" s="134"/>
      <c r="C333" s="39" t="s">
        <v>188</v>
      </c>
      <c r="D333" s="39">
        <f>(31.46+(2.75+2.1+2.75)*0.75)*10.7646</f>
        <v>400.01253599999995</v>
      </c>
      <c r="E333" s="39">
        <v>0</v>
      </c>
      <c r="F333" s="39">
        <f t="shared" ref="F333:F341" si="26">D333*(($F$246)+1)+(IF(E333&lt;101,E333,IF(E333&lt;201,E333/2,IF(E333&lt;=301,E333/3,E333/4))))</f>
        <v>580.01817719999997</v>
      </c>
      <c r="G333" s="134" t="str">
        <f>A332</f>
        <v>1st to 7th Floor for Residential</v>
      </c>
      <c r="H333" s="134"/>
      <c r="I333" s="33"/>
    </row>
    <row r="334" spans="1:14" s="62" customFormat="1" ht="15.75" customHeight="1" x14ac:dyDescent="0.25">
      <c r="A334" s="134" t="str">
        <f ca="1">(SUMPRODUCT(MID(0&amp;(LEFT(A333,SUM(LEN(A333)-LEN(SUBSTITUTE(A333,{"0","1","2"},""))))), LARGE(INDEX(ISNUMBER(--MID((LEFT(A333,SUM(LEN(A333)-LEN(SUBSTITUTE(A333,{"0","1","2"},""))))), ROW(INDIRECT("1:"&amp;LEN((LEFT(A333,SUM(LEN(A333)-LEN(SUBSTITUTE(A333,{"0","1","2"},"")))))))), 1)) * ROW(INDIRECT("1:"&amp;LEN((LEFT(A333,SUM(LEN(A333)-LEN(SUBSTITUTE(A333,{"0","1","2"},"")))))))), 0), ROW(INDIRECT("1:"&amp;LEN((LEFT(A333,SUM(LEN(A333)-LEN(SUBSTITUTE(A333,{"0","1","2"},"")))))))))+1, 1) * 10^ROW(INDIRECT("1:"&amp;LEN((LEFT(A333,SUM(LEN(A333)-LEN(SUBSTITUTE(A333,{"0","1","2"},""))))))))/10))*1+1&amp;""&amp;" to "&amp;""&amp;(SUMPRODUCT(MID(0&amp;(--TRIM(RIGHT(SUBSTITUTE(LEFT(A333,_xlfn.AGGREGATE(16,6,FIND({0,1,2,3,4,5,6,7,8,9},A333,ROW(INDIRECT("1:"&amp;LEN(A333)))),1))," ",REPT(" ",LEN(A333))),LEN(A333)))), LARGE(INDEX(ISNUMBER(--MID((--TRIM(RIGHT(SUBSTITUTE(LEFT(A333,_xlfn.AGGREGATE(16,6,FIND({0,1,2,3,4,5,6,7,8,9},A333,ROW(INDIRECT("1:"&amp;LEN(A333)))),1))," ",REPT(" ",LEN(A333))),LEN(A333)))), ROW(INDIRECT("1:"&amp;LEN((--TRIM(RIGHT(SUBSTITUTE(LEFT(A333,_xlfn.AGGREGATE(16,6,FIND({0,1,2,3,4,5,6,7,8,9},A333,ROW(INDIRECT("1:"&amp;LEN(A333)))),1))," ",REPT(" ",LEN(A333))),LEN(A333))))))), 1)) * ROW(INDIRECT("1:"&amp;LEN((--TRIM(RIGHT(SUBSTITUTE(LEFT(A333,_xlfn.AGGREGATE(16,6,FIND({0,1,2,3,4,5,6,7,8,9},A333,ROW(INDIRECT("1:"&amp;LEN(A333)))),1))," ",REPT(" ",LEN(A333))),LEN(A333))))))), 0), ROW(INDIRECT("1:"&amp;LEN((--TRIM(RIGHT(SUBSTITUTE(LEFT(A333,_xlfn.AGGREGATE(16,6,FIND({0,1,2,3,4,5,6,7,8,9},A333,ROW(INDIRECT("1:"&amp;LEN(A333)))),1))," ",REPT(" ",LEN(A333))),LEN(A333))))))))+1, 1) * 10^ROW(INDIRECT("1:"&amp;LEN((--TRIM(RIGHT(SUBSTITUTE(LEFT(A333,_xlfn.AGGREGATE(16,6,FIND({0,1,2,3,4,5,6,7,8,9},A333,ROW(INDIRECT("1:"&amp;LEN(A333)))),1))," ",REPT(" ",LEN(A333))),LEN(A333)))))))/10))*1+1</f>
        <v>102 to 702</v>
      </c>
      <c r="B334" s="134"/>
      <c r="C334" s="39" t="s">
        <v>188</v>
      </c>
      <c r="D334" s="39">
        <f t="shared" ref="D334:D335" si="27">(31.46+(2.75+2.1+2.75)*0.75)*10.7646</f>
        <v>400.01253599999995</v>
      </c>
      <c r="E334" s="39">
        <v>0</v>
      </c>
      <c r="F334" s="39">
        <f t="shared" si="26"/>
        <v>580.01817719999997</v>
      </c>
      <c r="G334" s="134"/>
      <c r="H334" s="134"/>
      <c r="I334" s="33">
        <f>4.3*2.75+2*2.1+2.75*2.75+0.45*0.85+0.9*1.25+1.2*1.65+0.5*1.2+1*2.1</f>
        <v>29.775000000000002</v>
      </c>
    </row>
    <row r="335" spans="1:14" s="62" customFormat="1" ht="15.75" customHeight="1" x14ac:dyDescent="0.25">
      <c r="A335" s="134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10^ROW(INDIRECT("1:"&amp;LEN((LEFT(A334,SUM(LEN(A334)-LEN(SUBSTITUTE(A334,{"0","1","2"},""))))))))/10))*1+1&amp;""&amp;" to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",LEN(A334))),LEN(A334)))))))/10))*1+1</f>
        <v>103 to 703</v>
      </c>
      <c r="B335" s="134"/>
      <c r="C335" s="39" t="s">
        <v>188</v>
      </c>
      <c r="D335" s="39">
        <f t="shared" si="27"/>
        <v>400.01253599999995</v>
      </c>
      <c r="E335" s="39">
        <v>0</v>
      </c>
      <c r="F335" s="39">
        <f t="shared" si="26"/>
        <v>580.01817719999997</v>
      </c>
      <c r="G335" s="134"/>
      <c r="H335" s="134"/>
      <c r="J335" s="33"/>
    </row>
    <row r="336" spans="1:14" s="62" customFormat="1" ht="15.75" customHeight="1" x14ac:dyDescent="0.25">
      <c r="A336" s="134" t="str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10^ROW(INDIRECT("1:"&amp;LEN((LEFT(A335,SUM(LEN(A335)-LEN(SUBSTITUTE(A335,{"0","1","2"},""))))))))/10))*1+1&amp;""&amp;" to "&amp;""&amp;(SUMPRODUCT(MID(0&amp;(--TRIM(RIGHT(SUBSTITUTE(LEFT(A335,_xlfn.AGGREGATE(16,6,FIND({0,1,2,3,4,5,6,7,8,9},A335,ROW(INDIRECT("1:"&amp;LEN(A335)))),1)),"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",LEN(A335))),LEN(A335)))))))/10))*1+1</f>
        <v>104 to 704</v>
      </c>
      <c r="B336" s="134"/>
      <c r="C336" s="39" t="s">
        <v>188</v>
      </c>
      <c r="D336" s="39">
        <f>(31.58+(2.75+2.1+2.75)*0.75)*10.7646</f>
        <v>401.30428799999999</v>
      </c>
      <c r="E336" s="39">
        <v>0</v>
      </c>
      <c r="F336" s="39">
        <f t="shared" si="26"/>
        <v>581.8912176</v>
      </c>
      <c r="G336" s="134"/>
      <c r="H336" s="134"/>
      <c r="J336" s="33"/>
    </row>
    <row r="337" spans="1:14" s="62" customFormat="1" ht="15.75" customHeight="1" x14ac:dyDescent="0.25">
      <c r="A337" s="134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10^ROW(INDIRECT("1:"&amp;LEN((LEFT(A336,SUM(LEN(A336)-LEN(SUBSTITUTE(A336,{"0","1","2"},""))))))))/10))*1+1&amp;""&amp;" to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",LEN(A336))),LEN(A336)))))))/10))*1+1</f>
        <v>105 to 705</v>
      </c>
      <c r="B337" s="134"/>
      <c r="C337" s="39" t="s">
        <v>188</v>
      </c>
      <c r="D337" s="39">
        <f>(31.58+(2.75+2.1+2.75)*0.75)*10.7646</f>
        <v>401.30428799999999</v>
      </c>
      <c r="E337" s="39">
        <v>0</v>
      </c>
      <c r="F337" s="39">
        <f t="shared" si="26"/>
        <v>581.8912176</v>
      </c>
      <c r="G337" s="134"/>
      <c r="H337" s="134"/>
      <c r="J337" s="33"/>
    </row>
    <row r="338" spans="1:14" s="62" customFormat="1" ht="15.75" customHeight="1" x14ac:dyDescent="0.25">
      <c r="A338" s="134" t="str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10^ROW(INDIRECT("1:"&amp;LEN((LEFT(A337,SUM(LEN(A337)-LEN(SUBSTITUTE(A337,{"0","1","2"},""))))))))/10))*1+1&amp;""&amp;" to "&amp;""&amp;(SUMPRODUCT(MID(0&amp;(--TRIM(RIGHT(SUBSTITUTE(LEFT(A337,_xlfn.AGGREGATE(16,6,FIND({0,1,2,3,4,5,6,7,8,9},A337,ROW(INDIRECT("1:"&amp;LEN(A337)))),1)),"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",LEN(A337))),LEN(A337)))))))/10))*1+1</f>
        <v>106 to 706</v>
      </c>
      <c r="B338" s="134"/>
      <c r="C338" s="39" t="s">
        <v>188</v>
      </c>
      <c r="D338" s="39">
        <f>(34.26+(2.75+2.1+2.75)*0.75)*10.7646</f>
        <v>430.15341599999994</v>
      </c>
      <c r="E338" s="39">
        <v>0</v>
      </c>
      <c r="F338" s="39">
        <f t="shared" si="26"/>
        <v>623.7224531999999</v>
      </c>
      <c r="G338" s="134"/>
      <c r="H338" s="134"/>
      <c r="J338" s="33"/>
    </row>
    <row r="339" spans="1:14" s="62" customFormat="1" ht="15.75" customHeight="1" x14ac:dyDescent="0.25">
      <c r="A339" s="134" t="str">
        <f ca="1">(SUMPRODUCT(MID(0&amp;(LEFT(A338,SUM(LEN(A338)-LEN(SUBSTITUTE(A338,{"0","1","2"},""))))), LARGE(INDEX(ISNUMBER(--MID((LEFT(A338,SUM(LEN(A338)-LEN(SUBSTITUTE(A338,{"0","1","2"},""))))), ROW(INDIRECT("1:"&amp;LEN((LEFT(A338,SUM(LEN(A338)-LEN(SUBSTITUTE(A338,{"0","1","2"},"")))))))), 1)) * ROW(INDIRECT("1:"&amp;LEN((LEFT(A338,SUM(LEN(A338)-LEN(SUBSTITUTE(A338,{"0","1","2"},"")))))))), 0), ROW(INDIRECT("1:"&amp;LEN((LEFT(A338,SUM(LEN(A338)-LEN(SUBSTITUTE(A338,{"0","1","2"},"")))))))))+1, 1) * 10^ROW(INDIRECT("1:"&amp;LEN((LEFT(A338,SUM(LEN(A338)-LEN(SUBSTITUTE(A338,{"0","1","2"},""))))))))/10))*1+1&amp;""&amp;" to "&amp;""&amp;(SUMPRODUCT(MID(0&amp;(--TRIM(RIGHT(SUBSTITUTE(LEFT(A338,_xlfn.AGGREGATE(16,6,FIND({0,1,2,3,4,5,6,7,8,9},A338,ROW(INDIRECT("1:"&amp;LEN(A338)))),1))," ",REPT(" ",LEN(A338))),LEN(A338)))), LARGE(INDEX(ISNUMBER(--MID((--TRIM(RIGHT(SUBSTITUTE(LEFT(A338,_xlfn.AGGREGATE(16,6,FIND({0,1,2,3,4,5,6,7,8,9},A338,ROW(INDIRECT("1:"&amp;LEN(A338)))),1))," ",REPT(" ",LEN(A338))),LEN(A338)))), ROW(INDIRECT("1:"&amp;LEN((--TRIM(RIGHT(SUBSTITUTE(LEFT(A338,_xlfn.AGGREGATE(16,6,FIND({0,1,2,3,4,5,6,7,8,9},A338,ROW(INDIRECT("1:"&amp;LEN(A338)))),1))," ",REPT(" ",LEN(A338))),LEN(A338))))))), 1)) * ROW(INDIRECT("1:"&amp;LEN((--TRIM(RIGHT(SUBSTITUTE(LEFT(A338,_xlfn.AGGREGATE(16,6,FIND({0,1,2,3,4,5,6,7,8,9},A338,ROW(INDIRECT("1:"&amp;LEN(A338)))),1))," ",REPT(" ",LEN(A338))),LEN(A338))))))), 0), ROW(INDIRECT("1:"&amp;LEN((--TRIM(RIGHT(SUBSTITUTE(LEFT(A338,_xlfn.AGGREGATE(16,6,FIND({0,1,2,3,4,5,6,7,8,9},A338,ROW(INDIRECT("1:"&amp;LEN(A338)))),1))," ",REPT(" ",LEN(A338))),LEN(A338))))))))+1, 1) * 10^ROW(INDIRECT("1:"&amp;LEN((--TRIM(RIGHT(SUBSTITUTE(LEFT(A338,_xlfn.AGGREGATE(16,6,FIND({0,1,2,3,4,5,6,7,8,9},A338,ROW(INDIRECT("1:"&amp;LEN(A338)))),1))," ",REPT(" ",LEN(A338))),LEN(A338)))))))/10))*1+1</f>
        <v>107 to 707</v>
      </c>
      <c r="B339" s="134"/>
      <c r="C339" s="39" t="s">
        <v>187</v>
      </c>
      <c r="D339" s="39">
        <f>(44.66+(2.4+2.75+2.15+2.75)*0.75)*10.7646</f>
        <v>561.88520849999998</v>
      </c>
      <c r="E339" s="39">
        <v>0</v>
      </c>
      <c r="F339" s="39">
        <f t="shared" si="26"/>
        <v>814.73355232499989</v>
      </c>
      <c r="G339" s="134"/>
      <c r="H339" s="134"/>
      <c r="J339" s="33"/>
    </row>
    <row r="340" spans="1:14" s="62" customFormat="1" ht="15.75" customHeight="1" x14ac:dyDescent="0.25">
      <c r="A340" s="134" t="str">
        <f ca="1">(SUMPRODUCT(MID(0&amp;(LEFT(A339,SUM(LEN(A339)-LEN(SUBSTITUTE(A339,{"0","1","2"},""))))), LARGE(INDEX(ISNUMBER(--MID((LEFT(A339,SUM(LEN(A339)-LEN(SUBSTITUTE(A339,{"0","1","2"},""))))), ROW(INDIRECT("1:"&amp;LEN((LEFT(A339,SUM(LEN(A339)-LEN(SUBSTITUTE(A339,{"0","1","2"},"")))))))), 1)) * ROW(INDIRECT("1:"&amp;LEN((LEFT(A339,SUM(LEN(A339)-LEN(SUBSTITUTE(A339,{"0","1","2"},"")))))))), 0), ROW(INDIRECT("1:"&amp;LEN((LEFT(A339,SUM(LEN(A339)-LEN(SUBSTITUTE(A339,{"0","1","2"},"")))))))))+1, 1) * 10^ROW(INDIRECT("1:"&amp;LEN((LEFT(A339,SUM(LEN(A339)-LEN(SUBSTITUTE(A339,{"0","1","2"},""))))))))/10))*1+1&amp;""&amp;" to "&amp;""&amp;(SUMPRODUCT(MID(0&amp;(--TRIM(RIGHT(SUBSTITUTE(LEFT(A339,_xlfn.AGGREGATE(16,6,FIND({0,1,2,3,4,5,6,7,8,9},A339,ROW(INDIRECT("1:"&amp;LEN(A339)))),1))," ",REPT(" ",LEN(A339))),LEN(A339)))), LARGE(INDEX(ISNUMBER(--MID((--TRIM(RIGHT(SUBSTITUTE(LEFT(A339,_xlfn.AGGREGATE(16,6,FIND({0,1,2,3,4,5,6,7,8,9},A339,ROW(INDIRECT("1:"&amp;LEN(A339)))),1))," ",REPT(" ",LEN(A339))),LEN(A339)))), ROW(INDIRECT("1:"&amp;LEN((--TRIM(RIGHT(SUBSTITUTE(LEFT(A339,_xlfn.AGGREGATE(16,6,FIND({0,1,2,3,4,5,6,7,8,9},A339,ROW(INDIRECT("1:"&amp;LEN(A339)))),1))," ",REPT(" ",LEN(A339))),LEN(A339))))))), 1)) * ROW(INDIRECT("1:"&amp;LEN((--TRIM(RIGHT(SUBSTITUTE(LEFT(A339,_xlfn.AGGREGATE(16,6,FIND({0,1,2,3,4,5,6,7,8,9},A339,ROW(INDIRECT("1:"&amp;LEN(A339)))),1))," ",REPT(" ",LEN(A339))),LEN(A339))))))), 0), ROW(INDIRECT("1:"&amp;LEN((--TRIM(RIGHT(SUBSTITUTE(LEFT(A339,_xlfn.AGGREGATE(16,6,FIND({0,1,2,3,4,5,6,7,8,9},A339,ROW(INDIRECT("1:"&amp;LEN(A339)))),1))," ",REPT(" ",LEN(A339))),LEN(A339))))))))+1, 1) * 10^ROW(INDIRECT("1:"&amp;LEN((--TRIM(RIGHT(SUBSTITUTE(LEFT(A339,_xlfn.AGGREGATE(16,6,FIND({0,1,2,3,4,5,6,7,8,9},A339,ROW(INDIRECT("1:"&amp;LEN(A339)))),1))," ",REPT(" ",LEN(A339))),LEN(A339)))))))/10))*1+1</f>
        <v>108 to 708</v>
      </c>
      <c r="B340" s="134"/>
      <c r="C340" s="39" t="s">
        <v>188</v>
      </c>
      <c r="D340" s="39">
        <f>(31.42+(2.75+2.1+2.75)*0.75)*10.7646</f>
        <v>399.58195200000006</v>
      </c>
      <c r="E340" s="39">
        <v>0</v>
      </c>
      <c r="F340" s="39">
        <f t="shared" si="26"/>
        <v>579.39383040000007</v>
      </c>
      <c r="G340" s="134"/>
      <c r="H340" s="134"/>
      <c r="J340" s="33"/>
    </row>
    <row r="341" spans="1:14" s="62" customFormat="1" ht="15.75" customHeight="1" x14ac:dyDescent="0.25">
      <c r="A341" s="134" t="str">
        <f ca="1">(SUMPRODUCT(MID(0&amp;(LEFT(A340,SUM(LEN(A340)-LEN(SUBSTITUTE(A340,{"0","1","2"},""))))), LARGE(INDEX(ISNUMBER(--MID((LEFT(A340,SUM(LEN(A340)-LEN(SUBSTITUTE(A340,{"0","1","2"},""))))), ROW(INDIRECT("1:"&amp;LEN((LEFT(A340,SUM(LEN(A340)-LEN(SUBSTITUTE(A340,{"0","1","2"},"")))))))), 1)) * ROW(INDIRECT("1:"&amp;LEN((LEFT(A340,SUM(LEN(A340)-LEN(SUBSTITUTE(A340,{"0","1","2"},"")))))))), 0), ROW(INDIRECT("1:"&amp;LEN((LEFT(A340,SUM(LEN(A340)-LEN(SUBSTITUTE(A340,{"0","1","2"},"")))))))))+1, 1) * 10^ROW(INDIRECT("1:"&amp;LEN((LEFT(A340,SUM(LEN(A340)-LEN(SUBSTITUTE(A340,{"0","1","2"},""))))))))/10))*1+1&amp;""&amp;" to "&amp;""&amp;(SUMPRODUCT(MID(0&amp;(--TRIM(RIGHT(SUBSTITUTE(LEFT(A340,_xlfn.AGGREGATE(16,6,FIND({0,1,2,3,4,5,6,7,8,9},A340,ROW(INDIRECT("1:"&amp;LEN(A340)))),1))," ",REPT(" ",LEN(A340))),LEN(A340)))), LARGE(INDEX(ISNUMBER(--MID((--TRIM(RIGHT(SUBSTITUTE(LEFT(A340,_xlfn.AGGREGATE(16,6,FIND({0,1,2,3,4,5,6,7,8,9},A340,ROW(INDIRECT("1:"&amp;LEN(A340)))),1))," ",REPT(" ",LEN(A340))),LEN(A340)))), ROW(INDIRECT("1:"&amp;LEN((--TRIM(RIGHT(SUBSTITUTE(LEFT(A340,_xlfn.AGGREGATE(16,6,FIND({0,1,2,3,4,5,6,7,8,9},A340,ROW(INDIRECT("1:"&amp;LEN(A340)))),1))," ",REPT(" ",LEN(A340))),LEN(A340))))))), 1)) * ROW(INDIRECT("1:"&amp;LEN((--TRIM(RIGHT(SUBSTITUTE(LEFT(A340,_xlfn.AGGREGATE(16,6,FIND({0,1,2,3,4,5,6,7,8,9},A340,ROW(INDIRECT("1:"&amp;LEN(A340)))),1))," ",REPT(" ",LEN(A340))),LEN(A340))))))), 0), ROW(INDIRECT("1:"&amp;LEN((--TRIM(RIGHT(SUBSTITUTE(LEFT(A340,_xlfn.AGGREGATE(16,6,FIND({0,1,2,3,4,5,6,7,8,9},A340,ROW(INDIRECT("1:"&amp;LEN(A340)))),1))," ",REPT(" ",LEN(A340))),LEN(A340))))))))+1, 1) * 10^ROW(INDIRECT("1:"&amp;LEN((--TRIM(RIGHT(SUBSTITUTE(LEFT(A340,_xlfn.AGGREGATE(16,6,FIND({0,1,2,3,4,5,6,7,8,9},A340,ROW(INDIRECT("1:"&amp;LEN(A340)))),1))," ",REPT(" ",LEN(A340))),LEN(A340)))))))/10))*1+1</f>
        <v>109 to 709</v>
      </c>
      <c r="B341" s="134"/>
      <c r="C341" s="39" t="s">
        <v>188</v>
      </c>
      <c r="D341" s="39">
        <f>(31.42+(2.75+2.1+2.75)*0.75)*10.7646</f>
        <v>399.58195200000006</v>
      </c>
      <c r="E341" s="39">
        <v>0</v>
      </c>
      <c r="F341" s="39">
        <f t="shared" si="26"/>
        <v>579.39383040000007</v>
      </c>
      <c r="G341" s="134"/>
      <c r="H341" s="134"/>
      <c r="J341" s="33"/>
    </row>
    <row r="342" spans="1:14" s="62" customFormat="1" x14ac:dyDescent="0.25">
      <c r="A342" s="120" t="s">
        <v>191</v>
      </c>
      <c r="B342" s="121"/>
      <c r="C342" s="121"/>
      <c r="D342" s="121"/>
      <c r="E342" s="121"/>
      <c r="F342" s="121"/>
      <c r="G342" s="121"/>
      <c r="H342" s="122"/>
      <c r="I342" s="33">
        <f>(3.25*2.8+1.2*1.35+0.55*1.35+2.2*2.2+1.2*1.95+2.75*2.75+2.4*2.75+0.9*1.25+0.9*1.8+2.05*1.2+1.2*1.95+(2.95+2.35+2.9)*1)</f>
        <v>48.55</v>
      </c>
      <c r="L342" s="129"/>
      <c r="M342" s="129"/>
      <c r="N342" s="33"/>
    </row>
    <row r="343" spans="1:14" s="62" customFormat="1" x14ac:dyDescent="0.25">
      <c r="A343" s="120" t="s">
        <v>229</v>
      </c>
      <c r="B343" s="121"/>
      <c r="C343" s="121"/>
      <c r="D343" s="121"/>
      <c r="E343" s="121"/>
      <c r="F343" s="121"/>
      <c r="G343" s="121"/>
      <c r="H343" s="122"/>
      <c r="I343" s="33"/>
      <c r="L343" s="129"/>
      <c r="M343" s="129"/>
      <c r="N343" s="33"/>
    </row>
    <row r="344" spans="1:14" s="62" customFormat="1" x14ac:dyDescent="0.25">
      <c r="A344" s="120" t="s">
        <v>228</v>
      </c>
      <c r="B344" s="121"/>
      <c r="C344" s="121"/>
      <c r="D344" s="121"/>
      <c r="E344" s="121"/>
      <c r="F344" s="121"/>
      <c r="G344" s="121"/>
      <c r="H344" s="122"/>
      <c r="I344" s="33">
        <f>3.25*2.8+2.2*2.2+2.75*2.75+2.4*2.75+2.05*1.2+1.2*1.95+0.9*1.8+0.9*1.25+0.55*1.35+1.2*1.35</f>
        <v>38.01</v>
      </c>
      <c r="J344" s="62">
        <f>2.95*1.1+2.35*1+2.9*1</f>
        <v>8.495000000000001</v>
      </c>
      <c r="K344" s="33">
        <f>I344+J344</f>
        <v>46.504999999999995</v>
      </c>
    </row>
    <row r="345" spans="1:14" s="62" customFormat="1" ht="15.75" customHeight="1" x14ac:dyDescent="0.25">
      <c r="A345" s="118" t="str">
        <f ca="1">(SUMPRODUCT(MID(0&amp;(LEFT(A344,SUM(LEN(A344)-LEN(SUBSTITUTE(A344,{"0","1","2"},""))))), LARGE(INDEX(ISNUMBER(--MID((LEFT(A344,SUM(LEN(A344)-LEN(SUBSTITUTE(A344,{"0","1","2"},""))))), ROW(INDIRECT("1:"&amp;LEN((LEFT(A344,SUM(LEN(A344)-LEN(SUBSTITUTE(A344,{"0","1","2"},"")))))))), 1)) * ROW(INDIRECT("1:"&amp;LEN((LEFT(A344,SUM(LEN(A344)-LEN(SUBSTITUTE(A344,{"0","1","2"},"")))))))), 0), ROW(INDIRECT("1:"&amp;LEN((LEFT(A344,SUM(LEN(A344)-LEN(SUBSTITUTE(A344,{"0","1","2"},"")))))))))+1, 1) * 10^ROW(INDIRECT("1:"&amp;LEN((LEFT(A344,SUM(LEN(A344)-LEN(SUBSTITUTE(A344,{"0","1","2"},""))))))))/10))*100+1&amp;""&amp;" to "&amp;""&amp;(SUMPRODUCT(MID(0&amp;(--TRIM(RIGHT(SUBSTITUTE(LEFT(A344,_xlfn.AGGREGATE(16,6,FIND({0,1,2,3,4,5,6,7,8,9},A344,ROW(INDIRECT("1:"&amp;LEN(A344)))),1))," ",REPT(" ",LEN(A344))),LEN(A344)))), LARGE(INDEX(ISNUMBER(--MID((--TRIM(RIGHT(SUBSTITUTE(LEFT(A344,_xlfn.AGGREGATE(16,6,FIND({0,1,2,3,4,5,6,7,8,9},A344,ROW(INDIRECT("1:"&amp;LEN(A344)))),1))," ",REPT(" ",LEN(A344))),LEN(A344)))), ROW(INDIRECT("1:"&amp;LEN((--TRIM(RIGHT(SUBSTITUTE(LEFT(A344,_xlfn.AGGREGATE(16,6,FIND({0,1,2,3,4,5,6,7,8,9},A344,ROW(INDIRECT("1:"&amp;LEN(A344)))),1))," ",REPT(" ",LEN(A344))),LEN(A344))))))), 1)) * ROW(INDIRECT("1:"&amp;LEN((--TRIM(RIGHT(SUBSTITUTE(LEFT(A344,_xlfn.AGGREGATE(16,6,FIND({0,1,2,3,4,5,6,7,8,9},A344,ROW(INDIRECT("1:"&amp;LEN(A344)))),1))," ",REPT(" ",LEN(A344))),LEN(A344))))))), 0), ROW(INDIRECT("1:"&amp;LEN((--TRIM(RIGHT(SUBSTITUTE(LEFT(A344,_xlfn.AGGREGATE(16,6,FIND({0,1,2,3,4,5,6,7,8,9},A344,ROW(INDIRECT("1:"&amp;LEN(A344)))),1))," ",REPT(" ",LEN(A344))),LEN(A344))))))))+1, 1) * 10^ROW(INDIRECT("1:"&amp;LEN((--TRIM(RIGHT(SUBSTITUTE(LEFT(A344,_xlfn.AGGREGATE(16,6,FIND({0,1,2,3,4,5,6,7,8,9},A344,ROW(INDIRECT("1:"&amp;LEN(A344)))),1))," ",REPT(" ",LEN(A344))),LEN(A344)))))))/10))*100+1</f>
        <v>101 to 701</v>
      </c>
      <c r="B345" s="119"/>
      <c r="C345" s="39" t="s">
        <v>188</v>
      </c>
      <c r="D345" s="39">
        <f>(31.58+(2.75+2.1+2.75)*0.75)*10.7646</f>
        <v>401.30428799999999</v>
      </c>
      <c r="E345" s="39">
        <v>0</v>
      </c>
      <c r="F345" s="39">
        <f t="shared" ref="F345:F356" si="28">D345*(($F$246)+1)+(IF(E345&lt;101,E345,IF(E345&lt;201,E345/2,IF(E345&lt;=301,E345/3,E345/4))))</f>
        <v>581.8912176</v>
      </c>
      <c r="G345" s="123" t="str">
        <f>A344</f>
        <v>1st to 7th Floor for Residential</v>
      </c>
      <c r="H345" s="124"/>
      <c r="I345" s="33"/>
    </row>
    <row r="346" spans="1:14" s="62" customFormat="1" ht="15.75" customHeight="1" x14ac:dyDescent="0.25">
      <c r="A346" s="118" t="str">
        <f ca="1">(SUMPRODUCT(MID(0&amp;(LEFT(A345,SUM(LEN(A345)-LEN(SUBSTITUTE(A345,{"0","1","2"},""))))), LARGE(INDEX(ISNUMBER(--MID((LEFT(A345,SUM(LEN(A345)-LEN(SUBSTITUTE(A345,{"0","1","2"},""))))), ROW(INDIRECT("1:"&amp;LEN((LEFT(A345,SUM(LEN(A345)-LEN(SUBSTITUTE(A345,{"0","1","2"},"")))))))), 1)) * ROW(INDIRECT("1:"&amp;LEN((LEFT(A345,SUM(LEN(A345)-LEN(SUBSTITUTE(A345,{"0","1","2"},"")))))))), 0), ROW(INDIRECT("1:"&amp;LEN((LEFT(A345,SUM(LEN(A345)-LEN(SUBSTITUTE(A345,{"0","1","2"},"")))))))))+1, 1) * 10^ROW(INDIRECT("1:"&amp;LEN((LEFT(A345,SUM(LEN(A345)-LEN(SUBSTITUTE(A345,{"0","1","2"},""))))))))/10))*1+1&amp;""&amp;" to "&amp;""&amp;(SUMPRODUCT(MID(0&amp;(--TRIM(RIGHT(SUBSTITUTE(LEFT(A345,_xlfn.AGGREGATE(16,6,FIND({0,1,2,3,4,5,6,7,8,9},A345,ROW(INDIRECT("1:"&amp;LEN(A345)))),1))," ",REPT(" ",LEN(A345))),LEN(A345)))), LARGE(INDEX(ISNUMBER(--MID((--TRIM(RIGHT(SUBSTITUTE(LEFT(A345,_xlfn.AGGREGATE(16,6,FIND({0,1,2,3,4,5,6,7,8,9},A345,ROW(INDIRECT("1:"&amp;LEN(A345)))),1))," ",REPT(" ",LEN(A345))),LEN(A345)))), ROW(INDIRECT("1:"&amp;LEN((--TRIM(RIGHT(SUBSTITUTE(LEFT(A345,_xlfn.AGGREGATE(16,6,FIND({0,1,2,3,4,5,6,7,8,9},A345,ROW(INDIRECT("1:"&amp;LEN(A345)))),1))," ",REPT(" ",LEN(A345))),LEN(A345))))))), 1)) * ROW(INDIRECT("1:"&amp;LEN((--TRIM(RIGHT(SUBSTITUTE(LEFT(A345,_xlfn.AGGREGATE(16,6,FIND({0,1,2,3,4,5,6,7,8,9},A345,ROW(INDIRECT("1:"&amp;LEN(A345)))),1))," ",REPT(" ",LEN(A345))),LEN(A345))))))), 0), ROW(INDIRECT("1:"&amp;LEN((--TRIM(RIGHT(SUBSTITUTE(LEFT(A345,_xlfn.AGGREGATE(16,6,FIND({0,1,2,3,4,5,6,7,8,9},A345,ROW(INDIRECT("1:"&amp;LEN(A345)))),1))," ",REPT(" ",LEN(A345))),LEN(A345))))))))+1, 1) * 10^ROW(INDIRECT("1:"&amp;LEN((--TRIM(RIGHT(SUBSTITUTE(LEFT(A345,_xlfn.AGGREGATE(16,6,FIND({0,1,2,3,4,5,6,7,8,9},A345,ROW(INDIRECT("1:"&amp;LEN(A345)))),1))," ",REPT(" ",LEN(A345))),LEN(A345)))))))/10))*1+1</f>
        <v>102 to 702</v>
      </c>
      <c r="B346" s="119"/>
      <c r="C346" s="39" t="s">
        <v>188</v>
      </c>
      <c r="D346" s="39">
        <f>(31.58+(2.75+2.1+2.75)*0.75)*10.7646</f>
        <v>401.30428799999999</v>
      </c>
      <c r="E346" s="39">
        <v>0</v>
      </c>
      <c r="F346" s="39">
        <f t="shared" si="28"/>
        <v>581.8912176</v>
      </c>
      <c r="G346" s="125"/>
      <c r="H346" s="126"/>
      <c r="I346" s="33">
        <f>4.3*2.75+2*2.1+2.75*2.75+0.45*0.85+0.9*1.25+1.2*1.65+0.5*1.2+1*2.1</f>
        <v>29.775000000000002</v>
      </c>
    </row>
    <row r="347" spans="1:14" s="62" customFormat="1" ht="15.75" customHeight="1" x14ac:dyDescent="0.25">
      <c r="A347" s="118" t="str">
        <f ca="1">(SUMPRODUCT(MID(0&amp;(LEFT(A346,SUM(LEN(A346)-LEN(SUBSTITUTE(A346,{"0","1","2"},""))))), LARGE(INDEX(ISNUMBER(--MID((LEFT(A346,SUM(LEN(A346)-LEN(SUBSTITUTE(A346,{"0","1","2"},""))))), ROW(INDIRECT("1:"&amp;LEN((LEFT(A346,SUM(LEN(A346)-LEN(SUBSTITUTE(A346,{"0","1","2"},"")))))))), 1)) * ROW(INDIRECT("1:"&amp;LEN((LEFT(A346,SUM(LEN(A346)-LEN(SUBSTITUTE(A346,{"0","1","2"},"")))))))), 0), ROW(INDIRECT("1:"&amp;LEN((LEFT(A346,SUM(LEN(A346)-LEN(SUBSTITUTE(A346,{"0","1","2"},"")))))))))+1, 1) * 10^ROW(INDIRECT("1:"&amp;LEN((LEFT(A346,SUM(LEN(A346)-LEN(SUBSTITUTE(A346,{"0","1","2"},""))))))))/10))*1+1&amp;""&amp;" to "&amp;""&amp;(SUMPRODUCT(MID(0&amp;(--TRIM(RIGHT(SUBSTITUTE(LEFT(A346,_xlfn.AGGREGATE(16,6,FIND({0,1,2,3,4,5,6,7,8,9},A346,ROW(INDIRECT("1:"&amp;LEN(A346)))),1))," ",REPT(" ",LEN(A346))),LEN(A346)))), LARGE(INDEX(ISNUMBER(--MID((--TRIM(RIGHT(SUBSTITUTE(LEFT(A346,_xlfn.AGGREGATE(16,6,FIND({0,1,2,3,4,5,6,7,8,9},A346,ROW(INDIRECT("1:"&amp;LEN(A346)))),1))," ",REPT(" ",LEN(A346))),LEN(A346)))), ROW(INDIRECT("1:"&amp;LEN((--TRIM(RIGHT(SUBSTITUTE(LEFT(A346,_xlfn.AGGREGATE(16,6,FIND({0,1,2,3,4,5,6,7,8,9},A346,ROW(INDIRECT("1:"&amp;LEN(A346)))),1))," ",REPT(" ",LEN(A346))),LEN(A346))))))), 1)) * ROW(INDIRECT("1:"&amp;LEN((--TRIM(RIGHT(SUBSTITUTE(LEFT(A346,_xlfn.AGGREGATE(16,6,FIND({0,1,2,3,4,5,6,7,8,9},A346,ROW(INDIRECT("1:"&amp;LEN(A346)))),1))," ",REPT(" ",LEN(A346))),LEN(A346))))))), 0), ROW(INDIRECT("1:"&amp;LEN((--TRIM(RIGHT(SUBSTITUTE(LEFT(A346,_xlfn.AGGREGATE(16,6,FIND({0,1,2,3,4,5,6,7,8,9},A346,ROW(INDIRECT("1:"&amp;LEN(A346)))),1))," ",REPT(" ",LEN(A346))),LEN(A346))))))))+1, 1) * 10^ROW(INDIRECT("1:"&amp;LEN((--TRIM(RIGHT(SUBSTITUTE(LEFT(A346,_xlfn.AGGREGATE(16,6,FIND({0,1,2,3,4,5,6,7,8,9},A346,ROW(INDIRECT("1:"&amp;LEN(A346)))),1))," ",REPT(" ",LEN(A346))),LEN(A346)))))))/10))*1+1</f>
        <v>103 to 703</v>
      </c>
      <c r="B347" s="119"/>
      <c r="C347" s="39" t="s">
        <v>188</v>
      </c>
      <c r="D347" s="39">
        <f>(34.26+(2.75+2.1+2.75)*0.75)*10.7646</f>
        <v>430.15341599999994</v>
      </c>
      <c r="E347" s="39">
        <v>0</v>
      </c>
      <c r="F347" s="39">
        <f t="shared" si="28"/>
        <v>623.7224531999999</v>
      </c>
      <c r="G347" s="125"/>
      <c r="H347" s="126"/>
      <c r="J347" s="33"/>
    </row>
    <row r="348" spans="1:14" s="62" customFormat="1" ht="15.75" customHeight="1" x14ac:dyDescent="0.25">
      <c r="A348" s="118" t="str">
        <f ca="1">(SUMPRODUCT(MID(0&amp;(LEFT(A347,SUM(LEN(A347)-LEN(SUBSTITUTE(A347,{"0","1","2"},""))))), LARGE(INDEX(ISNUMBER(--MID((LEFT(A347,SUM(LEN(A347)-LEN(SUBSTITUTE(A347,{"0","1","2"},""))))), ROW(INDIRECT("1:"&amp;LEN((LEFT(A347,SUM(LEN(A347)-LEN(SUBSTITUTE(A347,{"0","1","2"},"")))))))), 1)) * ROW(INDIRECT("1:"&amp;LEN((LEFT(A347,SUM(LEN(A347)-LEN(SUBSTITUTE(A347,{"0","1","2"},"")))))))), 0), ROW(INDIRECT("1:"&amp;LEN((LEFT(A347,SUM(LEN(A347)-LEN(SUBSTITUTE(A347,{"0","1","2"},"")))))))))+1, 1) * 10^ROW(INDIRECT("1:"&amp;LEN((LEFT(A347,SUM(LEN(A347)-LEN(SUBSTITUTE(A347,{"0","1","2"},""))))))))/10))*1+1&amp;""&amp;" to "&amp;""&amp;(SUMPRODUCT(MID(0&amp;(--TRIM(RIGHT(SUBSTITUTE(LEFT(A347,_xlfn.AGGREGATE(16,6,FIND({0,1,2,3,4,5,6,7,8,9},A347,ROW(INDIRECT("1:"&amp;LEN(A347)))),1))," ",REPT(" ",LEN(A347))),LEN(A347)))), LARGE(INDEX(ISNUMBER(--MID((--TRIM(RIGHT(SUBSTITUTE(LEFT(A347,_xlfn.AGGREGATE(16,6,FIND({0,1,2,3,4,5,6,7,8,9},A347,ROW(INDIRECT("1:"&amp;LEN(A347)))),1))," ",REPT(" ",LEN(A347))),LEN(A347)))), ROW(INDIRECT("1:"&amp;LEN((--TRIM(RIGHT(SUBSTITUTE(LEFT(A347,_xlfn.AGGREGATE(16,6,FIND({0,1,2,3,4,5,6,7,8,9},A347,ROW(INDIRECT("1:"&amp;LEN(A347)))),1))," ",REPT(" ",LEN(A347))),LEN(A347))))))), 1)) * ROW(INDIRECT("1:"&amp;LEN((--TRIM(RIGHT(SUBSTITUTE(LEFT(A347,_xlfn.AGGREGATE(16,6,FIND({0,1,2,3,4,5,6,7,8,9},A347,ROW(INDIRECT("1:"&amp;LEN(A347)))),1))," ",REPT(" ",LEN(A347))),LEN(A347))))))), 0), ROW(INDIRECT("1:"&amp;LEN((--TRIM(RIGHT(SUBSTITUTE(LEFT(A347,_xlfn.AGGREGATE(16,6,FIND({0,1,2,3,4,5,6,7,8,9},A347,ROW(INDIRECT("1:"&amp;LEN(A347)))),1))," ",REPT(" ",LEN(A347))),LEN(A347))))))))+1, 1) * 10^ROW(INDIRECT("1:"&amp;LEN((--TRIM(RIGHT(SUBSTITUTE(LEFT(A347,_xlfn.AGGREGATE(16,6,FIND({0,1,2,3,4,5,6,7,8,9},A347,ROW(INDIRECT("1:"&amp;LEN(A347)))),1))," ",REPT(" ",LEN(A347))),LEN(A347)))))))/10))*1+1</f>
        <v>104 to 704</v>
      </c>
      <c r="B348" s="119"/>
      <c r="C348" s="39" t="s">
        <v>187</v>
      </c>
      <c r="D348" s="39">
        <f>(45.67+(2.4+2.75+2.1+2.75)*0.75)*10.7646</f>
        <v>572.35378200000002</v>
      </c>
      <c r="E348" s="39">
        <v>0</v>
      </c>
      <c r="F348" s="39">
        <f t="shared" si="28"/>
        <v>829.91298389999997</v>
      </c>
      <c r="G348" s="125"/>
      <c r="H348" s="126"/>
      <c r="J348" s="33"/>
    </row>
    <row r="349" spans="1:14" s="62" customFormat="1" ht="15.75" customHeight="1" x14ac:dyDescent="0.25">
      <c r="A349" s="118" t="str">
        <f ca="1">(SUMPRODUCT(MID(0&amp;(LEFT(A348,SUM(LEN(A348)-LEN(SUBSTITUTE(A348,{"0","1","2"},""))))), LARGE(INDEX(ISNUMBER(--MID((LEFT(A348,SUM(LEN(A348)-LEN(SUBSTITUTE(A348,{"0","1","2"},""))))), ROW(INDIRECT("1:"&amp;LEN((LEFT(A348,SUM(LEN(A348)-LEN(SUBSTITUTE(A348,{"0","1","2"},"")))))))), 1)) * ROW(INDIRECT("1:"&amp;LEN((LEFT(A348,SUM(LEN(A348)-LEN(SUBSTITUTE(A348,{"0","1","2"},"")))))))), 0), ROW(INDIRECT("1:"&amp;LEN((LEFT(A348,SUM(LEN(A348)-LEN(SUBSTITUTE(A348,{"0","1","2"},"")))))))))+1, 1) * 10^ROW(INDIRECT("1:"&amp;LEN((LEFT(A348,SUM(LEN(A348)-LEN(SUBSTITUTE(A348,{"0","1","2"},""))))))))/10))*1+1&amp;""&amp;" to "&amp;""&amp;(SUMPRODUCT(MID(0&amp;(--TRIM(RIGHT(SUBSTITUTE(LEFT(A348,_xlfn.AGGREGATE(16,6,FIND({0,1,2,3,4,5,6,7,8,9},A348,ROW(INDIRECT("1:"&amp;LEN(A348)))),1))," ",REPT(" ",LEN(A348))),LEN(A348)))), LARGE(INDEX(ISNUMBER(--MID((--TRIM(RIGHT(SUBSTITUTE(LEFT(A348,_xlfn.AGGREGATE(16,6,FIND({0,1,2,3,4,5,6,7,8,9},A348,ROW(INDIRECT("1:"&amp;LEN(A348)))),1))," ",REPT(" ",LEN(A348))),LEN(A348)))), ROW(INDIRECT("1:"&amp;LEN((--TRIM(RIGHT(SUBSTITUTE(LEFT(A348,_xlfn.AGGREGATE(16,6,FIND({0,1,2,3,4,5,6,7,8,9},A348,ROW(INDIRECT("1:"&amp;LEN(A348)))),1))," ",REPT(" ",LEN(A348))),LEN(A348))))))), 1)) * ROW(INDIRECT("1:"&amp;LEN((--TRIM(RIGHT(SUBSTITUTE(LEFT(A348,_xlfn.AGGREGATE(16,6,FIND({0,1,2,3,4,5,6,7,8,9},A348,ROW(INDIRECT("1:"&amp;LEN(A348)))),1))," ",REPT(" ",LEN(A348))),LEN(A348))))))), 0), ROW(INDIRECT("1:"&amp;LEN((--TRIM(RIGHT(SUBSTITUTE(LEFT(A348,_xlfn.AGGREGATE(16,6,FIND({0,1,2,3,4,5,6,7,8,9},A348,ROW(INDIRECT("1:"&amp;LEN(A348)))),1))," ",REPT(" ",LEN(A348))),LEN(A348))))))))+1, 1) * 10^ROW(INDIRECT("1:"&amp;LEN((--TRIM(RIGHT(SUBSTITUTE(LEFT(A348,_xlfn.AGGREGATE(16,6,FIND({0,1,2,3,4,5,6,7,8,9},A348,ROW(INDIRECT("1:"&amp;LEN(A348)))),1))," ",REPT(" ",LEN(A348))),LEN(A348)))))))/10))*1+1</f>
        <v>105 to 705</v>
      </c>
      <c r="B349" s="119"/>
      <c r="C349" s="39" t="s">
        <v>188</v>
      </c>
      <c r="D349" s="39">
        <f>(31.42+(2.75+2.1+2.75)*0.75)*10.7646</f>
        <v>399.58195200000006</v>
      </c>
      <c r="E349" s="39">
        <v>0</v>
      </c>
      <c r="F349" s="39">
        <f t="shared" si="28"/>
        <v>579.39383040000007</v>
      </c>
      <c r="G349" s="125"/>
      <c r="H349" s="126"/>
      <c r="J349" s="33"/>
    </row>
    <row r="350" spans="1:14" s="62" customFormat="1" ht="15.75" customHeight="1" x14ac:dyDescent="0.25">
      <c r="A350" s="118" t="str">
        <f ca="1">(SUMPRODUCT(MID(0&amp;(LEFT(A349,SUM(LEN(A349)-LEN(SUBSTITUTE(A349,{"0","1","2"},""))))), LARGE(INDEX(ISNUMBER(--MID((LEFT(A349,SUM(LEN(A349)-LEN(SUBSTITUTE(A349,{"0","1","2"},""))))), ROW(INDIRECT("1:"&amp;LEN((LEFT(A349,SUM(LEN(A349)-LEN(SUBSTITUTE(A349,{"0","1","2"},"")))))))), 1)) * ROW(INDIRECT("1:"&amp;LEN((LEFT(A349,SUM(LEN(A349)-LEN(SUBSTITUTE(A349,{"0","1","2"},"")))))))), 0), ROW(INDIRECT("1:"&amp;LEN((LEFT(A349,SUM(LEN(A349)-LEN(SUBSTITUTE(A349,{"0","1","2"},"")))))))))+1, 1) * 10^ROW(INDIRECT("1:"&amp;LEN((LEFT(A349,SUM(LEN(A349)-LEN(SUBSTITUTE(A349,{"0","1","2"},""))))))))/10))*1+1&amp;""&amp;" to "&amp;""&amp;(SUMPRODUCT(MID(0&amp;(--TRIM(RIGHT(SUBSTITUTE(LEFT(A349,_xlfn.AGGREGATE(16,6,FIND({0,1,2,3,4,5,6,7,8,9},A349,ROW(INDIRECT("1:"&amp;LEN(A349)))),1))," ",REPT(" ",LEN(A349))),LEN(A349)))), LARGE(INDEX(ISNUMBER(--MID((--TRIM(RIGHT(SUBSTITUTE(LEFT(A349,_xlfn.AGGREGATE(16,6,FIND({0,1,2,3,4,5,6,7,8,9},A349,ROW(INDIRECT("1:"&amp;LEN(A349)))),1))," ",REPT(" ",LEN(A349))),LEN(A349)))), ROW(INDIRECT("1:"&amp;LEN((--TRIM(RIGHT(SUBSTITUTE(LEFT(A349,_xlfn.AGGREGATE(16,6,FIND({0,1,2,3,4,5,6,7,8,9},A349,ROW(INDIRECT("1:"&amp;LEN(A349)))),1))," ",REPT(" ",LEN(A349))),LEN(A349))))))), 1)) * ROW(INDIRECT("1:"&amp;LEN((--TRIM(RIGHT(SUBSTITUTE(LEFT(A349,_xlfn.AGGREGATE(16,6,FIND({0,1,2,3,4,5,6,7,8,9},A349,ROW(INDIRECT("1:"&amp;LEN(A349)))),1))," ",REPT(" ",LEN(A349))),LEN(A349))))))), 0), ROW(INDIRECT("1:"&amp;LEN((--TRIM(RIGHT(SUBSTITUTE(LEFT(A349,_xlfn.AGGREGATE(16,6,FIND({0,1,2,3,4,5,6,7,8,9},A349,ROW(INDIRECT("1:"&amp;LEN(A349)))),1))," ",REPT(" ",LEN(A349))),LEN(A349))))))))+1, 1) * 10^ROW(INDIRECT("1:"&amp;LEN((--TRIM(RIGHT(SUBSTITUTE(LEFT(A349,_xlfn.AGGREGATE(16,6,FIND({0,1,2,3,4,5,6,7,8,9},A349,ROW(INDIRECT("1:"&amp;LEN(A349)))),1))," ",REPT(" ",LEN(A349))),LEN(A349)))))))/10))*1+1</f>
        <v>106 to 706</v>
      </c>
      <c r="B350" s="119"/>
      <c r="C350" s="39" t="s">
        <v>188</v>
      </c>
      <c r="D350" s="39">
        <f>(31.42+(2.75+2.1+2.75)*0.75)*10.7646</f>
        <v>399.58195200000006</v>
      </c>
      <c r="E350" s="39">
        <v>0</v>
      </c>
      <c r="F350" s="39">
        <f t="shared" si="28"/>
        <v>579.39383040000007</v>
      </c>
      <c r="G350" s="125"/>
      <c r="H350" s="126"/>
      <c r="J350" s="33"/>
    </row>
    <row r="351" spans="1:14" s="62" customFormat="1" ht="15.75" customHeight="1" x14ac:dyDescent="0.25">
      <c r="A351" s="118" t="str">
        <f ca="1">(SUMPRODUCT(MID(0&amp;(LEFT(A350,SUM(LEN(A350)-LEN(SUBSTITUTE(A350,{"0","1","2"},""))))), LARGE(INDEX(ISNUMBER(--MID((LEFT(A350,SUM(LEN(A350)-LEN(SUBSTITUTE(A350,{"0","1","2"},""))))), ROW(INDIRECT("1:"&amp;LEN((LEFT(A350,SUM(LEN(A350)-LEN(SUBSTITUTE(A350,{"0","1","2"},"")))))))), 1)) * ROW(INDIRECT("1:"&amp;LEN((LEFT(A350,SUM(LEN(A350)-LEN(SUBSTITUTE(A350,{"0","1","2"},"")))))))), 0), ROW(INDIRECT("1:"&amp;LEN((LEFT(A350,SUM(LEN(A350)-LEN(SUBSTITUTE(A350,{"0","1","2"},"")))))))))+1, 1) * 10^ROW(INDIRECT("1:"&amp;LEN((LEFT(A350,SUM(LEN(A350)-LEN(SUBSTITUTE(A350,{"0","1","2"},""))))))))/10))*1+1&amp;""&amp;" to "&amp;""&amp;(SUMPRODUCT(MID(0&amp;(--TRIM(RIGHT(SUBSTITUTE(LEFT(A350,_xlfn.AGGREGATE(16,6,FIND({0,1,2,3,4,5,6,7,8,9},A350,ROW(INDIRECT("1:"&amp;LEN(A350)))),1))," ",REPT(" ",LEN(A350))),LEN(A350)))), LARGE(INDEX(ISNUMBER(--MID((--TRIM(RIGHT(SUBSTITUTE(LEFT(A350,_xlfn.AGGREGATE(16,6,FIND({0,1,2,3,4,5,6,7,8,9},A350,ROW(INDIRECT("1:"&amp;LEN(A350)))),1))," ",REPT(" ",LEN(A350))),LEN(A350)))), ROW(INDIRECT("1:"&amp;LEN((--TRIM(RIGHT(SUBSTITUTE(LEFT(A350,_xlfn.AGGREGATE(16,6,FIND({0,1,2,3,4,5,6,7,8,9},A350,ROW(INDIRECT("1:"&amp;LEN(A350)))),1))," ",REPT(" ",LEN(A350))),LEN(A350))))))), 1)) * ROW(INDIRECT("1:"&amp;LEN((--TRIM(RIGHT(SUBSTITUTE(LEFT(A350,_xlfn.AGGREGATE(16,6,FIND({0,1,2,3,4,5,6,7,8,9},A350,ROW(INDIRECT("1:"&amp;LEN(A350)))),1))," ",REPT(" ",LEN(A350))),LEN(A350))))))), 0), ROW(INDIRECT("1:"&amp;LEN((--TRIM(RIGHT(SUBSTITUTE(LEFT(A350,_xlfn.AGGREGATE(16,6,FIND({0,1,2,3,4,5,6,7,8,9},A350,ROW(INDIRECT("1:"&amp;LEN(A350)))),1))," ",REPT(" ",LEN(A350))),LEN(A350))))))))+1, 1) * 10^ROW(INDIRECT("1:"&amp;LEN((--TRIM(RIGHT(SUBSTITUTE(LEFT(A350,_xlfn.AGGREGATE(16,6,FIND({0,1,2,3,4,5,6,7,8,9},A350,ROW(INDIRECT("1:"&amp;LEN(A350)))),1))," ",REPT(" ",LEN(A350))),LEN(A350)))))))/10))*1+1</f>
        <v>107 to 707</v>
      </c>
      <c r="B351" s="119"/>
      <c r="C351" s="39" t="s">
        <v>187</v>
      </c>
      <c r="D351" s="39">
        <f>(44.66+(2.4+2.75+2.1+2.75)*0.75)*10.7646</f>
        <v>561.48153600000001</v>
      </c>
      <c r="E351" s="39">
        <v>0</v>
      </c>
      <c r="F351" s="39">
        <f t="shared" si="28"/>
        <v>814.14822719999995</v>
      </c>
      <c r="G351" s="125"/>
      <c r="H351" s="126"/>
      <c r="J351" s="33"/>
    </row>
    <row r="352" spans="1:14" s="62" customFormat="1" ht="15.75" customHeight="1" x14ac:dyDescent="0.25">
      <c r="A352" s="118" t="str">
        <f ca="1">(SUMPRODUCT(MID(0&amp;(LEFT(A351,SUM(LEN(A351)-LEN(SUBSTITUTE(A351,{"0","1","2"},""))))), LARGE(INDEX(ISNUMBER(--MID((LEFT(A351,SUM(LEN(A351)-LEN(SUBSTITUTE(A351,{"0","1","2"},""))))), ROW(INDIRECT("1:"&amp;LEN((LEFT(A351,SUM(LEN(A351)-LEN(SUBSTITUTE(A351,{"0","1","2"},"")))))))), 1)) * ROW(INDIRECT("1:"&amp;LEN((LEFT(A351,SUM(LEN(A351)-LEN(SUBSTITUTE(A351,{"0","1","2"},"")))))))), 0), ROW(INDIRECT("1:"&amp;LEN((LEFT(A351,SUM(LEN(A351)-LEN(SUBSTITUTE(A351,{"0","1","2"},"")))))))))+1, 1) * 10^ROW(INDIRECT("1:"&amp;LEN((LEFT(A351,SUM(LEN(A351)-LEN(SUBSTITUTE(A351,{"0","1","2"},""))))))))/10))*1+1&amp;""&amp;" to "&amp;""&amp;(SUMPRODUCT(MID(0&amp;(--TRIM(RIGHT(SUBSTITUTE(LEFT(A351,_xlfn.AGGREGATE(16,6,FIND({0,1,2,3,4,5,6,7,8,9},A351,ROW(INDIRECT("1:"&amp;LEN(A351)))),1))," ",REPT(" ",LEN(A351))),LEN(A351)))), LARGE(INDEX(ISNUMBER(--MID((--TRIM(RIGHT(SUBSTITUTE(LEFT(A351,_xlfn.AGGREGATE(16,6,FIND({0,1,2,3,4,5,6,7,8,9},A351,ROW(INDIRECT("1:"&amp;LEN(A351)))),1))," ",REPT(" ",LEN(A351))),LEN(A351)))), ROW(INDIRECT("1:"&amp;LEN((--TRIM(RIGHT(SUBSTITUTE(LEFT(A351,_xlfn.AGGREGATE(16,6,FIND({0,1,2,3,4,5,6,7,8,9},A351,ROW(INDIRECT("1:"&amp;LEN(A351)))),1))," ",REPT(" ",LEN(A351))),LEN(A351))))))), 1)) * ROW(INDIRECT("1:"&amp;LEN((--TRIM(RIGHT(SUBSTITUTE(LEFT(A351,_xlfn.AGGREGATE(16,6,FIND({0,1,2,3,4,5,6,7,8,9},A351,ROW(INDIRECT("1:"&amp;LEN(A351)))),1))," ",REPT(" ",LEN(A351))),LEN(A351))))))), 0), ROW(INDIRECT("1:"&amp;LEN((--TRIM(RIGHT(SUBSTITUTE(LEFT(A351,_xlfn.AGGREGATE(16,6,FIND({0,1,2,3,4,5,6,7,8,9},A351,ROW(INDIRECT("1:"&amp;LEN(A351)))),1))," ",REPT(" ",LEN(A351))),LEN(A351))))))))+1, 1) * 10^ROW(INDIRECT("1:"&amp;LEN((--TRIM(RIGHT(SUBSTITUTE(LEFT(A351,_xlfn.AGGREGATE(16,6,FIND({0,1,2,3,4,5,6,7,8,9},A351,ROW(INDIRECT("1:"&amp;LEN(A351)))),1))," ",REPT(" ",LEN(A351))),LEN(A351)))))))/10))*1+1</f>
        <v>108 to 708</v>
      </c>
      <c r="B352" s="119"/>
      <c r="C352" s="39" t="s">
        <v>188</v>
      </c>
      <c r="D352" s="39">
        <f>(34.26+(2.75+2.1+2.75)*0.75)*10.7646</f>
        <v>430.15341599999994</v>
      </c>
      <c r="E352" s="39">
        <v>0</v>
      </c>
      <c r="F352" s="39">
        <f t="shared" si="28"/>
        <v>623.7224531999999</v>
      </c>
      <c r="G352" s="125"/>
      <c r="H352" s="126"/>
      <c r="J352" s="33"/>
    </row>
    <row r="353" spans="1:10" s="62" customFormat="1" ht="15.75" customHeight="1" x14ac:dyDescent="0.25">
      <c r="A353" s="118" t="str">
        <f ca="1">(SUMPRODUCT(MID(0&amp;(LEFT(A352,SUM(LEN(A352)-LEN(SUBSTITUTE(A352,{"0","1","2"},""))))), LARGE(INDEX(ISNUMBER(--MID((LEFT(A352,SUM(LEN(A352)-LEN(SUBSTITUTE(A352,{"0","1","2"},""))))), ROW(INDIRECT("1:"&amp;LEN((LEFT(A352,SUM(LEN(A352)-LEN(SUBSTITUTE(A352,{"0","1","2"},"")))))))), 1)) * ROW(INDIRECT("1:"&amp;LEN((LEFT(A352,SUM(LEN(A352)-LEN(SUBSTITUTE(A352,{"0","1","2"},"")))))))), 0), ROW(INDIRECT("1:"&amp;LEN((LEFT(A352,SUM(LEN(A352)-LEN(SUBSTITUTE(A352,{"0","1","2"},"")))))))))+1, 1) * 10^ROW(INDIRECT("1:"&amp;LEN((LEFT(A352,SUM(LEN(A352)-LEN(SUBSTITUTE(A352,{"0","1","2"},""))))))))/10))*1+1&amp;""&amp;" to "&amp;""&amp;(SUMPRODUCT(MID(0&amp;(--TRIM(RIGHT(SUBSTITUTE(LEFT(A352,_xlfn.AGGREGATE(16,6,FIND({0,1,2,3,4,5,6,7,8,9},A352,ROW(INDIRECT("1:"&amp;LEN(A352)))),1))," ",REPT(" ",LEN(A352))),LEN(A352)))), LARGE(INDEX(ISNUMBER(--MID((--TRIM(RIGHT(SUBSTITUTE(LEFT(A352,_xlfn.AGGREGATE(16,6,FIND({0,1,2,3,4,5,6,7,8,9},A352,ROW(INDIRECT("1:"&amp;LEN(A352)))),1))," ",REPT(" ",LEN(A352))),LEN(A352)))), ROW(INDIRECT("1:"&amp;LEN((--TRIM(RIGHT(SUBSTITUTE(LEFT(A352,_xlfn.AGGREGATE(16,6,FIND({0,1,2,3,4,5,6,7,8,9},A352,ROW(INDIRECT("1:"&amp;LEN(A352)))),1))," ",REPT(" ",LEN(A352))),LEN(A352))))))), 1)) * ROW(INDIRECT("1:"&amp;LEN((--TRIM(RIGHT(SUBSTITUTE(LEFT(A352,_xlfn.AGGREGATE(16,6,FIND({0,1,2,3,4,5,6,7,8,9},A352,ROW(INDIRECT("1:"&amp;LEN(A352)))),1))," ",REPT(" ",LEN(A352))),LEN(A352))))))), 0), ROW(INDIRECT("1:"&amp;LEN((--TRIM(RIGHT(SUBSTITUTE(LEFT(A352,_xlfn.AGGREGATE(16,6,FIND({0,1,2,3,4,5,6,7,8,9},A352,ROW(INDIRECT("1:"&amp;LEN(A352)))),1))," ",REPT(" ",LEN(A352))),LEN(A352))))))))+1, 1) * 10^ROW(INDIRECT("1:"&amp;LEN((--TRIM(RIGHT(SUBSTITUTE(LEFT(A352,_xlfn.AGGREGATE(16,6,FIND({0,1,2,3,4,5,6,7,8,9},A352,ROW(INDIRECT("1:"&amp;LEN(A352)))),1))," ",REPT(" ",LEN(A352))),LEN(A352)))))))/10))*1+1</f>
        <v>109 to 709</v>
      </c>
      <c r="B353" s="119"/>
      <c r="C353" s="39" t="s">
        <v>188</v>
      </c>
      <c r="D353" s="39">
        <f>(31.58+(2.75+2.1+2.75)*0.75)*10.7646</f>
        <v>401.30428799999999</v>
      </c>
      <c r="E353" s="39">
        <v>0</v>
      </c>
      <c r="F353" s="39">
        <f t="shared" si="28"/>
        <v>581.8912176</v>
      </c>
      <c r="G353" s="125"/>
      <c r="H353" s="126"/>
      <c r="J353" s="33"/>
    </row>
    <row r="354" spans="1:10" s="62" customFormat="1" ht="15.75" customHeight="1" x14ac:dyDescent="0.25">
      <c r="A354" s="118" t="str">
        <f ca="1">(SUMPRODUCT(MID(0&amp;(LEFT(A353,SUM(LEN(A353)-LEN(SUBSTITUTE(A353,{"0","1","2"},""))))), LARGE(INDEX(ISNUMBER(--MID((LEFT(A353,SUM(LEN(A353)-LEN(SUBSTITUTE(A353,{"0","1","2"},""))))), ROW(INDIRECT("1:"&amp;LEN((LEFT(A353,SUM(LEN(A353)-LEN(SUBSTITUTE(A353,{"0","1","2"},"")))))))), 1)) * ROW(INDIRECT("1:"&amp;LEN((LEFT(A353,SUM(LEN(A353)-LEN(SUBSTITUTE(A353,{"0","1","2"},"")))))))), 0), ROW(INDIRECT("1:"&amp;LEN((LEFT(A353,SUM(LEN(A353)-LEN(SUBSTITUTE(A353,{"0","1","2"},"")))))))))+1, 1) * 10^ROW(INDIRECT("1:"&amp;LEN((LEFT(A353,SUM(LEN(A353)-LEN(SUBSTITUTE(A353,{"0","1","2"},""))))))))/10))*1+1&amp;""&amp;" to "&amp;""&amp;(SUMPRODUCT(MID(0&amp;(--TRIM(RIGHT(SUBSTITUTE(LEFT(A353,_xlfn.AGGREGATE(16,6,FIND({0,1,2,3,4,5,6,7,8,9},A353,ROW(INDIRECT("1:"&amp;LEN(A353)))),1))," ",REPT(" ",LEN(A353))),LEN(A353)))), LARGE(INDEX(ISNUMBER(--MID((--TRIM(RIGHT(SUBSTITUTE(LEFT(A353,_xlfn.AGGREGATE(16,6,FIND({0,1,2,3,4,5,6,7,8,9},A353,ROW(INDIRECT("1:"&amp;LEN(A353)))),1))," ",REPT(" ",LEN(A353))),LEN(A353)))), ROW(INDIRECT("1:"&amp;LEN((--TRIM(RIGHT(SUBSTITUTE(LEFT(A353,_xlfn.AGGREGATE(16,6,FIND({0,1,2,3,4,5,6,7,8,9},A353,ROW(INDIRECT("1:"&amp;LEN(A353)))),1))," ",REPT(" ",LEN(A353))),LEN(A353))))))), 1)) * ROW(INDIRECT("1:"&amp;LEN((--TRIM(RIGHT(SUBSTITUTE(LEFT(A353,_xlfn.AGGREGATE(16,6,FIND({0,1,2,3,4,5,6,7,8,9},A353,ROW(INDIRECT("1:"&amp;LEN(A353)))),1))," ",REPT(" ",LEN(A353))),LEN(A353))))))), 0), ROW(INDIRECT("1:"&amp;LEN((--TRIM(RIGHT(SUBSTITUTE(LEFT(A353,_xlfn.AGGREGATE(16,6,FIND({0,1,2,3,4,5,6,7,8,9},A353,ROW(INDIRECT("1:"&amp;LEN(A353)))),1))," ",REPT(" ",LEN(A353))),LEN(A353))))))))+1, 1) * 10^ROW(INDIRECT("1:"&amp;LEN((--TRIM(RIGHT(SUBSTITUTE(LEFT(A353,_xlfn.AGGREGATE(16,6,FIND({0,1,2,3,4,5,6,7,8,9},A353,ROW(INDIRECT("1:"&amp;LEN(A353)))),1))," ",REPT(" ",LEN(A353))),LEN(A353)))))))/10))*1+1</f>
        <v>110 to 710</v>
      </c>
      <c r="B354" s="119"/>
      <c r="C354" s="39" t="s">
        <v>188</v>
      </c>
      <c r="D354" s="39">
        <f>(31.58+(2.75+2.1+2.75)*0.75)*10.7646</f>
        <v>401.30428799999999</v>
      </c>
      <c r="E354" s="39">
        <v>0</v>
      </c>
      <c r="F354" s="39">
        <f t="shared" si="28"/>
        <v>581.8912176</v>
      </c>
      <c r="G354" s="125"/>
      <c r="H354" s="126"/>
      <c r="J354" s="33"/>
    </row>
    <row r="355" spans="1:10" s="62" customFormat="1" ht="15.75" customHeight="1" x14ac:dyDescent="0.25">
      <c r="A355" s="118" t="str">
        <f ca="1">(SUMPRODUCT(MID(0&amp;(LEFT(A354,SUM(LEN(A354)-LEN(SUBSTITUTE(A354,{"0","1","2"},""))))), LARGE(INDEX(ISNUMBER(--MID((LEFT(A354,SUM(LEN(A354)-LEN(SUBSTITUTE(A354,{"0","1","2"},""))))), ROW(INDIRECT("1:"&amp;LEN((LEFT(A354,SUM(LEN(A354)-LEN(SUBSTITUTE(A354,{"0","1","2"},"")))))))), 1)) * ROW(INDIRECT("1:"&amp;LEN((LEFT(A354,SUM(LEN(A354)-LEN(SUBSTITUTE(A354,{"0","1","2"},"")))))))), 0), ROW(INDIRECT("1:"&amp;LEN((LEFT(A354,SUM(LEN(A354)-LEN(SUBSTITUTE(A354,{"0","1","2"},"")))))))))+1, 1) * 10^ROW(INDIRECT("1:"&amp;LEN((LEFT(A354,SUM(LEN(A354)-LEN(SUBSTITUTE(A354,{"0","1","2"},""))))))))/10))*1+1&amp;""&amp;" to "&amp;""&amp;(SUMPRODUCT(MID(0&amp;(--TRIM(RIGHT(SUBSTITUTE(LEFT(A354,_xlfn.AGGREGATE(16,6,FIND({0,1,2,3,4,5,6,7,8,9},A354,ROW(INDIRECT("1:"&amp;LEN(A354)))),1))," ",REPT(" ",LEN(A354))),LEN(A354)))), LARGE(INDEX(ISNUMBER(--MID((--TRIM(RIGHT(SUBSTITUTE(LEFT(A354,_xlfn.AGGREGATE(16,6,FIND({0,1,2,3,4,5,6,7,8,9},A354,ROW(INDIRECT("1:"&amp;LEN(A354)))),1))," ",REPT(" ",LEN(A354))),LEN(A354)))), ROW(INDIRECT("1:"&amp;LEN((--TRIM(RIGHT(SUBSTITUTE(LEFT(A354,_xlfn.AGGREGATE(16,6,FIND({0,1,2,3,4,5,6,7,8,9},A354,ROW(INDIRECT("1:"&amp;LEN(A354)))),1))," ",REPT(" ",LEN(A354))),LEN(A354))))))), 1)) * ROW(INDIRECT("1:"&amp;LEN((--TRIM(RIGHT(SUBSTITUTE(LEFT(A354,_xlfn.AGGREGATE(16,6,FIND({0,1,2,3,4,5,6,7,8,9},A354,ROW(INDIRECT("1:"&amp;LEN(A354)))),1))," ",REPT(" ",LEN(A354))),LEN(A354))))))), 0), ROW(INDIRECT("1:"&amp;LEN((--TRIM(RIGHT(SUBSTITUTE(LEFT(A354,_xlfn.AGGREGATE(16,6,FIND({0,1,2,3,4,5,6,7,8,9},A354,ROW(INDIRECT("1:"&amp;LEN(A354)))),1))," ",REPT(" ",LEN(A354))),LEN(A354))))))))+1, 1) * 10^ROW(INDIRECT("1:"&amp;LEN((--TRIM(RIGHT(SUBSTITUTE(LEFT(A354,_xlfn.AGGREGATE(16,6,FIND({0,1,2,3,4,5,6,7,8,9},A354,ROW(INDIRECT("1:"&amp;LEN(A354)))),1))," ",REPT(" ",LEN(A354))),LEN(A354)))))))/10))*1+1</f>
        <v>111 to 711</v>
      </c>
      <c r="B355" s="119"/>
      <c r="C355" s="39" t="s">
        <v>188</v>
      </c>
      <c r="D355" s="39">
        <f>(31.46+(2.75+2.1+2.75)*0.75)*10.7646</f>
        <v>400.01253599999995</v>
      </c>
      <c r="E355" s="39">
        <v>0</v>
      </c>
      <c r="F355" s="39">
        <f t="shared" si="28"/>
        <v>580.01817719999997</v>
      </c>
      <c r="G355" s="125"/>
      <c r="H355" s="126"/>
      <c r="J355" s="33"/>
    </row>
    <row r="356" spans="1:10" s="62" customFormat="1" ht="15.75" customHeight="1" x14ac:dyDescent="0.25">
      <c r="A356" s="118" t="str">
        <f ca="1">(SUMPRODUCT(MID(0&amp;(LEFT(A355,SUM(LEN(A355)-LEN(SUBSTITUTE(A355,{"0","1","2"},""))))), LARGE(INDEX(ISNUMBER(--MID((LEFT(A355,SUM(LEN(A355)-LEN(SUBSTITUTE(A355,{"0","1","2"},""))))), ROW(INDIRECT("1:"&amp;LEN((LEFT(A355,SUM(LEN(A355)-LEN(SUBSTITUTE(A355,{"0","1","2"},"")))))))), 1)) * ROW(INDIRECT("1:"&amp;LEN((LEFT(A355,SUM(LEN(A355)-LEN(SUBSTITUTE(A355,{"0","1","2"},"")))))))), 0), ROW(INDIRECT("1:"&amp;LEN((LEFT(A355,SUM(LEN(A355)-LEN(SUBSTITUTE(A355,{"0","1","2"},"")))))))))+1, 1) * 10^ROW(INDIRECT("1:"&amp;LEN((LEFT(A355,SUM(LEN(A355)-LEN(SUBSTITUTE(A355,{"0","1","2"},""))))))))/10))*1+1&amp;""&amp;" to "&amp;""&amp;(SUMPRODUCT(MID(0&amp;(--TRIM(RIGHT(SUBSTITUTE(LEFT(A355,_xlfn.AGGREGATE(16,6,FIND({0,1,2,3,4,5,6,7,8,9},A355,ROW(INDIRECT("1:"&amp;LEN(A355)))),1))," ",REPT(" ",LEN(A355))),LEN(A355)))), LARGE(INDEX(ISNUMBER(--MID((--TRIM(RIGHT(SUBSTITUTE(LEFT(A355,_xlfn.AGGREGATE(16,6,FIND({0,1,2,3,4,5,6,7,8,9},A355,ROW(INDIRECT("1:"&amp;LEN(A355)))),1))," ",REPT(" ",LEN(A355))),LEN(A355)))), ROW(INDIRECT("1:"&amp;LEN((--TRIM(RIGHT(SUBSTITUTE(LEFT(A355,_xlfn.AGGREGATE(16,6,FIND({0,1,2,3,4,5,6,7,8,9},A355,ROW(INDIRECT("1:"&amp;LEN(A355)))),1))," ",REPT(" ",LEN(A355))),LEN(A355))))))), 1)) * ROW(INDIRECT("1:"&amp;LEN((--TRIM(RIGHT(SUBSTITUTE(LEFT(A355,_xlfn.AGGREGATE(16,6,FIND({0,1,2,3,4,5,6,7,8,9},A355,ROW(INDIRECT("1:"&amp;LEN(A355)))),1))," ",REPT(" ",LEN(A355))),LEN(A355))))))), 0), ROW(INDIRECT("1:"&amp;LEN((--TRIM(RIGHT(SUBSTITUTE(LEFT(A355,_xlfn.AGGREGATE(16,6,FIND({0,1,2,3,4,5,6,7,8,9},A355,ROW(INDIRECT("1:"&amp;LEN(A355)))),1))," ",REPT(" ",LEN(A355))),LEN(A355))))))))+1, 1) * 10^ROW(INDIRECT("1:"&amp;LEN((--TRIM(RIGHT(SUBSTITUTE(LEFT(A355,_xlfn.AGGREGATE(16,6,FIND({0,1,2,3,4,5,6,7,8,9},A355,ROW(INDIRECT("1:"&amp;LEN(A355)))),1))," ",REPT(" ",LEN(A355))),LEN(A355)))))))/10))*1+1</f>
        <v>112 to 712</v>
      </c>
      <c r="B356" s="119"/>
      <c r="C356" s="39" t="s">
        <v>188</v>
      </c>
      <c r="D356" s="39">
        <f>(31.46+(2.75+2.1+2.75)*0.75)*10.7646</f>
        <v>400.01253599999995</v>
      </c>
      <c r="E356" s="39">
        <v>0</v>
      </c>
      <c r="F356" s="39">
        <f t="shared" si="28"/>
        <v>580.01817719999997</v>
      </c>
      <c r="G356" s="127"/>
      <c r="H356" s="128"/>
      <c r="J356" s="33"/>
    </row>
    <row r="357" spans="1:10" s="32" customFormat="1" x14ac:dyDescent="0.25">
      <c r="A357" s="210" t="s">
        <v>72</v>
      </c>
      <c r="B357" s="210"/>
      <c r="C357" s="210"/>
      <c r="D357" s="210"/>
      <c r="E357" s="210"/>
      <c r="F357" s="210"/>
      <c r="G357" s="210"/>
      <c r="H357" s="210"/>
    </row>
    <row r="358" spans="1:10" s="32" customFormat="1" ht="111.75" customHeight="1" x14ac:dyDescent="0.25">
      <c r="A358" s="48">
        <v>1</v>
      </c>
      <c r="B358" s="167" t="s">
        <v>246</v>
      </c>
      <c r="C358" s="168"/>
      <c r="D358" s="168"/>
      <c r="E358" s="168"/>
      <c r="F358" s="168"/>
      <c r="G358" s="168"/>
      <c r="H358" s="169"/>
    </row>
    <row r="359" spans="1:10" s="32" customFormat="1" x14ac:dyDescent="0.25">
      <c r="A359" s="48">
        <v>2</v>
      </c>
      <c r="B359" s="167" t="str">
        <f>(IF(F245="Saleable area Loading :","We have considered Saleable area of Flats as per our Calculation.","We considered Saleable area of Flat as per Builder area Sheet."))</f>
        <v>We have considered Saleable area of Flats as per our Calculation.</v>
      </c>
      <c r="C359" s="168"/>
      <c r="D359" s="168"/>
      <c r="E359" s="168"/>
      <c r="F359" s="168"/>
      <c r="G359" s="168"/>
      <c r="H359" s="169"/>
    </row>
    <row r="360" spans="1:10" s="32" customFormat="1" x14ac:dyDescent="0.25">
      <c r="A360" s="48">
        <v>3</v>
      </c>
      <c r="B360" s="167" t="str">
        <f>(IF(F199="Saleable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60" s="168"/>
      <c r="D360" s="168"/>
      <c r="E360" s="168"/>
      <c r="F360" s="168"/>
      <c r="G360" s="168"/>
      <c r="H360" s="169"/>
    </row>
    <row r="361" spans="1:10" s="32" customFormat="1" x14ac:dyDescent="0.25">
      <c r="A361" s="48">
        <v>4</v>
      </c>
      <c r="B361" s="167" t="s">
        <v>129</v>
      </c>
      <c r="C361" s="168"/>
      <c r="D361" s="168"/>
      <c r="E361" s="168"/>
      <c r="F361" s="168"/>
      <c r="G361" s="168"/>
      <c r="H361" s="169"/>
    </row>
    <row r="362" spans="1:10" s="32" customFormat="1" x14ac:dyDescent="0.25">
      <c r="A362" s="48">
        <v>5</v>
      </c>
      <c r="B362" s="167" t="s">
        <v>199</v>
      </c>
      <c r="C362" s="168"/>
      <c r="D362" s="168"/>
      <c r="E362" s="168"/>
      <c r="F362" s="168"/>
      <c r="G362" s="168"/>
      <c r="H362" s="169"/>
    </row>
    <row r="363" spans="1:10" s="32" customFormat="1" x14ac:dyDescent="0.25">
      <c r="A363" s="48">
        <v>6</v>
      </c>
      <c r="B363" s="167" t="s">
        <v>159</v>
      </c>
      <c r="C363" s="168"/>
      <c r="D363" s="168"/>
      <c r="E363" s="168"/>
      <c r="F363" s="168"/>
      <c r="G363" s="168"/>
      <c r="H363" s="169"/>
    </row>
    <row r="364" spans="1:10" s="32" customFormat="1" x14ac:dyDescent="0.25">
      <c r="A364" s="48">
        <v>7</v>
      </c>
      <c r="B364" s="167" t="s">
        <v>130</v>
      </c>
      <c r="C364" s="168"/>
      <c r="D364" s="168"/>
      <c r="E364" s="168"/>
      <c r="F364" s="168"/>
      <c r="G364" s="168"/>
      <c r="H364" s="169"/>
    </row>
    <row r="365" spans="1:10" s="32" customFormat="1" x14ac:dyDescent="0.25">
      <c r="A365" s="48">
        <v>8</v>
      </c>
      <c r="B365" s="167" t="s">
        <v>160</v>
      </c>
      <c r="C365" s="168"/>
      <c r="D365" s="168"/>
      <c r="E365" s="168"/>
      <c r="F365" s="168"/>
      <c r="G365" s="168"/>
      <c r="H365" s="169"/>
    </row>
    <row r="366" spans="1:10" x14ac:dyDescent="0.25">
      <c r="A366" s="48">
        <v>9</v>
      </c>
      <c r="B366" s="167" t="s">
        <v>131</v>
      </c>
      <c r="C366" s="168"/>
      <c r="D366" s="168"/>
      <c r="E366" s="168"/>
      <c r="F366" s="168"/>
      <c r="G366" s="168"/>
      <c r="H366" s="169"/>
    </row>
    <row r="367" spans="1:10" x14ac:dyDescent="0.25">
      <c r="A367" s="48">
        <v>10</v>
      </c>
      <c r="B367" s="167" t="s">
        <v>244</v>
      </c>
      <c r="C367" s="168"/>
      <c r="D367" s="168"/>
      <c r="E367" s="168"/>
      <c r="F367" s="168"/>
      <c r="G367" s="168"/>
      <c r="H367" s="169"/>
    </row>
    <row r="368" spans="1:10" x14ac:dyDescent="0.25">
      <c r="A368" s="48">
        <v>11</v>
      </c>
      <c r="B368" s="167" t="s">
        <v>215</v>
      </c>
      <c r="C368" s="168"/>
      <c r="D368" s="168"/>
      <c r="E368" s="168"/>
      <c r="F368" s="168"/>
      <c r="G368" s="168"/>
      <c r="H368" s="169"/>
    </row>
    <row r="369" spans="1:8" ht="17.25" customHeight="1" x14ac:dyDescent="0.25">
      <c r="A369" s="48">
        <v>12</v>
      </c>
      <c r="B369" s="167" t="s">
        <v>233</v>
      </c>
      <c r="C369" s="168"/>
      <c r="D369" s="168"/>
      <c r="E369" s="168"/>
      <c r="F369" s="168"/>
      <c r="G369" s="168"/>
      <c r="H369" s="169"/>
    </row>
    <row r="370" spans="1:8" ht="17.25" customHeight="1" x14ac:dyDescent="0.25">
      <c r="A370" s="48">
        <v>13</v>
      </c>
      <c r="B370" s="167" t="s">
        <v>242</v>
      </c>
      <c r="C370" s="168"/>
      <c r="D370" s="168"/>
      <c r="E370" s="168"/>
      <c r="F370" s="168"/>
      <c r="G370" s="168"/>
      <c r="H370" s="169"/>
    </row>
    <row r="371" spans="1:8" ht="15.75" customHeight="1" x14ac:dyDescent="0.25">
      <c r="A371" s="160" t="s">
        <v>65</v>
      </c>
      <c r="B371" s="160"/>
      <c r="C371" s="160"/>
      <c r="D371" s="160"/>
      <c r="E371" s="160"/>
      <c r="F371" s="160"/>
      <c r="G371" s="160"/>
      <c r="H371" s="160"/>
    </row>
    <row r="372" spans="1:8" x14ac:dyDescent="0.25">
      <c r="A372" s="139" t="s">
        <v>66</v>
      </c>
      <c r="B372" s="139"/>
      <c r="C372" s="139"/>
      <c r="D372" s="139"/>
      <c r="E372" s="139"/>
      <c r="F372" s="139"/>
      <c r="G372" s="139"/>
      <c r="H372" s="139"/>
    </row>
    <row r="373" spans="1:8" x14ac:dyDescent="0.25">
      <c r="A373" s="146" t="s">
        <v>67</v>
      </c>
      <c r="B373" s="146"/>
      <c r="C373" s="146"/>
      <c r="D373" s="146"/>
      <c r="E373" s="146"/>
      <c r="F373" s="146"/>
      <c r="G373" s="146"/>
      <c r="H373" s="146"/>
    </row>
    <row r="374" spans="1:8" x14ac:dyDescent="0.25">
      <c r="A374" s="139" t="s">
        <v>68</v>
      </c>
      <c r="B374" s="139"/>
      <c r="C374" s="139"/>
      <c r="D374" s="139"/>
      <c r="E374" s="139"/>
      <c r="F374" s="139"/>
      <c r="G374" s="139"/>
      <c r="H374" s="139"/>
    </row>
    <row r="375" spans="1:8" x14ac:dyDescent="0.25">
      <c r="A375" s="145" t="s">
        <v>69</v>
      </c>
      <c r="B375" s="145"/>
      <c r="C375" s="145"/>
      <c r="D375" s="145"/>
      <c r="E375" s="145"/>
      <c r="F375" s="145"/>
      <c r="G375" s="145"/>
      <c r="H375" s="145"/>
    </row>
    <row r="376" spans="1:8" x14ac:dyDescent="0.25">
      <c r="A376" s="145" t="s">
        <v>132</v>
      </c>
      <c r="B376" s="145"/>
      <c r="C376" s="145"/>
      <c r="D376" s="145"/>
      <c r="E376" s="145"/>
      <c r="F376" s="145"/>
      <c r="G376" s="145"/>
      <c r="H376" s="145"/>
    </row>
    <row r="377" spans="1:8" x14ac:dyDescent="0.25">
      <c r="A377" s="172" t="s">
        <v>133</v>
      </c>
      <c r="B377" s="172"/>
      <c r="C377" s="172"/>
      <c r="D377" s="172"/>
      <c r="E377" s="172"/>
      <c r="F377" s="172"/>
      <c r="G377" s="172"/>
      <c r="H377" s="172"/>
    </row>
    <row r="378" spans="1:8" x14ac:dyDescent="0.25">
      <c r="A378" s="174" t="s">
        <v>81</v>
      </c>
      <c r="B378" s="174"/>
      <c r="C378" s="174" t="s">
        <v>247</v>
      </c>
      <c r="D378" s="174"/>
      <c r="E378" s="174" t="s">
        <v>111</v>
      </c>
      <c r="F378" s="174"/>
      <c r="G378" s="174" t="s">
        <v>245</v>
      </c>
      <c r="H378" s="174"/>
    </row>
    <row r="379" spans="1:8" x14ac:dyDescent="0.25">
      <c r="A379" s="173" t="s">
        <v>83</v>
      </c>
      <c r="B379" s="173"/>
      <c r="C379" s="173"/>
      <c r="D379" s="173"/>
      <c r="E379" s="173"/>
      <c r="F379" s="173"/>
      <c r="G379" s="173"/>
      <c r="H379" s="173"/>
    </row>
    <row r="380" spans="1:8" x14ac:dyDescent="0.25">
      <c r="A380" s="173"/>
      <c r="B380" s="173"/>
      <c r="C380" s="173"/>
      <c r="D380" s="173"/>
      <c r="E380" s="173"/>
      <c r="F380" s="173"/>
      <c r="G380" s="173"/>
      <c r="H380" s="173"/>
    </row>
    <row r="381" spans="1:8" x14ac:dyDescent="0.25">
      <c r="A381" s="173"/>
      <c r="B381" s="173"/>
      <c r="C381" s="173"/>
      <c r="D381" s="173"/>
      <c r="E381" s="173"/>
      <c r="F381" s="173"/>
      <c r="G381" s="173"/>
      <c r="H381" s="173"/>
    </row>
    <row r="382" spans="1:8" x14ac:dyDescent="0.25">
      <c r="A382" s="173"/>
      <c r="B382" s="173"/>
      <c r="C382" s="173"/>
      <c r="D382" s="173"/>
      <c r="E382" s="173"/>
      <c r="F382" s="173"/>
      <c r="G382" s="173"/>
      <c r="H382" s="173"/>
    </row>
    <row r="383" spans="1:8" x14ac:dyDescent="0.25">
      <c r="A383" s="35" t="s">
        <v>70</v>
      </c>
      <c r="B383" s="36"/>
      <c r="C383" s="36"/>
      <c r="D383" s="35" t="str">
        <f>E8</f>
        <v>Shree Township Phase 2</v>
      </c>
      <c r="F383" s="36"/>
      <c r="G383" s="36"/>
      <c r="H383" s="36"/>
    </row>
    <row r="384" spans="1:8" ht="15" customHeight="1" x14ac:dyDescent="0.25">
      <c r="A384" s="36"/>
      <c r="B384" s="36"/>
      <c r="C384" s="36"/>
      <c r="D384" s="36"/>
      <c r="E384" s="36"/>
      <c r="F384" s="36"/>
      <c r="G384" s="36"/>
      <c r="H384" s="36"/>
    </row>
    <row r="385" spans="1:8" x14ac:dyDescent="0.25">
      <c r="A385" s="36"/>
      <c r="B385" s="36"/>
      <c r="C385" s="36"/>
      <c r="D385" s="36"/>
      <c r="E385" s="36"/>
      <c r="F385" s="36"/>
      <c r="G385" s="36"/>
      <c r="H385" s="36"/>
    </row>
    <row r="426" spans="1:8" x14ac:dyDescent="0.25">
      <c r="A426" s="35" t="s">
        <v>70</v>
      </c>
      <c r="B426" s="36"/>
      <c r="C426" s="36"/>
      <c r="D426" s="35" t="str">
        <f>E8</f>
        <v>Shree Township Phase 2</v>
      </c>
      <c r="F426" s="36"/>
      <c r="G426" s="36"/>
      <c r="H426" s="36"/>
    </row>
    <row r="427" spans="1:8" ht="15" customHeight="1" x14ac:dyDescent="0.25">
      <c r="A427" s="36"/>
      <c r="B427" s="36"/>
      <c r="C427" s="36"/>
      <c r="D427" s="36"/>
      <c r="E427" s="36"/>
      <c r="F427" s="36"/>
      <c r="G427" s="36"/>
      <c r="H427" s="36"/>
    </row>
    <row r="428" spans="1:8" x14ac:dyDescent="0.25">
      <c r="A428" s="36"/>
      <c r="B428" s="36"/>
      <c r="C428" s="36"/>
      <c r="D428" s="36"/>
      <c r="E428" s="36"/>
      <c r="F428" s="36"/>
      <c r="G428" s="36"/>
      <c r="H428" s="36"/>
    </row>
    <row r="469" spans="1:8" x14ac:dyDescent="0.25">
      <c r="A469" s="35" t="s">
        <v>232</v>
      </c>
      <c r="B469" s="36"/>
      <c r="C469" s="36"/>
      <c r="D469" s="35"/>
      <c r="F469" s="36"/>
      <c r="G469" s="36"/>
      <c r="H469" s="36"/>
    </row>
    <row r="470" spans="1:8" ht="15" customHeight="1" x14ac:dyDescent="0.25">
      <c r="A470" s="36"/>
      <c r="B470" s="36"/>
      <c r="C470" s="36"/>
      <c r="D470" s="36"/>
      <c r="E470" s="36"/>
      <c r="F470" s="36"/>
      <c r="G470" s="36"/>
      <c r="H470" s="36"/>
    </row>
    <row r="471" spans="1:8" x14ac:dyDescent="0.25">
      <c r="A471" s="36"/>
      <c r="B471" s="36"/>
      <c r="C471" s="36"/>
      <c r="D471" s="36"/>
      <c r="E471" s="36"/>
      <c r="F471" s="36"/>
      <c r="G471" s="36"/>
      <c r="H471" s="36"/>
    </row>
    <row r="508" spans="1:8" x14ac:dyDescent="0.25">
      <c r="A508" s="38"/>
      <c r="B508" s="18"/>
      <c r="C508" s="18"/>
      <c r="D508" s="18"/>
      <c r="E508" s="18"/>
      <c r="F508" s="18"/>
      <c r="G508" s="18"/>
      <c r="H508" s="18"/>
    </row>
    <row r="509" spans="1:8" x14ac:dyDescent="0.25">
      <c r="A509" s="38" t="s">
        <v>243</v>
      </c>
    </row>
    <row r="543" spans="1:8" x14ac:dyDescent="0.25">
      <c r="A543" s="38" t="s">
        <v>71</v>
      </c>
      <c r="B543" s="18"/>
      <c r="C543" s="18"/>
      <c r="D543" s="18"/>
      <c r="E543" s="18"/>
      <c r="F543" s="18"/>
      <c r="G543" s="18"/>
      <c r="H543" s="18"/>
    </row>
  </sheetData>
  <mergeCells count="631">
    <mergeCell ref="B358:H358"/>
    <mergeCell ref="B359:H359"/>
    <mergeCell ref="B361:H361"/>
    <mergeCell ref="A287:B287"/>
    <mergeCell ref="A245:A246"/>
    <mergeCell ref="A284:B284"/>
    <mergeCell ref="A283:B283"/>
    <mergeCell ref="A282:B282"/>
    <mergeCell ref="A281:B281"/>
    <mergeCell ref="A340:B340"/>
    <mergeCell ref="A341:B341"/>
    <mergeCell ref="G333:H341"/>
    <mergeCell ref="A332:H332"/>
    <mergeCell ref="A333:B333"/>
    <mergeCell ref="A334:B334"/>
    <mergeCell ref="A335:B335"/>
    <mergeCell ref="A336:B336"/>
    <mergeCell ref="A337:B337"/>
    <mergeCell ref="A338:B338"/>
    <mergeCell ref="A339:B339"/>
    <mergeCell ref="A280:B280"/>
    <mergeCell ref="A329:H329"/>
    <mergeCell ref="A330:H330"/>
    <mergeCell ref="A314:B314"/>
    <mergeCell ref="B370:H370"/>
    <mergeCell ref="B369:H369"/>
    <mergeCell ref="L342:M342"/>
    <mergeCell ref="A343:H343"/>
    <mergeCell ref="L343:M343"/>
    <mergeCell ref="A354:B354"/>
    <mergeCell ref="A355:B355"/>
    <mergeCell ref="A356:B356"/>
    <mergeCell ref="G345:H356"/>
    <mergeCell ref="A344:H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B362:H362"/>
    <mergeCell ref="A357:H357"/>
    <mergeCell ref="B368:H368"/>
    <mergeCell ref="A353:B353"/>
    <mergeCell ref="A342:H342"/>
    <mergeCell ref="B365:H365"/>
    <mergeCell ref="L330:M330"/>
    <mergeCell ref="A331:H331"/>
    <mergeCell ref="L331:M331"/>
    <mergeCell ref="A152:B152"/>
    <mergeCell ref="C152:H152"/>
    <mergeCell ref="A154:B154"/>
    <mergeCell ref="C154:H154"/>
    <mergeCell ref="A155:B155"/>
    <mergeCell ref="E155:F155"/>
    <mergeCell ref="G155:H155"/>
    <mergeCell ref="A156:B156"/>
    <mergeCell ref="E156:F165"/>
    <mergeCell ref="G156:H165"/>
    <mergeCell ref="A157:B157"/>
    <mergeCell ref="A158:B158"/>
    <mergeCell ref="A159:B159"/>
    <mergeCell ref="A160:B160"/>
    <mergeCell ref="A161:B161"/>
    <mergeCell ref="A162:B162"/>
    <mergeCell ref="A163:B163"/>
    <mergeCell ref="L312:M312"/>
    <mergeCell ref="A313:B313"/>
    <mergeCell ref="G313:H314"/>
    <mergeCell ref="L313:M313"/>
    <mergeCell ref="L314:M314"/>
    <mergeCell ref="A304:H304"/>
    <mergeCell ref="A305:B305"/>
    <mergeCell ref="A306:B306"/>
    <mergeCell ref="A307:B307"/>
    <mergeCell ref="A308:B308"/>
    <mergeCell ref="A309:B309"/>
    <mergeCell ref="A310:B310"/>
    <mergeCell ref="G305:H310"/>
    <mergeCell ref="B363:H363"/>
    <mergeCell ref="A129:B129"/>
    <mergeCell ref="A130:B130"/>
    <mergeCell ref="G114:H123"/>
    <mergeCell ref="A115:B115"/>
    <mergeCell ref="A116:B116"/>
    <mergeCell ref="A117:B117"/>
    <mergeCell ref="F168:H168"/>
    <mergeCell ref="A168:E168"/>
    <mergeCell ref="D199:D200"/>
    <mergeCell ref="A170:E170"/>
    <mergeCell ref="A204:B204"/>
    <mergeCell ref="A205:B205"/>
    <mergeCell ref="A206:B206"/>
    <mergeCell ref="A207:B207"/>
    <mergeCell ref="A171:E171"/>
    <mergeCell ref="F176:H176"/>
    <mergeCell ref="A276:B276"/>
    <mergeCell ref="A312:H312"/>
    <mergeCell ref="G188:H188"/>
    <mergeCell ref="A196:B196"/>
    <mergeCell ref="A286:H286"/>
    <mergeCell ref="A164:B164"/>
    <mergeCell ref="A165:B165"/>
    <mergeCell ref="A194:A195"/>
    <mergeCell ref="C194:D194"/>
    <mergeCell ref="E194:F194"/>
    <mergeCell ref="G194:H194"/>
    <mergeCell ref="C195:D195"/>
    <mergeCell ref="E195:F195"/>
    <mergeCell ref="G195:H195"/>
    <mergeCell ref="A253:B253"/>
    <mergeCell ref="A46:B46"/>
    <mergeCell ref="C46:H46"/>
    <mergeCell ref="A181:B181"/>
    <mergeCell ref="A182:A183"/>
    <mergeCell ref="D59:H59"/>
    <mergeCell ref="A56:C59"/>
    <mergeCell ref="A169:E169"/>
    <mergeCell ref="A166:E166"/>
    <mergeCell ref="F170:H170"/>
    <mergeCell ref="G127:H127"/>
    <mergeCell ref="A127:B127"/>
    <mergeCell ref="E127:F127"/>
    <mergeCell ref="G128:H137"/>
    <mergeCell ref="F174:H174"/>
    <mergeCell ref="E128:F137"/>
    <mergeCell ref="F166:H166"/>
    <mergeCell ref="A279:H279"/>
    <mergeCell ref="G261:H264"/>
    <mergeCell ref="C181:D181"/>
    <mergeCell ref="A257:B257"/>
    <mergeCell ref="G204:H216"/>
    <mergeCell ref="G219:H224"/>
    <mergeCell ref="A241:B241"/>
    <mergeCell ref="G228:H234"/>
    <mergeCell ref="G237:H243"/>
    <mergeCell ref="G250:H253"/>
    <mergeCell ref="G255:H258"/>
    <mergeCell ref="A212:B212"/>
    <mergeCell ref="A214:B214"/>
    <mergeCell ref="A184:A185"/>
    <mergeCell ref="A189:A190"/>
    <mergeCell ref="A191:A193"/>
    <mergeCell ref="A274:B274"/>
    <mergeCell ref="A254:H254"/>
    <mergeCell ref="A255:B255"/>
    <mergeCell ref="A225:H225"/>
    <mergeCell ref="A234:B234"/>
    <mergeCell ref="A235:H235"/>
    <mergeCell ref="A236:H236"/>
    <mergeCell ref="A248:H248"/>
    <mergeCell ref="L272:M272"/>
    <mergeCell ref="A275:B275"/>
    <mergeCell ref="L273:M273"/>
    <mergeCell ref="A273:B273"/>
    <mergeCell ref="A288:B288"/>
    <mergeCell ref="A289:B289"/>
    <mergeCell ref="A290:B290"/>
    <mergeCell ref="A112:B112"/>
    <mergeCell ref="C112:H112"/>
    <mergeCell ref="A113:B113"/>
    <mergeCell ref="E113:F113"/>
    <mergeCell ref="G113:H113"/>
    <mergeCell ref="A172:E172"/>
    <mergeCell ref="F172:H172"/>
    <mergeCell ref="A173:E173"/>
    <mergeCell ref="A175:E175"/>
    <mergeCell ref="F169:H169"/>
    <mergeCell ref="A174:E174"/>
    <mergeCell ref="A131:B131"/>
    <mergeCell ref="A132:B132"/>
    <mergeCell ref="A133:B133"/>
    <mergeCell ref="A135:B135"/>
    <mergeCell ref="A136:B136"/>
    <mergeCell ref="A128:B128"/>
    <mergeCell ref="A291:B291"/>
    <mergeCell ref="A292:B292"/>
    <mergeCell ref="A285:B285"/>
    <mergeCell ref="L295:M295"/>
    <mergeCell ref="L296:M296"/>
    <mergeCell ref="A300:B300"/>
    <mergeCell ref="A301:B301"/>
    <mergeCell ref="A302:B302"/>
    <mergeCell ref="A303:B303"/>
    <mergeCell ref="G280:H285"/>
    <mergeCell ref="G287:H292"/>
    <mergeCell ref="G298:H303"/>
    <mergeCell ref="A294:H294"/>
    <mergeCell ref="L294:M294"/>
    <mergeCell ref="A315:H315"/>
    <mergeCell ref="A327:B327"/>
    <mergeCell ref="A318:B318"/>
    <mergeCell ref="A319:B319"/>
    <mergeCell ref="L207:M207"/>
    <mergeCell ref="L206:M206"/>
    <mergeCell ref="L205:M205"/>
    <mergeCell ref="L204:M204"/>
    <mergeCell ref="A78:B78"/>
    <mergeCell ref="C189:D189"/>
    <mergeCell ref="E189:F189"/>
    <mergeCell ref="G189:H189"/>
    <mergeCell ref="F173:H173"/>
    <mergeCell ref="A167:E167"/>
    <mergeCell ref="A124:B124"/>
    <mergeCell ref="C124:H124"/>
    <mergeCell ref="A203:H203"/>
    <mergeCell ref="E199:E200"/>
    <mergeCell ref="G199:H200"/>
    <mergeCell ref="A114:B114"/>
    <mergeCell ref="E114:F123"/>
    <mergeCell ref="A121:B121"/>
    <mergeCell ref="A122:B122"/>
    <mergeCell ref="A123:B123"/>
    <mergeCell ref="C126:H126"/>
    <mergeCell ref="A39:D39"/>
    <mergeCell ref="E39:H39"/>
    <mergeCell ref="F31:H31"/>
    <mergeCell ref="F32:H32"/>
    <mergeCell ref="A38:H38"/>
    <mergeCell ref="A60:C60"/>
    <mergeCell ref="A61:C61"/>
    <mergeCell ref="D60:H60"/>
    <mergeCell ref="E71:F80"/>
    <mergeCell ref="G71:H80"/>
    <mergeCell ref="A79:B79"/>
    <mergeCell ref="A80:B80"/>
    <mergeCell ref="D61:H61"/>
    <mergeCell ref="A41:D41"/>
    <mergeCell ref="E41:H41"/>
    <mergeCell ref="E42:H42"/>
    <mergeCell ref="E43:H43"/>
    <mergeCell ref="E44:H44"/>
    <mergeCell ref="A37:B37"/>
    <mergeCell ref="C37:H37"/>
    <mergeCell ref="A42:D42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3:D43"/>
    <mergeCell ref="A44:D44"/>
    <mergeCell ref="A45:H45"/>
    <mergeCell ref="D55:H55"/>
    <mergeCell ref="A55:C55"/>
    <mergeCell ref="G48:H48"/>
    <mergeCell ref="A49:B5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379:H382"/>
    <mergeCell ref="A378:B378"/>
    <mergeCell ref="E378:F378"/>
    <mergeCell ref="C378:D378"/>
    <mergeCell ref="G378:H378"/>
    <mergeCell ref="A180:H180"/>
    <mergeCell ref="A178:E178"/>
    <mergeCell ref="F178:H178"/>
    <mergeCell ref="A179:E179"/>
    <mergeCell ref="F179:H179"/>
    <mergeCell ref="A374:H374"/>
    <mergeCell ref="A187:H187"/>
    <mergeCell ref="A377:H377"/>
    <mergeCell ref="A375:H375"/>
    <mergeCell ref="C199:C200"/>
    <mergeCell ref="B245:B246"/>
    <mergeCell ref="F171:H171"/>
    <mergeCell ref="A126:B126"/>
    <mergeCell ref="A371:H371"/>
    <mergeCell ref="A372:H372"/>
    <mergeCell ref="E188:F188"/>
    <mergeCell ref="B366:H366"/>
    <mergeCell ref="B367:H367"/>
    <mergeCell ref="B364:H364"/>
    <mergeCell ref="B360:H360"/>
    <mergeCell ref="A197:H197"/>
    <mergeCell ref="B199:B200"/>
    <mergeCell ref="A199:A200"/>
    <mergeCell ref="C245:C246"/>
    <mergeCell ref="A272:H272"/>
    <mergeCell ref="A201:H201"/>
    <mergeCell ref="A202:H202"/>
    <mergeCell ref="A208:B208"/>
    <mergeCell ref="A216:B216"/>
    <mergeCell ref="A256:B256"/>
    <mergeCell ref="A258:B258"/>
    <mergeCell ref="A217:H217"/>
    <mergeCell ref="A218:H218"/>
    <mergeCell ref="A219:B219"/>
    <mergeCell ref="A295:B295"/>
    <mergeCell ref="A296:B296"/>
    <mergeCell ref="G295:H296"/>
    <mergeCell ref="F177:H177"/>
    <mergeCell ref="F175:H175"/>
    <mergeCell ref="A198:H198"/>
    <mergeCell ref="G181:H181"/>
    <mergeCell ref="A176:E176"/>
    <mergeCell ref="C182:D182"/>
    <mergeCell ref="E182:F182"/>
    <mergeCell ref="C196:D196"/>
    <mergeCell ref="E192:F192"/>
    <mergeCell ref="G192:H192"/>
    <mergeCell ref="C193:D193"/>
    <mergeCell ref="E193:F193"/>
    <mergeCell ref="G193:H193"/>
    <mergeCell ref="A177:E177"/>
    <mergeCell ref="G196:H196"/>
    <mergeCell ref="C183:D183"/>
    <mergeCell ref="E183:F183"/>
    <mergeCell ref="G183:H183"/>
    <mergeCell ref="A186:B186"/>
    <mergeCell ref="C186:D186"/>
    <mergeCell ref="G186:H186"/>
    <mergeCell ref="C188:D188"/>
    <mergeCell ref="E196:F196"/>
    <mergeCell ref="E181:F181"/>
    <mergeCell ref="G47:H47"/>
    <mergeCell ref="G49:H49"/>
    <mergeCell ref="D53:H53"/>
    <mergeCell ref="C49:E49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D58:H58"/>
    <mergeCell ref="C50:H50"/>
    <mergeCell ref="A15:B15"/>
    <mergeCell ref="C15:H15"/>
    <mergeCell ref="E40:H40"/>
    <mergeCell ref="A40:D40"/>
    <mergeCell ref="A376:H376"/>
    <mergeCell ref="A373:H373"/>
    <mergeCell ref="A188:B188"/>
    <mergeCell ref="D245:D246"/>
    <mergeCell ref="E245:E246"/>
    <mergeCell ref="G245:H246"/>
    <mergeCell ref="A118:B118"/>
    <mergeCell ref="A119:B119"/>
    <mergeCell ref="A120:B120"/>
    <mergeCell ref="A110:B110"/>
    <mergeCell ref="C110:H110"/>
    <mergeCell ref="A134:B134"/>
    <mergeCell ref="A76:B76"/>
    <mergeCell ref="F167:H167"/>
    <mergeCell ref="G182:H182"/>
    <mergeCell ref="A137:B137"/>
    <mergeCell ref="A47:B47"/>
    <mergeCell ref="C47:E47"/>
    <mergeCell ref="A239:B239"/>
    <mergeCell ref="A244:H244"/>
    <mergeCell ref="A233:B233"/>
    <mergeCell ref="L232:M232"/>
    <mergeCell ref="L208:M208"/>
    <mergeCell ref="A209:B209"/>
    <mergeCell ref="L209:M209"/>
    <mergeCell ref="A210:B210"/>
    <mergeCell ref="L210:M210"/>
    <mergeCell ref="A211:B211"/>
    <mergeCell ref="L211:M211"/>
    <mergeCell ref="L212:M212"/>
    <mergeCell ref="A213:B213"/>
    <mergeCell ref="L213:M213"/>
    <mergeCell ref="A230:B230"/>
    <mergeCell ref="L229:M229"/>
    <mergeCell ref="L230:M230"/>
    <mergeCell ref="A228:B228"/>
    <mergeCell ref="L227:M227"/>
    <mergeCell ref="L236:M236"/>
    <mergeCell ref="A237:B237"/>
    <mergeCell ref="L237:M237"/>
    <mergeCell ref="A238:B238"/>
    <mergeCell ref="L238:M238"/>
    <mergeCell ref="L214:M214"/>
    <mergeCell ref="A215:B215"/>
    <mergeCell ref="L215:M215"/>
    <mergeCell ref="L216:M216"/>
    <mergeCell ref="A222:B222"/>
    <mergeCell ref="L252:M252"/>
    <mergeCell ref="A231:B231"/>
    <mergeCell ref="A232:B232"/>
    <mergeCell ref="L231:M231"/>
    <mergeCell ref="A243:B243"/>
    <mergeCell ref="L239:M239"/>
    <mergeCell ref="A240:B240"/>
    <mergeCell ref="L240:M240"/>
    <mergeCell ref="L219:M219"/>
    <mergeCell ref="A220:B220"/>
    <mergeCell ref="L220:M220"/>
    <mergeCell ref="A221:B221"/>
    <mergeCell ref="L221:M221"/>
    <mergeCell ref="A247:H247"/>
    <mergeCell ref="A226:H226"/>
    <mergeCell ref="A227:H227"/>
    <mergeCell ref="L249:M249"/>
    <mergeCell ref="A251:B251"/>
    <mergeCell ref="L222:M222"/>
    <mergeCell ref="A223:B223"/>
    <mergeCell ref="L223:M223"/>
    <mergeCell ref="A224:B224"/>
    <mergeCell ref="L224:M224"/>
    <mergeCell ref="A229:B229"/>
    <mergeCell ref="A267:B267"/>
    <mergeCell ref="A268:B268"/>
    <mergeCell ref="A269:B269"/>
    <mergeCell ref="A259:H259"/>
    <mergeCell ref="L260:M260"/>
    <mergeCell ref="A262:B262"/>
    <mergeCell ref="L261:M261"/>
    <mergeCell ref="A263:B263"/>
    <mergeCell ref="L262:M262"/>
    <mergeCell ref="A265:H265"/>
    <mergeCell ref="A264:B264"/>
    <mergeCell ref="L263:M263"/>
    <mergeCell ref="A260:H260"/>
    <mergeCell ref="L269:M269"/>
    <mergeCell ref="G266:H269"/>
    <mergeCell ref="A249:H249"/>
    <mergeCell ref="L248:M248"/>
    <mergeCell ref="A250:B250"/>
    <mergeCell ref="L228:M228"/>
    <mergeCell ref="A321:B321"/>
    <mergeCell ref="A322:H322"/>
    <mergeCell ref="G323:H328"/>
    <mergeCell ref="L241:M241"/>
    <mergeCell ref="A242:B242"/>
    <mergeCell ref="A297:H297"/>
    <mergeCell ref="A298:B298"/>
    <mergeCell ref="A299:B299"/>
    <mergeCell ref="L259:M259"/>
    <mergeCell ref="A261:B261"/>
    <mergeCell ref="A270:H270"/>
    <mergeCell ref="A271:H271"/>
    <mergeCell ref="A293:H293"/>
    <mergeCell ref="A277:B277"/>
    <mergeCell ref="L277:M277"/>
    <mergeCell ref="A278:B278"/>
    <mergeCell ref="C275:F277"/>
    <mergeCell ref="G273:H278"/>
    <mergeCell ref="L275:M275"/>
    <mergeCell ref="L274:M274"/>
    <mergeCell ref="L250:M250"/>
    <mergeCell ref="A252:B252"/>
    <mergeCell ref="L251:M251"/>
    <mergeCell ref="A266:B266"/>
    <mergeCell ref="A328:B328"/>
    <mergeCell ref="C184:D184"/>
    <mergeCell ref="E184:F184"/>
    <mergeCell ref="G184:H184"/>
    <mergeCell ref="C185:D185"/>
    <mergeCell ref="E185:F185"/>
    <mergeCell ref="G185:H185"/>
    <mergeCell ref="E186:F186"/>
    <mergeCell ref="C190:D190"/>
    <mergeCell ref="E190:F190"/>
    <mergeCell ref="G190:H190"/>
    <mergeCell ref="C191:D191"/>
    <mergeCell ref="E191:F191"/>
    <mergeCell ref="G191:H191"/>
    <mergeCell ref="C192:D192"/>
    <mergeCell ref="A323:B323"/>
    <mergeCell ref="A324:B324"/>
    <mergeCell ref="A325:B325"/>
    <mergeCell ref="A326:B326"/>
    <mergeCell ref="A316:B316"/>
    <mergeCell ref="A317:B317"/>
    <mergeCell ref="A311:H311"/>
    <mergeCell ref="G316:H321"/>
    <mergeCell ref="A320:B320"/>
    <mergeCell ref="A138:B138"/>
    <mergeCell ref="C138:H138"/>
    <mergeCell ref="A140:B140"/>
    <mergeCell ref="C140:H140"/>
    <mergeCell ref="A141:B141"/>
    <mergeCell ref="E141:F141"/>
    <mergeCell ref="G141:H141"/>
    <mergeCell ref="A142:B142"/>
    <mergeCell ref="E142:F151"/>
    <mergeCell ref="G142:H151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5:B95"/>
    <mergeCell ref="C95:D95"/>
    <mergeCell ref="E95:F95"/>
    <mergeCell ref="G95:H95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</mergeCells>
  <hyperlinks>
    <hyperlink ref="C37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8" manualBreakCount="8">
    <brk id="66" max="16383" man="1"/>
    <brk id="123" max="16383" man="1"/>
    <brk id="370" max="16383" man="1"/>
    <brk id="382" max="16383" man="1"/>
    <brk id="425" max="16383" man="1"/>
    <brk id="468" max="7" man="1"/>
    <brk id="507" max="16383" man="1"/>
    <brk id="5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1" t="s">
        <v>112</v>
      </c>
      <c r="C3" s="211"/>
      <c r="D3" s="211"/>
      <c r="E3" s="211"/>
      <c r="F3" s="211"/>
      <c r="G3" s="211"/>
      <c r="H3" s="211"/>
    </row>
    <row r="4" spans="1:9" x14ac:dyDescent="0.25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2025-08-14T09:13:31Z</cp:lastPrinted>
  <dcterms:created xsi:type="dcterms:W3CDTF">2019-07-16T09:29:46Z</dcterms:created>
  <dcterms:modified xsi:type="dcterms:W3CDTF">2025-08-14T09:34:35Z</dcterms:modified>
</cp:coreProperties>
</file>