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K132" i="1" l="1"/>
  <c r="K136" i="1"/>
  <c r="K139" i="1"/>
  <c r="K140" i="1"/>
  <c r="K144" i="1"/>
  <c r="K151" i="1"/>
  <c r="K154" i="1"/>
  <c r="K157" i="1"/>
  <c r="K162" i="1"/>
  <c r="K169" i="1"/>
  <c r="K175" i="1"/>
  <c r="K178" i="1"/>
  <c r="K182" i="1"/>
  <c r="K189" i="1"/>
  <c r="K195" i="1"/>
  <c r="K201" i="1"/>
  <c r="K206" i="1"/>
  <c r="K212" i="1"/>
  <c r="K215" i="1"/>
  <c r="K219" i="1"/>
  <c r="K220" i="1"/>
  <c r="K221" i="1"/>
  <c r="K224" i="1"/>
  <c r="K230" i="1"/>
  <c r="K236" i="1"/>
  <c r="K244" i="1"/>
  <c r="K249" i="1"/>
  <c r="K39" i="1"/>
  <c r="K41" i="1" s="1"/>
  <c r="D235" i="1"/>
  <c r="F235" i="1" s="1"/>
  <c r="I234" i="1" s="1"/>
  <c r="D234" i="1"/>
  <c r="F234" i="1" s="1"/>
  <c r="K234" i="1" s="1"/>
  <c r="D233" i="1"/>
  <c r="F233" i="1" s="1"/>
  <c r="K233" i="1" s="1"/>
  <c r="D232" i="1"/>
  <c r="F232" i="1" s="1"/>
  <c r="K232" i="1" s="1"/>
  <c r="D231" i="1"/>
  <c r="F231" i="1" s="1"/>
  <c r="K231" i="1" s="1"/>
  <c r="G231" i="1"/>
  <c r="G232" i="1" s="1"/>
  <c r="G233" i="1" s="1"/>
  <c r="G234" i="1" s="1"/>
  <c r="G235" i="1" s="1"/>
  <c r="D251" i="1"/>
  <c r="F251" i="1" s="1"/>
  <c r="K251" i="1" s="1"/>
  <c r="D250" i="1"/>
  <c r="D248" i="1"/>
  <c r="D247" i="1"/>
  <c r="D246" i="1"/>
  <c r="D245" i="1"/>
  <c r="D243" i="1"/>
  <c r="F243" i="1" s="1"/>
  <c r="K243" i="1" s="1"/>
  <c r="D242" i="1"/>
  <c r="F242" i="1" s="1"/>
  <c r="K242" i="1" s="1"/>
  <c r="D241" i="1"/>
  <c r="D240" i="1"/>
  <c r="D239" i="1"/>
  <c r="D238" i="1"/>
  <c r="D237" i="1"/>
  <c r="D229" i="1"/>
  <c r="F229" i="1" s="1"/>
  <c r="K229" i="1" s="1"/>
  <c r="D228" i="1"/>
  <c r="F228" i="1" s="1"/>
  <c r="I227" i="1" s="1"/>
  <c r="D227" i="1"/>
  <c r="F227" i="1" s="1"/>
  <c r="K227" i="1" s="1"/>
  <c r="D226" i="1"/>
  <c r="F226" i="1" s="1"/>
  <c r="K226" i="1" s="1"/>
  <c r="D225" i="1"/>
  <c r="F225" i="1" s="1"/>
  <c r="K225" i="1" s="1"/>
  <c r="I224" i="1"/>
  <c r="G225" i="1"/>
  <c r="G226" i="1" s="1"/>
  <c r="G227" i="1" s="1"/>
  <c r="G228" i="1" s="1"/>
  <c r="G229" i="1" s="1"/>
  <c r="I221" i="1"/>
  <c r="D223" i="1"/>
  <c r="F223" i="1" s="1"/>
  <c r="K223" i="1" s="1"/>
  <c r="D222" i="1"/>
  <c r="G222" i="1"/>
  <c r="G223" i="1" s="1"/>
  <c r="D121" i="1"/>
  <c r="D120" i="1"/>
  <c r="E218" i="1"/>
  <c r="D218" i="1"/>
  <c r="E174" i="1"/>
  <c r="D174" i="1"/>
  <c r="E217" i="1"/>
  <c r="D217" i="1"/>
  <c r="E216" i="1"/>
  <c r="D216" i="1"/>
  <c r="E214" i="1"/>
  <c r="D214" i="1"/>
  <c r="E213" i="1"/>
  <c r="D213" i="1"/>
  <c r="G213" i="1"/>
  <c r="G214" i="1" s="1"/>
  <c r="G215" i="1" s="1"/>
  <c r="G216" i="1" s="1"/>
  <c r="G217" i="1" s="1"/>
  <c r="G218" i="1" s="1"/>
  <c r="E209" i="1"/>
  <c r="D209" i="1"/>
  <c r="E211" i="1"/>
  <c r="D211" i="1"/>
  <c r="E210" i="1"/>
  <c r="D210" i="1"/>
  <c r="E208" i="1"/>
  <c r="D208" i="1"/>
  <c r="E207" i="1"/>
  <c r="D207" i="1"/>
  <c r="G207" i="1"/>
  <c r="G208" i="1" s="1"/>
  <c r="G209" i="1" s="1"/>
  <c r="G210" i="1" s="1"/>
  <c r="G211" i="1" s="1"/>
  <c r="E203" i="1"/>
  <c r="D203" i="1"/>
  <c r="E202" i="1"/>
  <c r="D202" i="1"/>
  <c r="E205" i="1"/>
  <c r="D205" i="1"/>
  <c r="E204" i="1"/>
  <c r="D204" i="1"/>
  <c r="G202" i="1"/>
  <c r="G203" i="1" s="1"/>
  <c r="G204" i="1" s="1"/>
  <c r="G205" i="1" s="1"/>
  <c r="E199" i="1"/>
  <c r="D199" i="1"/>
  <c r="D149" i="1"/>
  <c r="D148" i="1"/>
  <c r="E200" i="1"/>
  <c r="D200" i="1"/>
  <c r="E198" i="1"/>
  <c r="D198" i="1"/>
  <c r="E197" i="1"/>
  <c r="D197" i="1"/>
  <c r="E196" i="1"/>
  <c r="D196" i="1"/>
  <c r="A197" i="1"/>
  <c r="A198" i="1" s="1"/>
  <c r="G196" i="1"/>
  <c r="G197" i="1" s="1"/>
  <c r="G198" i="1" s="1"/>
  <c r="G199" i="1" s="1"/>
  <c r="G200" i="1" s="1"/>
  <c r="E191" i="1"/>
  <c r="D191" i="1"/>
  <c r="E190" i="1"/>
  <c r="D190" i="1"/>
  <c r="E194" i="1"/>
  <c r="D194" i="1"/>
  <c r="E193" i="1"/>
  <c r="D193" i="1"/>
  <c r="E192" i="1"/>
  <c r="D192" i="1"/>
  <c r="A192" i="1"/>
  <c r="A193" i="1" s="1"/>
  <c r="A194" i="1" s="1"/>
  <c r="G190" i="1"/>
  <c r="G191" i="1" s="1"/>
  <c r="G192" i="1" s="1"/>
  <c r="G193" i="1" s="1"/>
  <c r="G194" i="1" s="1"/>
  <c r="E181" i="1"/>
  <c r="D181" i="1"/>
  <c r="E180" i="1"/>
  <c r="D180" i="1"/>
  <c r="E177" i="1"/>
  <c r="D177" i="1"/>
  <c r="E179" i="1"/>
  <c r="D179" i="1"/>
  <c r="E176" i="1"/>
  <c r="D176" i="1"/>
  <c r="G176" i="1"/>
  <c r="G177" i="1" s="1"/>
  <c r="G178" i="1" s="1"/>
  <c r="G179" i="1" s="1"/>
  <c r="G180" i="1" s="1"/>
  <c r="G181" i="1" s="1"/>
  <c r="E173" i="1"/>
  <c r="D173" i="1"/>
  <c r="E172" i="1"/>
  <c r="D172" i="1"/>
  <c r="E171" i="1"/>
  <c r="D171" i="1"/>
  <c r="E170" i="1"/>
  <c r="D170" i="1"/>
  <c r="A172" i="1"/>
  <c r="A173" i="1" s="1"/>
  <c r="A174" i="1" s="1"/>
  <c r="G170" i="1"/>
  <c r="G171" i="1" s="1"/>
  <c r="G172" i="1" s="1"/>
  <c r="G173" i="1" s="1"/>
  <c r="G174" i="1" s="1"/>
  <c r="E168" i="1"/>
  <c r="D168" i="1"/>
  <c r="E167" i="1"/>
  <c r="D167" i="1"/>
  <c r="E166" i="1"/>
  <c r="D166" i="1"/>
  <c r="E165" i="1"/>
  <c r="D165" i="1"/>
  <c r="E164" i="1"/>
  <c r="D164" i="1"/>
  <c r="E163" i="1"/>
  <c r="D163" i="1"/>
  <c r="A164" i="1"/>
  <c r="A165" i="1" s="1"/>
  <c r="A166" i="1" s="1"/>
  <c r="A167" i="1" s="1"/>
  <c r="A168" i="1" s="1"/>
  <c r="G163" i="1"/>
  <c r="G164" i="1" s="1"/>
  <c r="G165" i="1" s="1"/>
  <c r="G166" i="1" s="1"/>
  <c r="G167" i="1" s="1"/>
  <c r="G168" i="1" s="1"/>
  <c r="E161" i="1"/>
  <c r="D161" i="1"/>
  <c r="E160" i="1"/>
  <c r="D160" i="1"/>
  <c r="E159" i="1"/>
  <c r="D159" i="1"/>
  <c r="E158" i="1"/>
  <c r="D158" i="1"/>
  <c r="F202" i="1" l="1"/>
  <c r="K202" i="1" s="1"/>
  <c r="F213" i="1"/>
  <c r="K213" i="1" s="1"/>
  <c r="K235" i="1"/>
  <c r="I233" i="1"/>
  <c r="C112" i="1"/>
  <c r="E112" i="1"/>
  <c r="K228" i="1"/>
  <c r="C108" i="1"/>
  <c r="E108" i="1"/>
  <c r="F174" i="1"/>
  <c r="K174" i="1" s="1"/>
  <c r="F207" i="1"/>
  <c r="K207" i="1" s="1"/>
  <c r="F210" i="1"/>
  <c r="K210" i="1" s="1"/>
  <c r="F204" i="1"/>
  <c r="K204" i="1" s="1"/>
  <c r="F205" i="1"/>
  <c r="K205" i="1" s="1"/>
  <c r="F216" i="1"/>
  <c r="K216" i="1" s="1"/>
  <c r="F176" i="1"/>
  <c r="K176" i="1" s="1"/>
  <c r="F208" i="1"/>
  <c r="K208" i="1" s="1"/>
  <c r="F217" i="1"/>
  <c r="K217" i="1" s="1"/>
  <c r="F222" i="1"/>
  <c r="F177" i="1"/>
  <c r="K177" i="1" s="1"/>
  <c r="F197" i="1"/>
  <c r="K197" i="1" s="1"/>
  <c r="F199" i="1"/>
  <c r="K199" i="1" s="1"/>
  <c r="F173" i="1"/>
  <c r="K173" i="1" s="1"/>
  <c r="F198" i="1"/>
  <c r="K198" i="1" s="1"/>
  <c r="F200" i="1"/>
  <c r="K200" i="1" s="1"/>
  <c r="F211" i="1"/>
  <c r="K211" i="1" s="1"/>
  <c r="F194" i="1"/>
  <c r="K194" i="1" s="1"/>
  <c r="F196" i="1"/>
  <c r="K196" i="1" s="1"/>
  <c r="F214" i="1"/>
  <c r="K214" i="1" s="1"/>
  <c r="F218" i="1"/>
  <c r="K218" i="1" s="1"/>
  <c r="F168" i="1"/>
  <c r="K168" i="1" s="1"/>
  <c r="F209" i="1"/>
  <c r="K209" i="1" s="1"/>
  <c r="F171" i="1"/>
  <c r="K171" i="1" s="1"/>
  <c r="F180" i="1"/>
  <c r="K180" i="1" s="1"/>
  <c r="F203" i="1"/>
  <c r="K203" i="1" s="1"/>
  <c r="F166" i="1"/>
  <c r="K166" i="1" s="1"/>
  <c r="F167" i="1"/>
  <c r="K167" i="1" s="1"/>
  <c r="F193" i="1"/>
  <c r="K193" i="1" s="1"/>
  <c r="F172" i="1"/>
  <c r="K172" i="1" s="1"/>
  <c r="F179" i="1"/>
  <c r="K179" i="1" s="1"/>
  <c r="F192" i="1"/>
  <c r="K192" i="1" s="1"/>
  <c r="F191" i="1"/>
  <c r="K191" i="1" s="1"/>
  <c r="F190" i="1"/>
  <c r="K190" i="1" s="1"/>
  <c r="F181" i="1"/>
  <c r="K181" i="1" s="1"/>
  <c r="F165" i="1"/>
  <c r="K165" i="1" s="1"/>
  <c r="F170" i="1"/>
  <c r="K170" i="1" s="1"/>
  <c r="F163" i="1"/>
  <c r="K163" i="1" s="1"/>
  <c r="F164" i="1"/>
  <c r="G159" i="1"/>
  <c r="F161" i="1"/>
  <c r="K161" i="1" s="1"/>
  <c r="F160" i="1"/>
  <c r="K160" i="1" s="1"/>
  <c r="F159" i="1"/>
  <c r="K159" i="1" s="1"/>
  <c r="G158" i="1"/>
  <c r="F158" i="1"/>
  <c r="K158" i="1" s="1"/>
  <c r="E188" i="1"/>
  <c r="D188" i="1"/>
  <c r="E187" i="1"/>
  <c r="D187" i="1"/>
  <c r="E186" i="1"/>
  <c r="D186" i="1"/>
  <c r="E185" i="1"/>
  <c r="D185" i="1"/>
  <c r="E184" i="1"/>
  <c r="D184" i="1"/>
  <c r="E183" i="1"/>
  <c r="D183" i="1"/>
  <c r="G183" i="1"/>
  <c r="G184" i="1" s="1"/>
  <c r="G185" i="1" s="1"/>
  <c r="G186" i="1" s="1"/>
  <c r="G187" i="1" s="1"/>
  <c r="G188" i="1" s="1"/>
  <c r="G156" i="1"/>
  <c r="E156" i="1"/>
  <c r="D156" i="1"/>
  <c r="E155" i="1"/>
  <c r="D155" i="1"/>
  <c r="E153" i="1"/>
  <c r="D153" i="1"/>
  <c r="E152" i="1"/>
  <c r="D152" i="1"/>
  <c r="G152" i="1"/>
  <c r="G153" i="1" s="1"/>
  <c r="G154" i="1" s="1"/>
  <c r="G155" i="1" s="1"/>
  <c r="F250" i="1"/>
  <c r="E150" i="1"/>
  <c r="D150" i="1"/>
  <c r="E149" i="1"/>
  <c r="E148" i="1"/>
  <c r="E147" i="1"/>
  <c r="D147" i="1"/>
  <c r="E146" i="1"/>
  <c r="D146" i="1"/>
  <c r="E145" i="1"/>
  <c r="D145" i="1"/>
  <c r="E143" i="1"/>
  <c r="D143" i="1"/>
  <c r="E142" i="1"/>
  <c r="D142" i="1"/>
  <c r="E141" i="1"/>
  <c r="D141" i="1"/>
  <c r="E138" i="1"/>
  <c r="E137" i="1"/>
  <c r="A142" i="1"/>
  <c r="A143" i="1" s="1"/>
  <c r="G141" i="1"/>
  <c r="G142" i="1" s="1"/>
  <c r="G143" i="1" s="1"/>
  <c r="D138" i="1"/>
  <c r="D137" i="1"/>
  <c r="E135" i="1"/>
  <c r="D135" i="1"/>
  <c r="E134" i="1"/>
  <c r="D134" i="1"/>
  <c r="E133" i="1"/>
  <c r="D133" i="1"/>
  <c r="A134" i="1"/>
  <c r="A135" i="1" s="1"/>
  <c r="G133" i="1"/>
  <c r="G134" i="1" s="1"/>
  <c r="G135" i="1" s="1"/>
  <c r="E131" i="1"/>
  <c r="D131" i="1"/>
  <c r="E130" i="1"/>
  <c r="D130" i="1"/>
  <c r="E129" i="1"/>
  <c r="D129" i="1"/>
  <c r="K250" i="1" l="1"/>
  <c r="I249" i="1"/>
  <c r="K222" i="1"/>
  <c r="I163" i="1"/>
  <c r="K164" i="1"/>
  <c r="E111" i="1"/>
  <c r="E113" i="1" s="1"/>
  <c r="C111" i="1"/>
  <c r="C113" i="1" s="1"/>
  <c r="F143" i="1"/>
  <c r="K143" i="1" s="1"/>
  <c r="F141" i="1"/>
  <c r="F150" i="1"/>
  <c r="K150" i="1" s="1"/>
  <c r="F152" i="1"/>
  <c r="K152" i="1" s="1"/>
  <c r="F186" i="1"/>
  <c r="K186" i="1" s="1"/>
  <c r="F134" i="1"/>
  <c r="K134" i="1" s="1"/>
  <c r="F153" i="1"/>
  <c r="K153" i="1" s="1"/>
  <c r="F183" i="1"/>
  <c r="K183" i="1" s="1"/>
  <c r="F185" i="1"/>
  <c r="K185" i="1" s="1"/>
  <c r="G160" i="1"/>
  <c r="G161" i="1" s="1"/>
  <c r="F142" i="1"/>
  <c r="K142" i="1" s="1"/>
  <c r="F156" i="1"/>
  <c r="K156" i="1" s="1"/>
  <c r="F184" i="1"/>
  <c r="K184" i="1" s="1"/>
  <c r="F188" i="1"/>
  <c r="K188" i="1" s="1"/>
  <c r="F187" i="1"/>
  <c r="K187" i="1" s="1"/>
  <c r="F133" i="1"/>
  <c r="K133" i="1" s="1"/>
  <c r="F155" i="1"/>
  <c r="K155" i="1" s="1"/>
  <c r="F135" i="1"/>
  <c r="K135" i="1" s="1"/>
  <c r="E27" i="1"/>
  <c r="K141" i="1" l="1"/>
  <c r="I140" i="1"/>
  <c r="F130" i="1"/>
  <c r="K130" i="1" s="1"/>
  <c r="F131" i="1"/>
  <c r="K131" i="1" s="1"/>
  <c r="F129" i="1"/>
  <c r="A130" i="1"/>
  <c r="A131" i="1" s="1"/>
  <c r="G129" i="1"/>
  <c r="G130" i="1" s="1"/>
  <c r="G131" i="1" s="1"/>
  <c r="K129" i="1" l="1"/>
  <c r="I128" i="1"/>
  <c r="F105" i="1"/>
  <c r="F121" i="1" l="1"/>
  <c r="F120" i="1"/>
  <c r="G108" i="1" l="1"/>
  <c r="B254" i="1"/>
  <c r="C13" i="1" l="1"/>
  <c r="F248" i="1" l="1"/>
  <c r="F247" i="1"/>
  <c r="K247" i="1" s="1"/>
  <c r="F246" i="1"/>
  <c r="K246" i="1" s="1"/>
  <c r="F245" i="1"/>
  <c r="K245" i="1" s="1"/>
  <c r="F241" i="1"/>
  <c r="K241" i="1" s="1"/>
  <c r="F240" i="1"/>
  <c r="K240" i="1" s="1"/>
  <c r="F239" i="1"/>
  <c r="K239" i="1" s="1"/>
  <c r="F238" i="1"/>
  <c r="K238" i="1" s="1"/>
  <c r="F237" i="1"/>
  <c r="F149" i="1"/>
  <c r="K149" i="1" s="1"/>
  <c r="F148" i="1"/>
  <c r="K148" i="1" s="1"/>
  <c r="F147" i="1"/>
  <c r="K147" i="1" s="1"/>
  <c r="F146" i="1"/>
  <c r="K146" i="1" s="1"/>
  <c r="F145" i="1"/>
  <c r="K145" i="1" s="1"/>
  <c r="F138" i="1"/>
  <c r="K138" i="1" s="1"/>
  <c r="F137" i="1"/>
  <c r="K137" i="1" s="1"/>
  <c r="K237" i="1" l="1"/>
  <c r="G112" i="1"/>
  <c r="I247" i="1"/>
  <c r="J248" i="1"/>
  <c r="K248" i="1"/>
  <c r="G111" i="1"/>
  <c r="B255" i="1"/>
  <c r="G113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7" i="1"/>
  <c r="G245" i="1"/>
  <c r="G246" i="1" s="1"/>
  <c r="G247" i="1" s="1"/>
  <c r="G248" i="1" s="1"/>
  <c r="G249" i="1" s="1"/>
  <c r="G250" i="1" s="1"/>
  <c r="G251" i="1" s="1"/>
  <c r="G237" i="1"/>
  <c r="G238" i="1" s="1"/>
  <c r="G239" i="1" s="1"/>
  <c r="G240" i="1" s="1"/>
  <c r="G241" i="1" s="1"/>
  <c r="G242" i="1" s="1"/>
  <c r="G243" i="1" s="1"/>
  <c r="G145" i="1"/>
  <c r="G146" i="1" s="1"/>
  <c r="G147" i="1" s="1"/>
  <c r="G148" i="1" s="1"/>
  <c r="G149" i="1" s="1"/>
  <c r="G150" i="1" s="1"/>
  <c r="G137" i="1"/>
  <c r="G138" i="1" s="1"/>
  <c r="G139" i="1" s="1"/>
  <c r="A138" i="1"/>
  <c r="A139" i="1" s="1"/>
  <c r="A121" i="1"/>
  <c r="G120" i="1"/>
  <c r="G121" i="1" s="1"/>
  <c r="J89" i="1"/>
  <c r="J88" i="1"/>
  <c r="J87" i="1"/>
  <c r="J86" i="1"/>
  <c r="C78" i="1"/>
  <c r="J75" i="1"/>
  <c r="J74" i="1"/>
  <c r="J73" i="1"/>
  <c r="J72" i="1"/>
  <c r="C64" i="1"/>
  <c r="D52" i="1"/>
  <c r="G47" i="1"/>
  <c r="G48" i="1" s="1"/>
  <c r="C47" i="1"/>
  <c r="C48" i="1" s="1"/>
  <c r="E40" i="1"/>
  <c r="E41" i="1" s="1"/>
  <c r="E24" i="1"/>
  <c r="E22" i="1"/>
  <c r="E7" i="1"/>
  <c r="E3" i="1"/>
  <c r="H65" i="1"/>
  <c r="H79" i="1"/>
  <c r="D58" i="1" l="1"/>
  <c r="D77" i="1"/>
  <c r="D75" i="1"/>
  <c r="D74" i="1"/>
  <c r="D73" i="1"/>
  <c r="D71" i="1"/>
  <c r="J64" i="1"/>
  <c r="D76" i="1"/>
  <c r="D72" i="1"/>
  <c r="J68" i="1"/>
  <c r="J69" i="1"/>
  <c r="C68" i="1" s="1"/>
  <c r="J67" i="1"/>
  <c r="J70" i="1"/>
  <c r="J71" i="1" s="1"/>
  <c r="J76" i="1" s="1"/>
  <c r="J77" i="1" s="1"/>
  <c r="C69" i="1" s="1"/>
  <c r="J78" i="1"/>
  <c r="J82" i="1"/>
  <c r="C82" i="1" s="1"/>
  <c r="D91" i="1"/>
  <c r="D89" i="1"/>
  <c r="D87" i="1"/>
  <c r="D85" i="1"/>
  <c r="J83" i="1"/>
  <c r="J81" i="1"/>
  <c r="J84" i="1"/>
  <c r="C83" i="1" s="1"/>
  <c r="D90" i="1"/>
  <c r="D88" i="1"/>
  <c r="D86" i="1"/>
  <c r="J85" i="1" l="1"/>
  <c r="D84" i="1"/>
  <c r="J80" i="1"/>
  <c r="D82" i="1"/>
  <c r="D70" i="1"/>
  <c r="J66" i="1"/>
  <c r="E68" i="1"/>
  <c r="D69" i="1"/>
  <c r="G68" i="1"/>
  <c r="D62" i="1" s="1"/>
  <c r="D68" i="1"/>
  <c r="J65" i="1" s="1"/>
  <c r="J90" i="1" l="1"/>
  <c r="J91" i="1" s="1"/>
  <c r="G82" i="1"/>
  <c r="E82" i="1"/>
  <c r="J79" i="1"/>
  <c r="C80" i="1" s="1"/>
  <c r="I64" i="1"/>
  <c r="F63" i="1"/>
  <c r="D63" i="1"/>
  <c r="D83" i="1" l="1"/>
  <c r="I78" i="1" s="1"/>
  <c r="I79" i="1" s="1"/>
  <c r="I65" i="1"/>
  <c r="I63" i="1" s="1"/>
  <c r="C66" i="1" s="1"/>
  <c r="I77" i="1" l="1"/>
</calcChain>
</file>

<file path=xl/sharedStrings.xml><?xml version="1.0" encoding="utf-8"?>
<sst xmlns="http://schemas.openxmlformats.org/spreadsheetml/2006/main" count="442" uniqueCount="252">
  <si>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</si>
  <si>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</si>
  <si>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</si>
  <si>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</si>
  <si>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</si>
  <si>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</si>
  <si>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</si>
  <si>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</si>
  <si>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</si>
  <si>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</si>
  <si>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</si>
  <si>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</si>
  <si>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</si>
  <si>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</si>
  <si>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</si>
  <si>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</si>
  <si>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</si>
  <si>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</si>
  <si>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</si>
  <si>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</si>
  <si>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</si>
  <si>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</si>
  <si>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</si>
  <si>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</si>
  <si>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</si>
  <si>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</si>
  <si>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</si>
  <si>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</si>
  <si>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</si>
  <si>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</si>
  <si>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</si>
  <si>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</si>
  <si>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</si>
  <si>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</si>
  <si>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</si>
  <si>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</si>
  <si>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</si>
  <si>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</si>
  <si>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</si>
  <si>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</si>
  <si>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</si>
  <si>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</si>
  <si>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</si>
  <si>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</si>
  <si>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</si>
  <si>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</si>
  <si>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</si>
  <si>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</si>
  <si>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</si>
  <si>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</si>
  <si>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</si>
  <si>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</si>
  <si>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</si>
  <si>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</si>
  <si>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</si>
  <si>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</si>
  <si>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</si>
  <si>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</si>
  <si>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</si>
  <si>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</si>
  <si>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</si>
  <si>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</si>
  <si>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</si>
  <si>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</si>
  <si>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</si>
  <si>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</si>
  <si>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</si>
  <si>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</si>
  <si>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</si>
  <si>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</si>
  <si>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</si>
  <si>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</si>
  <si>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</si>
  <si>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</si>
  <si>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</si>
  <si>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</si>
  <si>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</si>
  <si>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</si>
  <si>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</si>
  <si>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</si>
  <si>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</si>
  <si>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</si>
  <si>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</si>
  <si>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</si>
  <si>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</si>
  <si>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</si>
  <si>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</si>
  <si>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</si>
  <si>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</si>
  <si>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</si>
  <si>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</si>
  <si>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</si>
  <si>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</si>
  <si>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</si>
  <si>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</si>
  <si>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</si>
  <si>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</si>
  <si>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</si>
  <si>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</si>
  <si>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</si>
  <si>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</si>
  <si>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</si>
  <si>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</si>
  <si>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</si>
  <si>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</si>
  <si>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</si>
  <si>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</si>
  <si>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</si>
  <si>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</si>
  <si>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</si>
  <si>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</si>
  <si>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</si>
  <si>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</si>
  <si>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</si>
  <si>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</si>
  <si>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</si>
  <si>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</si>
  <si>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</si>
  <si>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</si>
  <si>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</si>
  <si>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</si>
  <si>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</si>
  <si>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</si>
  <si>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</si>
  <si>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</si>
  <si>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</si>
  <si>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</si>
  <si>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</si>
  <si>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</si>
  <si>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</si>
  <si>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</si>
  <si>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</si>
  <si>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</si>
  <si>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</si>
  <si>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</si>
  <si>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</si>
  <si>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</si>
  <si>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</si>
  <si>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</si>
  <si>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</si>
  <si>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</si>
  <si>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</si>
  <si>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</si>
  <si>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</si>
  <si>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</si>
  <si>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</si>
  <si>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</si>
  <si>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</si>
  <si>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</si>
  <si>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</si>
  <si>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</si>
  <si>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</si>
  <si>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</si>
  <si>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</si>
  <si>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</si>
  <si>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</si>
  <si>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</si>
  <si>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</si>
  <si>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</si>
  <si>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</si>
  <si>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</si>
  <si>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</si>
  <si>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</si>
  <si>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</si>
  <si>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</si>
  <si>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</si>
  <si>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</si>
  <si>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</si>
  <si>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</si>
  <si>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</si>
  <si>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</si>
  <si>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</si>
  <si>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</si>
  <si>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</si>
  <si>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tower C - 137</t>
  </si>
  <si>
    <t>tower D - 185</t>
  </si>
  <si>
    <t>Stilt Floor for Parking</t>
  </si>
  <si>
    <t>1st Podium Floor for Parking</t>
  </si>
  <si>
    <t>2BHK</t>
  </si>
  <si>
    <t>2nd &amp; 4th Podium Floor for Residential &amp; Parking</t>
  </si>
  <si>
    <t xml:space="preserve">3rd Podium Floor </t>
  </si>
  <si>
    <t>5th Podium Floor (Part Refuge Area)</t>
  </si>
  <si>
    <t>Refuge Area</t>
  </si>
  <si>
    <t xml:space="preserve">6th Floor for Amenities Floor </t>
  </si>
  <si>
    <t>7th, 9th, 25th, 27th &amp; 29th Floor</t>
  </si>
  <si>
    <t>8th &amp; 18th Floor (Part Refuge Area)</t>
  </si>
  <si>
    <t>3BHK</t>
  </si>
  <si>
    <t>2.5BHK</t>
  </si>
  <si>
    <t>4 &amp; 5</t>
  </si>
  <si>
    <t>14th, 24th, 26th &amp; 30th Floor</t>
  </si>
  <si>
    <t>10th &amp; 16th Floor</t>
  </si>
  <si>
    <t>1 &amp; 2</t>
  </si>
  <si>
    <t xml:space="preserve">11th Floor </t>
  </si>
  <si>
    <t>1BHK</t>
  </si>
  <si>
    <t xml:space="preserve">12th Floor </t>
  </si>
  <si>
    <t>13th &amp; 23rd Floor (Part Refuge Area)</t>
  </si>
  <si>
    <t>15th Floor</t>
  </si>
  <si>
    <t xml:space="preserve">17th Floor </t>
  </si>
  <si>
    <t>4.5BHK</t>
  </si>
  <si>
    <t xml:space="preserve">19th &amp; 21st Floor </t>
  </si>
  <si>
    <t>20th &amp; 22nd Floor</t>
  </si>
  <si>
    <t>28th Floor (Part Refuge Area)</t>
  </si>
  <si>
    <t>Tower D</t>
  </si>
  <si>
    <t>Ground Floor for Commercial &amp; Parking</t>
  </si>
  <si>
    <t>Shop</t>
  </si>
  <si>
    <t>2nd Podium Floor for Residential &amp; Parking</t>
  </si>
  <si>
    <t>3 &amp; 4</t>
  </si>
  <si>
    <t>3rd to 5th Podium Floor for Residential &amp; Parking</t>
  </si>
  <si>
    <t>8th, 13th, 18th, 23rd &amp; 28th Floor (Part Refuge Area)</t>
  </si>
  <si>
    <t xml:space="preserve">6th Floor for Residential </t>
  </si>
  <si>
    <t>Tower C</t>
  </si>
  <si>
    <t>Flats - 316, Shops - 2</t>
  </si>
  <si>
    <t>Axis Sanpada</t>
  </si>
  <si>
    <t>M/s. Tycoons Avanti Projects LLP</t>
  </si>
  <si>
    <t>Tycoons Square Avenue III</t>
  </si>
  <si>
    <t>Tower C &amp; D</t>
  </si>
  <si>
    <t>Approved Plans, CC.</t>
  </si>
  <si>
    <t xml:space="preserve">Tower C - P51700004049
Tower D - P51700035166
</t>
  </si>
  <si>
    <t>Survey No</t>
  </si>
  <si>
    <t>22, Hissa No. (1 to 11Pt), S.No. 42A, Hissa No. 1(Pt), S.No. 42A, Hissa No. 2 (Pt).</t>
  </si>
  <si>
    <t>Chikenghar</t>
  </si>
  <si>
    <t>Kalyan</t>
  </si>
  <si>
    <t>Thane</t>
  </si>
  <si>
    <t>Kalyan west</t>
  </si>
  <si>
    <t>1.7 KM from Shahad Railway Station</t>
  </si>
  <si>
    <t>Bhiwandi - Murbad Road</t>
  </si>
  <si>
    <t>Gurumukha Co-operative Housing Society</t>
  </si>
  <si>
    <t>Gulmohar Co-operative Housing Society</t>
  </si>
  <si>
    <t>Internal road</t>
  </si>
  <si>
    <t>Kalyan-Dombivli Municipal Corporation (KDMC)</t>
  </si>
  <si>
    <t>KDMC/TPD/BP/KD/2015-16/13/63</t>
  </si>
  <si>
    <t xml:space="preserve">Tower C &amp; D = G/St + 1st to 5th Floor (Podium) + 6th Floor (Amenity) + 7th to 30th Floor.
</t>
  </si>
  <si>
    <t xml:space="preserve">Tower C = G/St + 1st to 5th Floor (Podium) + 6th Floor (Amenity) + 7th to 30th Floor.
</t>
  </si>
  <si>
    <t xml:space="preserve">Tower D = G/St + 1st to 5th Floor (Podium) + 6th Floor (Amenity) + 7th to 30th Floor.
</t>
  </si>
  <si>
    <t>We considered Gross carpet area = Net carpet + Enclose balcony + C.B Area + A.P Area.</t>
  </si>
  <si>
    <t>rate sheet</t>
  </si>
  <si>
    <t>market rate</t>
  </si>
  <si>
    <t>H</t>
  </si>
  <si>
    <t>99A</t>
  </si>
  <si>
    <t>Visitor</t>
  </si>
  <si>
    <t>Please provide 12th floor plan of Tower - D.</t>
  </si>
  <si>
    <t>7th, 9th to 11th, 14th to 17th, 19th to 22nd, 24th to 27th, 29th &amp; 30th Floor</t>
  </si>
  <si>
    <t>As per RERA - Tower C - 30/06/2025 &amp; Tower D - 31/12/2026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</si>
  <si>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</si>
  <si>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https://goo.gl/maps/J2U668QzEv19kqP88</t>
  </si>
  <si>
    <t>Tower C &amp; D = Construction work was stopped. Work is same as last visit (11/10/2023).</t>
  </si>
  <si>
    <t>On site we met Mr. Arif : 9152912004.</t>
  </si>
  <si>
    <t>Mr. Arif Khan 9152912004/021-2232006</t>
  </si>
  <si>
    <t>Shruti Tathare</t>
  </si>
  <si>
    <t>Krishna Kambali</t>
  </si>
  <si>
    <t>As checked on RERA portal on date 18/08/2025, we have observed that above project 
"Tycoons Square Avenue III " is kept under abeyance. Please check from your end.</t>
  </si>
  <si>
    <t>2 Towers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</si>
</sst>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Fill="1" applyBorder="1"/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14" fontId="12" fillId="0" borderId="7" xfId="1" applyNumberFormat="1" applyFont="1" applyFill="1" applyBorder="1" applyAlignment="1" applyProtection="1">
      <alignment horizontal="left" vertical="top" wrapText="1"/>
      <protection locked="0"/>
    </xf>
    <xf numFmtId="14" fontId="12" fillId="0" borderId="8" xfId="1" applyNumberFormat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321</xdr:row>
      <xdr:rowOff>0</xdr:rowOff>
    </xdr:from>
    <xdr:to>
      <xdr:col>7</xdr:col>
      <xdr:colOff>9231</xdr:colOff>
      <xdr:row>336</xdr:row>
      <xdr:rowOff>53376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4400" y="71942325"/>
          <a:ext cx="5106837" cy="30537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112568</xdr:colOff>
      <xdr:row>336</xdr:row>
      <xdr:rowOff>138187</xdr:rowOff>
    </xdr:from>
    <xdr:to>
      <xdr:col>6</xdr:col>
      <xdr:colOff>736858</xdr:colOff>
      <xdr:row>351</xdr:row>
      <xdr:rowOff>157058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4568" y="70683801"/>
          <a:ext cx="4737358" cy="30062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204474</xdr:colOff>
      <xdr:row>279</xdr:row>
      <xdr:rowOff>47625</xdr:rowOff>
    </xdr:from>
    <xdr:ext cx="294055" cy="342786"/>
    <xdr:sp macro="" textlink="">
      <xdr:nvSpPr>
        <xdr:cNvPr id="20" name="TextBox 19"/>
        <xdr:cNvSpPr txBox="1"/>
      </xdr:nvSpPr>
      <xdr:spPr>
        <a:xfrm>
          <a:off x="7853049" y="58731150"/>
          <a:ext cx="294055" cy="34278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C</a:t>
          </a:r>
        </a:p>
      </xdr:txBody>
    </xdr:sp>
    <xdr:clientData/>
  </xdr:oneCellAnchor>
  <xdr:oneCellAnchor>
    <xdr:from>
      <xdr:col>10</xdr:col>
      <xdr:colOff>415925</xdr:colOff>
      <xdr:row>279</xdr:row>
      <xdr:rowOff>86710</xdr:rowOff>
    </xdr:from>
    <xdr:ext cx="313997" cy="342786"/>
    <xdr:sp macro="" textlink="">
      <xdr:nvSpPr>
        <xdr:cNvPr id="21" name="TextBox 20"/>
        <xdr:cNvSpPr txBox="1"/>
      </xdr:nvSpPr>
      <xdr:spPr>
        <a:xfrm>
          <a:off x="8826500" y="58770235"/>
          <a:ext cx="313997" cy="34278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D</a:t>
          </a:r>
        </a:p>
      </xdr:txBody>
    </xdr:sp>
    <xdr:clientData/>
  </xdr:oneCellAnchor>
  <xdr:twoCellAnchor>
    <xdr:from>
      <xdr:col>0</xdr:col>
      <xdr:colOff>142875</xdr:colOff>
      <xdr:row>277</xdr:row>
      <xdr:rowOff>19050</xdr:rowOff>
    </xdr:from>
    <xdr:to>
      <xdr:col>7</xdr:col>
      <xdr:colOff>742461</xdr:colOff>
      <xdr:row>317</xdr:row>
      <xdr:rowOff>164512</xdr:rowOff>
    </xdr:to>
    <xdr:grpSp>
      <xdr:nvGrpSpPr>
        <xdr:cNvPr id="6" name="Group 5"/>
        <xdr:cNvGrpSpPr/>
      </xdr:nvGrpSpPr>
      <xdr:grpSpPr>
        <a:xfrm>
          <a:off x="142875" y="58502550"/>
          <a:ext cx="6257436" cy="8136937"/>
          <a:chOff x="142875" y="58083450"/>
          <a:chExt cx="6257436" cy="8136937"/>
        </a:xfrm>
      </xdr:grpSpPr>
      <xdr:grpSp>
        <xdr:nvGrpSpPr>
          <xdr:cNvPr id="4" name="Group 3"/>
          <xdr:cNvGrpSpPr/>
        </xdr:nvGrpSpPr>
        <xdr:grpSpPr>
          <a:xfrm>
            <a:off x="142875" y="58131075"/>
            <a:ext cx="6257436" cy="8089312"/>
            <a:chOff x="142875" y="58131075"/>
            <a:chExt cx="6257436" cy="8089312"/>
          </a:xfrm>
        </xdr:grpSpPr>
        <xdr:pic>
          <xdr:nvPicPr>
            <xdr:cNvPr id="19" name="Picture 18" descr="https://vsjcllp.vsjadon.com/upload/insp-243301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71850" y="64060387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43301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5858" y="61188600"/>
              <a:ext cx="2083803" cy="27813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 descr="https://vsjcllp.vsjadon.com/upload/insp-243301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47924" y="58135837"/>
              <a:ext cx="3952387" cy="296703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 descr="https://vsjcllp.vsjadon.com/upload/insp-243301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71750" y="61193362"/>
              <a:ext cx="3698622" cy="277653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43301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9575" y="64060387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43301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2875" y="58131075"/>
              <a:ext cx="2232635" cy="29799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" name="TextBox 4"/>
          <xdr:cNvSpPr txBox="1"/>
        </xdr:nvSpPr>
        <xdr:spPr>
          <a:xfrm>
            <a:off x="152400" y="58083450"/>
            <a:ext cx="65722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</a:t>
            </a:r>
            <a:r>
              <a:rPr lang="en-IN" sz="1200" b="1" baseline="0"/>
              <a:t> C</a:t>
            </a:r>
            <a:endParaRPr lang="en-IN" sz="1200" b="1"/>
          </a:p>
        </xdr:txBody>
      </xdr:sp>
      <xdr:sp macro="" textlink="">
        <xdr:nvSpPr>
          <xdr:cNvPr id="34" name="TextBox 33"/>
          <xdr:cNvSpPr txBox="1"/>
        </xdr:nvSpPr>
        <xdr:spPr>
          <a:xfrm>
            <a:off x="5734050" y="58140600"/>
            <a:ext cx="65722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</a:t>
            </a:r>
            <a:r>
              <a:rPr lang="en-IN" sz="1200" b="1" baseline="0"/>
              <a:t> D</a:t>
            </a:r>
            <a:endParaRPr lang="en-IN" sz="1200" b="1"/>
          </a:p>
        </xdr:txBody>
      </xdr:sp>
    </xdr:grpSp>
    <xdr:clientData/>
  </xdr:twoCellAnchor>
  <xdr:twoCellAnchor editAs="oneCell">
    <xdr:from>
      <xdr:col>8</xdr:col>
      <xdr:colOff>409574</xdr:colOff>
      <xdr:row>241</xdr:row>
      <xdr:rowOff>1479</xdr:rowOff>
    </xdr:from>
    <xdr:to>
      <xdr:col>17</xdr:col>
      <xdr:colOff>36849</xdr:colOff>
      <xdr:row>257</xdr:row>
      <xdr:rowOff>94630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96099" y="50579229"/>
          <a:ext cx="6637675" cy="3293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88940</xdr:rowOff>
    </xdr:from>
    <xdr:to>
      <xdr:col>2</xdr:col>
      <xdr:colOff>2362699</xdr:colOff>
      <xdr:row>51</xdr:row>
      <xdr:rowOff>153440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72014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239284</xdr:colOff>
      <xdr:row>40</xdr:row>
      <xdr:rowOff>88940</xdr:rowOff>
    </xdr:from>
    <xdr:to>
      <xdr:col>7</xdr:col>
      <xdr:colOff>293570</xdr:colOff>
      <xdr:row>51</xdr:row>
      <xdr:rowOff>153440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6460" y="772014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27</xdr:row>
      <xdr:rowOff>139720</xdr:rowOff>
    </xdr:from>
    <xdr:to>
      <xdr:col>2</xdr:col>
      <xdr:colOff>2362699</xdr:colOff>
      <xdr:row>39</xdr:row>
      <xdr:rowOff>13720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29442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239284</xdr:colOff>
      <xdr:row>27</xdr:row>
      <xdr:rowOff>139720</xdr:rowOff>
    </xdr:from>
    <xdr:to>
      <xdr:col>7</xdr:col>
      <xdr:colOff>293570</xdr:colOff>
      <xdr:row>39</xdr:row>
      <xdr:rowOff>13720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6460" y="529442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15</xdr:row>
      <xdr:rowOff>0</xdr:rowOff>
    </xdr:from>
    <xdr:to>
      <xdr:col>2</xdr:col>
      <xdr:colOff>2362700</xdr:colOff>
      <xdr:row>26</xdr:row>
      <xdr:rowOff>64500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868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239285</xdr:colOff>
      <xdr:row>15</xdr:row>
      <xdr:rowOff>0</xdr:rowOff>
    </xdr:from>
    <xdr:to>
      <xdr:col>7</xdr:col>
      <xdr:colOff>293571</xdr:colOff>
      <xdr:row>26</xdr:row>
      <xdr:rowOff>64500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6461" y="2868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2U668QzEv19kqP8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20"/>
  <sheetViews>
    <sheetView tabSelected="1" view="pageBreakPreview" topLeftCell="A270" zoomScaleNormal="100" zoomScaleSheetLayoutView="100" workbookViewId="0">
      <selection activeCell="M283" sqref="M283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5" width="11.140625" style="40" customWidth="1"/>
    <col min="6" max="7" width="11.7109375" style="40" customWidth="1"/>
    <col min="8" max="8" width="12.42578125" style="40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59" t="s">
        <v>243</v>
      </c>
      <c r="B1" s="159"/>
      <c r="C1" s="159"/>
      <c r="D1" s="159"/>
      <c r="E1" s="159"/>
      <c r="F1" s="159"/>
      <c r="G1" s="159"/>
      <c r="H1" s="159"/>
    </row>
    <row r="2" spans="1:8" ht="16.5" customHeight="1" x14ac:dyDescent="0.25">
      <c r="A2" s="89" t="s">
        <v>0</v>
      </c>
      <c r="B2" s="89"/>
      <c r="C2" s="89"/>
      <c r="D2" s="89"/>
      <c r="E2" s="89"/>
      <c r="F2" s="89"/>
      <c r="G2" s="89"/>
      <c r="H2" s="89"/>
    </row>
    <row r="3" spans="1:8" x14ac:dyDescent="0.25">
      <c r="A3" s="135" t="s">
        <v>1</v>
      </c>
      <c r="B3" s="135"/>
      <c r="C3" s="135"/>
      <c r="D3" s="135"/>
      <c r="E3" s="135" t="str">
        <f ca="1">TEXT(TODAY(),"DD/MM/YYYY")</f>
        <v>18/08/2025</v>
      </c>
      <c r="F3" s="135"/>
      <c r="G3" s="135"/>
      <c r="H3" s="135"/>
    </row>
    <row r="4" spans="1:8" ht="15" customHeight="1" x14ac:dyDescent="0.25">
      <c r="A4" s="135" t="s">
        <v>2</v>
      </c>
      <c r="B4" s="135"/>
      <c r="C4" s="135"/>
      <c r="D4" s="135"/>
      <c r="E4" s="135" t="s">
        <v>212</v>
      </c>
      <c r="F4" s="135"/>
      <c r="G4" s="135"/>
      <c r="H4" s="135"/>
    </row>
    <row r="5" spans="1:8" x14ac:dyDescent="0.25">
      <c r="A5" s="135" t="s">
        <v>3</v>
      </c>
      <c r="B5" s="135"/>
      <c r="C5" s="135"/>
      <c r="D5" s="135"/>
      <c r="E5" s="158">
        <v>45881</v>
      </c>
      <c r="F5" s="135"/>
      <c r="G5" s="135"/>
      <c r="H5" s="135"/>
    </row>
    <row r="6" spans="1:8" ht="16.5" customHeight="1" x14ac:dyDescent="0.25">
      <c r="A6" s="135" t="s">
        <v>4</v>
      </c>
      <c r="B6" s="135"/>
      <c r="C6" s="135"/>
      <c r="D6" s="135"/>
      <c r="E6" s="135" t="s">
        <v>213</v>
      </c>
      <c r="F6" s="135"/>
      <c r="G6" s="135"/>
      <c r="H6" s="135"/>
    </row>
    <row r="7" spans="1:8" ht="15" customHeight="1" x14ac:dyDescent="0.25">
      <c r="A7" s="135" t="s">
        <v>5</v>
      </c>
      <c r="B7" s="135"/>
      <c r="C7" s="135"/>
      <c r="D7" s="135"/>
      <c r="E7" s="135" t="str">
        <f>E6</f>
        <v>M/s. Tycoons Avanti Projects LLP</v>
      </c>
      <c r="F7" s="135"/>
      <c r="G7" s="135"/>
      <c r="H7" s="135"/>
    </row>
    <row r="8" spans="1:8" x14ac:dyDescent="0.25">
      <c r="A8" s="135" t="s">
        <v>6</v>
      </c>
      <c r="B8" s="135"/>
      <c r="C8" s="135"/>
      <c r="D8" s="135"/>
      <c r="E8" s="118" t="s">
        <v>214</v>
      </c>
      <c r="F8" s="118"/>
      <c r="G8" s="118"/>
      <c r="H8" s="118"/>
    </row>
    <row r="9" spans="1:8" x14ac:dyDescent="0.25">
      <c r="A9" s="135" t="s">
        <v>129</v>
      </c>
      <c r="B9" s="135"/>
      <c r="C9" s="135"/>
      <c r="D9" s="135"/>
      <c r="E9" s="135" t="s">
        <v>247</v>
      </c>
      <c r="F9" s="135"/>
      <c r="G9" s="135"/>
      <c r="H9" s="135"/>
    </row>
    <row r="10" spans="1:8" x14ac:dyDescent="0.25">
      <c r="A10" s="135" t="s">
        <v>7</v>
      </c>
      <c r="B10" s="135"/>
      <c r="C10" s="135"/>
      <c r="D10" s="135"/>
      <c r="E10" s="135" t="s">
        <v>215</v>
      </c>
      <c r="F10" s="135"/>
      <c r="G10" s="135"/>
      <c r="H10" s="135"/>
    </row>
    <row r="11" spans="1:8" x14ac:dyDescent="0.25">
      <c r="A11" s="96" t="s">
        <v>8</v>
      </c>
      <c r="B11" s="96"/>
      <c r="C11" s="96"/>
      <c r="D11" s="96"/>
      <c r="E11" s="129" t="s">
        <v>216</v>
      </c>
      <c r="F11" s="129"/>
      <c r="G11" s="129"/>
      <c r="H11" s="129"/>
    </row>
    <row r="12" spans="1:8" ht="31.5" customHeight="1" x14ac:dyDescent="0.25">
      <c r="A12" s="96" t="s">
        <v>9</v>
      </c>
      <c r="B12" s="96"/>
      <c r="C12" s="96"/>
      <c r="D12" s="96"/>
      <c r="E12" s="129" t="s">
        <v>217</v>
      </c>
      <c r="F12" s="135"/>
      <c r="G12" s="135"/>
      <c r="H12" s="135"/>
    </row>
    <row r="13" spans="1:8" ht="63" customHeight="1" x14ac:dyDescent="0.25">
      <c r="A13" s="156" t="s">
        <v>10</v>
      </c>
      <c r="B13" s="156"/>
      <c r="C13" s="15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Tycoons Square Avenue III, Survey No.22, Hissa No. (1 to 11Pt), S.No. 42A, Hissa No. 1(Pt), S.No. 42A, Hissa No. 2 (Pt)., near Gurumukha Co-operative Housing Society, Bhiwandi - Murbad Road, Chikenghar, Kalyan west, Kalyan, Thane - 421301.</v>
      </c>
      <c r="D13" s="156"/>
      <c r="E13" s="156"/>
      <c r="F13" s="156"/>
      <c r="G13" s="156"/>
      <c r="H13" s="156"/>
    </row>
    <row r="14" spans="1:8" x14ac:dyDescent="0.25">
      <c r="A14" s="129" t="s">
        <v>218</v>
      </c>
      <c r="B14" s="129"/>
      <c r="C14" s="129" t="s">
        <v>219</v>
      </c>
      <c r="D14" s="129"/>
      <c r="E14" s="129"/>
      <c r="F14" s="129"/>
      <c r="G14" s="129"/>
      <c r="H14" s="129"/>
    </row>
    <row r="15" spans="1:8" ht="15.75" customHeight="1" x14ac:dyDescent="0.25">
      <c r="A15" s="156" t="s">
        <v>11</v>
      </c>
      <c r="B15" s="156"/>
      <c r="C15" s="135" t="s">
        <v>225</v>
      </c>
      <c r="D15" s="135"/>
      <c r="E15" s="156" t="s">
        <v>77</v>
      </c>
      <c r="F15" s="156"/>
      <c r="G15" s="129" t="s">
        <v>220</v>
      </c>
      <c r="H15" s="129"/>
    </row>
    <row r="16" spans="1:8" x14ac:dyDescent="0.25">
      <c r="A16" s="96" t="s">
        <v>13</v>
      </c>
      <c r="B16" s="96"/>
      <c r="C16" s="129" t="s">
        <v>223</v>
      </c>
      <c r="D16" s="129"/>
      <c r="E16" s="156" t="s">
        <v>12</v>
      </c>
      <c r="F16" s="156"/>
      <c r="G16" s="157" t="s">
        <v>222</v>
      </c>
      <c r="H16" s="157"/>
    </row>
    <row r="17" spans="1:9" x14ac:dyDescent="0.25">
      <c r="A17" s="96" t="s">
        <v>78</v>
      </c>
      <c r="B17" s="96"/>
      <c r="C17" s="129" t="s">
        <v>221</v>
      </c>
      <c r="D17" s="129"/>
      <c r="E17" s="156" t="s">
        <v>14</v>
      </c>
      <c r="F17" s="156"/>
      <c r="G17" s="129">
        <v>421301</v>
      </c>
      <c r="H17" s="129"/>
    </row>
    <row r="18" spans="1:9" ht="32.25" customHeight="1" x14ac:dyDescent="0.25">
      <c r="A18" s="96" t="s">
        <v>130</v>
      </c>
      <c r="B18" s="96"/>
      <c r="C18" s="129" t="s">
        <v>226</v>
      </c>
      <c r="D18" s="129"/>
      <c r="E18" s="156" t="s">
        <v>15</v>
      </c>
      <c r="F18" s="156"/>
      <c r="G18" s="129" t="s">
        <v>224</v>
      </c>
      <c r="H18" s="129"/>
    </row>
    <row r="19" spans="1:9" ht="15" customHeight="1" x14ac:dyDescent="0.25">
      <c r="A19" s="156" t="s">
        <v>81</v>
      </c>
      <c r="B19" s="156"/>
      <c r="C19" s="156"/>
      <c r="D19" s="156"/>
      <c r="E19" s="135" t="s">
        <v>16</v>
      </c>
      <c r="F19" s="135"/>
      <c r="G19" s="135"/>
      <c r="H19" s="135"/>
    </row>
    <row r="20" spans="1:9" ht="18.75" customHeight="1" x14ac:dyDescent="0.25">
      <c r="A20" s="156"/>
      <c r="B20" s="156"/>
      <c r="C20" s="156"/>
      <c r="D20" s="156"/>
      <c r="E20" s="135"/>
      <c r="F20" s="135"/>
      <c r="G20" s="135"/>
      <c r="H20" s="135"/>
    </row>
    <row r="21" spans="1:9" ht="15" customHeight="1" x14ac:dyDescent="0.25">
      <c r="A21" s="156" t="s">
        <v>17</v>
      </c>
      <c r="B21" s="156"/>
      <c r="C21" s="156"/>
      <c r="D21" s="156"/>
      <c r="E21" s="129" t="s">
        <v>18</v>
      </c>
      <c r="F21" s="129"/>
      <c r="G21" s="129"/>
      <c r="H21" s="129"/>
    </row>
    <row r="22" spans="1:9" ht="15" customHeight="1" x14ac:dyDescent="0.25">
      <c r="A22" s="96" t="s">
        <v>19</v>
      </c>
      <c r="B22" s="96"/>
      <c r="C22" s="96"/>
      <c r="D22" s="96"/>
      <c r="E22" s="129" t="str">
        <f>IF(AND(G16="Mumbai"),"Upper Class","Middle Class")</f>
        <v>Middle Class</v>
      </c>
      <c r="F22" s="129"/>
      <c r="G22" s="129"/>
      <c r="H22" s="129"/>
    </row>
    <row r="23" spans="1:9" x14ac:dyDescent="0.25">
      <c r="A23" s="96" t="s">
        <v>20</v>
      </c>
      <c r="B23" s="96"/>
      <c r="C23" s="96"/>
      <c r="D23" s="96"/>
      <c r="E23" s="129" t="s">
        <v>21</v>
      </c>
      <c r="F23" s="129"/>
      <c r="G23" s="129"/>
      <c r="H23" s="129"/>
    </row>
    <row r="24" spans="1:9" ht="15.75" customHeight="1" x14ac:dyDescent="0.25">
      <c r="A24" s="96" t="s">
        <v>22</v>
      </c>
      <c r="B24" s="96"/>
      <c r="C24" s="96"/>
      <c r="D24" s="96"/>
      <c r="E24" s="129" t="str">
        <f>IF(AND(G16="Mumbai"),"Developed","Developing")</f>
        <v>Developing</v>
      </c>
      <c r="F24" s="129"/>
      <c r="G24" s="129"/>
      <c r="H24" s="129"/>
    </row>
    <row r="25" spans="1:9" x14ac:dyDescent="0.25">
      <c r="A25" s="96" t="s">
        <v>23</v>
      </c>
      <c r="B25" s="96"/>
      <c r="C25" s="96"/>
      <c r="D25" s="96"/>
      <c r="E25" s="129" t="s">
        <v>24</v>
      </c>
      <c r="F25" s="129"/>
      <c r="G25" s="129"/>
      <c r="H25" s="129"/>
    </row>
    <row r="26" spans="1:9" ht="15.75" customHeight="1" x14ac:dyDescent="0.25">
      <c r="A26" s="96" t="s">
        <v>86</v>
      </c>
      <c r="B26" s="96"/>
      <c r="C26" s="96"/>
      <c r="D26" s="96"/>
      <c r="E26" s="129" t="s">
        <v>87</v>
      </c>
      <c r="F26" s="129"/>
      <c r="G26" s="129"/>
      <c r="H26" s="129"/>
    </row>
    <row r="27" spans="1:9" ht="15" customHeight="1" x14ac:dyDescent="0.25">
      <c r="A27" s="96" t="s">
        <v>35</v>
      </c>
      <c r="B27" s="96"/>
      <c r="C27" s="96"/>
      <c r="D27" s="96"/>
      <c r="E27" s="129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 + Commercial</v>
      </c>
      <c r="F27" s="129"/>
      <c r="G27" s="129"/>
      <c r="H27" s="129"/>
    </row>
    <row r="28" spans="1:9" ht="15.75" customHeight="1" x14ac:dyDescent="0.25">
      <c r="A28" s="96" t="s">
        <v>98</v>
      </c>
      <c r="B28" s="96"/>
      <c r="C28" s="96"/>
      <c r="D28" s="96"/>
      <c r="E28" s="129" t="s">
        <v>36</v>
      </c>
      <c r="F28" s="129"/>
      <c r="G28" s="129"/>
      <c r="H28" s="129"/>
    </row>
    <row r="29" spans="1:9" s="21" customFormat="1" x14ac:dyDescent="0.25">
      <c r="A29" s="155" t="s">
        <v>99</v>
      </c>
      <c r="B29" s="155"/>
      <c r="C29" s="153" t="s">
        <v>29</v>
      </c>
      <c r="D29" s="153"/>
      <c r="E29" s="153"/>
      <c r="F29" s="153" t="s">
        <v>31</v>
      </c>
      <c r="G29" s="153"/>
      <c r="H29" s="153"/>
    </row>
    <row r="30" spans="1:9" s="21" customFormat="1" x14ac:dyDescent="0.25">
      <c r="A30" s="154" t="s">
        <v>25</v>
      </c>
      <c r="B30" s="154" t="s">
        <v>30</v>
      </c>
      <c r="C30" s="154" t="s">
        <v>30</v>
      </c>
      <c r="D30" s="154"/>
      <c r="E30" s="154"/>
      <c r="F30" s="139" t="s">
        <v>227</v>
      </c>
      <c r="G30" s="139"/>
      <c r="H30" s="139"/>
    </row>
    <row r="31" spans="1:9" ht="31.5" customHeight="1" x14ac:dyDescent="0.25">
      <c r="A31" s="154" t="s">
        <v>26</v>
      </c>
      <c r="B31" s="154" t="s">
        <v>30</v>
      </c>
      <c r="C31" s="154" t="s">
        <v>30</v>
      </c>
      <c r="D31" s="154"/>
      <c r="E31" s="154"/>
      <c r="F31" s="139" t="s">
        <v>226</v>
      </c>
      <c r="G31" s="139"/>
      <c r="H31" s="139"/>
      <c r="I31" s="21"/>
    </row>
    <row r="32" spans="1:9" s="21" customFormat="1" x14ac:dyDescent="0.25">
      <c r="A32" s="136" t="s">
        <v>28</v>
      </c>
      <c r="B32" s="136" t="s">
        <v>30</v>
      </c>
      <c r="C32" s="137" t="s">
        <v>30</v>
      </c>
      <c r="D32" s="137"/>
      <c r="E32" s="137"/>
      <c r="F32" s="137" t="s">
        <v>225</v>
      </c>
      <c r="G32" s="137"/>
      <c r="H32" s="137"/>
      <c r="I32" s="20"/>
    </row>
    <row r="33" spans="1:11" x14ac:dyDescent="0.25">
      <c r="A33" s="136" t="s">
        <v>27</v>
      </c>
      <c r="B33" s="136" t="s">
        <v>30</v>
      </c>
      <c r="C33" s="137" t="s">
        <v>30</v>
      </c>
      <c r="D33" s="137"/>
      <c r="E33" s="137"/>
      <c r="F33" s="137" t="s">
        <v>228</v>
      </c>
      <c r="G33" s="137"/>
      <c r="H33" s="137"/>
    </row>
    <row r="34" spans="1:11" x14ac:dyDescent="0.25">
      <c r="A34" s="96" t="s">
        <v>32</v>
      </c>
      <c r="B34" s="96"/>
      <c r="C34" s="96"/>
      <c r="D34" s="96"/>
      <c r="E34" s="96"/>
      <c r="F34" s="96"/>
      <c r="G34" s="96"/>
      <c r="H34" s="96"/>
    </row>
    <row r="35" spans="1:11" ht="15.75" customHeight="1" x14ac:dyDescent="0.25">
      <c r="A35" s="89" t="s">
        <v>33</v>
      </c>
      <c r="B35" s="89"/>
      <c r="C35" s="141">
        <v>19.247509999999998</v>
      </c>
      <c r="D35" s="141"/>
      <c r="E35" s="89" t="s">
        <v>34</v>
      </c>
      <c r="F35" s="89"/>
      <c r="G35" s="142">
        <v>73.144295999999997</v>
      </c>
      <c r="H35" s="142"/>
    </row>
    <row r="36" spans="1:11" x14ac:dyDescent="0.25">
      <c r="A36" s="89" t="s">
        <v>173</v>
      </c>
      <c r="B36" s="89"/>
      <c r="C36" s="143" t="s">
        <v>244</v>
      </c>
      <c r="D36" s="129"/>
      <c r="E36" s="129"/>
      <c r="F36" s="129"/>
      <c r="G36" s="129"/>
      <c r="H36" s="129"/>
    </row>
    <row r="37" spans="1:11" x14ac:dyDescent="0.25">
      <c r="A37" s="140" t="s">
        <v>37</v>
      </c>
      <c r="B37" s="140"/>
      <c r="C37" s="140"/>
      <c r="D37" s="140"/>
      <c r="E37" s="140"/>
      <c r="F37" s="140"/>
      <c r="G37" s="140"/>
      <c r="H37" s="140"/>
    </row>
    <row r="38" spans="1:11" x14ac:dyDescent="0.25">
      <c r="A38" s="96" t="s">
        <v>38</v>
      </c>
      <c r="B38" s="96"/>
      <c r="C38" s="96"/>
      <c r="D38" s="96"/>
      <c r="E38" s="138">
        <v>9056.84</v>
      </c>
      <c r="F38" s="138"/>
      <c r="G38" s="138"/>
      <c r="H38" s="138"/>
      <c r="I38" s="20">
        <v>9056.84</v>
      </c>
    </row>
    <row r="39" spans="1:11" x14ac:dyDescent="0.25">
      <c r="A39" s="96" t="s">
        <v>39</v>
      </c>
      <c r="B39" s="96"/>
      <c r="C39" s="96"/>
      <c r="D39" s="96"/>
      <c r="E39" s="133">
        <v>1.1000000000000001</v>
      </c>
      <c r="F39" s="133"/>
      <c r="G39" s="133"/>
      <c r="H39" s="133"/>
      <c r="J39" s="20">
        <v>30546.99</v>
      </c>
      <c r="K39" s="20">
        <f>J39/I38</f>
        <v>3.3728088384027983</v>
      </c>
    </row>
    <row r="40" spans="1:11" x14ac:dyDescent="0.25">
      <c r="A40" s="96" t="s">
        <v>40</v>
      </c>
      <c r="B40" s="96"/>
      <c r="C40" s="96"/>
      <c r="D40" s="96"/>
      <c r="E40" s="133">
        <f>E42/E38-E39</f>
        <v>2.2729192521895056</v>
      </c>
      <c r="F40" s="133"/>
      <c r="G40" s="133"/>
      <c r="H40" s="133"/>
      <c r="K40" s="20">
        <v>1.1000000000000001</v>
      </c>
    </row>
    <row r="41" spans="1:11" x14ac:dyDescent="0.25">
      <c r="A41" s="96" t="s">
        <v>41</v>
      </c>
      <c r="B41" s="96"/>
      <c r="C41" s="96"/>
      <c r="D41" s="96"/>
      <c r="E41" s="133">
        <f>E39+E40</f>
        <v>3.3729192521895057</v>
      </c>
      <c r="F41" s="133"/>
      <c r="G41" s="133"/>
      <c r="H41" s="133"/>
      <c r="K41" s="20">
        <f>K39-K40</f>
        <v>2.2728088384027982</v>
      </c>
    </row>
    <row r="42" spans="1:11" x14ac:dyDescent="0.25">
      <c r="A42" s="96" t="s">
        <v>97</v>
      </c>
      <c r="B42" s="96"/>
      <c r="C42" s="96"/>
      <c r="D42" s="96"/>
      <c r="E42" s="134">
        <v>30547.99</v>
      </c>
      <c r="F42" s="134"/>
      <c r="G42" s="134"/>
      <c r="H42" s="134"/>
    </row>
    <row r="43" spans="1:11" x14ac:dyDescent="0.25">
      <c r="A43" s="135" t="s">
        <v>42</v>
      </c>
      <c r="B43" s="135"/>
      <c r="C43" s="135"/>
      <c r="D43" s="135"/>
      <c r="E43" s="135" t="s">
        <v>251</v>
      </c>
      <c r="F43" s="135"/>
      <c r="G43" s="135"/>
      <c r="H43" s="135"/>
    </row>
    <row r="44" spans="1:11" x14ac:dyDescent="0.25">
      <c r="A44" s="118" t="s">
        <v>43</v>
      </c>
      <c r="B44" s="118"/>
      <c r="C44" s="118"/>
      <c r="D44" s="118"/>
      <c r="E44" s="118"/>
      <c r="F44" s="118"/>
      <c r="G44" s="118"/>
      <c r="H44" s="118"/>
    </row>
    <row r="45" spans="1:11" ht="33.75" customHeight="1" x14ac:dyDescent="0.25">
      <c r="A45" s="105" t="s">
        <v>160</v>
      </c>
      <c r="B45" s="106"/>
      <c r="C45" s="107" t="s">
        <v>229</v>
      </c>
      <c r="D45" s="108"/>
      <c r="E45" s="108"/>
      <c r="F45" s="108"/>
      <c r="G45" s="108"/>
      <c r="H45" s="109"/>
    </row>
    <row r="46" spans="1:11" ht="15.75" customHeight="1" x14ac:dyDescent="0.25">
      <c r="A46" s="105" t="s">
        <v>44</v>
      </c>
      <c r="B46" s="106"/>
      <c r="C46" s="105" t="s">
        <v>230</v>
      </c>
      <c r="D46" s="163"/>
      <c r="E46" s="106"/>
      <c r="F46" s="56" t="s">
        <v>45</v>
      </c>
      <c r="G46" s="149">
        <v>44680</v>
      </c>
      <c r="H46" s="106"/>
    </row>
    <row r="47" spans="1:11" x14ac:dyDescent="0.25">
      <c r="A47" s="105" t="s">
        <v>46</v>
      </c>
      <c r="B47" s="106"/>
      <c r="C47" s="105" t="str">
        <f>C46</f>
        <v>KDMC/TPD/BP/KD/2015-16/13/63</v>
      </c>
      <c r="D47" s="163"/>
      <c r="E47" s="106"/>
      <c r="F47" s="56" t="s">
        <v>45</v>
      </c>
      <c r="G47" s="149">
        <f>G46</f>
        <v>44680</v>
      </c>
      <c r="H47" s="150"/>
      <c r="I47" s="22"/>
    </row>
    <row r="48" spans="1:11" s="22" customFormat="1" ht="15.75" customHeight="1" x14ac:dyDescent="0.25">
      <c r="A48" s="146" t="s">
        <v>164</v>
      </c>
      <c r="B48" s="148"/>
      <c r="C48" s="105" t="str">
        <f>C47</f>
        <v>KDMC/TPD/BP/KD/2015-16/13/63</v>
      </c>
      <c r="D48" s="163"/>
      <c r="E48" s="106"/>
      <c r="F48" s="56" t="s">
        <v>45</v>
      </c>
      <c r="G48" s="149">
        <f>G47</f>
        <v>44680</v>
      </c>
      <c r="H48" s="150"/>
    </row>
    <row r="49" spans="1:14" s="22" customFormat="1" ht="33.75" customHeight="1" x14ac:dyDescent="0.25">
      <c r="A49" s="151"/>
      <c r="B49" s="152"/>
      <c r="C49" s="105" t="s">
        <v>231</v>
      </c>
      <c r="D49" s="163"/>
      <c r="E49" s="163"/>
      <c r="F49" s="163"/>
      <c r="G49" s="163"/>
      <c r="H49" s="106"/>
      <c r="I49" s="20"/>
    </row>
    <row r="50" spans="1:14" x14ac:dyDescent="0.25">
      <c r="A50" s="164" t="s">
        <v>47</v>
      </c>
      <c r="B50" s="165"/>
      <c r="C50" s="164" t="s">
        <v>111</v>
      </c>
      <c r="D50" s="166"/>
      <c r="E50" s="165"/>
      <c r="F50" s="57" t="s">
        <v>45</v>
      </c>
      <c r="G50" s="107" t="s">
        <v>30</v>
      </c>
      <c r="H50" s="109"/>
    </row>
    <row r="51" spans="1:14" x14ac:dyDescent="0.25">
      <c r="A51" s="167" t="s">
        <v>49</v>
      </c>
      <c r="B51" s="167"/>
      <c r="C51" s="167"/>
      <c r="D51" s="167"/>
      <c r="E51" s="167"/>
      <c r="F51" s="167"/>
      <c r="G51" s="167"/>
      <c r="H51" s="167"/>
    </row>
    <row r="52" spans="1:14" x14ac:dyDescent="0.25">
      <c r="A52" s="156" t="s">
        <v>96</v>
      </c>
      <c r="B52" s="156"/>
      <c r="C52" s="156"/>
      <c r="D52" s="135">
        <f>E42</f>
        <v>30547.99</v>
      </c>
      <c r="E52" s="135"/>
      <c r="F52" s="135"/>
      <c r="G52" s="135"/>
      <c r="H52" s="135"/>
      <c r="I52" s="23"/>
    </row>
    <row r="53" spans="1:14" x14ac:dyDescent="0.25">
      <c r="A53" s="129" t="s">
        <v>50</v>
      </c>
      <c r="B53" s="135"/>
      <c r="C53" s="135"/>
      <c r="D53" s="135" t="s">
        <v>211</v>
      </c>
      <c r="E53" s="135"/>
      <c r="F53" s="135"/>
      <c r="G53" s="135"/>
      <c r="H53" s="135"/>
      <c r="I53" s="24"/>
    </row>
    <row r="54" spans="1:14" ht="33.75" customHeight="1" x14ac:dyDescent="0.25">
      <c r="A54" s="146" t="s">
        <v>51</v>
      </c>
      <c r="B54" s="147"/>
      <c r="C54" s="148"/>
      <c r="D54" s="144" t="s">
        <v>231</v>
      </c>
      <c r="E54" s="145"/>
      <c r="F54" s="145"/>
      <c r="G54" s="145"/>
      <c r="H54" s="145"/>
      <c r="I54" s="24"/>
    </row>
    <row r="55" spans="1:14" ht="31.5" customHeight="1" x14ac:dyDescent="0.25">
      <c r="A55" s="129" t="s">
        <v>94</v>
      </c>
      <c r="B55" s="129"/>
      <c r="C55" s="129"/>
      <c r="D55" s="129" t="s">
        <v>232</v>
      </c>
      <c r="E55" s="135"/>
      <c r="F55" s="135"/>
      <c r="G55" s="135"/>
      <c r="H55" s="135"/>
      <c r="I55" s="24"/>
    </row>
    <row r="56" spans="1:14" ht="33" customHeight="1" x14ac:dyDescent="0.25">
      <c r="A56" s="129"/>
      <c r="B56" s="129"/>
      <c r="C56" s="129"/>
      <c r="D56" s="129" t="s">
        <v>233</v>
      </c>
      <c r="E56" s="135"/>
      <c r="F56" s="135"/>
      <c r="G56" s="135"/>
      <c r="H56" s="135"/>
    </row>
    <row r="57" spans="1:14" x14ac:dyDescent="0.25">
      <c r="A57" s="96" t="s">
        <v>48</v>
      </c>
      <c r="B57" s="96"/>
      <c r="C57" s="96"/>
      <c r="D57" s="129" t="s">
        <v>242</v>
      </c>
      <c r="E57" s="129"/>
      <c r="F57" s="129"/>
      <c r="G57" s="129"/>
      <c r="H57" s="129"/>
      <c r="J57" s="25"/>
      <c r="K57" s="23"/>
      <c r="N57" s="23"/>
    </row>
    <row r="58" spans="1:14" ht="15.75" customHeight="1" x14ac:dyDescent="0.25">
      <c r="A58" s="96" t="s">
        <v>92</v>
      </c>
      <c r="B58" s="96"/>
      <c r="C58" s="96"/>
      <c r="D58" s="132" t="str">
        <f>(IF(G50="NA","60 Years After Completion",IF(G50&lt;&gt;"NA",""&amp;60-ROUNDDOWN((E3-G50)/360,0)&amp;" Years"," ")))</f>
        <v>60 Years After Completion</v>
      </c>
      <c r="E58" s="132"/>
      <c r="F58" s="132"/>
      <c r="G58" s="132"/>
      <c r="H58" s="132"/>
      <c r="N58" s="23"/>
    </row>
    <row r="59" spans="1:14" ht="15.75" customHeight="1" x14ac:dyDescent="0.25">
      <c r="A59" s="96" t="s">
        <v>93</v>
      </c>
      <c r="B59" s="96"/>
      <c r="C59" s="96"/>
      <c r="D59" s="129" t="s">
        <v>24</v>
      </c>
      <c r="E59" s="129"/>
      <c r="F59" s="129"/>
      <c r="G59" s="129"/>
      <c r="H59" s="129"/>
      <c r="J59" s="26"/>
      <c r="K59" s="26"/>
    </row>
    <row r="60" spans="1:14" ht="15" hidden="1" customHeight="1" x14ac:dyDescent="0.25">
      <c r="A60" s="96" t="s">
        <v>79</v>
      </c>
      <c r="B60" s="96"/>
      <c r="C60" s="96"/>
      <c r="D60" s="129" t="s">
        <v>156</v>
      </c>
      <c r="E60" s="156"/>
      <c r="F60" s="156"/>
      <c r="G60" s="156"/>
      <c r="H60" s="156"/>
      <c r="I60" s="27"/>
    </row>
    <row r="61" spans="1:14" x14ac:dyDescent="0.25">
      <c r="A61" s="156" t="s">
        <v>157</v>
      </c>
      <c r="B61" s="156"/>
      <c r="C61" s="156"/>
      <c r="D61" s="156" t="s">
        <v>30</v>
      </c>
      <c r="E61" s="156"/>
      <c r="F61" s="156"/>
      <c r="G61" s="156"/>
      <c r="H61" s="156"/>
      <c r="J61" s="27"/>
      <c r="K61" s="27"/>
      <c r="L61" s="27"/>
      <c r="M61" s="27"/>
      <c r="N61" s="27"/>
    </row>
    <row r="62" spans="1:14" ht="16.5" thickBot="1" x14ac:dyDescent="0.3">
      <c r="A62" s="96" t="s">
        <v>91</v>
      </c>
      <c r="B62" s="96"/>
      <c r="C62" s="96"/>
      <c r="D62" s="129" t="str">
        <f ca="1">(IF(G68&gt;95%,"Nothing",IF(G68&gt;0%,"Cement, Aggregate, Steel, etc",IF(G68=0%,"Work not yet Started"))))</f>
        <v>Cement, Aggregate, Steel, etc</v>
      </c>
      <c r="E62" s="129"/>
      <c r="F62" s="129"/>
      <c r="G62" s="129"/>
      <c r="H62" s="129"/>
      <c r="J62" s="26"/>
    </row>
    <row r="63" spans="1:14" ht="33.75" customHeight="1" thickBot="1" x14ac:dyDescent="0.3">
      <c r="A63" s="156" t="s">
        <v>124</v>
      </c>
      <c r="B63" s="156"/>
      <c r="C63" s="156"/>
      <c r="D63" s="129" t="str">
        <f ca="1">(IF(D62="Nothing","Yes",IF(D62="Cement, Aggregate, Steel, etc","Under Construction",IF(D62="Work not yet Started","Work not yet Started"))))</f>
        <v>Under Construction</v>
      </c>
      <c r="E63" s="129"/>
      <c r="F63" s="129" t="str">
        <f ca="1">(IF(D62="Nothing","Yes",IF(D62="Cement, Aggregate, Steel, etc","Under Construction",IF(D62="Work not yet Started","Work not yet Started"))))</f>
        <v>Under Construction</v>
      </c>
      <c r="G63" s="129"/>
      <c r="H63" s="129"/>
      <c r="I63" s="69" t="str">
        <f ca="1">IF(D77=100%,"All work Completed. Possession granted to the Building.",IF(D76=100%,"All work Completed, Waiting for OC",I64&amp;""&amp;I65&amp;""&amp;J65&amp;""&amp;J64&amp;" "&amp;J66))</f>
        <v>Excavation, Plinth Completed, RCC upto 23 Slab, Brickwork upto 16 Floor, Internal Plaster upto 14 Floor, External Plaster upto 14 Floor Completed</v>
      </c>
    </row>
    <row r="64" spans="1:14" ht="30" customHeight="1" x14ac:dyDescent="0.25">
      <c r="A64" s="119" t="s">
        <v>148</v>
      </c>
      <c r="B64" s="119"/>
      <c r="C64" s="119" t="str">
        <f>D55</f>
        <v xml:space="preserve">Tower C = G/St + 1st to 5th Floor (Podium) + 6th Floor (Amenity) + 7th to 30th Floor.
</v>
      </c>
      <c r="D64" s="119"/>
      <c r="E64" s="119"/>
      <c r="F64" s="119"/>
      <c r="G64" s="119"/>
      <c r="H64" s="119"/>
      <c r="I64" s="70" t="str">
        <f ca="1">IF(D68=100%,"Excavation","")&amp;IF(D69=100%,", Plinth","")&amp;IF(D70=100%,", RCC Slab","")&amp;IF(D71=100%,", Brickwork","")&amp;IF(D72=100%,", Internal Plaster","")&amp;IF(D73=100%,", External Plaster","")&amp;IF(D74=100%,", Flooring","")&amp;IF(D75=100%,", Painting","")&amp;IF(D76=100%,", Building common Amenities","")</f>
        <v>Excavation, Plinth</v>
      </c>
      <c r="J64" s="47" t="str">
        <f ca="1">(IF(C70=(D65+F65+H65),"",IF(C70&gt;0,", RCC upto "&amp;C70&amp;" Slab","")))&amp;(IF(C71=H65,"",IF(C71&gt;0,", Brickwork upto "&amp;C71&amp;" Floor","")))&amp;(IF(C72=H65,"",IF(C72&gt;0,", Internal Plaster upto "&amp;C72&amp;" Floor","")))&amp;(IF(C73=H65,"",IF(C73&gt;0,", External Plaster upto "&amp;C73&amp;" Floor","")))&amp;(IF(C74=H65,"",IF(C74&gt;0,", Flooring upto "&amp;C74&amp;" Floor","")))&amp;(IF(C75=H65,"",IF(C75&gt;0,", Painting upto "&amp;C75&amp;" Floor","")))&amp;(IF(C76=H65,"",IF(C76&gt;0,", Finishing upto "&amp;C76&amp;" Floor","")))&amp;(IF(C77=H65,"",IF(C77&gt;0,", Possession upto "&amp;C77&amp;" Floor","")))</f>
        <v>, RCC upto 23 Slab, Brickwork upto 16 Floor, Internal Plaster upto 14 Floor, External Plaster upto 14 Floor</v>
      </c>
    </row>
    <row r="65" spans="1:10" x14ac:dyDescent="0.25">
      <c r="A65" s="68" t="s">
        <v>150</v>
      </c>
      <c r="B65" s="68">
        <v>0</v>
      </c>
      <c r="C65" s="68" t="s">
        <v>76</v>
      </c>
      <c r="D65" s="68">
        <v>1</v>
      </c>
      <c r="E65" s="68" t="s">
        <v>75</v>
      </c>
      <c r="F65" s="68">
        <v>6</v>
      </c>
      <c r="G65" s="68" t="s">
        <v>85</v>
      </c>
      <c r="H65" s="68">
        <f ca="1">(--TRIM(RIGHT(SUBSTITUTE(LEFT(C64,_xlfn.AGGREGATE(16,6,FIND({0,1,2,3,4,5,6,7,8,9},C64,ROW(INDIRECT("1:"&amp;LEN(C64)))),1))," ",REPT(" ",LEN(C64))),LEN(C64))))-F65</f>
        <v>24</v>
      </c>
      <c r="I65" s="70" t="str">
        <f ca="1">IF(I64&lt;&gt;""," Completed","")</f>
        <v xml:space="preserve"> Completed</v>
      </c>
      <c r="J65" s="49" t="str">
        <f ca="1">(IF(C68=0,"Work not yet Started.",IF(D68=25%,"Piling work in process",IF(D68=50%,"Excavation work in process",IF(D68=100%,"","0")))))&amp;(IF(C69=0%,"",IF(C69=J70,", Footing work is process",IF(C69=J71,", Footing work Completed",IF(C69=J72,", 1st Basement Completed",IF(C69=J73,", 1st &amp; 2nd Basement Completed",IF(C69=J74,", 1st to 3rd Basement Completed",IF(C69=J75,", 1st to 4th Basement Completed",IF(C69=J76,", Plinth work is process",IF(C69=J77,"","0"))))))))))</f>
        <v/>
      </c>
    </row>
    <row r="66" spans="1:10" ht="33" customHeight="1" x14ac:dyDescent="0.25">
      <c r="A66" s="118" t="s">
        <v>95</v>
      </c>
      <c r="B66" s="118"/>
      <c r="C66" s="119" t="str">
        <f ca="1">(IF($G$50="NA",I63,"All work Completed. OC Received."))</f>
        <v>Excavation, Plinth Completed, RCC upto 23 Slab, Brickwork upto 16 Floor, Internal Plaster upto 14 Floor, External Plaster upto 14 Floor Completed</v>
      </c>
      <c r="D66" s="119"/>
      <c r="E66" s="119"/>
      <c r="F66" s="119"/>
      <c r="G66" s="119"/>
      <c r="H66" s="119"/>
      <c r="I66" s="16" t="s">
        <v>149</v>
      </c>
      <c r="J66" s="49" t="str">
        <f ca="1">IF(J64&lt;&gt;"","Completed","")</f>
        <v>Completed</v>
      </c>
    </row>
    <row r="67" spans="1:10" ht="15.75" customHeight="1" x14ac:dyDescent="0.25">
      <c r="A67" s="94" t="s">
        <v>52</v>
      </c>
      <c r="B67" s="94"/>
      <c r="C67" s="67" t="s">
        <v>147</v>
      </c>
      <c r="D67" s="67" t="s">
        <v>88</v>
      </c>
      <c r="E67" s="94" t="s">
        <v>90</v>
      </c>
      <c r="F67" s="94"/>
      <c r="G67" s="94" t="s">
        <v>89</v>
      </c>
      <c r="H67" s="94"/>
      <c r="I67" s="16" t="s">
        <v>106</v>
      </c>
      <c r="J67" s="28">
        <f ca="1">H65*25%</f>
        <v>6</v>
      </c>
    </row>
    <row r="68" spans="1:10" x14ac:dyDescent="0.25">
      <c r="A68" s="93" t="s">
        <v>136</v>
      </c>
      <c r="B68" s="94"/>
      <c r="C68" s="61">
        <f ca="1">J69</f>
        <v>24</v>
      </c>
      <c r="D68" s="59">
        <f ca="1">((100/H65)*C68)/100</f>
        <v>1</v>
      </c>
      <c r="E68" s="110">
        <f ca="1">(((C69/H65*10)+(40/(D65+F65+H65)*C70)+(7.5/(H65)*C71)+(7.5/(H65)*C72)+(10/H65*C73)+(10/H65*C74)+(5/H65*C75)+(5/H65*C76)+(5/H65*C77))/100)</f>
        <v>0.5488575268817204</v>
      </c>
      <c r="F68" s="111"/>
      <c r="G68" s="110">
        <f ca="1">((((C68/H65)*20)+((C69/H65)*25)+(30/(H65+F65+D65)*C70)+(5/H65*C71)+(5/H65*C72)+(5/H65*C73)+(5/H65*C74)+(0/H65*C75)+(0/H65*C76)+(5/H65*C77))/100)</f>
        <v>0.76424731182795691</v>
      </c>
      <c r="H68" s="121"/>
      <c r="I68" s="16" t="s">
        <v>107</v>
      </c>
      <c r="J68" s="29">
        <f ca="1">H65*50%</f>
        <v>12</v>
      </c>
    </row>
    <row r="69" spans="1:10" x14ac:dyDescent="0.25">
      <c r="A69" s="93" t="s">
        <v>53</v>
      </c>
      <c r="B69" s="94"/>
      <c r="C69" s="61">
        <f ca="1">J77</f>
        <v>24</v>
      </c>
      <c r="D69" s="59">
        <f ca="1">((100/H65)*C69)/100</f>
        <v>1</v>
      </c>
      <c r="E69" s="112"/>
      <c r="F69" s="113"/>
      <c r="G69" s="112"/>
      <c r="H69" s="122"/>
      <c r="I69" s="16" t="s">
        <v>108</v>
      </c>
      <c r="J69" s="29">
        <f ca="1">H65</f>
        <v>24</v>
      </c>
    </row>
    <row r="70" spans="1:10" ht="15.75" customHeight="1" x14ac:dyDescent="0.25">
      <c r="A70" s="93" t="s">
        <v>137</v>
      </c>
      <c r="B70" s="94"/>
      <c r="C70" s="61">
        <v>23</v>
      </c>
      <c r="D70" s="59">
        <f ca="1">((100/(D65+F65+H65))*C70)/100</f>
        <v>0.74193548387096764</v>
      </c>
      <c r="E70" s="112"/>
      <c r="F70" s="113"/>
      <c r="G70" s="112"/>
      <c r="H70" s="122"/>
      <c r="I70" s="16" t="s">
        <v>109</v>
      </c>
      <c r="J70" s="30">
        <f ca="1">(IF(B65&gt;1,(H65/(B65+2)),H65/4))</f>
        <v>6</v>
      </c>
    </row>
    <row r="71" spans="1:10" ht="15.75" customHeight="1" x14ac:dyDescent="0.25">
      <c r="A71" s="93" t="s">
        <v>144</v>
      </c>
      <c r="B71" s="94" t="s">
        <v>138</v>
      </c>
      <c r="C71" s="61">
        <f>C70-F65-D65</f>
        <v>16</v>
      </c>
      <c r="D71" s="59">
        <f ca="1">((100/H65)*C71)/100</f>
        <v>0.66666666666666674</v>
      </c>
      <c r="E71" s="112"/>
      <c r="F71" s="113"/>
      <c r="G71" s="112"/>
      <c r="H71" s="122"/>
      <c r="I71" s="16" t="s">
        <v>154</v>
      </c>
      <c r="J71" s="30">
        <f ca="1">(IF(B65&gt;1,(H65/(B65+2)+J70),H65/4+J70))</f>
        <v>12</v>
      </c>
    </row>
    <row r="72" spans="1:10" ht="15.75" customHeight="1" x14ac:dyDescent="0.25">
      <c r="A72" s="93" t="s">
        <v>145</v>
      </c>
      <c r="B72" s="94" t="s">
        <v>138</v>
      </c>
      <c r="C72" s="65">
        <v>14</v>
      </c>
      <c r="D72" s="59">
        <f ca="1">((100/H65)*C72)/100</f>
        <v>0.58333333333333337</v>
      </c>
      <c r="E72" s="112"/>
      <c r="F72" s="113"/>
      <c r="G72" s="112"/>
      <c r="H72" s="122"/>
      <c r="I72" s="16" t="s">
        <v>151</v>
      </c>
      <c r="J72" s="30">
        <f>(IF(B65&gt;1,(H65/(B65+2)+J71),0))</f>
        <v>0</v>
      </c>
    </row>
    <row r="73" spans="1:10" ht="15" customHeight="1" x14ac:dyDescent="0.25">
      <c r="A73" s="93" t="s">
        <v>143</v>
      </c>
      <c r="B73" s="94" t="s">
        <v>140</v>
      </c>
      <c r="C73" s="65">
        <v>14</v>
      </c>
      <c r="D73" s="59">
        <f ca="1">((100/(H65))*C73)/100</f>
        <v>0.58333333333333337</v>
      </c>
      <c r="E73" s="112"/>
      <c r="F73" s="113"/>
      <c r="G73" s="112"/>
      <c r="H73" s="122"/>
      <c r="I73" s="16" t="s">
        <v>152</v>
      </c>
      <c r="J73" s="30">
        <f>(IF(B65&gt;2,(H65/(B65+2)+J72),0))</f>
        <v>0</v>
      </c>
    </row>
    <row r="74" spans="1:10" ht="15.75" customHeight="1" x14ac:dyDescent="0.25">
      <c r="A74" s="93" t="s">
        <v>139</v>
      </c>
      <c r="B74" s="94" t="s">
        <v>139</v>
      </c>
      <c r="C74" s="61">
        <v>0</v>
      </c>
      <c r="D74" s="59">
        <f ca="1">((100/H65)*C74)/100</f>
        <v>0</v>
      </c>
      <c r="E74" s="112"/>
      <c r="F74" s="113"/>
      <c r="G74" s="112"/>
      <c r="H74" s="122"/>
      <c r="I74" s="16" t="s">
        <v>153</v>
      </c>
      <c r="J74" s="31">
        <f>(IF(B65&gt;3,(H65/(B65+2)+J73),0))</f>
        <v>0</v>
      </c>
    </row>
    <row r="75" spans="1:10" ht="15.75" customHeight="1" x14ac:dyDescent="0.25">
      <c r="A75" s="93" t="s">
        <v>146</v>
      </c>
      <c r="B75" s="94"/>
      <c r="C75" s="61">
        <v>0</v>
      </c>
      <c r="D75" s="59">
        <f ca="1">((100/H65)*C75)/100</f>
        <v>0</v>
      </c>
      <c r="E75" s="112"/>
      <c r="F75" s="113"/>
      <c r="G75" s="112"/>
      <c r="H75" s="122"/>
      <c r="I75" s="16" t="s">
        <v>155</v>
      </c>
      <c r="J75" s="30">
        <f>(IF(B65&gt;4,(H65/(B65+2)+J74),0))</f>
        <v>0</v>
      </c>
    </row>
    <row r="76" spans="1:10" ht="15.75" customHeight="1" thickBot="1" x14ac:dyDescent="0.3">
      <c r="A76" s="93" t="s">
        <v>141</v>
      </c>
      <c r="B76" s="94" t="s">
        <v>141</v>
      </c>
      <c r="C76" s="61">
        <v>0</v>
      </c>
      <c r="D76" s="59">
        <f ca="1">((100/(H65))*C76)/100</f>
        <v>0</v>
      </c>
      <c r="E76" s="112"/>
      <c r="F76" s="113"/>
      <c r="G76" s="112"/>
      <c r="H76" s="122"/>
      <c r="I76" s="17" t="s">
        <v>110</v>
      </c>
      <c r="J76" s="30">
        <f ca="1">(IF(B65=1,(H65/(B65+3)+J71),IF(B65=0,(H65/4+J71),IF(B65&gt;1,0))))</f>
        <v>18</v>
      </c>
    </row>
    <row r="77" spans="1:10" ht="16.5" thickBot="1" x14ac:dyDescent="0.3">
      <c r="A77" s="130" t="s">
        <v>142</v>
      </c>
      <c r="B77" s="131"/>
      <c r="C77" s="62">
        <v>0</v>
      </c>
      <c r="D77" s="60">
        <f ca="1">((100/(H65))*C77)/100</f>
        <v>0</v>
      </c>
      <c r="E77" s="114"/>
      <c r="F77" s="115"/>
      <c r="G77" s="114"/>
      <c r="H77" s="123"/>
      <c r="I77" s="46" t="str">
        <f ca="1">IF(D91=100%,"All work Completed. Possession granted to the Building.",IF(D90=100%,"All work Completed, Waiting for OC",I78&amp;""&amp;I79&amp;""&amp;J79&amp;""&amp;J78&amp;" "&amp;J80))</f>
        <v xml:space="preserve">Excavation work in process, Footing work is process </v>
      </c>
      <c r="J77" s="32">
        <f ca="1">(IF(B65&gt;1.5,(H65/(B65+2)+J71+MAX(0,J72-J71)+MAX(0,J73-J72)+MAX(0,J74-J73)+MAX(0,J75-J74)+MAX(0,J76-J75)),IF(B65=1,(H65/(B65+3)+J76),IF(B65=0,H65/4+J76))))</f>
        <v>24</v>
      </c>
    </row>
    <row r="78" spans="1:10" ht="33.75" customHeight="1" x14ac:dyDescent="0.25">
      <c r="A78" s="168" t="s">
        <v>148</v>
      </c>
      <c r="B78" s="169"/>
      <c r="C78" s="170" t="str">
        <f>D56</f>
        <v xml:space="preserve">Tower D = G/St + 1st to 5th Floor (Podium) + 6th Floor (Amenity) + 7th to 30th Floor.
</v>
      </c>
      <c r="D78" s="171"/>
      <c r="E78" s="171"/>
      <c r="F78" s="171"/>
      <c r="G78" s="171"/>
      <c r="H78" s="172"/>
      <c r="I78" s="48" t="str">
        <f ca="1">IF(D82=100%,"Excavation","")&amp;IF(D83=100%,", Plinth","")&amp;IF(D84=100%,", RCC Slab","")&amp;IF(D85=100%,", Brickwork","")&amp;IF(D86=100%,", Internal Plaster","")&amp;IF(D87=100%,", External Plaster","")&amp;IF(D88=100%,", Flooring","")&amp;IF(D89=100%,", Painting","")&amp;IF(D90=100%,", Building common Amenities","")</f>
        <v/>
      </c>
      <c r="J78" s="47" t="str">
        <f ca="1">(IF(C84=(D79+F79+H79),"",IF(C84&gt;0,", RCC upto "&amp;C84&amp;" Slab","")))&amp;(IF(C85=H79,"",IF(C85&gt;0,", Brickwork upto "&amp;C85&amp;" Floor","")))&amp;(IF(C86=H79,"",IF(C86&gt;0,", Internal Plaster upto "&amp;C86&amp;" Floor","")))&amp;(IF(C87=H79,"",IF(C87&gt;0,", External Plaster upto "&amp;C87&amp;" Floor","")))&amp;(IF(C88=H79,"",IF(C88&gt;0,", Flooring upto "&amp;C88&amp;" Floor","")))&amp;(IF(C89=H79,"",IF(C89&gt;0,", Painting upto "&amp;C89&amp;" Floor","")))&amp;(IF(C90=H79,"",IF(C90&gt;0,", Finishing upto "&amp;C90&amp;" Floor","")))&amp;(IF(C91=H79,"",IF(C91&gt;0,", Possession upto "&amp;C91&amp;" Floor","")))</f>
        <v/>
      </c>
    </row>
    <row r="79" spans="1:10" x14ac:dyDescent="0.25">
      <c r="A79" s="18" t="s">
        <v>150</v>
      </c>
      <c r="B79" s="55">
        <v>0</v>
      </c>
      <c r="C79" s="55" t="s">
        <v>76</v>
      </c>
      <c r="D79" s="55">
        <v>1</v>
      </c>
      <c r="E79" s="55" t="s">
        <v>75</v>
      </c>
      <c r="F79" s="55">
        <v>6</v>
      </c>
      <c r="G79" s="55" t="s">
        <v>85</v>
      </c>
      <c r="H79" s="19">
        <f ca="1">(--TRIM(RIGHT(SUBSTITUTE(LEFT(C78,_xlfn.AGGREGATE(16,6,FIND({0,1,2,3,4,5,6,7,8,9},C78,ROW(INDIRECT("1:"&amp;LEN(C78)))),1))," ",REPT(" ",LEN(C78))),LEN(C78))))-F79</f>
        <v>24</v>
      </c>
      <c r="I79" s="48" t="str">
        <f ca="1">IF(I78&lt;&gt;""," Completed","")</f>
        <v/>
      </c>
      <c r="J79" s="49" t="str">
        <f ca="1">(IF(C82=0,"Work not yet Started.",IF(D82=25%,"Piling work in process",IF(D82=50%,"Excavation work in process",IF(D82=100%,"","0")))))&amp;(IF(C83=0%,"",IF(C83=J84,", Footing work is process",IF(C83=J85,", Footing work Completed",IF(C83=J86,", 1st Basement Completed",IF(C83=J87,", 1st &amp; 2nd Basement Completed",IF(C83=J88,", 1st to 3rd Basement Completed",IF(C83=J89,", 1st to 4th Basement Completed",IF(C83=J90,", Plinth work is process",IF(C83=J91,"","0"))))))))))</f>
        <v>Excavation work in process, Footing work is process</v>
      </c>
    </row>
    <row r="80" spans="1:10" x14ac:dyDescent="0.25">
      <c r="A80" s="117" t="s">
        <v>95</v>
      </c>
      <c r="B80" s="118"/>
      <c r="C80" s="119" t="str">
        <f ca="1">J79</f>
        <v>Excavation work in process, Footing work is process</v>
      </c>
      <c r="D80" s="119"/>
      <c r="E80" s="119"/>
      <c r="F80" s="119"/>
      <c r="G80" s="119"/>
      <c r="H80" s="120"/>
      <c r="I80" s="16" t="s">
        <v>149</v>
      </c>
      <c r="J80" s="49" t="str">
        <f ca="1">IF(J78&lt;&gt;"","Completed","")</f>
        <v/>
      </c>
    </row>
    <row r="81" spans="1:10" ht="15.75" customHeight="1" x14ac:dyDescent="0.25">
      <c r="A81" s="93" t="s">
        <v>52</v>
      </c>
      <c r="B81" s="94"/>
      <c r="C81" s="58" t="s">
        <v>147</v>
      </c>
      <c r="D81" s="58" t="s">
        <v>88</v>
      </c>
      <c r="E81" s="94" t="s">
        <v>90</v>
      </c>
      <c r="F81" s="94"/>
      <c r="G81" s="94" t="s">
        <v>89</v>
      </c>
      <c r="H81" s="124"/>
      <c r="I81" s="16" t="s">
        <v>106</v>
      </c>
      <c r="J81" s="28">
        <f ca="1">H79*25%</f>
        <v>6</v>
      </c>
    </row>
    <row r="82" spans="1:10" x14ac:dyDescent="0.25">
      <c r="A82" s="93" t="s">
        <v>136</v>
      </c>
      <c r="B82" s="94"/>
      <c r="C82" s="61">
        <f ca="1">J82</f>
        <v>12</v>
      </c>
      <c r="D82" s="59">
        <f ca="1">((100/H79)*C82)/100</f>
        <v>0.5</v>
      </c>
      <c r="E82" s="110">
        <f ca="1">(((C83/H79*10)+(40/(D79+F79+H79)*C84)+(7.5/(H79)*C85)+(7.5/(H79)*C86)+(10/H79*C87)+(10/H79*C88)+(5/H79*C89)+(5/H79*C90)+(5/H79*C91))/100)</f>
        <v>2.5000000000000001E-2</v>
      </c>
      <c r="F82" s="111"/>
      <c r="G82" s="110">
        <f ca="1">((((C82/H79)*20)+((C83/H79)*25)+(30/(H79+F79+D79)*C84)+(5/H79*C85)+(5/H79*C86)+(5/H79*C87)+(5/H79*C88)+(0/H79*C89)+(0/H79*C90)+(5/H79*C91))/100)</f>
        <v>0.16250000000000001</v>
      </c>
      <c r="H82" s="121"/>
      <c r="I82" s="16" t="s">
        <v>107</v>
      </c>
      <c r="J82" s="29">
        <f ca="1">H79*50%</f>
        <v>12</v>
      </c>
    </row>
    <row r="83" spans="1:10" x14ac:dyDescent="0.25">
      <c r="A83" s="93" t="s">
        <v>53</v>
      </c>
      <c r="B83" s="94"/>
      <c r="C83" s="65">
        <f ca="1">J84</f>
        <v>6</v>
      </c>
      <c r="D83" s="59">
        <f ca="1">((100/H79)*C83)/100</f>
        <v>0.25</v>
      </c>
      <c r="E83" s="112"/>
      <c r="F83" s="113"/>
      <c r="G83" s="112"/>
      <c r="H83" s="122"/>
      <c r="I83" s="16" t="s">
        <v>108</v>
      </c>
      <c r="J83" s="29">
        <f ca="1">H79</f>
        <v>24</v>
      </c>
    </row>
    <row r="84" spans="1:10" ht="15.75" customHeight="1" x14ac:dyDescent="0.25">
      <c r="A84" s="93" t="s">
        <v>137</v>
      </c>
      <c r="B84" s="94"/>
      <c r="C84" s="61">
        <v>0</v>
      </c>
      <c r="D84" s="59">
        <f ca="1">((100/(D79+F79+H79))*C84)/100</f>
        <v>0</v>
      </c>
      <c r="E84" s="112"/>
      <c r="F84" s="113"/>
      <c r="G84" s="112"/>
      <c r="H84" s="122"/>
      <c r="I84" s="16" t="s">
        <v>109</v>
      </c>
      <c r="J84" s="30">
        <f ca="1">(IF(B79&gt;1,(H79/(B79+2)),H79/4))</f>
        <v>6</v>
      </c>
    </row>
    <row r="85" spans="1:10" ht="15.75" customHeight="1" x14ac:dyDescent="0.25">
      <c r="A85" s="93" t="s">
        <v>144</v>
      </c>
      <c r="B85" s="94" t="s">
        <v>138</v>
      </c>
      <c r="C85" s="61">
        <v>0</v>
      </c>
      <c r="D85" s="59">
        <f ca="1">((100/H79)*C85)/100</f>
        <v>0</v>
      </c>
      <c r="E85" s="112"/>
      <c r="F85" s="113"/>
      <c r="G85" s="112"/>
      <c r="H85" s="122"/>
      <c r="I85" s="16" t="s">
        <v>154</v>
      </c>
      <c r="J85" s="30">
        <f ca="1">(IF(B79&gt;1,(H79/(B79+2)+J84),H79/4+J84))</f>
        <v>12</v>
      </c>
    </row>
    <row r="86" spans="1:10" ht="15.75" customHeight="1" x14ac:dyDescent="0.25">
      <c r="A86" s="93" t="s">
        <v>145</v>
      </c>
      <c r="B86" s="94" t="s">
        <v>138</v>
      </c>
      <c r="C86" s="61">
        <v>0</v>
      </c>
      <c r="D86" s="59">
        <f ca="1">((100/H79)*C86)/100</f>
        <v>0</v>
      </c>
      <c r="E86" s="112"/>
      <c r="F86" s="113"/>
      <c r="G86" s="112"/>
      <c r="H86" s="122"/>
      <c r="I86" s="16" t="s">
        <v>151</v>
      </c>
      <c r="J86" s="30">
        <f>(IF(B79&gt;1,(H79/(B79+2)+J85),0))</f>
        <v>0</v>
      </c>
    </row>
    <row r="87" spans="1:10" ht="15" customHeight="1" x14ac:dyDescent="0.25">
      <c r="A87" s="93" t="s">
        <v>143</v>
      </c>
      <c r="B87" s="94" t="s">
        <v>140</v>
      </c>
      <c r="C87" s="61">
        <v>0</v>
      </c>
      <c r="D87" s="59">
        <f ca="1">((100/(H79))*C87)/100</f>
        <v>0</v>
      </c>
      <c r="E87" s="112"/>
      <c r="F87" s="113"/>
      <c r="G87" s="112"/>
      <c r="H87" s="122"/>
      <c r="I87" s="16" t="s">
        <v>152</v>
      </c>
      <c r="J87" s="30">
        <f>(IF(B79&gt;2,(H79/(B79+2)+J86),0))</f>
        <v>0</v>
      </c>
    </row>
    <row r="88" spans="1:10" ht="15.75" customHeight="1" x14ac:dyDescent="0.25">
      <c r="A88" s="93" t="s">
        <v>139</v>
      </c>
      <c r="B88" s="94" t="s">
        <v>139</v>
      </c>
      <c r="C88" s="61">
        <v>0</v>
      </c>
      <c r="D88" s="59">
        <f ca="1">((100/H79)*C88)/100</f>
        <v>0</v>
      </c>
      <c r="E88" s="112"/>
      <c r="F88" s="113"/>
      <c r="G88" s="112"/>
      <c r="H88" s="122"/>
      <c r="I88" s="16" t="s">
        <v>153</v>
      </c>
      <c r="J88" s="31">
        <f>(IF(B79&gt;3,(H79/(B79+2)+J87),0))</f>
        <v>0</v>
      </c>
    </row>
    <row r="89" spans="1:10" ht="15.75" customHeight="1" x14ac:dyDescent="0.25">
      <c r="A89" s="93" t="s">
        <v>146</v>
      </c>
      <c r="B89" s="94"/>
      <c r="C89" s="61">
        <v>0</v>
      </c>
      <c r="D89" s="59">
        <f ca="1">((100/H79)*C89)/100</f>
        <v>0</v>
      </c>
      <c r="E89" s="112"/>
      <c r="F89" s="113"/>
      <c r="G89" s="112"/>
      <c r="H89" s="122"/>
      <c r="I89" s="16" t="s">
        <v>155</v>
      </c>
      <c r="J89" s="30">
        <f>(IF(B79&gt;4,(H79/(B79+2)+J88),0))</f>
        <v>0</v>
      </c>
    </row>
    <row r="90" spans="1:10" ht="15.75" customHeight="1" thickBot="1" x14ac:dyDescent="0.3">
      <c r="A90" s="93" t="s">
        <v>141</v>
      </c>
      <c r="B90" s="94" t="s">
        <v>141</v>
      </c>
      <c r="C90" s="61">
        <v>0</v>
      </c>
      <c r="D90" s="59">
        <f ca="1">((100/(H79))*C90)/100</f>
        <v>0</v>
      </c>
      <c r="E90" s="112"/>
      <c r="F90" s="113"/>
      <c r="G90" s="112"/>
      <c r="H90" s="122"/>
      <c r="I90" s="17" t="s">
        <v>110</v>
      </c>
      <c r="J90" s="30">
        <f ca="1">(IF(B79=1,(H79/(B79+3)+J85),IF(B79=0,(H79/4+J85),IF(B79&gt;1,0))))</f>
        <v>18</v>
      </c>
    </row>
    <row r="91" spans="1:10" ht="16.5" thickBot="1" x14ac:dyDescent="0.3">
      <c r="A91" s="130" t="s">
        <v>142</v>
      </c>
      <c r="B91" s="131"/>
      <c r="C91" s="62">
        <v>0</v>
      </c>
      <c r="D91" s="60">
        <f ca="1">((100/(H79))*C91)/100</f>
        <v>0</v>
      </c>
      <c r="E91" s="114"/>
      <c r="F91" s="115"/>
      <c r="G91" s="114"/>
      <c r="H91" s="123"/>
      <c r="J91" s="32">
        <f ca="1">(IF(B79&gt;1.5,(H79/(B79+2)+J85+MAX(0,J86-J85)+MAX(0,J87-J86)+MAX(0,J88-J87)+MAX(0,J89-J88)+MAX(0,J90-J89)),IF(B79=1,(H79/(B79+3)+J90),IF(B79=0,H79/4+J90))))</f>
        <v>24</v>
      </c>
    </row>
    <row r="92" spans="1:10" x14ac:dyDescent="0.25">
      <c r="A92" s="125" t="s">
        <v>166</v>
      </c>
      <c r="B92" s="125"/>
      <c r="C92" s="125"/>
      <c r="D92" s="125"/>
      <c r="E92" s="125"/>
      <c r="F92" s="116" t="s">
        <v>171</v>
      </c>
      <c r="G92" s="116"/>
      <c r="H92" s="116"/>
      <c r="I92" s="20" t="s">
        <v>235</v>
      </c>
    </row>
    <row r="93" spans="1:10" x14ac:dyDescent="0.25">
      <c r="A93" s="96" t="s">
        <v>169</v>
      </c>
      <c r="B93" s="96"/>
      <c r="C93" s="96"/>
      <c r="D93" s="96"/>
      <c r="E93" s="96"/>
      <c r="F93" s="178">
        <v>7300</v>
      </c>
      <c r="G93" s="178"/>
      <c r="H93" s="178"/>
      <c r="I93" s="20" t="s">
        <v>236</v>
      </c>
    </row>
    <row r="94" spans="1:10" x14ac:dyDescent="0.25">
      <c r="A94" s="96" t="s">
        <v>168</v>
      </c>
      <c r="B94" s="96"/>
      <c r="C94" s="96"/>
      <c r="D94" s="96"/>
      <c r="E94" s="96"/>
      <c r="F94" s="95">
        <v>13000</v>
      </c>
      <c r="G94" s="95"/>
      <c r="H94" s="95"/>
      <c r="I94" s="20">
        <v>7800</v>
      </c>
      <c r="J94" s="20" t="s">
        <v>239</v>
      </c>
    </row>
    <row r="95" spans="1:10" hidden="1" x14ac:dyDescent="0.25">
      <c r="A95" s="96" t="s">
        <v>170</v>
      </c>
      <c r="B95" s="96"/>
      <c r="C95" s="96"/>
      <c r="D95" s="96"/>
      <c r="E95" s="96"/>
      <c r="F95" s="95"/>
      <c r="G95" s="95"/>
      <c r="H95" s="95"/>
      <c r="I95" s="33"/>
      <c r="J95" s="23">
        <v>9100</v>
      </c>
    </row>
    <row r="96" spans="1:10" s="33" customFormat="1" hidden="1" x14ac:dyDescent="0.25">
      <c r="A96" s="96" t="s">
        <v>167</v>
      </c>
      <c r="B96" s="96"/>
      <c r="C96" s="96"/>
      <c r="D96" s="96"/>
      <c r="E96" s="96"/>
      <c r="F96" s="95"/>
      <c r="G96" s="95"/>
      <c r="H96" s="95"/>
    </row>
    <row r="97" spans="1:9" s="33" customFormat="1" hidden="1" x14ac:dyDescent="0.25">
      <c r="A97" s="96" t="s">
        <v>100</v>
      </c>
      <c r="B97" s="96"/>
      <c r="C97" s="96"/>
      <c r="D97" s="96"/>
      <c r="E97" s="96"/>
      <c r="F97" s="95"/>
      <c r="G97" s="95"/>
      <c r="H97" s="95"/>
    </row>
    <row r="98" spans="1:9" s="33" customFormat="1" hidden="1" x14ac:dyDescent="0.25">
      <c r="A98" s="96" t="s">
        <v>101</v>
      </c>
      <c r="B98" s="96"/>
      <c r="C98" s="96"/>
      <c r="D98" s="96"/>
      <c r="E98" s="96"/>
      <c r="F98" s="95"/>
      <c r="G98" s="95"/>
      <c r="H98" s="95"/>
    </row>
    <row r="99" spans="1:9" s="33" customFormat="1" hidden="1" x14ac:dyDescent="0.25">
      <c r="A99" s="96" t="s">
        <v>172</v>
      </c>
      <c r="B99" s="96"/>
      <c r="C99" s="96"/>
      <c r="D99" s="96"/>
      <c r="E99" s="96"/>
      <c r="F99" s="95"/>
      <c r="G99" s="95"/>
      <c r="H99" s="95"/>
    </row>
    <row r="100" spans="1:9" s="33" customFormat="1" hidden="1" x14ac:dyDescent="0.25">
      <c r="A100" s="96" t="s">
        <v>102</v>
      </c>
      <c r="B100" s="96"/>
      <c r="C100" s="96"/>
      <c r="D100" s="96"/>
      <c r="E100" s="96"/>
      <c r="F100" s="95"/>
      <c r="G100" s="95"/>
      <c r="H100" s="95"/>
    </row>
    <row r="101" spans="1:9" s="33" customFormat="1" hidden="1" x14ac:dyDescent="0.25">
      <c r="A101" s="96" t="s">
        <v>103</v>
      </c>
      <c r="B101" s="96"/>
      <c r="C101" s="96"/>
      <c r="D101" s="96"/>
      <c r="E101" s="96"/>
      <c r="F101" s="95"/>
      <c r="G101" s="95"/>
      <c r="H101" s="95"/>
    </row>
    <row r="102" spans="1:9" s="33" customFormat="1" hidden="1" x14ac:dyDescent="0.25">
      <c r="A102" s="96" t="s">
        <v>104</v>
      </c>
      <c r="B102" s="96"/>
      <c r="C102" s="96"/>
      <c r="D102" s="96"/>
      <c r="E102" s="96"/>
      <c r="F102" s="95"/>
      <c r="G102" s="95"/>
      <c r="H102" s="95"/>
    </row>
    <row r="103" spans="1:9" s="33" customFormat="1" hidden="1" x14ac:dyDescent="0.25">
      <c r="A103" s="96" t="s">
        <v>105</v>
      </c>
      <c r="B103" s="96"/>
      <c r="C103" s="96"/>
      <c r="D103" s="96"/>
      <c r="E103" s="96"/>
      <c r="F103" s="95"/>
      <c r="G103" s="95"/>
      <c r="H103" s="95"/>
      <c r="I103" s="20"/>
    </row>
    <row r="104" spans="1:9" x14ac:dyDescent="0.25">
      <c r="A104" s="96" t="s">
        <v>54</v>
      </c>
      <c r="B104" s="96"/>
      <c r="C104" s="96"/>
      <c r="D104" s="96"/>
      <c r="E104" s="96"/>
      <c r="F104" s="95">
        <v>300000</v>
      </c>
      <c r="G104" s="95"/>
      <c r="H104" s="95"/>
      <c r="I104" s="34"/>
    </row>
    <row r="105" spans="1:9" s="34" customFormat="1" x14ac:dyDescent="0.25">
      <c r="A105" s="140" t="s">
        <v>55</v>
      </c>
      <c r="B105" s="140"/>
      <c r="C105" s="140"/>
      <c r="D105" s="140"/>
      <c r="E105" s="140"/>
      <c r="F105" s="95">
        <f>F93*0.8</f>
        <v>5840</v>
      </c>
      <c r="G105" s="95"/>
      <c r="H105" s="95"/>
      <c r="I105" s="35"/>
    </row>
    <row r="106" spans="1:9" s="35" customFormat="1" ht="15.75" customHeight="1" x14ac:dyDescent="0.25">
      <c r="A106" s="127" t="s">
        <v>80</v>
      </c>
      <c r="B106" s="127"/>
      <c r="C106" s="127"/>
      <c r="D106" s="127"/>
      <c r="E106" s="127"/>
      <c r="F106" s="127"/>
      <c r="G106" s="127"/>
      <c r="H106" s="127"/>
    </row>
    <row r="107" spans="1:9" s="35" customFormat="1" ht="15.75" customHeight="1" x14ac:dyDescent="0.25">
      <c r="A107" s="99" t="s">
        <v>56</v>
      </c>
      <c r="B107" s="99"/>
      <c r="C107" s="104" t="s">
        <v>83</v>
      </c>
      <c r="D107" s="104"/>
      <c r="E107" s="126" t="s">
        <v>57</v>
      </c>
      <c r="F107" s="126"/>
      <c r="G107" s="99" t="s">
        <v>58</v>
      </c>
      <c r="H107" s="99"/>
    </row>
    <row r="108" spans="1:9" s="35" customFormat="1" x14ac:dyDescent="0.25">
      <c r="A108" s="100" t="s">
        <v>202</v>
      </c>
      <c r="B108" s="100"/>
      <c r="C108" s="102">
        <f>COUNT(D120:D121)</f>
        <v>2</v>
      </c>
      <c r="D108" s="101"/>
      <c r="E108" s="90">
        <f>SUM(D120:D121)</f>
        <v>520.97759999999994</v>
      </c>
      <c r="F108" s="103"/>
      <c r="G108" s="90">
        <f>SUM(F120:F121)</f>
        <v>833.5641599999999</v>
      </c>
      <c r="H108" s="103"/>
    </row>
    <row r="109" spans="1:9" s="35" customFormat="1" x14ac:dyDescent="0.25">
      <c r="A109" s="127" t="s">
        <v>74</v>
      </c>
      <c r="B109" s="127"/>
      <c r="C109" s="127"/>
      <c r="D109" s="127"/>
      <c r="E109" s="127"/>
      <c r="F109" s="127"/>
      <c r="G109" s="127"/>
      <c r="H109" s="127"/>
      <c r="I109" s="35" t="s">
        <v>174</v>
      </c>
    </row>
    <row r="110" spans="1:9" s="35" customFormat="1" ht="15.75" customHeight="1" x14ac:dyDescent="0.25">
      <c r="A110" s="99" t="s">
        <v>56</v>
      </c>
      <c r="B110" s="99"/>
      <c r="C110" s="104" t="s">
        <v>83</v>
      </c>
      <c r="D110" s="104"/>
      <c r="E110" s="126" t="s">
        <v>57</v>
      </c>
      <c r="F110" s="126"/>
      <c r="G110" s="99" t="s">
        <v>58</v>
      </c>
      <c r="H110" s="99"/>
      <c r="I110" s="35" t="s">
        <v>175</v>
      </c>
    </row>
    <row r="111" spans="1:9" s="35" customFormat="1" x14ac:dyDescent="0.25">
      <c r="A111" s="100" t="s">
        <v>210</v>
      </c>
      <c r="B111" s="100"/>
      <c r="C111" s="101">
        <f>COUNT(D129:D131)*2+COUNT(D133:D135)+COUNT(D137:D138)+COUNT(D141:D143)+COUNT(D145:D150)*5+COUNT(D152:D153,D155:D156)*2+COUNT(D183:D188)*4+COUNT(D158:D161)*2+COUNT(D163:D168)+COUNT(D170:D174)+COUNT(D176:D177,D179:D181)*2+COUNT(D190:D194)+COUNT(D196:D200)+COUNT(D202:D205)*2+COUNT(D207:D211)*2+COUNT(D213:D214,D216:D218)</f>
        <v>138</v>
      </c>
      <c r="D111" s="101"/>
      <c r="E111" s="90">
        <f>SUM(D129:D131)*2+SUM(D133:D135)+SUM(D137:D138)+SUM(D141:D143)+SUM(D145:D150)*5+SUM(D152:D153,D155:D156)*2+SUM(D183:D188)*4+SUM(D158:D161)*2+SUM(D163:D168)+SUM(D170:D174)+SUM(D176:D177,D179:D181)*2+SUM(D190:D194)+SUM(D196:D200)+SUM(D202:D205)*2+SUM(D207:D211)*2+SUM(D213:D214,D216:D218)</f>
        <v>106283.17411919999</v>
      </c>
      <c r="F111" s="90"/>
      <c r="G111" s="90">
        <f>SUM(F129:F131)*2+SUM(F133:F135)+SUM(F137:F138)+SUM(F141:F143)+SUM(F145:F150)*5+SUM(F152:F153,F155:F156)*2+SUM(F183:F188)*4+SUM(F158:F161)*2+SUM(F163:F168)+SUM(F170:F174)+SUM(F176:F177,F179:F181)*2+SUM(F190:F194)+SUM(F196:F200)+SUM(F202:F205)*2+SUM(F207:F211)*2+SUM(F213:F214,F216:F218)</f>
        <v>167780.31617879999</v>
      </c>
      <c r="H111" s="90"/>
    </row>
    <row r="112" spans="1:9" s="35" customFormat="1" x14ac:dyDescent="0.25">
      <c r="A112" s="100" t="s">
        <v>202</v>
      </c>
      <c r="B112" s="100"/>
      <c r="C112" s="101">
        <f>COUNT(D222:D223)+COUNT(D225:D229)*3+COUNT(D231:D235)+COUNT(D237:D243)*18+COUNT(D245:D248,D250:D251)*5</f>
        <v>178</v>
      </c>
      <c r="D112" s="101"/>
      <c r="E112" s="90">
        <f>SUM(D222:D223)+SUM(D225:D229)*3+SUM(D231:D235)+SUM(D237:D243)*18+SUM(D245:D248,D250:D251)*5</f>
        <v>97450.474679999985</v>
      </c>
      <c r="F112" s="90"/>
      <c r="G112" s="90">
        <f>SUM(F222:F223)+SUM(F225:F229)*3+SUM(F231:F235)+SUM(F237:F243)*18+SUM(F245:F248,F250:F251)*5</f>
        <v>146175.71201999998</v>
      </c>
      <c r="H112" s="90"/>
    </row>
    <row r="113" spans="1:14" s="35" customFormat="1" x14ac:dyDescent="0.25">
      <c r="A113" s="127" t="s">
        <v>159</v>
      </c>
      <c r="B113" s="127"/>
      <c r="C113" s="104">
        <f>SUM(C111:C112)</f>
        <v>316</v>
      </c>
      <c r="D113" s="104"/>
      <c r="E113" s="128">
        <f>SUM(E111:E112)</f>
        <v>203733.64879919996</v>
      </c>
      <c r="F113" s="126"/>
      <c r="G113" s="99">
        <f>SUM(G111:G112)</f>
        <v>313956.02819879993</v>
      </c>
      <c r="H113" s="99"/>
      <c r="I113" s="34"/>
    </row>
    <row r="114" spans="1:14" s="34" customFormat="1" x14ac:dyDescent="0.25">
      <c r="A114" s="89" t="s">
        <v>59</v>
      </c>
      <c r="B114" s="89"/>
      <c r="C114" s="89"/>
      <c r="D114" s="89"/>
      <c r="E114" s="89"/>
      <c r="F114" s="89"/>
      <c r="G114" s="89"/>
      <c r="H114" s="89"/>
      <c r="I114" s="20"/>
    </row>
    <row r="115" spans="1:14" x14ac:dyDescent="0.25">
      <c r="A115" s="89" t="s">
        <v>60</v>
      </c>
      <c r="B115" s="89"/>
      <c r="C115" s="89"/>
      <c r="D115" s="89"/>
      <c r="E115" s="89"/>
      <c r="F115" s="89"/>
      <c r="G115" s="89"/>
      <c r="H115" s="89"/>
    </row>
    <row r="116" spans="1:14" ht="47.25" customHeight="1" x14ac:dyDescent="0.25">
      <c r="A116" s="97" t="s">
        <v>126</v>
      </c>
      <c r="B116" s="97" t="s">
        <v>125</v>
      </c>
      <c r="C116" s="97" t="s">
        <v>61</v>
      </c>
      <c r="D116" s="97" t="s">
        <v>62</v>
      </c>
      <c r="E116" s="173" t="s">
        <v>165</v>
      </c>
      <c r="F116" s="43" t="s">
        <v>158</v>
      </c>
      <c r="G116" s="91" t="s">
        <v>64</v>
      </c>
      <c r="H116" s="175"/>
      <c r="I116" s="45"/>
    </row>
    <row r="117" spans="1:14" s="45" customFormat="1" x14ac:dyDescent="0.25">
      <c r="A117" s="98"/>
      <c r="B117" s="98"/>
      <c r="C117" s="98"/>
      <c r="D117" s="98"/>
      <c r="E117" s="174"/>
      <c r="F117" s="15">
        <v>0.6</v>
      </c>
      <c r="G117" s="92"/>
      <c r="H117" s="176"/>
      <c r="I117" s="20"/>
    </row>
    <row r="118" spans="1:14" x14ac:dyDescent="0.25">
      <c r="A118" s="89" t="s">
        <v>202</v>
      </c>
      <c r="B118" s="89"/>
      <c r="C118" s="89"/>
      <c r="D118" s="89"/>
      <c r="E118" s="89"/>
      <c r="F118" s="89"/>
      <c r="G118" s="89"/>
      <c r="H118" s="89"/>
      <c r="I118" s="45"/>
    </row>
    <row r="119" spans="1:14" s="45" customFormat="1" x14ac:dyDescent="0.25">
      <c r="A119" s="76" t="s">
        <v>203</v>
      </c>
      <c r="B119" s="77"/>
      <c r="C119" s="77"/>
      <c r="D119" s="77"/>
      <c r="E119" s="77"/>
      <c r="F119" s="77"/>
      <c r="G119" s="77"/>
      <c r="H119" s="78"/>
      <c r="I119" s="36"/>
      <c r="J119" s="36"/>
    </row>
    <row r="120" spans="1:14" s="45" customFormat="1" x14ac:dyDescent="0.25">
      <c r="A120" s="71">
        <v>1</v>
      </c>
      <c r="B120" s="72"/>
      <c r="C120" s="42" t="s">
        <v>204</v>
      </c>
      <c r="D120" s="42">
        <f>(19.54)*10.764</f>
        <v>210.32855999999998</v>
      </c>
      <c r="E120" s="42">
        <v>0</v>
      </c>
      <c r="F120" s="42">
        <f>(D120+E120)*(($F$117)+1)</f>
        <v>336.52569599999998</v>
      </c>
      <c r="G120" s="71" t="str">
        <f>A119</f>
        <v>Ground Floor for Commercial &amp; Parking</v>
      </c>
      <c r="H120" s="72"/>
      <c r="I120" s="36"/>
      <c r="L120" s="83"/>
      <c r="M120" s="83"/>
      <c r="N120" s="36"/>
    </row>
    <row r="121" spans="1:14" s="45" customFormat="1" x14ac:dyDescent="0.25">
      <c r="A121" s="71">
        <f t="shared" ref="A121" si="0">A120+1</f>
        <v>2</v>
      </c>
      <c r="B121" s="72"/>
      <c r="C121" s="54" t="s">
        <v>204</v>
      </c>
      <c r="D121" s="42">
        <f>(28.86)*10.764</f>
        <v>310.64903999999996</v>
      </c>
      <c r="E121" s="42">
        <v>0</v>
      </c>
      <c r="F121" s="42">
        <f>(D121+E121)*(($F$117)+1)</f>
        <v>497.03846399999998</v>
      </c>
      <c r="G121" s="71" t="str">
        <f t="shared" ref="G121" si="1">G120</f>
        <v>Ground Floor for Commercial &amp; Parking</v>
      </c>
      <c r="H121" s="72"/>
      <c r="I121" s="36"/>
      <c r="L121" s="83"/>
      <c r="M121" s="83"/>
      <c r="N121" s="36"/>
    </row>
    <row r="122" spans="1:14" s="45" customFormat="1" x14ac:dyDescent="0.25">
      <c r="A122" s="71"/>
      <c r="B122" s="75"/>
      <c r="C122" s="75"/>
      <c r="D122" s="75"/>
      <c r="E122" s="75"/>
      <c r="F122" s="75"/>
      <c r="G122" s="75"/>
      <c r="H122" s="72"/>
      <c r="I122" s="36"/>
      <c r="N122" s="36"/>
    </row>
    <row r="123" spans="1:14" ht="47.25" customHeight="1" x14ac:dyDescent="0.25">
      <c r="A123" s="91" t="s">
        <v>127</v>
      </c>
      <c r="B123" s="91" t="s">
        <v>128</v>
      </c>
      <c r="C123" s="97" t="s">
        <v>61</v>
      </c>
      <c r="D123" s="97" t="s">
        <v>62</v>
      </c>
      <c r="E123" s="173" t="s">
        <v>63</v>
      </c>
      <c r="F123" s="43" t="s">
        <v>158</v>
      </c>
      <c r="G123" s="91" t="s">
        <v>64</v>
      </c>
      <c r="H123" s="175"/>
      <c r="I123" s="36"/>
    </row>
    <row r="124" spans="1:14" s="45" customFormat="1" x14ac:dyDescent="0.25">
      <c r="A124" s="92"/>
      <c r="B124" s="92"/>
      <c r="C124" s="98"/>
      <c r="D124" s="98"/>
      <c r="E124" s="174"/>
      <c r="F124" s="15">
        <v>0.5</v>
      </c>
      <c r="G124" s="92"/>
      <c r="H124" s="176"/>
      <c r="I124" s="20"/>
    </row>
    <row r="125" spans="1:14" x14ac:dyDescent="0.25">
      <c r="A125" s="89" t="s">
        <v>210</v>
      </c>
      <c r="B125" s="89"/>
      <c r="C125" s="89"/>
      <c r="D125" s="89"/>
      <c r="E125" s="89"/>
      <c r="F125" s="89"/>
      <c r="G125" s="89"/>
      <c r="H125" s="89"/>
    </row>
    <row r="126" spans="1:14" x14ac:dyDescent="0.25">
      <c r="A126" s="89" t="s">
        <v>176</v>
      </c>
      <c r="B126" s="89"/>
      <c r="C126" s="89"/>
      <c r="D126" s="89"/>
      <c r="E126" s="89"/>
      <c r="F126" s="89"/>
      <c r="G126" s="89"/>
      <c r="H126" s="89"/>
    </row>
    <row r="127" spans="1:14" x14ac:dyDescent="0.25">
      <c r="A127" s="89" t="s">
        <v>177</v>
      </c>
      <c r="B127" s="89"/>
      <c r="C127" s="89"/>
      <c r="D127" s="89"/>
      <c r="E127" s="89"/>
      <c r="F127" s="89"/>
      <c r="G127" s="89"/>
      <c r="H127" s="89"/>
      <c r="I127" s="45"/>
    </row>
    <row r="128" spans="1:14" s="45" customFormat="1" x14ac:dyDescent="0.25">
      <c r="A128" s="76" t="s">
        <v>179</v>
      </c>
      <c r="B128" s="77"/>
      <c r="C128" s="77"/>
      <c r="D128" s="77"/>
      <c r="E128" s="77"/>
      <c r="F128" s="77"/>
      <c r="G128" s="77"/>
      <c r="H128" s="78"/>
      <c r="I128" s="36">
        <f>8655000/F129</f>
        <v>7336.2732407026961</v>
      </c>
      <c r="J128" s="36"/>
    </row>
    <row r="129" spans="1:16" s="45" customFormat="1" x14ac:dyDescent="0.25">
      <c r="A129" s="71">
        <v>1</v>
      </c>
      <c r="B129" s="72"/>
      <c r="C129" s="42" t="s">
        <v>178</v>
      </c>
      <c r="D129" s="42">
        <f>(5.22*3.2+1.7*3.32+2.35*1.9+0.5*1.07+1.22*2.42+3.32*2.95+2.45*4.47+0.6*2.22+2.05*1+2.45*1.35+1*2.5+0.75*(3.2+2.3+2.95)+0.45*(2.2+2.1+2))*10.764</f>
        <v>747.10663559999989</v>
      </c>
      <c r="E129" s="42">
        <f>(3.05*1.8)*10.764</f>
        <v>59.094360000000002</v>
      </c>
      <c r="F129" s="42">
        <f>D129*(($F$124)+1)+(IF(E129&lt;101,E129,IF(E129&lt;201,E129/2,IF(E129&lt;=301,E129/3,E129/4))))</f>
        <v>1179.7543133999998</v>
      </c>
      <c r="G129" s="71" t="str">
        <f>A128</f>
        <v>2nd &amp; 4th Podium Floor for Residential &amp; Parking</v>
      </c>
      <c r="H129" s="72"/>
      <c r="I129" s="36"/>
      <c r="K129" s="45">
        <f>7200*F129</f>
        <v>8494231.0564799979</v>
      </c>
      <c r="L129" s="83"/>
      <c r="M129" s="83"/>
      <c r="N129" s="36"/>
    </row>
    <row r="130" spans="1:16" s="45" customFormat="1" x14ac:dyDescent="0.25">
      <c r="A130" s="71">
        <f t="shared" ref="A130:A131" si="2">A129+1</f>
        <v>2</v>
      </c>
      <c r="B130" s="72"/>
      <c r="C130" s="42" t="s">
        <v>178</v>
      </c>
      <c r="D130" s="42">
        <f>(3.2*3.12+2.47*0.6+1.52*1.9+1.7*3.32+0.5*1.07+2.26*3.32+2.45*4.47+0.6*0.9+0.45*1.02+0.58*1+1*2.75+2.45*1.35+2.45*1.35+0.75*(3.2+2.4+2.26)+0.45*(2.1+2.1+2.3))*10.764</f>
        <v>632.4032987999999</v>
      </c>
      <c r="E130" s="42">
        <f>(3.05*1.8)*10.764</f>
        <v>59.094360000000002</v>
      </c>
      <c r="F130" s="42">
        <f>D130*(($F$124)+1)+(IF(E130&lt;101,E130,IF(E130&lt;201,E130/2,IF(E130&lt;=301,E130/3,E130/4))))</f>
        <v>1007.6993081999999</v>
      </c>
      <c r="G130" s="71" t="str">
        <f t="shared" ref="G130:G131" si="3">G129</f>
        <v>2nd &amp; 4th Podium Floor for Residential &amp; Parking</v>
      </c>
      <c r="H130" s="72"/>
      <c r="I130" s="36"/>
      <c r="K130" s="53">
        <f t="shared" ref="K130:K193" si="4">7200*F130</f>
        <v>7255435.0190399997</v>
      </c>
      <c r="L130" s="83"/>
      <c r="M130" s="83"/>
      <c r="N130" s="36"/>
    </row>
    <row r="131" spans="1:16" s="45" customFormat="1" x14ac:dyDescent="0.25">
      <c r="A131" s="71">
        <f t="shared" si="2"/>
        <v>3</v>
      </c>
      <c r="B131" s="72"/>
      <c r="C131" s="42" t="s">
        <v>178</v>
      </c>
      <c r="D131" s="42">
        <f>(3.2*3.15+2.17*0.6+1.22*1.9+0.5*1.1+3.32*1.7+1.37*2.42+2.25*3.32+2.45*4.47+0.6*1.38+0.45*0.69+1.35*1+1*3.8+2.3*1.35+0.45*(2+2+2.1)+0.75*(3.2+2.3+2.25))*10.764</f>
        <v>641.33957159999989</v>
      </c>
      <c r="E131" s="42">
        <f>(3.05*1.8)*10.764</f>
        <v>59.094360000000002</v>
      </c>
      <c r="F131" s="42">
        <f>D131*(($F$124)+1)+(IF(E131&lt;101,E131,IF(E131&lt;201,E131/2,IF(E131&lt;=301,E131/3,E131/4))))</f>
        <v>1021.1037173999998</v>
      </c>
      <c r="G131" s="71" t="str">
        <f t="shared" si="3"/>
        <v>2nd &amp; 4th Podium Floor for Residential &amp; Parking</v>
      </c>
      <c r="H131" s="72"/>
      <c r="I131" s="51"/>
      <c r="K131" s="53">
        <f t="shared" si="4"/>
        <v>7351946.765279999</v>
      </c>
      <c r="L131" s="83"/>
      <c r="M131" s="83"/>
      <c r="N131" s="36"/>
    </row>
    <row r="132" spans="1:16" s="51" customFormat="1" x14ac:dyDescent="0.25">
      <c r="A132" s="76" t="s">
        <v>180</v>
      </c>
      <c r="B132" s="77"/>
      <c r="C132" s="77"/>
      <c r="D132" s="77"/>
      <c r="E132" s="77"/>
      <c r="F132" s="77"/>
      <c r="G132" s="77"/>
      <c r="H132" s="78"/>
      <c r="I132" s="36"/>
      <c r="J132" s="36"/>
      <c r="K132" s="53">
        <f t="shared" si="4"/>
        <v>0</v>
      </c>
    </row>
    <row r="133" spans="1:16" s="51" customFormat="1" x14ac:dyDescent="0.25">
      <c r="A133" s="71">
        <v>1</v>
      </c>
      <c r="B133" s="72"/>
      <c r="C133" s="50" t="s">
        <v>178</v>
      </c>
      <c r="D133" s="50">
        <f>(3.2*5.22+2.35*1.9+2.3*2.42+1.6*0.9+1.22*2.42+2.35*3.32+0.6*1.82+2.45*2.97+0.6*0.87+1.5*2.9+2.45*1.35+2.15*1+1*2.6+0.45*(2.2+0.75+1.4+2)+0.75*(2+3.1+3))*10.764</f>
        <v>744.43716359999985</v>
      </c>
      <c r="E133" s="50">
        <f>(3.2*1.8)*10.764</f>
        <v>62.000640000000004</v>
      </c>
      <c r="F133" s="50">
        <f>D133*(($F$124)+1)+(IF(E133&lt;101,E133,IF(E133&lt;201,E133/2,IF(E133&lt;=301,E133/3,E133/4))))</f>
        <v>1178.6563853999999</v>
      </c>
      <c r="G133" s="71" t="str">
        <f>A132</f>
        <v xml:space="preserve">3rd Podium Floor </v>
      </c>
      <c r="H133" s="72"/>
      <c r="I133" s="36"/>
      <c r="K133" s="53">
        <f t="shared" si="4"/>
        <v>8486325.9748799987</v>
      </c>
      <c r="L133" s="83"/>
      <c r="M133" s="83"/>
      <c r="N133" s="36"/>
    </row>
    <row r="134" spans="1:16" s="51" customFormat="1" x14ac:dyDescent="0.25">
      <c r="A134" s="71">
        <f t="shared" ref="A134:A135" si="5">A133+1</f>
        <v>2</v>
      </c>
      <c r="B134" s="72"/>
      <c r="C134" s="50" t="s">
        <v>178</v>
      </c>
      <c r="D134" s="50">
        <f>(3.2*4.62+2.47*0.6+1.52*1.9+2.2*1.82+1.5*2.2+2.25*1.82+1.65*1.5+2.45*2.97+1.5*3+0.58*1.08+0.6*0.9+1*2.9+2.45*1.85+2.45*1.35+0.45*(2.1+1.2+2.1)+0.75*(2.2+5.6))*10.764</f>
        <v>699.56204759999991</v>
      </c>
      <c r="E134" s="50">
        <f>(3.2*1.8)*10.764</f>
        <v>62.000640000000004</v>
      </c>
      <c r="F134" s="50">
        <f>D134*(($F$124)+1)+(IF(E134&lt;101,E134,IF(E134&lt;201,E134/2,IF(E134&lt;=301,E134/3,E134/4))))</f>
        <v>1111.3437113999998</v>
      </c>
      <c r="G134" s="71" t="str">
        <f t="shared" ref="G134:G135" si="6">G133</f>
        <v xml:space="preserve">3rd Podium Floor </v>
      </c>
      <c r="H134" s="72"/>
      <c r="I134" s="36"/>
      <c r="K134" s="53">
        <f t="shared" si="4"/>
        <v>8001674.7220799988</v>
      </c>
      <c r="L134" s="83"/>
      <c r="M134" s="83"/>
      <c r="N134" s="36"/>
    </row>
    <row r="135" spans="1:16" s="51" customFormat="1" x14ac:dyDescent="0.25">
      <c r="A135" s="71">
        <f t="shared" si="5"/>
        <v>3</v>
      </c>
      <c r="B135" s="72"/>
      <c r="C135" s="50" t="s">
        <v>178</v>
      </c>
      <c r="D135" s="50">
        <f>(3.2*4.65+2.17*0.6+1.22*1.9+2.2*2.42+1.7*0.9+1.37*2.42+2.25*1.82+1.5*1.5+2.45*2.97+1.5*2.9+0.6*1.37+2.3*1.35+1.35*1+1*3.8+0.75*(2.2+5.5)+0.45*(1.9+0.7+1.5+1.5))*10.764</f>
        <v>689.03485560000001</v>
      </c>
      <c r="E135" s="50">
        <f>(3.2*1.8)*10.764</f>
        <v>62.000640000000004</v>
      </c>
      <c r="F135" s="50">
        <f>D135*(($F$124)+1)+(IF(E135&lt;101,E135,IF(E135&lt;201,E135/2,IF(E135&lt;=301,E135/3,E135/4))))</f>
        <v>1095.5529234000001</v>
      </c>
      <c r="G135" s="71" t="str">
        <f t="shared" si="6"/>
        <v xml:space="preserve">3rd Podium Floor </v>
      </c>
      <c r="H135" s="72"/>
      <c r="I135" s="36"/>
      <c r="K135" s="53">
        <f t="shared" si="4"/>
        <v>7887981.0484800003</v>
      </c>
      <c r="L135" s="83"/>
      <c r="M135" s="83"/>
      <c r="N135" s="36"/>
    </row>
    <row r="136" spans="1:16" s="45" customFormat="1" x14ac:dyDescent="0.25">
      <c r="A136" s="85" t="s">
        <v>181</v>
      </c>
      <c r="B136" s="85"/>
      <c r="C136" s="85"/>
      <c r="D136" s="85"/>
      <c r="E136" s="85"/>
      <c r="F136" s="85"/>
      <c r="G136" s="85"/>
      <c r="H136" s="85"/>
      <c r="I136" s="36"/>
      <c r="K136" s="53">
        <f t="shared" si="4"/>
        <v>0</v>
      </c>
      <c r="L136" s="83"/>
      <c r="M136" s="83"/>
    </row>
    <row r="137" spans="1:16" s="45" customFormat="1" x14ac:dyDescent="0.25">
      <c r="A137" s="79">
        <v>1</v>
      </c>
      <c r="B137" s="79"/>
      <c r="C137" s="42" t="s">
        <v>178</v>
      </c>
      <c r="D137" s="50">
        <f>(3.2*5.22+2.35*1.9+2.3*2.42+1.6*0.9+1.22*2.42+2.35*3.32+0.6*1.82+2.45*2.97+0.6*0.87+1.5*2.9+2.45*1.35+2.15*1+1*2.6+0.45*(2.2+0.75+1.4+2)+0.75*(2+3.1+3))*10.764</f>
        <v>744.43716359999985</v>
      </c>
      <c r="E137" s="50">
        <f>(3.2*1.8)*10.764</f>
        <v>62.000640000000004</v>
      </c>
      <c r="F137" s="42">
        <f t="shared" ref="F137:F138" si="7">D137*(($F$124)+1)+(IF(E137&lt;101,E137,IF(E137&lt;201,E137/2,IF(E137&lt;=301,E137/3,E137/4))))</f>
        <v>1178.6563853999999</v>
      </c>
      <c r="G137" s="79" t="str">
        <f>A136</f>
        <v>5th Podium Floor (Part Refuge Area)</v>
      </c>
      <c r="H137" s="79"/>
      <c r="I137" s="36"/>
      <c r="K137" s="53">
        <f t="shared" si="4"/>
        <v>8486325.9748799987</v>
      </c>
      <c r="N137" s="36"/>
    </row>
    <row r="138" spans="1:16" s="45" customFormat="1" x14ac:dyDescent="0.25">
      <c r="A138" s="79">
        <f>A137+1</f>
        <v>2</v>
      </c>
      <c r="B138" s="79"/>
      <c r="C138" s="42" t="s">
        <v>178</v>
      </c>
      <c r="D138" s="50">
        <f>(3.2*4.62+2.47*0.6+1.52*1.9+2.2*1.82+1.5*2.2+2.25*1.82+1.65*1.5+2.45*2.97+1.5*3+0.58*1.08+0.6*0.9+1*2.9+2.45*1.85+2.45*1.35+0.45*(2.1+1.2+2.1)+0.75*(2.2+5.6))*10.764</f>
        <v>699.56204759999991</v>
      </c>
      <c r="E138" s="50">
        <f>(3.2*1.8)*10.764</f>
        <v>62.000640000000004</v>
      </c>
      <c r="F138" s="42">
        <f t="shared" si="7"/>
        <v>1111.3437113999998</v>
      </c>
      <c r="G138" s="79" t="str">
        <f>G137</f>
        <v>5th Podium Floor (Part Refuge Area)</v>
      </c>
      <c r="H138" s="79"/>
      <c r="I138" s="36"/>
      <c r="K138" s="53">
        <f t="shared" si="4"/>
        <v>8001674.7220799988</v>
      </c>
      <c r="N138" s="36"/>
    </row>
    <row r="139" spans="1:16" s="45" customFormat="1" x14ac:dyDescent="0.25">
      <c r="A139" s="79">
        <f>A138+1</f>
        <v>3</v>
      </c>
      <c r="B139" s="79"/>
      <c r="C139" s="71" t="s">
        <v>182</v>
      </c>
      <c r="D139" s="75"/>
      <c r="E139" s="75"/>
      <c r="F139" s="72"/>
      <c r="G139" s="79" t="str">
        <f>G138</f>
        <v>5th Podium Floor (Part Refuge Area)</v>
      </c>
      <c r="H139" s="79"/>
      <c r="I139" s="51"/>
      <c r="K139" s="53">
        <f t="shared" si="4"/>
        <v>0</v>
      </c>
      <c r="N139" s="36"/>
    </row>
    <row r="140" spans="1:16" s="51" customFormat="1" x14ac:dyDescent="0.25">
      <c r="A140" s="76" t="s">
        <v>183</v>
      </c>
      <c r="B140" s="77"/>
      <c r="C140" s="77"/>
      <c r="D140" s="77"/>
      <c r="E140" s="77"/>
      <c r="F140" s="77"/>
      <c r="G140" s="77"/>
      <c r="H140" s="78"/>
      <c r="I140" s="36">
        <f>8500000/F141</f>
        <v>7204.8899533186495</v>
      </c>
      <c r="J140" s="36"/>
      <c r="K140" s="53">
        <f t="shared" si="4"/>
        <v>0</v>
      </c>
    </row>
    <row r="141" spans="1:16" s="51" customFormat="1" x14ac:dyDescent="0.25">
      <c r="A141" s="71">
        <v>1</v>
      </c>
      <c r="B141" s="72"/>
      <c r="C141" s="50" t="s">
        <v>178</v>
      </c>
      <c r="D141" s="50">
        <f>(5.22*3.2+1.7*3.32+2.35*1.9+0.5*1.07+1.22*2.42+3.32*2.95+2.45*4.47+0.6*2.22+2.05*1+2.45*1.35+1*2.5+0.75*(3.2+2.3+2.95)+0.45*(2.2+2.1+2))*10.764</f>
        <v>747.10663559999989</v>
      </c>
      <c r="E141" s="50">
        <f>(3.05*1.8)*10.764</f>
        <v>59.094360000000002</v>
      </c>
      <c r="F141" s="50">
        <f>D141*(($F$124)+1)+(IF(E141&lt;101,E141,IF(E141&lt;201,E141/2,IF(E141&lt;=301,E141/3,E141/4))))</f>
        <v>1179.7543133999998</v>
      </c>
      <c r="G141" s="71" t="str">
        <f>A140</f>
        <v xml:space="preserve">6th Floor for Amenities Floor </v>
      </c>
      <c r="H141" s="72"/>
      <c r="I141" s="36"/>
      <c r="K141" s="53">
        <f t="shared" si="4"/>
        <v>8494231.0564799979</v>
      </c>
      <c r="L141" s="83"/>
      <c r="M141" s="83"/>
      <c r="N141" s="36"/>
    </row>
    <row r="142" spans="1:16" s="51" customFormat="1" x14ac:dyDescent="0.25">
      <c r="A142" s="71">
        <f t="shared" ref="A142:A143" si="8">A141+1</f>
        <v>2</v>
      </c>
      <c r="B142" s="72"/>
      <c r="C142" s="50" t="s">
        <v>178</v>
      </c>
      <c r="D142" s="50">
        <f>(3.2*3.12+2.47*0.6+1.52*1.9+1.7*3.32+0.5*1.07+2.26*3.32+2.45*4.47+0.6*0.9+0.45*1.02+0.58*1+1*2.75+2.45*1.35+2.45*1.35+0.75*(3.2+2.4+2.26)+0.45*(2.1+2.1+2.3))*10.764</f>
        <v>632.4032987999999</v>
      </c>
      <c r="E142" s="50">
        <f>(3.05*1.8)*10.764</f>
        <v>59.094360000000002</v>
      </c>
      <c r="F142" s="50">
        <f>D142*(($F$124)+1)+(IF(E142&lt;101,E142,IF(E142&lt;201,E142/2,IF(E142&lt;=301,E142/3,E142/4))))</f>
        <v>1007.6993081999999</v>
      </c>
      <c r="G142" s="71" t="str">
        <f t="shared" ref="G142:G143" si="9">G141</f>
        <v xml:space="preserve">6th Floor for Amenities Floor </v>
      </c>
      <c r="H142" s="72"/>
      <c r="I142" s="36"/>
      <c r="K142" s="53">
        <f t="shared" si="4"/>
        <v>7255435.0190399997</v>
      </c>
      <c r="L142" s="83"/>
      <c r="M142" s="83"/>
      <c r="N142" s="36"/>
    </row>
    <row r="143" spans="1:16" s="51" customFormat="1" x14ac:dyDescent="0.25">
      <c r="A143" s="71">
        <f t="shared" si="8"/>
        <v>3</v>
      </c>
      <c r="B143" s="72"/>
      <c r="C143" s="50" t="s">
        <v>178</v>
      </c>
      <c r="D143" s="50">
        <f>(3.2*3.15+2.17*0.6+1.22*1.9+0.5*1.1+3.32*1.7+1.37*2.42+2.25*3.32+2.45*4.47+0.6*1.38+0.45*0.69+1.35*1+1*3.8+2.3*1.35+0.45*(2+2+2.1)+0.75*(3.2+2.3+2.25))*10.764</f>
        <v>641.33957159999989</v>
      </c>
      <c r="E143" s="50">
        <f>(3.05*1.8)*10.764</f>
        <v>59.094360000000002</v>
      </c>
      <c r="F143" s="50">
        <f>D143*(($F$124)+1)+(IF(E143&lt;101,E143,IF(E143&lt;201,E143/2,IF(E143&lt;=301,E143/3,E143/4))))</f>
        <v>1021.1037173999998</v>
      </c>
      <c r="G143" s="71" t="str">
        <f t="shared" si="9"/>
        <v xml:space="preserve">6th Floor for Amenities Floor </v>
      </c>
      <c r="H143" s="72"/>
      <c r="I143" s="36"/>
      <c r="K143" s="53">
        <f t="shared" si="4"/>
        <v>7351946.765279999</v>
      </c>
      <c r="L143" s="83"/>
      <c r="M143" s="83"/>
      <c r="N143" s="36"/>
    </row>
    <row r="144" spans="1:16" s="45" customFormat="1" ht="15.75" customHeight="1" x14ac:dyDescent="0.25">
      <c r="A144" s="85" t="s">
        <v>184</v>
      </c>
      <c r="B144" s="85"/>
      <c r="C144" s="85"/>
      <c r="D144" s="85"/>
      <c r="E144" s="85"/>
      <c r="F144" s="85"/>
      <c r="G144" s="85"/>
      <c r="H144" s="85"/>
      <c r="I144" s="36"/>
      <c r="K144" s="53">
        <f t="shared" si="4"/>
        <v>0</v>
      </c>
      <c r="P144" s="37"/>
    </row>
    <row r="145" spans="1:16" s="45" customFormat="1" x14ac:dyDescent="0.25">
      <c r="A145" s="79">
        <v>1</v>
      </c>
      <c r="B145" s="79"/>
      <c r="C145" s="66" t="s">
        <v>178</v>
      </c>
      <c r="D145" s="66">
        <f>(3.2*5.22+2.35*1.9+2.3*2.42+1.6*0.9+1.22*2.42+2.35*3.32+0.6*1.82+2.45*2.97+0.6*0.87+1.5*2.9+2.45*1.35+2.15*1+1*2.6+0.45*(2.2+0.75+1.4+2)+0.75*(2+3.1+3))*10.764</f>
        <v>744.43716359999985</v>
      </c>
      <c r="E145" s="66">
        <f t="shared" ref="E145:E150" si="10">(3.2*1.8)*10.764</f>
        <v>62.000640000000004</v>
      </c>
      <c r="F145" s="66">
        <f t="shared" ref="F145:F150" si="11">D145*(($F$124)+1)+(IF(E145&lt;101,E145,IF(E145&lt;201,E145/2,IF(E145&lt;=301,E145/3,E145/4))))</f>
        <v>1178.6563853999999</v>
      </c>
      <c r="G145" s="79" t="str">
        <f>A144</f>
        <v>7th, 9th, 25th, 27th &amp; 29th Floor</v>
      </c>
      <c r="H145" s="79"/>
      <c r="I145" s="36"/>
      <c r="K145" s="53">
        <f t="shared" si="4"/>
        <v>8486325.9748799987</v>
      </c>
    </row>
    <row r="146" spans="1:16" s="45" customFormat="1" x14ac:dyDescent="0.25">
      <c r="A146" s="79">
        <v>2</v>
      </c>
      <c r="B146" s="79"/>
      <c r="C146" s="66" t="s">
        <v>178</v>
      </c>
      <c r="D146" s="66">
        <f>(3.2*4.62+2.47*0.6+1.52*1.9+2.2*1.82+1.5*2.2+2.25*1.82+1.65*1.5+2.45*2.97+1.5*3+0.58*1.08+0.6*0.9+1*2.9+2.45*1.85+2.45*1.35+0.45*(2.1+1.2+2.1)+0.75*(2.2+5.6))*10.764</f>
        <v>699.56204759999991</v>
      </c>
      <c r="E146" s="66">
        <f t="shared" si="10"/>
        <v>62.000640000000004</v>
      </c>
      <c r="F146" s="66">
        <f t="shared" si="11"/>
        <v>1111.3437113999998</v>
      </c>
      <c r="G146" s="79" t="str">
        <f>G145</f>
        <v>7th, 9th, 25th, 27th &amp; 29th Floor</v>
      </c>
      <c r="H146" s="79"/>
      <c r="I146" s="36"/>
      <c r="K146" s="53">
        <f t="shared" si="4"/>
        <v>8001674.7220799988</v>
      </c>
    </row>
    <row r="147" spans="1:16" s="45" customFormat="1" ht="15.75" customHeight="1" x14ac:dyDescent="0.25">
      <c r="A147" s="79">
        <v>3</v>
      </c>
      <c r="B147" s="79"/>
      <c r="C147" s="66" t="s">
        <v>178</v>
      </c>
      <c r="D147" s="66">
        <f>(3.2*4.65+2.17*0.6+1.22*1.9+2.2*2.42+1.7*0.9+1.37*2.42+2.25*1.82+1.5*1.5+2.45*2.97+1.5*2.9+0.6*1.37+2.3*1.35+1.35*1+1*3.8+0.75*(2.2+5.5)+0.45*(1.9+0.7+1.5+1.5))*10.764</f>
        <v>689.03485560000001</v>
      </c>
      <c r="E147" s="66">
        <f t="shared" si="10"/>
        <v>62.000640000000004</v>
      </c>
      <c r="F147" s="66">
        <f t="shared" si="11"/>
        <v>1095.5529234000001</v>
      </c>
      <c r="G147" s="79" t="str">
        <f>G146</f>
        <v>7th, 9th, 25th, 27th &amp; 29th Floor</v>
      </c>
      <c r="H147" s="79"/>
      <c r="I147" s="36"/>
      <c r="K147" s="53">
        <f t="shared" si="4"/>
        <v>7887981.0484800003</v>
      </c>
    </row>
    <row r="148" spans="1:16" s="45" customFormat="1" ht="15.75" customHeight="1" x14ac:dyDescent="0.25">
      <c r="A148" s="79">
        <v>4</v>
      </c>
      <c r="B148" s="79"/>
      <c r="C148" s="66" t="s">
        <v>178</v>
      </c>
      <c r="D148" s="66">
        <f>(3.2*5.22+2.35*1.9+3.32*2.25+1.22*2.42+3.05*1.82+2.38*1.5+2.45*4.47+0.6*1.37+2.37*1.35+1.92*1+1*2.75+0.6*1.5+0.45*(2.1+1.5+1.5))*10.764</f>
        <v>684.05650560000004</v>
      </c>
      <c r="E148" s="66">
        <f t="shared" si="10"/>
        <v>62.000640000000004</v>
      </c>
      <c r="F148" s="66">
        <f t="shared" si="11"/>
        <v>1088.0853984</v>
      </c>
      <c r="G148" s="79" t="str">
        <f>G147</f>
        <v>7th, 9th, 25th, 27th &amp; 29th Floor</v>
      </c>
      <c r="H148" s="79"/>
      <c r="I148" s="36"/>
      <c r="K148" s="53">
        <f t="shared" si="4"/>
        <v>7834214.8684800006</v>
      </c>
    </row>
    <row r="149" spans="1:16" s="45" customFormat="1" ht="15.75" customHeight="1" x14ac:dyDescent="0.25">
      <c r="A149" s="79">
        <v>5</v>
      </c>
      <c r="B149" s="79"/>
      <c r="C149" s="66" t="s">
        <v>178</v>
      </c>
      <c r="D149" s="66">
        <f>(2.47*0.6+3.2*4.62+1.67*1.9+2.22*1.82+1.5*2.22+2.25*1.82+1.65*1.5+2.45*2.97+1.5*2.9+0.6*0.9+0.27*1+1*2.9+2.45*1.35+2.35*1.35+0.45*(2.2+1.4+2.1)+0.75*(2.2+5.4))*10.764</f>
        <v>683.0931276</v>
      </c>
      <c r="E149" s="66">
        <f t="shared" si="10"/>
        <v>62.000640000000004</v>
      </c>
      <c r="F149" s="66">
        <f t="shared" si="11"/>
        <v>1086.6403313999999</v>
      </c>
      <c r="G149" s="79" t="str">
        <f>G148</f>
        <v>7th, 9th, 25th, 27th &amp; 29th Floor</v>
      </c>
      <c r="H149" s="79"/>
      <c r="I149" s="36"/>
      <c r="K149" s="53">
        <f t="shared" si="4"/>
        <v>7823810.3860799996</v>
      </c>
    </row>
    <row r="150" spans="1:16" s="51" customFormat="1" ht="15.75" customHeight="1" x14ac:dyDescent="0.25">
      <c r="A150" s="79">
        <v>6</v>
      </c>
      <c r="B150" s="79"/>
      <c r="C150" s="66" t="s">
        <v>178</v>
      </c>
      <c r="D150" s="66">
        <f>(2.17*0.6+3.2*4.65+1.22*1.9+1.7*0.9+2.25*2.42+1.37*2.42+2.25*1.82+1.57*1.5+2.45*2.97+1.5*2.9+0.6*0.87+1.27*1+1*3.9+2.45*1.35+0.45*(2.1+0.7+1.4+2.25)+0.75*(2+5.4))*10.764</f>
        <v>692.32863959999997</v>
      </c>
      <c r="E150" s="66">
        <f t="shared" si="10"/>
        <v>62.000640000000004</v>
      </c>
      <c r="F150" s="66">
        <f t="shared" si="11"/>
        <v>1100.4935994</v>
      </c>
      <c r="G150" s="79" t="str">
        <f>G149</f>
        <v>7th, 9th, 25th, 27th &amp; 29th Floor</v>
      </c>
      <c r="H150" s="79"/>
      <c r="I150" s="36"/>
      <c r="K150" s="53">
        <f t="shared" si="4"/>
        <v>7923553.9156799996</v>
      </c>
    </row>
    <row r="151" spans="1:16" s="51" customFormat="1" x14ac:dyDescent="0.25">
      <c r="A151" s="85" t="s">
        <v>185</v>
      </c>
      <c r="B151" s="85"/>
      <c r="C151" s="85"/>
      <c r="D151" s="85"/>
      <c r="E151" s="85"/>
      <c r="F151" s="85"/>
      <c r="G151" s="85"/>
      <c r="H151" s="85"/>
      <c r="I151" s="36"/>
      <c r="K151" s="53">
        <f t="shared" si="4"/>
        <v>0</v>
      </c>
      <c r="P151" s="37"/>
    </row>
    <row r="152" spans="1:16" s="51" customFormat="1" x14ac:dyDescent="0.25">
      <c r="A152" s="79">
        <v>1</v>
      </c>
      <c r="B152" s="79"/>
      <c r="C152" s="66" t="s">
        <v>178</v>
      </c>
      <c r="D152" s="66">
        <f>(5.22*3.2+1.7*3.32+2.35*1.9+0.5*1.07+1.22*2.42+3.32*2.95+2.45*4.47+0.6*2.22+2.05*1+2.45*1.35+1*2.5+0.75*(3.2+2.3+2.95)+0.45*(2.2+2.1+2))*10.764</f>
        <v>747.10663559999989</v>
      </c>
      <c r="E152" s="66">
        <f>(3.05*1.8)*10.764</f>
        <v>59.094360000000002</v>
      </c>
      <c r="F152" s="66">
        <f>D152*(($F$124)+1)+(IF(E152&lt;101,E152,IF(E152&lt;201,E152/2,IF(E152&lt;=301,E152/3,E152/4))))</f>
        <v>1179.7543133999998</v>
      </c>
      <c r="G152" s="79" t="str">
        <f>A151</f>
        <v>8th &amp; 18th Floor (Part Refuge Area)</v>
      </c>
      <c r="H152" s="79"/>
      <c r="I152" s="36"/>
      <c r="K152" s="53">
        <f t="shared" si="4"/>
        <v>8494231.0564799979</v>
      </c>
    </row>
    <row r="153" spans="1:16" s="51" customFormat="1" x14ac:dyDescent="0.25">
      <c r="A153" s="79">
        <v>2</v>
      </c>
      <c r="B153" s="79"/>
      <c r="C153" s="66" t="s">
        <v>178</v>
      </c>
      <c r="D153" s="66">
        <f>(3.2*3.12+2.47*0.6+1.52*1.9+1.7*3.32+0.5*1.07+2.26*3.32+2.45*4.47+0.6*0.9+0.45*1.02+0.58*1+1*2.75+2.45*1.35+2.45*1.35+0.75*(3.2+2.4+2.26)+0.45*(2.1+2.1+2.3))*10.764</f>
        <v>632.4032987999999</v>
      </c>
      <c r="E153" s="66">
        <f>(3.05*1.8)*10.764</f>
        <v>59.094360000000002</v>
      </c>
      <c r="F153" s="66">
        <f>D153*(($F$124)+1)+(IF(E153&lt;101,E153,IF(E153&lt;201,E153/2,IF(E153&lt;=301,E153/3,E153/4))))</f>
        <v>1007.6993081999999</v>
      </c>
      <c r="G153" s="79" t="str">
        <f t="shared" ref="G153:G155" si="12">G152</f>
        <v>8th &amp; 18th Floor (Part Refuge Area)</v>
      </c>
      <c r="H153" s="79"/>
      <c r="I153" s="36"/>
      <c r="K153" s="53">
        <f t="shared" si="4"/>
        <v>7255435.0190399997</v>
      </c>
    </row>
    <row r="154" spans="1:16" s="51" customFormat="1" x14ac:dyDescent="0.25">
      <c r="A154" s="71">
        <v>3</v>
      </c>
      <c r="B154" s="72"/>
      <c r="C154" s="71" t="s">
        <v>182</v>
      </c>
      <c r="D154" s="75"/>
      <c r="E154" s="75"/>
      <c r="F154" s="72"/>
      <c r="G154" s="71" t="str">
        <f t="shared" si="12"/>
        <v>8th &amp; 18th Floor (Part Refuge Area)</v>
      </c>
      <c r="H154" s="72"/>
      <c r="I154" s="36"/>
      <c r="K154" s="53">
        <f t="shared" si="4"/>
        <v>0</v>
      </c>
    </row>
    <row r="155" spans="1:16" s="51" customFormat="1" x14ac:dyDescent="0.25">
      <c r="A155" s="71" t="s">
        <v>188</v>
      </c>
      <c r="B155" s="72"/>
      <c r="C155" s="52" t="s">
        <v>186</v>
      </c>
      <c r="D155" s="52">
        <f>(3.2*3.72+2.25*1.9+0.6*1.07+1.7*3.32+1.22*2.42+3.05*2.42+2.45*0.9+2.45*4.47+0.52*0.69+0.6*1.38+2.37*1.35+2*1+1*2.75+3.2*3.12+2.47*0.6+1.67*0.75+4.1*4.47+0.52*2.22+2.35*1.35+0.45*(2.2+2.2+2.25+2.2+0.8+2.1+0.75*(2.2+2+3.2+3.2+2.4+3.1)))*10.764</f>
        <v>1089.1537253999998</v>
      </c>
      <c r="E155" s="52">
        <f>(3.05*1.8)*10.764</f>
        <v>59.094360000000002</v>
      </c>
      <c r="F155" s="52">
        <f>D155*(($F$124)+1)+(IF(E155&lt;101,E155,IF(E155&lt;201,E155/2,IF(E155&lt;=301,E155/3,E155/4))))</f>
        <v>1692.8249480999998</v>
      </c>
      <c r="G155" s="71" t="str">
        <f t="shared" si="12"/>
        <v>8th &amp; 18th Floor (Part Refuge Area)</v>
      </c>
      <c r="H155" s="72"/>
      <c r="I155" s="36"/>
      <c r="K155" s="53">
        <f t="shared" si="4"/>
        <v>12188339.626319999</v>
      </c>
    </row>
    <row r="156" spans="1:16" s="51" customFormat="1" x14ac:dyDescent="0.25">
      <c r="A156" s="71">
        <v>6</v>
      </c>
      <c r="B156" s="72"/>
      <c r="C156" s="50" t="s">
        <v>187</v>
      </c>
      <c r="D156" s="50">
        <f>(3.2*3.15+1.5*3.2+1.22*1.9+2.17*0.6+0.55*1.1+1.7*3.32+1.37*2.42+2.17*3.32+2.45*4.47+0.52*0.22+1.35*1+1*3.9+2.45*1.35+3.05*0.9+2.45*3.57+0.52*1.17+2.45*1.35+0.45*(2.1+2.2+2.1+2.1)+0.75*(3.2+2+2.17))*10.764</f>
        <v>857.37520440000003</v>
      </c>
      <c r="E156" s="50">
        <f>(3.05*1.8+3.05*1.8)*10.764</f>
        <v>118.18872</v>
      </c>
      <c r="F156" s="50">
        <f>D156*(($F$124)+1)+(IF(E156&lt;101,E156,IF(E156&lt;201,E156/2,IF(E156&lt;=301,E156/3,E156/4))))</f>
        <v>1345.1571666</v>
      </c>
      <c r="G156" s="71" t="str">
        <f>A151</f>
        <v>8th &amp; 18th Floor (Part Refuge Area)</v>
      </c>
      <c r="H156" s="72"/>
      <c r="I156" s="36"/>
      <c r="K156" s="53">
        <f t="shared" si="4"/>
        <v>9685131.5995199997</v>
      </c>
    </row>
    <row r="157" spans="1:16" s="51" customFormat="1" ht="15.75" customHeight="1" x14ac:dyDescent="0.25">
      <c r="A157" s="76" t="s">
        <v>190</v>
      </c>
      <c r="B157" s="77"/>
      <c r="C157" s="77"/>
      <c r="D157" s="77"/>
      <c r="E157" s="77"/>
      <c r="F157" s="77"/>
      <c r="G157" s="77"/>
      <c r="H157" s="78"/>
      <c r="I157" s="36"/>
      <c r="K157" s="53">
        <f t="shared" si="4"/>
        <v>0</v>
      </c>
      <c r="P157" s="37"/>
    </row>
    <row r="158" spans="1:16" s="51" customFormat="1" x14ac:dyDescent="0.25">
      <c r="A158" s="71" t="s">
        <v>191</v>
      </c>
      <c r="B158" s="72"/>
      <c r="C158" s="50" t="s">
        <v>186</v>
      </c>
      <c r="D158" s="50">
        <f>(3.2*5.22+2.35*1.9+1.7*3.32+0.55*1.07+1.22*2.42+2.97*3.32+2.45*4.47+0.6*2.22+2.45*1.35+2.07*1+1*2.52+3.2*3.12+2.47*0.6+1.5*3.2+4.1*4.47+0.52*2.22+2.45*1.35+0.75*1.75+0.45*(2.1+2.2+2.2+2.2+2.2)+0.75*(4.5+3.2+3.2+2+3))*10.764</f>
        <v>1265.7678227999997</v>
      </c>
      <c r="E158" s="50">
        <f>(3.05*1.8)*10.764</f>
        <v>59.094360000000002</v>
      </c>
      <c r="F158" s="50">
        <f>D158*(($F$124)+1)+(IF(E158&lt;101,E158,IF(E158&lt;201,E158/2,IF(E158&lt;=301,E158/3,E158/4))))</f>
        <v>1957.7460941999998</v>
      </c>
      <c r="G158" s="71" t="str">
        <f>A157</f>
        <v>10th &amp; 16th Floor</v>
      </c>
      <c r="H158" s="72"/>
      <c r="I158" s="36"/>
      <c r="K158" s="53">
        <f t="shared" si="4"/>
        <v>14095771.878239999</v>
      </c>
    </row>
    <row r="159" spans="1:16" s="51" customFormat="1" ht="15.75" customHeight="1" x14ac:dyDescent="0.25">
      <c r="A159" s="71">
        <v>3</v>
      </c>
      <c r="B159" s="72"/>
      <c r="C159" s="50" t="s">
        <v>187</v>
      </c>
      <c r="D159" s="50">
        <f>(3.2*3.15+1.5*3.2+2.17*0.6+1.22*2.5+1.7*3.32+0.55*1.1+1.37*2.42+2.25*3.32+2.45*4.47+0.6*1.38+0.52*0.69+0.6*0.9+2.45*4.47+0.5*1.02+0.45*(2.1+2.1+2.1+2.3)+0.75*(3.2+2.1+2.25))*10.764</f>
        <v>752.82016679999992</v>
      </c>
      <c r="E159" s="50">
        <f>(3.05*1.8+1.8*3.05)*10.764</f>
        <v>118.18872</v>
      </c>
      <c r="F159" s="50">
        <f>D159*(($F$124)+1)+(IF(E159&lt;101,E159,IF(E159&lt;201,E159/2,IF(E159&lt;=301,E159/3,E159/4))))</f>
        <v>1188.3246101999998</v>
      </c>
      <c r="G159" s="71" t="str">
        <f>A157</f>
        <v>10th &amp; 16th Floor</v>
      </c>
      <c r="H159" s="72"/>
      <c r="I159" s="36"/>
      <c r="K159" s="53">
        <f t="shared" si="4"/>
        <v>8555937.1934399996</v>
      </c>
    </row>
    <row r="160" spans="1:16" s="51" customFormat="1" ht="15.75" customHeight="1" x14ac:dyDescent="0.25">
      <c r="A160" s="71" t="s">
        <v>188</v>
      </c>
      <c r="B160" s="72"/>
      <c r="C160" s="50" t="s">
        <v>186</v>
      </c>
      <c r="D160" s="50">
        <f>(3.2*3.72+1.5*3.2+2.25*1.9+1.7*3.32+0.6*1.07+1.22*2.42+3.05*2.42+2.45*0.9+2.45*4.47+0.6*1.38+0.52*0.69+2.37*1.35+2*1+1*2.52+3.2*3.72+2.47*0.6+1.5*3.2+0.7*1.8+2.35*1.35+4.1*4.47+0.52*2.22+0.45*(2.1+2.3+2.2+2.1+0.7+2.1)+0.75*(3.2+2.4+3.2+3.2+4.5))*10.764</f>
        <v>1284.2646803999999</v>
      </c>
      <c r="E160" s="50">
        <f>(3.05*1.8)*10.764</f>
        <v>59.094360000000002</v>
      </c>
      <c r="F160" s="50">
        <f>D160*(($F$124)+1)+(IF(E160&lt;101,E160,IF(E160&lt;201,E160/2,IF(E160&lt;=301,E160/3,E160/4))))</f>
        <v>1985.4913806</v>
      </c>
      <c r="G160" s="71" t="str">
        <f>G159</f>
        <v>10th &amp; 16th Floor</v>
      </c>
      <c r="H160" s="72"/>
      <c r="I160" s="36"/>
      <c r="K160" s="53">
        <f t="shared" si="4"/>
        <v>14295537.94032</v>
      </c>
    </row>
    <row r="161" spans="1:16" s="51" customFormat="1" ht="15.75" customHeight="1" x14ac:dyDescent="0.25">
      <c r="A161" s="71">
        <v>6</v>
      </c>
      <c r="B161" s="72"/>
      <c r="C161" s="50" t="s">
        <v>187</v>
      </c>
      <c r="D161" s="50">
        <f>(3.2*3.15+1.5*3.2+2.17*0.6+1.22*1.9+1.7*3.32+0.55*1.1+1.37*2.42+1.7*3.32+2.17*2.42+0.9*2.17+2.45*4.47+0.52*2.22+1.35*1+1*3.9+2.45*1.35+2.45*1.35+2.45*3.57+0.52*1.17+3.05*0.9+0.45*(2.2+2.1+2+2.25)+0.75*(3.2+2+2.17))*10.764</f>
        <v>929.56397040000002</v>
      </c>
      <c r="E161" s="50">
        <f>(3.05*1.8+3.05*1.8)*10.764</f>
        <v>118.18872</v>
      </c>
      <c r="F161" s="50">
        <f>D161*(($F$124)+1)+(IF(E161&lt;101,E161,IF(E161&lt;201,E161/2,IF(E161&lt;=301,E161/3,E161/4))))</f>
        <v>1453.4403156000001</v>
      </c>
      <c r="G161" s="71" t="str">
        <f>G160</f>
        <v>10th &amp; 16th Floor</v>
      </c>
      <c r="H161" s="72"/>
      <c r="I161" s="53"/>
      <c r="K161" s="53">
        <f t="shared" si="4"/>
        <v>10464770.27232</v>
      </c>
    </row>
    <row r="162" spans="1:16" s="53" customFormat="1" x14ac:dyDescent="0.25">
      <c r="A162" s="76" t="s">
        <v>192</v>
      </c>
      <c r="B162" s="77"/>
      <c r="C162" s="77"/>
      <c r="D162" s="77"/>
      <c r="E162" s="77"/>
      <c r="F162" s="77"/>
      <c r="G162" s="77"/>
      <c r="H162" s="78"/>
      <c r="I162" s="36"/>
      <c r="J162" s="36"/>
      <c r="K162" s="53">
        <f t="shared" si="4"/>
        <v>0</v>
      </c>
    </row>
    <row r="163" spans="1:16" s="53" customFormat="1" x14ac:dyDescent="0.25">
      <c r="A163" s="71">
        <v>1</v>
      </c>
      <c r="B163" s="72"/>
      <c r="C163" s="54" t="s">
        <v>178</v>
      </c>
      <c r="D163" s="54">
        <f>(3.2*5.22+2.35*1.9+2.25*2.42+1.65*0.9+1.22*2.42+2.37*3.32+0.6*1.82+2.45*2.97+0.6*0.87+1.5*3+2.45*1.35+2.07*1+1*2.7+0.45*(2.1+0.75+1.4+2.25)+0.75*(2.1+3+3.1))*10.764</f>
        <v>747.69757919999995</v>
      </c>
      <c r="E163" s="54">
        <f>(3.2*1.8)*10.764</f>
        <v>62.000640000000004</v>
      </c>
      <c r="F163" s="54">
        <f t="shared" ref="F163:F168" si="13">D163*(($F$124)+1)+(IF(E163&lt;101,E163,IF(E163&lt;201,E163/2,IF(E163&lt;=301,E163/3,E163/4))))</f>
        <v>1183.5470088</v>
      </c>
      <c r="G163" s="71" t="str">
        <f>A162</f>
        <v xml:space="preserve">11th Floor </v>
      </c>
      <c r="H163" s="72"/>
      <c r="I163" s="36">
        <f>4500000/F164</f>
        <v>5985.9836564496682</v>
      </c>
      <c r="K163" s="53">
        <f t="shared" si="4"/>
        <v>8521538.4633600004</v>
      </c>
      <c r="L163" s="83"/>
      <c r="M163" s="83"/>
      <c r="N163" s="36"/>
    </row>
    <row r="164" spans="1:16" s="53" customFormat="1" x14ac:dyDescent="0.25">
      <c r="A164" s="71">
        <f t="shared" ref="A164:A168" si="14">A163+1</f>
        <v>2</v>
      </c>
      <c r="B164" s="72"/>
      <c r="C164" s="54" t="s">
        <v>193</v>
      </c>
      <c r="D164" s="54">
        <f>(3.2*4.62+2.47*0.6+1.59*1.9+1*1.1+2.22*3.32+2.25*1.82+1.65*1.5+2.45*1.35+0.45*(2.3+1.3)+0.75*(2.22+2.4))*10.764</f>
        <v>459.83700359999995</v>
      </c>
      <c r="E164" s="54">
        <f>(3.2*1.8)*10.764</f>
        <v>62.000640000000004</v>
      </c>
      <c r="F164" s="54">
        <f t="shared" si="13"/>
        <v>751.75614539999992</v>
      </c>
      <c r="G164" s="71" t="str">
        <f t="shared" ref="G164:G168" si="15">G163</f>
        <v xml:space="preserve">11th Floor </v>
      </c>
      <c r="H164" s="72"/>
      <c r="I164" s="36"/>
      <c r="J164" s="53" t="s">
        <v>238</v>
      </c>
      <c r="K164" s="53">
        <f t="shared" si="4"/>
        <v>5412644.2468799995</v>
      </c>
      <c r="L164" s="83"/>
      <c r="M164" s="83"/>
      <c r="N164" s="36"/>
    </row>
    <row r="165" spans="1:16" s="53" customFormat="1" x14ac:dyDescent="0.25">
      <c r="A165" s="71">
        <f t="shared" si="14"/>
        <v>3</v>
      </c>
      <c r="B165" s="72"/>
      <c r="C165" s="54" t="s">
        <v>187</v>
      </c>
      <c r="D165" s="54">
        <f>(3.2*4.65+2.17*0.6+0.6*0.9+2.45*2.97+1.5*3+2.45*1.35+1.22*1.9+2.25*2.42+1.65*0.9+1.37*2.42+2.25*1.82+1.65*1.5+2.45*2.97+1.5*2.9+0.6*1.37+1.35*1+1*3.9+2.37*1.35+0.45*(2.1+2.1+0.7+1.4+1.5)+0.75*(3+2+5.5))*10.764</f>
        <v>895.80591360000005</v>
      </c>
      <c r="E165" s="54">
        <f>(3.2*1.8)*10.764</f>
        <v>62.000640000000004</v>
      </c>
      <c r="F165" s="54">
        <f t="shared" si="13"/>
        <v>1405.7095104</v>
      </c>
      <c r="G165" s="71" t="str">
        <f t="shared" si="15"/>
        <v xml:space="preserve">11th Floor </v>
      </c>
      <c r="H165" s="72"/>
      <c r="I165" s="36"/>
      <c r="K165" s="53">
        <f t="shared" si="4"/>
        <v>10121108.474880001</v>
      </c>
      <c r="L165" s="83"/>
      <c r="M165" s="83"/>
      <c r="N165" s="36"/>
    </row>
    <row r="166" spans="1:16" s="53" customFormat="1" x14ac:dyDescent="0.25">
      <c r="A166" s="71">
        <f t="shared" si="14"/>
        <v>4</v>
      </c>
      <c r="B166" s="72"/>
      <c r="C166" s="54" t="s">
        <v>178</v>
      </c>
      <c r="D166" s="54">
        <f>(3.2*5.22+2.35*1.9+3.32*2.25+1.22*2.42+3.05*1.82+2.38*1.5+2.45*4.47+0.6*1.37+2.37*1.35+1.92*1+1*2.75+0.6*1.5+0.45*(2.1+1.5+1.5))*10.764</f>
        <v>684.05650560000004</v>
      </c>
      <c r="E166" s="54">
        <f t="shared" ref="E166:E168" si="16">(3.2*1.8)*10.764</f>
        <v>62.000640000000004</v>
      </c>
      <c r="F166" s="54">
        <f t="shared" si="13"/>
        <v>1088.0853984</v>
      </c>
      <c r="G166" s="71" t="str">
        <f t="shared" si="15"/>
        <v xml:space="preserve">11th Floor </v>
      </c>
      <c r="H166" s="72"/>
      <c r="I166" s="36"/>
      <c r="K166" s="53">
        <f t="shared" si="4"/>
        <v>7834214.8684800006</v>
      </c>
      <c r="L166" s="83"/>
      <c r="M166" s="83"/>
      <c r="N166" s="36"/>
    </row>
    <row r="167" spans="1:16" s="53" customFormat="1" x14ac:dyDescent="0.25">
      <c r="A167" s="71">
        <f t="shared" si="14"/>
        <v>5</v>
      </c>
      <c r="B167" s="72"/>
      <c r="C167" s="54" t="s">
        <v>178</v>
      </c>
      <c r="D167" s="54">
        <f>(2.47*0.6+3.2*4.62+1.67*1.9+2.22*1.82+1.5*2.22+2.25*1.82+1.65*1.5+2.45*2.97+1.5*2.9+0.6*0.9+0.27*1+1*2.9+2.45*1.35+2.35*1.35+0.45*(2.2+1.4+2.1)+0.75*(2.2+5.4))*10.764</f>
        <v>683.0931276</v>
      </c>
      <c r="E167" s="54">
        <f t="shared" si="16"/>
        <v>62.000640000000004</v>
      </c>
      <c r="F167" s="54">
        <f t="shared" si="13"/>
        <v>1086.6403313999999</v>
      </c>
      <c r="G167" s="71" t="str">
        <f t="shared" si="15"/>
        <v xml:space="preserve">11th Floor </v>
      </c>
      <c r="H167" s="72"/>
      <c r="I167" s="36"/>
      <c r="K167" s="53">
        <f t="shared" si="4"/>
        <v>7823810.3860799996</v>
      </c>
      <c r="L167" s="83"/>
      <c r="M167" s="83"/>
      <c r="N167" s="36"/>
    </row>
    <row r="168" spans="1:16" s="53" customFormat="1" x14ac:dyDescent="0.25">
      <c r="A168" s="71">
        <f t="shared" si="14"/>
        <v>6</v>
      </c>
      <c r="B168" s="72"/>
      <c r="C168" s="54" t="s">
        <v>178</v>
      </c>
      <c r="D168" s="54">
        <f>(2.17*0.6+3.2*4.65+1.22*1.9+1.7*0.9+2.25*2.42+1.37*2.42+2.25*1.82+1.57*1.5+2.45*2.97+1.5*2.9+0.6*0.87+1.27*1+1*3.9+2.45*1.35+0.45*(2.1+0.7+1.4+2.25)+0.75*(2+5.4))*10.764</f>
        <v>692.32863959999997</v>
      </c>
      <c r="E168" s="54">
        <f t="shared" si="16"/>
        <v>62.000640000000004</v>
      </c>
      <c r="F168" s="54">
        <f t="shared" si="13"/>
        <v>1100.4935994</v>
      </c>
      <c r="G168" s="71" t="str">
        <f t="shared" si="15"/>
        <v xml:space="preserve">11th Floor </v>
      </c>
      <c r="H168" s="72"/>
      <c r="K168" s="53">
        <f t="shared" si="4"/>
        <v>7923553.9156799996</v>
      </c>
      <c r="L168" s="83"/>
      <c r="M168" s="83"/>
      <c r="N168" s="36"/>
    </row>
    <row r="169" spans="1:16" s="53" customFormat="1" x14ac:dyDescent="0.25">
      <c r="A169" s="76" t="s">
        <v>194</v>
      </c>
      <c r="B169" s="77"/>
      <c r="C169" s="77"/>
      <c r="D169" s="77"/>
      <c r="E169" s="77"/>
      <c r="F169" s="77"/>
      <c r="G169" s="77"/>
      <c r="H169" s="78"/>
      <c r="I169" s="36"/>
      <c r="J169" s="36"/>
      <c r="K169" s="53">
        <f t="shared" si="4"/>
        <v>0</v>
      </c>
    </row>
    <row r="170" spans="1:16" s="53" customFormat="1" x14ac:dyDescent="0.25">
      <c r="A170" s="71" t="s">
        <v>191</v>
      </c>
      <c r="B170" s="72"/>
      <c r="C170" s="54" t="s">
        <v>186</v>
      </c>
      <c r="D170" s="54">
        <f>(3.2*5.22+2.35*1.9+1.7*3.32+0.55*1.07+1.22*2.42+2.97*3.32+2.45*4.47+0.6*2.22+2.45*1.35+2.07*1+1*2.52+3.2*3.12+2.47*0.6+1.5*3.2+4.1*4.47+0.52*2.22+2.45*1.35+0.75*1.75+0.45*(2.1+2.2+2.2+2.2+2.2)+0.75*(4.5+3.2+3.2+2+3))*10.764</f>
        <v>1265.7678227999997</v>
      </c>
      <c r="E170" s="54">
        <f>(3.05*1.8)*10.764</f>
        <v>59.094360000000002</v>
      </c>
      <c r="F170" s="54">
        <f>D170*(($F$124)+1)+(IF(E170&lt;101,E170,IF(E170&lt;201,E170/2,IF(E170&lt;=301,E170/3,E170/4))))</f>
        <v>1957.7460941999998</v>
      </c>
      <c r="G170" s="71" t="str">
        <f>A169</f>
        <v xml:space="preserve">12th Floor </v>
      </c>
      <c r="H170" s="72"/>
      <c r="I170" s="36"/>
      <c r="K170" s="53">
        <f t="shared" si="4"/>
        <v>14095771.878239999</v>
      </c>
      <c r="L170" s="83"/>
      <c r="M170" s="83"/>
      <c r="N170" s="36"/>
    </row>
    <row r="171" spans="1:16" s="53" customFormat="1" x14ac:dyDescent="0.25">
      <c r="A171" s="71">
        <v>3</v>
      </c>
      <c r="B171" s="72"/>
      <c r="C171" s="54" t="s">
        <v>187</v>
      </c>
      <c r="D171" s="54">
        <f>(3.2*3.15+1.5*3.2+2.17*0.6+1.22*2.5+1.7*3.32+0.55*1.1+1.37*2.42+2.25*3.32+2.45*4.47+0.6*1.38+0.52*0.69+0.6*0.9+2.45*4.47+0.5*1.02+0.45*(2.1+2.1+2.1+2.3)+0.75*(3.2+2.1+2.25))*10.764</f>
        <v>752.82016679999992</v>
      </c>
      <c r="E171" s="54">
        <f>(3.05*1.8+1.8*3.05)*10.764</f>
        <v>118.18872</v>
      </c>
      <c r="F171" s="54">
        <f>D171*(($F$124)+1)+(IF(E171&lt;101,E171,IF(E171&lt;201,E171/2,IF(E171&lt;=301,E171/3,E171/4))))</f>
        <v>1188.3246101999998</v>
      </c>
      <c r="G171" s="71" t="str">
        <f t="shared" ref="G171:G174" si="17">G170</f>
        <v xml:space="preserve">12th Floor </v>
      </c>
      <c r="H171" s="72"/>
      <c r="I171" s="36"/>
      <c r="K171" s="53">
        <f t="shared" si="4"/>
        <v>8555937.1934399996</v>
      </c>
      <c r="L171" s="83"/>
      <c r="M171" s="83"/>
      <c r="N171" s="36"/>
    </row>
    <row r="172" spans="1:16" s="53" customFormat="1" x14ac:dyDescent="0.25">
      <c r="A172" s="71">
        <f t="shared" ref="A172:A174" si="18">A171+1</f>
        <v>4</v>
      </c>
      <c r="B172" s="72"/>
      <c r="C172" s="54" t="s">
        <v>178</v>
      </c>
      <c r="D172" s="54">
        <f>(5.22*3.2+2.25*1.9+0.6*1.07+1.7*3.32+1.22*2.42+3.05*2.42+2.45*4.47+0.52*0.69+0.6*1.38+2*1+1*2.75+2.45*0.9+2.37*1.35+0.45*(2.25+2.1+0.7+2.1)+0.75*(3.2+2.2+3.1))*10.764</f>
        <v>747.92254679999996</v>
      </c>
      <c r="E172" s="54">
        <f t="shared" ref="E172:E173" si="19">(3.05*1.8)*10.764</f>
        <v>59.094360000000002</v>
      </c>
      <c r="F172" s="54">
        <f>D172*(($F$124)+1)+(IF(E172&lt;101,E172,IF(E172&lt;201,E172/2,IF(E172&lt;=301,E172/3,E172/4))))</f>
        <v>1180.9781802</v>
      </c>
      <c r="G172" s="71" t="str">
        <f t="shared" si="17"/>
        <v xml:space="preserve">12th Floor </v>
      </c>
      <c r="H172" s="72"/>
      <c r="I172" s="36"/>
      <c r="K172" s="53">
        <f t="shared" si="4"/>
        <v>8503042.8974399995</v>
      </c>
      <c r="L172" s="83"/>
      <c r="M172" s="83"/>
      <c r="N172" s="36"/>
    </row>
    <row r="173" spans="1:16" s="53" customFormat="1" x14ac:dyDescent="0.25">
      <c r="A173" s="71">
        <f t="shared" si="18"/>
        <v>5</v>
      </c>
      <c r="B173" s="72"/>
      <c r="C173" s="54" t="s">
        <v>178</v>
      </c>
      <c r="D173" s="54">
        <f>(3.2*3.72+1.67*1.9+2.47*0.6+1.5*3.2+0.52*1.07+1.7*3.32+2.25*3.32+2.45*3.57+0.52*1.17+3.05*0.9+0.2*1+1*2.9+2.45*1.35+2.35*1.35+0.45*(2.3+2.1+2.1)+0.75*(3.2+2+2.25))*10.764</f>
        <v>702.04745519999994</v>
      </c>
      <c r="E173" s="54">
        <f t="shared" si="19"/>
        <v>59.094360000000002</v>
      </c>
      <c r="F173" s="54">
        <f>D173*(($F$124)+1)+(IF(E173&lt;101,E173,IF(E173&lt;201,E173/2,IF(E173&lt;=301,E173/3,E173/4))))</f>
        <v>1112.1655427999999</v>
      </c>
      <c r="G173" s="71" t="str">
        <f t="shared" si="17"/>
        <v xml:space="preserve">12th Floor </v>
      </c>
      <c r="H173" s="72"/>
      <c r="I173" s="36"/>
      <c r="K173" s="53">
        <f t="shared" si="4"/>
        <v>8007591.9081599992</v>
      </c>
      <c r="L173" s="83"/>
      <c r="M173" s="83"/>
      <c r="N173" s="36"/>
    </row>
    <row r="174" spans="1:16" s="53" customFormat="1" x14ac:dyDescent="0.25">
      <c r="A174" s="71">
        <f t="shared" si="18"/>
        <v>6</v>
      </c>
      <c r="B174" s="72"/>
      <c r="C174" s="54" t="s">
        <v>178</v>
      </c>
      <c r="D174" s="54">
        <f>(3.2*3.15+2.17*0.6+1.5*3.2+1.22*1.9+0.55*1.1+1.7*3.32+1.37*2.42+2.17*2.42+0.9*2.17+2.45*4.47+0.52*2.22+1.35*1+1*4+2.45*1.35+0.45*(2.1+2.1+2.25)+0.75*(3.2+2.1+2.17))*10.764</f>
        <v>694.67842080000014</v>
      </c>
      <c r="E174" s="54">
        <f>(3.05*1.8)*10.764</f>
        <v>59.094360000000002</v>
      </c>
      <c r="F174" s="54">
        <f>D174*(($F$124)+1)+(IF(E174&lt;101,E174,IF(E174&lt;201,E174/2,IF(E174&lt;=301,E174/3,E174/4))))</f>
        <v>1101.1119912000004</v>
      </c>
      <c r="G174" s="71" t="str">
        <f t="shared" si="17"/>
        <v xml:space="preserve">12th Floor </v>
      </c>
      <c r="H174" s="72"/>
      <c r="I174" s="36"/>
      <c r="K174" s="53">
        <f t="shared" si="4"/>
        <v>7928006.3366400031</v>
      </c>
      <c r="L174" s="83"/>
      <c r="M174" s="83"/>
      <c r="N174" s="36"/>
    </row>
    <row r="175" spans="1:16" s="53" customFormat="1" x14ac:dyDescent="0.25">
      <c r="A175" s="76" t="s">
        <v>195</v>
      </c>
      <c r="B175" s="77"/>
      <c r="C175" s="77"/>
      <c r="D175" s="77"/>
      <c r="E175" s="77"/>
      <c r="F175" s="77"/>
      <c r="G175" s="77"/>
      <c r="H175" s="78"/>
      <c r="I175" s="36"/>
      <c r="K175" s="53">
        <f t="shared" si="4"/>
        <v>0</v>
      </c>
      <c r="P175" s="37"/>
    </row>
    <row r="176" spans="1:16" s="53" customFormat="1" x14ac:dyDescent="0.25">
      <c r="A176" s="71">
        <v>1</v>
      </c>
      <c r="B176" s="72"/>
      <c r="C176" s="54" t="s">
        <v>178</v>
      </c>
      <c r="D176" s="54">
        <f>(3.2*5.22+2.35*1.9+2.25*2.42+1.65*0.9+1.22*2.42+2.37*3.32+0.6*1.82+2.45*2.97+0.6*0.87+1.5*3+2.45*1.35+2.07*1+1*2.7+0.45*(2.1+0.75+1.4+2.25)+0.75*(2.1+3+3.1))*10.764</f>
        <v>747.69757919999995</v>
      </c>
      <c r="E176" s="54">
        <f>(3.2*1.8)*10.764</f>
        <v>62.000640000000004</v>
      </c>
      <c r="F176" s="54">
        <f>D176*(($F$124)+1)+(IF(E176&lt;101,E176,IF(E176&lt;201,E176/2,IF(E176&lt;=301,E176/3,E176/4))))</f>
        <v>1183.5470088</v>
      </c>
      <c r="G176" s="71" t="str">
        <f>A175</f>
        <v>13th &amp; 23rd Floor (Part Refuge Area)</v>
      </c>
      <c r="H176" s="72"/>
      <c r="I176" s="36"/>
      <c r="K176" s="53">
        <f t="shared" si="4"/>
        <v>8521538.4633600004</v>
      </c>
    </row>
    <row r="177" spans="1:16" s="53" customFormat="1" x14ac:dyDescent="0.25">
      <c r="A177" s="71">
        <v>2</v>
      </c>
      <c r="B177" s="72"/>
      <c r="C177" s="54" t="s">
        <v>178</v>
      </c>
      <c r="D177" s="54">
        <f>(3.2*4.62+2.47*0.6+1.52*1.9+2.2*1.82+1.5*2.2+2.25*1.82+1.65*1.5+2.45*2.97+1.5*3+0.58*1.08+0.6*0.9+1*2.9+2.45*1.85+2.45*1.35+0.45*(2.1+1.2+2.1)+0.75*(2.2+5.6))*10.764</f>
        <v>699.56204759999991</v>
      </c>
      <c r="E177" s="54">
        <f t="shared" ref="E177" si="20">(3.2*1.8)*10.764</f>
        <v>62.000640000000004</v>
      </c>
      <c r="F177" s="54">
        <f>D177*(($F$124)+1)+(IF(E177&lt;101,E177,IF(E177&lt;201,E177/2,IF(E177&lt;=301,E177/3,E177/4))))</f>
        <v>1111.3437113999998</v>
      </c>
      <c r="G177" s="71" t="str">
        <f t="shared" ref="G177:G181" si="21">G176</f>
        <v>13th &amp; 23rd Floor (Part Refuge Area)</v>
      </c>
      <c r="H177" s="72"/>
      <c r="I177" s="36"/>
      <c r="K177" s="53">
        <f t="shared" si="4"/>
        <v>8001674.7220799988</v>
      </c>
    </row>
    <row r="178" spans="1:16" s="53" customFormat="1" x14ac:dyDescent="0.25">
      <c r="A178" s="71">
        <v>3</v>
      </c>
      <c r="B178" s="72"/>
      <c r="C178" s="71" t="s">
        <v>182</v>
      </c>
      <c r="D178" s="75"/>
      <c r="E178" s="75"/>
      <c r="F178" s="72"/>
      <c r="G178" s="71" t="str">
        <f t="shared" si="21"/>
        <v>13th &amp; 23rd Floor (Part Refuge Area)</v>
      </c>
      <c r="H178" s="72"/>
      <c r="I178" s="36"/>
      <c r="K178" s="53">
        <f t="shared" si="4"/>
        <v>0</v>
      </c>
    </row>
    <row r="179" spans="1:16" s="53" customFormat="1" x14ac:dyDescent="0.25">
      <c r="A179" s="71">
        <v>4</v>
      </c>
      <c r="B179" s="72"/>
      <c r="C179" s="54" t="s">
        <v>178</v>
      </c>
      <c r="D179" s="54">
        <f>(3.2*5.22+2.35*1.9+3.32*2.25+1.22*2.42+3.05*1.82+2.38*1.5+2.45*4.47+0.6*1.37+2.37*1.35+1.92*1+1*2.75+0.6*1.5+0.45*(2.1+1.5+1.5))*10.764</f>
        <v>684.05650560000004</v>
      </c>
      <c r="E179" s="54">
        <f t="shared" ref="E179" si="22">(3.2*1.8)*10.764</f>
        <v>62.000640000000004</v>
      </c>
      <c r="F179" s="54">
        <f>D179*(($F$124)+1)+(IF(E179&lt;101,E179,IF(E179&lt;201,E179/2,IF(E179&lt;=301,E179/3,E179/4))))</f>
        <v>1088.0853984</v>
      </c>
      <c r="G179" s="71" t="str">
        <f t="shared" si="21"/>
        <v>13th &amp; 23rd Floor (Part Refuge Area)</v>
      </c>
      <c r="H179" s="72"/>
      <c r="I179" s="36"/>
      <c r="K179" s="53">
        <f t="shared" si="4"/>
        <v>7834214.8684800006</v>
      </c>
    </row>
    <row r="180" spans="1:16" s="53" customFormat="1" x14ac:dyDescent="0.25">
      <c r="A180" s="71">
        <v>5</v>
      </c>
      <c r="B180" s="72"/>
      <c r="C180" s="54" t="s">
        <v>193</v>
      </c>
      <c r="D180" s="54">
        <f>(3.2*4.62+2.47*0.6+1.67*1.9+2.2*1.82+1.5*2.22+1.65*1.5+2.25*1.82+1*3.2+2.35*1.35+0.45*(2.2+1.3)+0.75*(2+2.4))*10.764</f>
        <v>479.97214200000002</v>
      </c>
      <c r="E180" s="54">
        <f>(3.2*1.8)*10.764</f>
        <v>62.000640000000004</v>
      </c>
      <c r="F180" s="54">
        <f>D180*(($F$124)+1)+(IF(E180&lt;101,E180,IF(E180&lt;201,E180/2,IF(E180&lt;=301,E180/3,E180/4))))</f>
        <v>781.95885299999998</v>
      </c>
      <c r="G180" s="71" t="str">
        <f t="shared" si="21"/>
        <v>13th &amp; 23rd Floor (Part Refuge Area)</v>
      </c>
      <c r="H180" s="72"/>
      <c r="I180" s="36"/>
      <c r="K180" s="53">
        <f t="shared" si="4"/>
        <v>5630103.7415999994</v>
      </c>
    </row>
    <row r="181" spans="1:16" s="53" customFormat="1" x14ac:dyDescent="0.25">
      <c r="A181" s="71">
        <v>6</v>
      </c>
      <c r="B181" s="72"/>
      <c r="C181" s="54" t="s">
        <v>187</v>
      </c>
      <c r="D181" s="54">
        <f>(1.5*3+2.45*2.97+3.05*0.9+2.45*1.35+3.2*4.65+2.17*0.6+1.22*1.9+1*4.2+2.25*2.42+1.7*0.9+1.37*2.42+2.25*1.82+1.57*1.5+2.45*2.97+1.5*3.2+0.6*0.87+1.27*1+2.45*1.35+0.45*(2.1+2.3+0.8+1.4+2.1)+0.75*(3+2.1+6))*10.764</f>
        <v>933.08164560000012</v>
      </c>
      <c r="E181" s="54">
        <f>(3.2*1.8)*10.764</f>
        <v>62.000640000000004</v>
      </c>
      <c r="F181" s="54">
        <f>D181*(($F$124)+1)+(IF(E181&lt;101,E181,IF(E181&lt;201,E181/2,IF(E181&lt;=301,E181/3,E181/4))))</f>
        <v>1461.6231084000001</v>
      </c>
      <c r="G181" s="71" t="str">
        <f t="shared" si="21"/>
        <v>13th &amp; 23rd Floor (Part Refuge Area)</v>
      </c>
      <c r="H181" s="72"/>
      <c r="I181" s="36"/>
      <c r="K181" s="53">
        <f t="shared" si="4"/>
        <v>10523686.380480001</v>
      </c>
    </row>
    <row r="182" spans="1:16" s="51" customFormat="1" ht="15.75" customHeight="1" x14ac:dyDescent="0.25">
      <c r="A182" s="76" t="s">
        <v>189</v>
      </c>
      <c r="B182" s="77"/>
      <c r="C182" s="77"/>
      <c r="D182" s="77"/>
      <c r="E182" s="77"/>
      <c r="F182" s="77"/>
      <c r="G182" s="77"/>
      <c r="H182" s="78"/>
      <c r="I182" s="36"/>
      <c r="K182" s="53">
        <f t="shared" si="4"/>
        <v>0</v>
      </c>
      <c r="P182" s="37"/>
    </row>
    <row r="183" spans="1:16" s="51" customFormat="1" x14ac:dyDescent="0.25">
      <c r="A183" s="71">
        <v>1</v>
      </c>
      <c r="B183" s="72"/>
      <c r="C183" s="50" t="s">
        <v>178</v>
      </c>
      <c r="D183" s="50">
        <f>(5.22*3.2+1.7*3.32+2.35*1.9+0.5*1.07+1.22*2.42+3.32*2.95+2.45*4.47+0.6*2.22+2.05*1+2.45*1.35+1*2.5+0.75*(3.2+2.3+2.95)+0.45*(2.2+2.1+2))*10.764</f>
        <v>747.10663559999989</v>
      </c>
      <c r="E183" s="50">
        <f t="shared" ref="E183:E188" si="23">(3.05*1.8)*10.764</f>
        <v>59.094360000000002</v>
      </c>
      <c r="F183" s="50">
        <f t="shared" ref="F183:F188" si="24">D183*(($F$124)+1)+(IF(E183&lt;101,E183,IF(E183&lt;201,E183/2,IF(E183&lt;=301,E183/3,E183/4))))</f>
        <v>1179.7543133999998</v>
      </c>
      <c r="G183" s="71" t="str">
        <f>A182</f>
        <v>14th, 24th, 26th &amp; 30th Floor</v>
      </c>
      <c r="H183" s="72"/>
      <c r="I183" s="36"/>
      <c r="K183" s="53">
        <f t="shared" si="4"/>
        <v>8494231.0564799979</v>
      </c>
    </row>
    <row r="184" spans="1:16" s="51" customFormat="1" x14ac:dyDescent="0.25">
      <c r="A184" s="71">
        <v>2</v>
      </c>
      <c r="B184" s="72"/>
      <c r="C184" s="50" t="s">
        <v>178</v>
      </c>
      <c r="D184" s="50">
        <f>(3.2*3.12+2.47*0.6+1.52*1.9+1.7*3.32+0.5*1.07+2.26*3.32+2.45*4.47+0.6*0.9+0.45*1.02+0.58*1+1*2.75+2.45*1.35+2.45*1.35+0.75*(3.2+2.4+2.26)+0.45*(2.1+2.1+2.3))*10.764</f>
        <v>632.4032987999999</v>
      </c>
      <c r="E184" s="50">
        <f t="shared" si="23"/>
        <v>59.094360000000002</v>
      </c>
      <c r="F184" s="50">
        <f t="shared" si="24"/>
        <v>1007.6993081999999</v>
      </c>
      <c r="G184" s="71" t="str">
        <f>G183</f>
        <v>14th, 24th, 26th &amp; 30th Floor</v>
      </c>
      <c r="H184" s="72"/>
      <c r="I184" s="36"/>
      <c r="K184" s="53">
        <f t="shared" si="4"/>
        <v>7255435.0190399997</v>
      </c>
    </row>
    <row r="185" spans="1:16" s="51" customFormat="1" ht="15.75" customHeight="1" x14ac:dyDescent="0.25">
      <c r="A185" s="71">
        <v>3</v>
      </c>
      <c r="B185" s="72"/>
      <c r="C185" s="50" t="s">
        <v>178</v>
      </c>
      <c r="D185" s="50">
        <f>(3.2*3.15+1.5*3.2+2.17*0.6+1.22*2.5+0.55*1.1+1.7*3.32+1.37*2.42+2.25*2.42+0.9*2.25+2.45*4.47+0.6*1.38+0.52*0.69+2.37*1.35+1.35*1+1*3.9+0.45*(2.1+2+2.1)+0.75*(3.2+2.1+2.25))*10.764</f>
        <v>702.96131880000007</v>
      </c>
      <c r="E185" s="50">
        <f t="shared" si="23"/>
        <v>59.094360000000002</v>
      </c>
      <c r="F185" s="50">
        <f t="shared" si="24"/>
        <v>1113.5363382</v>
      </c>
      <c r="G185" s="71" t="str">
        <f>G184</f>
        <v>14th, 24th, 26th &amp; 30th Floor</v>
      </c>
      <c r="H185" s="72"/>
      <c r="I185" s="36"/>
      <c r="K185" s="53">
        <f t="shared" si="4"/>
        <v>8017461.6350400001</v>
      </c>
    </row>
    <row r="186" spans="1:16" s="51" customFormat="1" ht="15.75" customHeight="1" x14ac:dyDescent="0.25">
      <c r="A186" s="71">
        <v>4</v>
      </c>
      <c r="B186" s="72"/>
      <c r="C186" s="50" t="s">
        <v>178</v>
      </c>
      <c r="D186" s="50">
        <f>(5.22*3.2+2.25*1.9+0.6*1.07+1.7*3.32+1.22*2.42+3.05*2.42+2.45*4.47+0.52*0.69+0.6*1.38+2*1+1*2.75+2.45*0.9+2.37*1.35+0.45*(2.25+2.1+0.7+2.1)+0.75*(3.2+2.2+3.1))*10.764</f>
        <v>747.92254679999996</v>
      </c>
      <c r="E186" s="50">
        <f t="shared" si="23"/>
        <v>59.094360000000002</v>
      </c>
      <c r="F186" s="50">
        <f t="shared" si="24"/>
        <v>1180.9781802</v>
      </c>
      <c r="G186" s="71" t="str">
        <f>G185</f>
        <v>14th, 24th, 26th &amp; 30th Floor</v>
      </c>
      <c r="H186" s="72"/>
      <c r="I186" s="36"/>
      <c r="K186" s="53">
        <f t="shared" si="4"/>
        <v>8503042.8974399995</v>
      </c>
    </row>
    <row r="187" spans="1:16" s="51" customFormat="1" ht="15.75" customHeight="1" x14ac:dyDescent="0.25">
      <c r="A187" s="71">
        <v>5</v>
      </c>
      <c r="B187" s="72"/>
      <c r="C187" s="50" t="s">
        <v>178</v>
      </c>
      <c r="D187" s="50">
        <f>(3.2*3.72+1.67*1.9+2.47*0.6+1.5*3.2+0.52*1.07+1.7*3.32+2.25*3.32+2.45*3.57+0.52*1.17+3.05*0.9+0.2*1+1*2.9+2.45*1.35+2.35*1.35+0.45*(2.3+2.1+2.1)+0.75*(3.2+2+2.25))*10.764</f>
        <v>702.04745519999994</v>
      </c>
      <c r="E187" s="50">
        <f t="shared" si="23"/>
        <v>59.094360000000002</v>
      </c>
      <c r="F187" s="50">
        <f t="shared" si="24"/>
        <v>1112.1655427999999</v>
      </c>
      <c r="G187" s="71" t="str">
        <f>G186</f>
        <v>14th, 24th, 26th &amp; 30th Floor</v>
      </c>
      <c r="H187" s="72"/>
      <c r="I187" s="36"/>
      <c r="K187" s="53">
        <f t="shared" si="4"/>
        <v>8007591.9081599992</v>
      </c>
    </row>
    <row r="188" spans="1:16" s="51" customFormat="1" ht="15.75" customHeight="1" x14ac:dyDescent="0.25">
      <c r="A188" s="71">
        <v>6</v>
      </c>
      <c r="B188" s="72"/>
      <c r="C188" s="50" t="s">
        <v>178</v>
      </c>
      <c r="D188" s="50">
        <f>(3.2*3.15+1.5*3.2+2.17*0.6+1.22*1.9+0.55*1.1+1.7*3.32+1.37*2.42+2.17*2.42+0.9*2.17+2.45*4.47+0.52*2.22+1.35*1+1*4+2.45*1.35+0.45*(2.1+2.1+2.1)+0.75*(3.2+2.4+2.17))*10.764</f>
        <v>696.37375080000004</v>
      </c>
      <c r="E188" s="50">
        <f t="shared" si="23"/>
        <v>59.094360000000002</v>
      </c>
      <c r="F188" s="50">
        <f t="shared" si="24"/>
        <v>1103.6549862000002</v>
      </c>
      <c r="G188" s="71" t="str">
        <f>G187</f>
        <v>14th, 24th, 26th &amp; 30th Floor</v>
      </c>
      <c r="H188" s="72"/>
      <c r="I188" s="53"/>
      <c r="K188" s="53">
        <f t="shared" si="4"/>
        <v>7946315.9006400015</v>
      </c>
    </row>
    <row r="189" spans="1:16" s="53" customFormat="1" x14ac:dyDescent="0.25">
      <c r="A189" s="85" t="s">
        <v>196</v>
      </c>
      <c r="B189" s="85"/>
      <c r="C189" s="85"/>
      <c r="D189" s="85"/>
      <c r="E189" s="85"/>
      <c r="F189" s="85"/>
      <c r="G189" s="85"/>
      <c r="H189" s="85"/>
      <c r="I189" s="36"/>
      <c r="J189" s="36"/>
      <c r="K189" s="53">
        <f t="shared" si="4"/>
        <v>0</v>
      </c>
    </row>
    <row r="190" spans="1:16" s="53" customFormat="1" x14ac:dyDescent="0.25">
      <c r="A190" s="79" t="s">
        <v>191</v>
      </c>
      <c r="B190" s="79"/>
      <c r="C190" s="66" t="s">
        <v>186</v>
      </c>
      <c r="D190" s="66">
        <f>(4.62*4.47+2.45*1.35+1.59*0.75+3.2*4.62+2.47*0.6+3.2*5.22+2.35*1.9+2.25*2.42+1.65*0.9+1.22*2.42+2.37*3.32+0.6*1.82+2.45*2.97+0.6*0.87+1.5*3+2.07*1+1*2.6+2.45*1.35+0.45*(2.2+2.1+0.7+1.4+2.1)+0.75*(4.5+2+3+3.1))*10.764</f>
        <v>1237.6468727999998</v>
      </c>
      <c r="E190" s="66">
        <f>(3.2*1.8+3.2*1.8)*10.764</f>
        <v>124.00128000000001</v>
      </c>
      <c r="F190" s="66">
        <f>D190*(($F$124)+1)+(IF(E190&lt;101,E190,IF(E190&lt;201,E190/2,IF(E190&lt;=301,E190/3,E190/4))))</f>
        <v>1918.4709491999995</v>
      </c>
      <c r="G190" s="79" t="str">
        <f>A189</f>
        <v>15th Floor</v>
      </c>
      <c r="H190" s="79"/>
      <c r="I190" s="36"/>
      <c r="K190" s="53">
        <f t="shared" si="4"/>
        <v>13812990.834239997</v>
      </c>
      <c r="L190" s="83"/>
      <c r="M190" s="83"/>
      <c r="N190" s="36"/>
    </row>
    <row r="191" spans="1:16" s="53" customFormat="1" x14ac:dyDescent="0.25">
      <c r="A191" s="79">
        <v>3</v>
      </c>
      <c r="B191" s="79"/>
      <c r="C191" s="66" t="s">
        <v>187</v>
      </c>
      <c r="D191" s="66">
        <f>(2.45*2.97+1.5*2.8+0.6*0.9+3.2*4.65+2.17*0.6+1.22*1.9+2.25*2.42+1.65*0.9+1.37*2.42+2.25*1.82+1.65*1.5+2.45*2.97+1.5*3+0.6*1.37+1.35*1+1*3.9+2.37*1.35+0.45*(2+2.1+0.7+1.4+1.4)+0.75*(2.8+2+5.5))*10.764</f>
        <v>856.00602359999993</v>
      </c>
      <c r="E191" s="66">
        <f>(3.2*1.8)*10.764</f>
        <v>62.000640000000004</v>
      </c>
      <c r="F191" s="66">
        <f>D191*(($F$124)+1)+(IF(E191&lt;101,E191,IF(E191&lt;201,E191/2,IF(E191&lt;=301,E191/3,E191/4))))</f>
        <v>1346.0096753999999</v>
      </c>
      <c r="G191" s="79" t="str">
        <f t="shared" ref="G191:G194" si="25">G190</f>
        <v>15th Floor</v>
      </c>
      <c r="H191" s="79"/>
      <c r="I191" s="36"/>
      <c r="K191" s="53">
        <f t="shared" si="4"/>
        <v>9691269.6628799997</v>
      </c>
      <c r="L191" s="83"/>
      <c r="M191" s="83"/>
      <c r="N191" s="36"/>
    </row>
    <row r="192" spans="1:16" s="53" customFormat="1" x14ac:dyDescent="0.25">
      <c r="A192" s="79">
        <f t="shared" ref="A192:A194" si="26">A191+1</f>
        <v>4</v>
      </c>
      <c r="B192" s="79"/>
      <c r="C192" s="66" t="s">
        <v>178</v>
      </c>
      <c r="D192" s="66">
        <f>(3.2*5.22+2.35*1.9+3.32*2.25+1.22*2.42+3.05*1.82+2.38*1.5+2.45*4.47+0.6*1.37+2.37*1.35+1.92*1+1*2.75+0.6*1.5+0.45*(2.1+1.5+1.5))*10.764</f>
        <v>684.05650560000004</v>
      </c>
      <c r="E192" s="66">
        <f t="shared" ref="E192:E194" si="27">(3.2*1.8)*10.764</f>
        <v>62.000640000000004</v>
      </c>
      <c r="F192" s="66">
        <f>D192*(($F$124)+1)+(IF(E192&lt;101,E192,IF(E192&lt;201,E192/2,IF(E192&lt;=301,E192/3,E192/4))))</f>
        <v>1088.0853984</v>
      </c>
      <c r="G192" s="79" t="str">
        <f t="shared" si="25"/>
        <v>15th Floor</v>
      </c>
      <c r="H192" s="79"/>
      <c r="I192" s="36"/>
      <c r="K192" s="53">
        <f t="shared" si="4"/>
        <v>7834214.8684800006</v>
      </c>
      <c r="L192" s="83"/>
      <c r="M192" s="83"/>
      <c r="N192" s="36"/>
    </row>
    <row r="193" spans="1:14" s="53" customFormat="1" x14ac:dyDescent="0.25">
      <c r="A193" s="79">
        <f t="shared" si="26"/>
        <v>5</v>
      </c>
      <c r="B193" s="79"/>
      <c r="C193" s="66" t="s">
        <v>178</v>
      </c>
      <c r="D193" s="66">
        <f>(2.47*0.6+3.2*4.62+1.67*1.9+2.22*1.82+1.5*2.22+2.25*1.82+1.65*1.5+2.45*2.97+1.5*2.9+0.6*0.9+0.27*1+1*2.9+2.45*1.35+2.35*1.35+0.45*(2.2+1.4+2.1)+0.75*(2.2+5.4))*10.764</f>
        <v>683.0931276</v>
      </c>
      <c r="E193" s="66">
        <f t="shared" si="27"/>
        <v>62.000640000000004</v>
      </c>
      <c r="F193" s="66">
        <f>D193*(($F$124)+1)+(IF(E193&lt;101,E193,IF(E193&lt;201,E193/2,IF(E193&lt;=301,E193/3,E193/4))))</f>
        <v>1086.6403313999999</v>
      </c>
      <c r="G193" s="79" t="str">
        <f t="shared" si="25"/>
        <v>15th Floor</v>
      </c>
      <c r="H193" s="79"/>
      <c r="I193" s="36"/>
      <c r="K193" s="53">
        <f t="shared" si="4"/>
        <v>7823810.3860799996</v>
      </c>
      <c r="L193" s="83"/>
      <c r="M193" s="83"/>
      <c r="N193" s="36"/>
    </row>
    <row r="194" spans="1:14" s="53" customFormat="1" x14ac:dyDescent="0.25">
      <c r="A194" s="79">
        <f t="shared" si="26"/>
        <v>6</v>
      </c>
      <c r="B194" s="79"/>
      <c r="C194" s="66" t="s">
        <v>178</v>
      </c>
      <c r="D194" s="66">
        <f>(2.17*0.6+3.2*4.65+1.22*1.9+1.7*0.9+2.25*2.42+1.37*2.42+2.25*1.82+1.57*1.5+2.45*2.97+1.5*2.9+0.6*0.87+1.27*1+1*3.9+2.45*1.35+0.45*(2.1+0.7+1.4+2.25)+0.75*(2+5.4))*10.764</f>
        <v>692.32863959999997</v>
      </c>
      <c r="E194" s="66">
        <f t="shared" si="27"/>
        <v>62.000640000000004</v>
      </c>
      <c r="F194" s="66">
        <f>D194*(($F$124)+1)+(IF(E194&lt;101,E194,IF(E194&lt;201,E194/2,IF(E194&lt;=301,E194/3,E194/4))))</f>
        <v>1100.4935994</v>
      </c>
      <c r="G194" s="79" t="str">
        <f t="shared" si="25"/>
        <v>15th Floor</v>
      </c>
      <c r="H194" s="79"/>
      <c r="K194" s="53">
        <f t="shared" ref="K194:K251" si="28">7200*F194</f>
        <v>7923553.9156799996</v>
      </c>
      <c r="L194" s="83"/>
      <c r="M194" s="83"/>
      <c r="N194" s="36"/>
    </row>
    <row r="195" spans="1:14" s="53" customFormat="1" x14ac:dyDescent="0.25">
      <c r="A195" s="85" t="s">
        <v>197</v>
      </c>
      <c r="B195" s="85"/>
      <c r="C195" s="85"/>
      <c r="D195" s="85"/>
      <c r="E195" s="85"/>
      <c r="F195" s="85"/>
      <c r="G195" s="85"/>
      <c r="H195" s="85"/>
      <c r="I195" s="36"/>
      <c r="J195" s="36"/>
      <c r="K195" s="53">
        <f t="shared" si="28"/>
        <v>0</v>
      </c>
    </row>
    <row r="196" spans="1:14" s="53" customFormat="1" x14ac:dyDescent="0.25">
      <c r="A196" s="79">
        <v>1</v>
      </c>
      <c r="B196" s="79"/>
      <c r="C196" s="66" t="s">
        <v>178</v>
      </c>
      <c r="D196" s="66">
        <f>(3.2*5.22+2.35*1.9+2.3*2.42+1.6*0.9+1.22*2.42+2.35*3.32+0.6*1.82+2.45*2.97+0.6*0.87+1.5*2.9+2.45*1.35+2.15*1+1*2.6+0.45*(2.2+0.75+1.4+2)+0.75*(2+3.1+3))*10.764</f>
        <v>744.43716359999985</v>
      </c>
      <c r="E196" s="66">
        <f t="shared" ref="E196:E198" si="29">(3.2*1.8)*10.764</f>
        <v>62.000640000000004</v>
      </c>
      <c r="F196" s="66">
        <f>D196*(($F$124)+1)+(IF(E196&lt;101,E196,IF(E196&lt;201,E196/2,IF(E196&lt;=301,E196/3,E196/4))))</f>
        <v>1178.6563853999999</v>
      </c>
      <c r="G196" s="79" t="str">
        <f>A195</f>
        <v xml:space="preserve">17th Floor </v>
      </c>
      <c r="H196" s="79"/>
      <c r="I196" s="36"/>
      <c r="K196" s="53">
        <f t="shared" si="28"/>
        <v>8486325.9748799987</v>
      </c>
      <c r="L196" s="83"/>
      <c r="M196" s="83"/>
      <c r="N196" s="36"/>
    </row>
    <row r="197" spans="1:14" s="53" customFormat="1" x14ac:dyDescent="0.25">
      <c r="A197" s="79">
        <f t="shared" ref="A197:A198" si="30">A196+1</f>
        <v>2</v>
      </c>
      <c r="B197" s="79"/>
      <c r="C197" s="66" t="s">
        <v>178</v>
      </c>
      <c r="D197" s="66">
        <f>(3.2*4.62+2.47*0.6+1.52*1.9+2.2*1.82+1.5*2.2+2.25*1.82+1.65*1.5+2.45*2.97+1.5*3+0.58*1.08+0.6*0.9+1*2.9+2.45*1.85+2.45*1.35+0.45*(2.1+1.2+2.1)+0.75*(2.2+5.6))*10.764</f>
        <v>699.56204759999991</v>
      </c>
      <c r="E197" s="66">
        <f t="shared" si="29"/>
        <v>62.000640000000004</v>
      </c>
      <c r="F197" s="66">
        <f>D197*(($F$124)+1)+(IF(E197&lt;101,E197,IF(E197&lt;201,E197/2,IF(E197&lt;=301,E197/3,E197/4))))</f>
        <v>1111.3437113999998</v>
      </c>
      <c r="G197" s="79" t="str">
        <f t="shared" ref="G197:G200" si="31">G196</f>
        <v xml:space="preserve">17th Floor </v>
      </c>
      <c r="H197" s="79"/>
      <c r="I197" s="36"/>
      <c r="K197" s="53">
        <f t="shared" si="28"/>
        <v>8001674.7220799988</v>
      </c>
      <c r="L197" s="83"/>
      <c r="M197" s="83"/>
      <c r="N197" s="36"/>
    </row>
    <row r="198" spans="1:14" s="53" customFormat="1" x14ac:dyDescent="0.25">
      <c r="A198" s="79">
        <f t="shared" si="30"/>
        <v>3</v>
      </c>
      <c r="B198" s="79"/>
      <c r="C198" s="66" t="s">
        <v>178</v>
      </c>
      <c r="D198" s="66">
        <f>(3.2*4.65+2.17*0.6+1.22*1.9+2.2*2.42+1.7*0.9+1.37*2.42+2.25*1.82+1.5*1.5+2.45*2.97+1.5*2.9+0.6*1.37+2.3*1.35+1.35*1+1*3.8+0.75*(2.2+5.5)+0.45*(1.9+0.7+1.5+1.5))*10.764</f>
        <v>689.03485560000001</v>
      </c>
      <c r="E198" s="66">
        <f t="shared" si="29"/>
        <v>62.000640000000004</v>
      </c>
      <c r="F198" s="66">
        <f>D198*(($F$124)+1)+(IF(E198&lt;101,E198,IF(E198&lt;201,E198/2,IF(E198&lt;=301,E198/3,E198/4))))</f>
        <v>1095.5529234000001</v>
      </c>
      <c r="G198" s="79" t="str">
        <f t="shared" si="31"/>
        <v xml:space="preserve">17th Floor </v>
      </c>
      <c r="H198" s="79"/>
      <c r="I198" s="36"/>
      <c r="K198" s="53">
        <f t="shared" si="28"/>
        <v>7887981.0484800003</v>
      </c>
      <c r="L198" s="83"/>
      <c r="M198" s="83"/>
      <c r="N198" s="36"/>
    </row>
    <row r="199" spans="1:14" s="53" customFormat="1" x14ac:dyDescent="0.25">
      <c r="A199" s="79" t="s">
        <v>188</v>
      </c>
      <c r="B199" s="79"/>
      <c r="C199" s="66" t="s">
        <v>198</v>
      </c>
      <c r="D199" s="66">
        <f>(3.2*5.22+2.35*1.9+3.32*2.25+1.22*2.42+3.05*1.82+2.38*1.5+2.45*4.47+0.6*1.37+2.37*1.35+1.92*1+1*2.75+0.6*1.5+0.45*(2.1+1.5+1.5)+2.47*0.6+3.2*4.62+1.67*1.9+2.22*1.82+1.5*2.22+2.25*1.82+1.65*1.5+2.45*2.97+1.5*2.9+0.6*0.9+0.27*1+1*2.9+2.45*1.35+2.35*1.35+0.45*(2.2+1.4+2.1)+0.75*(2.2+5.4))*10.764</f>
        <v>1367.1496332000002</v>
      </c>
      <c r="E199" s="66">
        <f>(3.2*1.8+3.2*1.8)*10.764</f>
        <v>124.00128000000001</v>
      </c>
      <c r="F199" s="66">
        <f>D199*(($F$124)+1)+(IF(E199&lt;101,E199,IF(E199&lt;201,E199/2,IF(E199&lt;=301,E199/3,E199/4))))</f>
        <v>2112.7250898000002</v>
      </c>
      <c r="G199" s="79" t="str">
        <f t="shared" si="31"/>
        <v xml:space="preserve">17th Floor </v>
      </c>
      <c r="H199" s="79"/>
      <c r="I199" s="36"/>
      <c r="K199" s="53">
        <f t="shared" si="28"/>
        <v>15211620.646560002</v>
      </c>
      <c r="L199" s="83"/>
      <c r="M199" s="83"/>
      <c r="N199" s="36"/>
    </row>
    <row r="200" spans="1:14" s="53" customFormat="1" x14ac:dyDescent="0.25">
      <c r="A200" s="71">
        <v>6</v>
      </c>
      <c r="B200" s="72"/>
      <c r="C200" s="54" t="s">
        <v>178</v>
      </c>
      <c r="D200" s="54">
        <f>(2.17*0.6+3.2*4.65+1.22*1.9+1.7*0.9+2.25*2.42+1.37*2.42+2.25*1.82+1.57*1.5+2.45*2.97+1.5*2.9+0.6*0.87+1.27*1+1*3.9+2.45*1.35+0.45*(2.1+0.7+1.4+2.25)+0.75*(2+5.4))*10.764</f>
        <v>692.32863959999997</v>
      </c>
      <c r="E200" s="54">
        <f t="shared" ref="E200" si="32">(3.2*1.8)*10.764</f>
        <v>62.000640000000004</v>
      </c>
      <c r="F200" s="54">
        <f>D200*(($F$124)+1)+(IF(E200&lt;101,E200,IF(E200&lt;201,E200/2,IF(E200&lt;=301,E200/3,E200/4))))</f>
        <v>1100.4935994</v>
      </c>
      <c r="G200" s="71" t="str">
        <f t="shared" si="31"/>
        <v xml:space="preserve">17th Floor </v>
      </c>
      <c r="H200" s="72"/>
      <c r="K200" s="53">
        <f t="shared" si="28"/>
        <v>7923553.9156799996</v>
      </c>
      <c r="L200" s="83"/>
      <c r="M200" s="83"/>
      <c r="N200" s="36"/>
    </row>
    <row r="201" spans="1:14" s="53" customFormat="1" x14ac:dyDescent="0.25">
      <c r="A201" s="76" t="s">
        <v>199</v>
      </c>
      <c r="B201" s="77"/>
      <c r="C201" s="77"/>
      <c r="D201" s="77"/>
      <c r="E201" s="77"/>
      <c r="F201" s="77"/>
      <c r="G201" s="77"/>
      <c r="H201" s="78"/>
      <c r="I201" s="36"/>
      <c r="J201" s="36"/>
      <c r="K201" s="53">
        <f t="shared" si="28"/>
        <v>0</v>
      </c>
    </row>
    <row r="202" spans="1:14" s="53" customFormat="1" x14ac:dyDescent="0.25">
      <c r="A202" s="71" t="s">
        <v>191</v>
      </c>
      <c r="B202" s="72"/>
      <c r="C202" s="54" t="s">
        <v>186</v>
      </c>
      <c r="D202" s="54">
        <f>(4.62*4.47+2.45*1.35+1.59*0.75+3.2*4.62+2.47*0.6+3.2*5.22+2.35*1.9+2.25*2.42+1.65*0.9+1.22*2.42+2.37*3.32+0.6*1.82+2.45*2.97+0.6*0.87+1.5*3+2.07*1+1*2.6+2.45*1.35+0.45*(2.2+2.1+0.7+1.4+2.1)+0.75*(4.5+2+3+3.1))*10.764</f>
        <v>1237.6468727999998</v>
      </c>
      <c r="E202" s="54">
        <f>(3.2*1.8+3.2*1.8)*10.764</f>
        <v>124.00128000000001</v>
      </c>
      <c r="F202" s="54">
        <f>D202*(($F$124)+1)+(IF(E202&lt;101,E202,IF(E202&lt;201,E202/2,IF(E202&lt;=301,E202/3,E202/4))))</f>
        <v>1918.4709491999995</v>
      </c>
      <c r="G202" s="71" t="str">
        <f>A201</f>
        <v xml:space="preserve">19th &amp; 21st Floor </v>
      </c>
      <c r="H202" s="72"/>
      <c r="I202" s="36"/>
      <c r="K202" s="53">
        <f t="shared" si="28"/>
        <v>13812990.834239997</v>
      </c>
      <c r="L202" s="83"/>
      <c r="M202" s="83"/>
      <c r="N202" s="36"/>
    </row>
    <row r="203" spans="1:14" s="53" customFormat="1" x14ac:dyDescent="0.25">
      <c r="A203" s="71">
        <v>3</v>
      </c>
      <c r="B203" s="72"/>
      <c r="C203" s="54" t="s">
        <v>187</v>
      </c>
      <c r="D203" s="54">
        <f>(2.45*2.97+1.5*2.8+0.6*0.9+3.2*4.65+2.17*0.6+1.22*1.9+2.25*2.42+1.65*0.9+1.37*2.42+2.25*1.82+1.65*1.5+2.45*2.97+1.5*3+0.6*1.37+1.35*1+1*3.9+2.37*1.35+0.45*(2+2.1+0.7+1.4+1.4)+0.75*(2.8+2+5.5))*10.764</f>
        <v>856.00602359999993</v>
      </c>
      <c r="E203" s="54">
        <f>(3.2*1.8)*10.764</f>
        <v>62.000640000000004</v>
      </c>
      <c r="F203" s="54">
        <f>D203*(($F$124)+1)+(IF(E203&lt;101,E203,IF(E203&lt;201,E203/2,IF(E203&lt;=301,E203/3,E203/4))))</f>
        <v>1346.0096753999999</v>
      </c>
      <c r="G203" s="71" t="str">
        <f t="shared" ref="G203:G205" si="33">G202</f>
        <v xml:space="preserve">19th &amp; 21st Floor </v>
      </c>
      <c r="H203" s="72"/>
      <c r="I203" s="36"/>
      <c r="K203" s="53">
        <f t="shared" si="28"/>
        <v>9691269.6628799997</v>
      </c>
      <c r="L203" s="83"/>
      <c r="M203" s="83"/>
      <c r="N203" s="36"/>
    </row>
    <row r="204" spans="1:14" s="53" customFormat="1" x14ac:dyDescent="0.25">
      <c r="A204" s="71" t="s">
        <v>188</v>
      </c>
      <c r="B204" s="72"/>
      <c r="C204" s="54" t="s">
        <v>198</v>
      </c>
      <c r="D204" s="54">
        <f>(3.2*5.22+2.35*1.9+3.32*2.25+1.22*2.42+3.05*1.82+2.38*1.5+2.45*4.47+0.6*1.37+2.37*1.35+1.92*1+1*2.75+0.6*1.5+0.45*(2.1+1.5+1.5)+2.47*0.6+3.2*4.62+1.67*1.9+2.22*1.82+1.5*2.22+2.25*1.82+1.65*1.5+2.45*2.97+1.5*2.9+0.6*0.9+0.27*1+1*2.9+2.45*1.35+2.35*1.35+0.45*(2.2+1.4+2.1)+0.75*(2.2+5.4))*10.764</f>
        <v>1367.1496332000002</v>
      </c>
      <c r="E204" s="54">
        <f>(3.2*1.8+3.2*1.8)*10.764</f>
        <v>124.00128000000001</v>
      </c>
      <c r="F204" s="54">
        <f>D204*(($F$124)+1)+(IF(E204&lt;101,E204,IF(E204&lt;201,E204/2,IF(E204&lt;=301,E204/3,E204/4))))</f>
        <v>2112.7250898000002</v>
      </c>
      <c r="G204" s="71" t="str">
        <f t="shared" si="33"/>
        <v xml:space="preserve">19th &amp; 21st Floor </v>
      </c>
      <c r="H204" s="72"/>
      <c r="I204" s="36"/>
      <c r="K204" s="53">
        <f t="shared" si="28"/>
        <v>15211620.646560002</v>
      </c>
      <c r="L204" s="83"/>
      <c r="M204" s="83"/>
      <c r="N204" s="36"/>
    </row>
    <row r="205" spans="1:14" s="53" customFormat="1" x14ac:dyDescent="0.25">
      <c r="A205" s="71">
        <v>6</v>
      </c>
      <c r="B205" s="72"/>
      <c r="C205" s="54" t="s">
        <v>178</v>
      </c>
      <c r="D205" s="54">
        <f>(2.17*0.6+3.2*4.65+1.22*1.9+1.7*0.9+2.25*2.42+1.37*2.42+2.25*1.82+1.57*1.5+2.45*2.97+1.5*2.9+0.6*0.87+1.27*1+1*3.9+2.45*1.35+0.45*(2.1+0.7+1.4+2.25)+0.75*(2+5.4))*10.764</f>
        <v>692.32863959999997</v>
      </c>
      <c r="E205" s="54">
        <f t="shared" ref="E205" si="34">(3.2*1.8)*10.764</f>
        <v>62.000640000000004</v>
      </c>
      <c r="F205" s="54">
        <f>D205*(($F$124)+1)+(IF(E205&lt;101,E205,IF(E205&lt;201,E205/2,IF(E205&lt;=301,E205/3,E205/4))))</f>
        <v>1100.4935994</v>
      </c>
      <c r="G205" s="71" t="str">
        <f t="shared" si="33"/>
        <v xml:space="preserve">19th &amp; 21st Floor </v>
      </c>
      <c r="H205" s="72"/>
      <c r="K205" s="53">
        <f t="shared" si="28"/>
        <v>7923553.9156799996</v>
      </c>
      <c r="L205" s="83"/>
      <c r="M205" s="83"/>
      <c r="N205" s="36"/>
    </row>
    <row r="206" spans="1:14" s="53" customFormat="1" x14ac:dyDescent="0.25">
      <c r="A206" s="76" t="s">
        <v>200</v>
      </c>
      <c r="B206" s="77"/>
      <c r="C206" s="77"/>
      <c r="D206" s="77"/>
      <c r="E206" s="77"/>
      <c r="F206" s="77"/>
      <c r="G206" s="77"/>
      <c r="H206" s="78"/>
      <c r="I206" s="36"/>
      <c r="J206" s="36"/>
      <c r="K206" s="53">
        <f t="shared" si="28"/>
        <v>0</v>
      </c>
    </row>
    <row r="207" spans="1:14" s="53" customFormat="1" x14ac:dyDescent="0.25">
      <c r="A207" s="71">
        <v>1</v>
      </c>
      <c r="B207" s="72"/>
      <c r="C207" s="54" t="s">
        <v>178</v>
      </c>
      <c r="D207" s="54">
        <f>(5.22*3.2+1.7*3.32+2.35*1.9+0.5*1.07+1.22*2.42+3.32*2.95+2.45*4.47+0.6*2.22+2.05*1+2.45*1.35+1*2.5+0.75*(3.2+2.3+2.95)+0.45*(2.2+2.1+2))*10.764</f>
        <v>747.10663559999989</v>
      </c>
      <c r="E207" s="54">
        <f>(3.05*1.8)*10.764</f>
        <v>59.094360000000002</v>
      </c>
      <c r="F207" s="54">
        <f>D207*(($F$124)+1)+(IF(E207&lt;101,E207,IF(E207&lt;201,E207/2,IF(E207&lt;=301,E207/3,E207/4))))</f>
        <v>1179.7543133999998</v>
      </c>
      <c r="G207" s="71" t="str">
        <f>A206</f>
        <v>20th &amp; 22nd Floor</v>
      </c>
      <c r="H207" s="72"/>
      <c r="I207" s="36"/>
      <c r="K207" s="53">
        <f t="shared" si="28"/>
        <v>8494231.0564799979</v>
      </c>
      <c r="L207" s="83"/>
      <c r="M207" s="83"/>
      <c r="N207" s="36"/>
    </row>
    <row r="208" spans="1:14" s="53" customFormat="1" x14ac:dyDescent="0.25">
      <c r="A208" s="71">
        <v>2</v>
      </c>
      <c r="B208" s="72"/>
      <c r="C208" s="54" t="s">
        <v>178</v>
      </c>
      <c r="D208" s="54">
        <f>(3.2*3.12+2.47*0.6+1.52*1.9+1.7*3.32+0.5*1.07+2.26*3.32+2.45*4.47+0.6*0.9+0.45*1.02+0.58*1+1*2.75+2.45*1.35+2.45*1.35+0.75*(3.2+2.4+2.26)+0.45*(2.1+2.1+2.3))*10.764</f>
        <v>632.4032987999999</v>
      </c>
      <c r="E208" s="54">
        <f>(3.05*1.8)*10.764</f>
        <v>59.094360000000002</v>
      </c>
      <c r="F208" s="54">
        <f>D208*(($F$124)+1)+(IF(E208&lt;101,E208,IF(E208&lt;201,E208/2,IF(E208&lt;=301,E208/3,E208/4))))</f>
        <v>1007.6993081999999</v>
      </c>
      <c r="G208" s="71" t="str">
        <f t="shared" ref="G208:G211" si="35">G207</f>
        <v>20th &amp; 22nd Floor</v>
      </c>
      <c r="H208" s="72"/>
      <c r="I208" s="36"/>
      <c r="K208" s="53">
        <f t="shared" si="28"/>
        <v>7255435.0190399997</v>
      </c>
      <c r="L208" s="83"/>
      <c r="M208" s="83"/>
      <c r="N208" s="36"/>
    </row>
    <row r="209" spans="1:14" s="53" customFormat="1" x14ac:dyDescent="0.25">
      <c r="A209" s="71">
        <v>3</v>
      </c>
      <c r="B209" s="72"/>
      <c r="C209" s="54" t="s">
        <v>178</v>
      </c>
      <c r="D209" s="54">
        <f>(2.17*0.6+3.2*3.15+1.5*3.2+1.22*2.5+1.7*3.32+0.55*1.1+1.37*2.42+2.25*3.32+2.45*4.47+0.52*0.69+0.6*1.38+1.35*1+1*3.9+2.37*1.35+0.45*(2.1+2+2.1)+0.75*(3.2+2.1+2.25))*10.764</f>
        <v>702.96131880000007</v>
      </c>
      <c r="E209" s="54">
        <f>(3.05*1.8)*10.764</f>
        <v>59.094360000000002</v>
      </c>
      <c r="F209" s="54">
        <f>D209*(($F$124)+1)+(IF(E209&lt;101,E209,IF(E209&lt;201,E209/2,IF(E209&lt;=301,E209/3,E209/4))))</f>
        <v>1113.5363382</v>
      </c>
      <c r="G209" s="71" t="str">
        <f t="shared" si="35"/>
        <v>20th &amp; 22nd Floor</v>
      </c>
      <c r="H209" s="72"/>
      <c r="I209" s="36"/>
      <c r="K209" s="53">
        <f t="shared" si="28"/>
        <v>8017461.6350400001</v>
      </c>
      <c r="L209" s="83"/>
      <c r="M209" s="83"/>
      <c r="N209" s="36"/>
    </row>
    <row r="210" spans="1:14" s="53" customFormat="1" x14ac:dyDescent="0.25">
      <c r="A210" s="71" t="s">
        <v>188</v>
      </c>
      <c r="B210" s="72"/>
      <c r="C210" s="52" t="s">
        <v>186</v>
      </c>
      <c r="D210" s="52">
        <f>(3.2*3.72+2.25*1.9+0.6*1.07+1.7*3.32+1.22*2.42+3.05*2.42+2.45*0.9+2.45*4.47+0.52*0.69+0.6*1.38+2.37*1.35+2*1+1*2.75+3.2*3.12+2.47*0.6+1.67*0.75+4.1*4.47+0.52*2.22+2.35*1.35+0.45*(2.2+2.2+2.25+2.2+0.8+2.1+0.75*(2.2+2+3.2+3.2+2.4+3.1)))*10.764</f>
        <v>1089.1537253999998</v>
      </c>
      <c r="E210" s="52">
        <f>(3.05*1.8)*10.764</f>
        <v>59.094360000000002</v>
      </c>
      <c r="F210" s="54">
        <f>D210*(($F$124)+1)+(IF(E210&lt;101,E210,IF(E210&lt;201,E210/2,IF(E210&lt;=301,E210/3,E210/4))))</f>
        <v>1692.8249480999998</v>
      </c>
      <c r="G210" s="71" t="str">
        <f t="shared" si="35"/>
        <v>20th &amp; 22nd Floor</v>
      </c>
      <c r="H210" s="72"/>
      <c r="I210" s="36"/>
      <c r="K210" s="53">
        <f t="shared" si="28"/>
        <v>12188339.626319999</v>
      </c>
      <c r="L210" s="83"/>
      <c r="M210" s="83"/>
      <c r="N210" s="36"/>
    </row>
    <row r="211" spans="1:14" s="53" customFormat="1" x14ac:dyDescent="0.25">
      <c r="A211" s="71">
        <v>6</v>
      </c>
      <c r="B211" s="72"/>
      <c r="C211" s="54" t="s">
        <v>187</v>
      </c>
      <c r="D211" s="54">
        <f>(3.2*3.15+1.5*3.2+1.22*1.9+2.17*0.6+0.55*1.1+1.7*3.32+1.37*2.42+2.17*3.32+2.45*4.47+0.52*0.22+1.35*1+1*3.9+2.45*1.35+3.05*0.9+2.45*3.57+0.52*1.17+2.45*1.35+0.45*(2.1+2.2+2.1+2.1)+0.75*(3.2+2+2.17))*10.764</f>
        <v>857.37520440000003</v>
      </c>
      <c r="E211" s="54">
        <f>(3.05*1.8+3.05*1.8)*10.764</f>
        <v>118.18872</v>
      </c>
      <c r="F211" s="54">
        <f>D211*(($F$124)+1)+(IF(E211&lt;101,E211,IF(E211&lt;201,E211/2,IF(E211&lt;=301,E211/3,E211/4))))</f>
        <v>1345.1571666</v>
      </c>
      <c r="G211" s="71" t="str">
        <f t="shared" si="35"/>
        <v>20th &amp; 22nd Floor</v>
      </c>
      <c r="H211" s="72"/>
      <c r="K211" s="53">
        <f t="shared" si="28"/>
        <v>9685131.5995199997</v>
      </c>
      <c r="L211" s="83"/>
      <c r="M211" s="83"/>
      <c r="N211" s="36"/>
    </row>
    <row r="212" spans="1:14" s="53" customFormat="1" x14ac:dyDescent="0.25">
      <c r="A212" s="76" t="s">
        <v>201</v>
      </c>
      <c r="B212" s="77"/>
      <c r="C212" s="77"/>
      <c r="D212" s="77"/>
      <c r="E212" s="77"/>
      <c r="F212" s="77"/>
      <c r="G212" s="77"/>
      <c r="H212" s="78"/>
      <c r="I212" s="36"/>
      <c r="J212" s="36"/>
      <c r="K212" s="53">
        <f t="shared" si="28"/>
        <v>0</v>
      </c>
    </row>
    <row r="213" spans="1:14" s="53" customFormat="1" x14ac:dyDescent="0.25">
      <c r="A213" s="71">
        <v>1</v>
      </c>
      <c r="B213" s="72"/>
      <c r="C213" s="54" t="s">
        <v>178</v>
      </c>
      <c r="D213" s="54">
        <f>(5.22*3.2+1.7*3.32+2.35*1.9+0.5*1.07+1.22*2.42+3.32*2.95+2.45*4.47+0.6*2.22+2.05*1+2.45*1.35+1*2.5+0.75*(3.2+2.3+2.95)+0.45*(2.2+2.1+2))*10.764</f>
        <v>747.10663559999989</v>
      </c>
      <c r="E213" s="54">
        <f>(3.05*1.8)*10.764</f>
        <v>59.094360000000002</v>
      </c>
      <c r="F213" s="54">
        <f>D213*(($F$124)+1)+(IF(E213&lt;101,E213,IF(E213&lt;201,E213/2,IF(E213&lt;=301,E213/3,E213/4))))</f>
        <v>1179.7543133999998</v>
      </c>
      <c r="G213" s="71" t="str">
        <f>A212</f>
        <v>28th Floor (Part Refuge Area)</v>
      </c>
      <c r="H213" s="72"/>
      <c r="I213" s="36"/>
      <c r="K213" s="53">
        <f t="shared" si="28"/>
        <v>8494231.0564799979</v>
      </c>
      <c r="L213" s="83"/>
      <c r="M213" s="83"/>
      <c r="N213" s="36"/>
    </row>
    <row r="214" spans="1:14" s="53" customFormat="1" x14ac:dyDescent="0.25">
      <c r="A214" s="71">
        <v>2</v>
      </c>
      <c r="B214" s="72"/>
      <c r="C214" s="54" t="s">
        <v>178</v>
      </c>
      <c r="D214" s="54">
        <f>(3.2*3.12+2.47*0.6+1.52*1.9+1.7*3.32+0.5*1.07+2.26*3.32+2.45*4.47+0.6*0.9+0.45*1.02+0.58*1+1*2.75+2.45*1.35+2.45*1.35+0.75*(3.2+2.4+2.26)+0.45*(2.1+2.1+2.3))*10.764</f>
        <v>632.4032987999999</v>
      </c>
      <c r="E214" s="54">
        <f>(3.05*1.8)*10.764</f>
        <v>59.094360000000002</v>
      </c>
      <c r="F214" s="54">
        <f>D214*(($F$124)+1)+(IF(E214&lt;101,E214,IF(E214&lt;201,E214/2,IF(E214&lt;=301,E214/3,E214/4))))</f>
        <v>1007.6993081999999</v>
      </c>
      <c r="G214" s="71" t="str">
        <f t="shared" ref="G214:G218" si="36">G213</f>
        <v>28th Floor (Part Refuge Area)</v>
      </c>
      <c r="H214" s="72"/>
      <c r="I214" s="36"/>
      <c r="K214" s="53">
        <f t="shared" si="28"/>
        <v>7255435.0190399997</v>
      </c>
      <c r="L214" s="83"/>
      <c r="M214" s="83"/>
      <c r="N214" s="36"/>
    </row>
    <row r="215" spans="1:14" s="53" customFormat="1" x14ac:dyDescent="0.25">
      <c r="A215" s="71">
        <v>3</v>
      </c>
      <c r="B215" s="72"/>
      <c r="C215" s="71" t="s">
        <v>182</v>
      </c>
      <c r="D215" s="75"/>
      <c r="E215" s="75"/>
      <c r="F215" s="72"/>
      <c r="G215" s="71" t="str">
        <f t="shared" si="36"/>
        <v>28th Floor (Part Refuge Area)</v>
      </c>
      <c r="H215" s="72"/>
      <c r="I215" s="36"/>
      <c r="K215" s="53">
        <f t="shared" si="28"/>
        <v>0</v>
      </c>
      <c r="L215" s="83"/>
      <c r="M215" s="83"/>
      <c r="N215" s="36"/>
    </row>
    <row r="216" spans="1:14" s="53" customFormat="1" x14ac:dyDescent="0.25">
      <c r="A216" s="71">
        <v>4</v>
      </c>
      <c r="B216" s="72"/>
      <c r="C216" s="54" t="s">
        <v>178</v>
      </c>
      <c r="D216" s="54">
        <f>(5.22*3.2+2.25*1.9+0.6*1.07+1.7*3.32+1.22*2.42+3.05*2.42+2.45*4.47+0.52*0.69+0.6*1.38+2*1+1*2.75+2.45*0.9+2.37*1.35+0.45*(2.25+2.1+0.7+2.1)+0.75*(3.2+2.2+3.1))*10.764</f>
        <v>747.92254679999996</v>
      </c>
      <c r="E216" s="54">
        <f t="shared" ref="E216:E217" si="37">(3.05*1.8)*10.764</f>
        <v>59.094360000000002</v>
      </c>
      <c r="F216" s="54">
        <f>D216*(($F$124)+1)+(IF(E216&lt;101,E216,IF(E216&lt;201,E216/2,IF(E216&lt;=301,E216/3,E216/4))))</f>
        <v>1180.9781802</v>
      </c>
      <c r="G216" s="71" t="str">
        <f t="shared" si="36"/>
        <v>28th Floor (Part Refuge Area)</v>
      </c>
      <c r="H216" s="72"/>
      <c r="I216" s="36"/>
      <c r="K216" s="53">
        <f t="shared" si="28"/>
        <v>8503042.8974399995</v>
      </c>
      <c r="L216" s="83"/>
      <c r="M216" s="83"/>
      <c r="N216" s="36"/>
    </row>
    <row r="217" spans="1:14" s="53" customFormat="1" x14ac:dyDescent="0.25">
      <c r="A217" s="71">
        <v>5</v>
      </c>
      <c r="B217" s="72"/>
      <c r="C217" s="54" t="s">
        <v>178</v>
      </c>
      <c r="D217" s="54">
        <f>(3.2*3.72+1.67*1.9+2.47*0.6+1.5*3.2+0.52*1.07+1.7*3.32+2.25*3.32+2.45*3.57+0.52*1.17+3.05*0.9+0.2*1+1*2.9+2.45*1.35+2.35*1.35+0.45*(2.3+2.1+2.1)+0.75*(3.2+2+2.25))*10.764</f>
        <v>702.04745519999994</v>
      </c>
      <c r="E217" s="54">
        <f t="shared" si="37"/>
        <v>59.094360000000002</v>
      </c>
      <c r="F217" s="54">
        <f>D217*(($F$124)+1)+(IF(E217&lt;101,E217,IF(E217&lt;201,E217/2,IF(E217&lt;=301,E217/3,E217/4))))</f>
        <v>1112.1655427999999</v>
      </c>
      <c r="G217" s="71" t="str">
        <f t="shared" si="36"/>
        <v>28th Floor (Part Refuge Area)</v>
      </c>
      <c r="H217" s="72"/>
      <c r="I217" s="36"/>
      <c r="K217" s="53">
        <f t="shared" si="28"/>
        <v>8007591.9081599992</v>
      </c>
      <c r="L217" s="83"/>
      <c r="M217" s="83"/>
      <c r="N217" s="36"/>
    </row>
    <row r="218" spans="1:14" s="53" customFormat="1" x14ac:dyDescent="0.25">
      <c r="A218" s="71">
        <v>6</v>
      </c>
      <c r="B218" s="72"/>
      <c r="C218" s="54" t="s">
        <v>178</v>
      </c>
      <c r="D218" s="54">
        <f>(3.2*3.15+2.17*0.6+1.5*3.2+1.22*1.9+0.55*1.1+1.7*3.32+1.37*2.42+2.17*2.42+0.9*2.17+2.45*4.47+0.52*2.22+1.35*1+1*4+2.45*1.35+0.45*(2.1+2.1+2.25)+0.75*(3.2+2.1+2.17))*10.764</f>
        <v>694.67842080000014</v>
      </c>
      <c r="E218" s="54">
        <f>(3.05*1.8)*10.764</f>
        <v>59.094360000000002</v>
      </c>
      <c r="F218" s="54">
        <f>D218*(($F$124)+1)+(IF(E218&lt;101,E218,IF(E218&lt;201,E218/2,IF(E218&lt;=301,E218/3,E218/4))))</f>
        <v>1101.1119912000004</v>
      </c>
      <c r="G218" s="71" t="str">
        <f t="shared" si="36"/>
        <v>28th Floor (Part Refuge Area)</v>
      </c>
      <c r="H218" s="72"/>
      <c r="I218" s="20"/>
      <c r="K218" s="53">
        <f t="shared" si="28"/>
        <v>7928006.3366400031</v>
      </c>
      <c r="L218" s="83"/>
      <c r="M218" s="83"/>
      <c r="N218" s="36"/>
    </row>
    <row r="219" spans="1:14" x14ac:dyDescent="0.25">
      <c r="A219" s="89" t="s">
        <v>202</v>
      </c>
      <c r="B219" s="89"/>
      <c r="C219" s="89"/>
      <c r="D219" s="89"/>
      <c r="E219" s="89"/>
      <c r="F219" s="89"/>
      <c r="G219" s="89"/>
      <c r="H219" s="89"/>
      <c r="K219" s="53">
        <f t="shared" si="28"/>
        <v>0</v>
      </c>
    </row>
    <row r="220" spans="1:14" x14ac:dyDescent="0.25">
      <c r="A220" s="89" t="s">
        <v>177</v>
      </c>
      <c r="B220" s="89"/>
      <c r="C220" s="89"/>
      <c r="D220" s="89"/>
      <c r="E220" s="89"/>
      <c r="F220" s="89"/>
      <c r="G220" s="89"/>
      <c r="H220" s="89"/>
      <c r="I220" s="53"/>
      <c r="K220" s="53">
        <f t="shared" si="28"/>
        <v>0</v>
      </c>
    </row>
    <row r="221" spans="1:14" s="53" customFormat="1" x14ac:dyDescent="0.25">
      <c r="A221" s="76" t="s">
        <v>205</v>
      </c>
      <c r="B221" s="77"/>
      <c r="C221" s="77"/>
      <c r="D221" s="77"/>
      <c r="E221" s="77"/>
      <c r="F221" s="77"/>
      <c r="G221" s="77"/>
      <c r="H221" s="78"/>
      <c r="I221" s="36">
        <f>(3.05*3.8+2.15*2.25+2.9*3+2.9*3.25+2.25*1.2+2.15*1.2+0.9*5.5+0.75*(2.5+2.15+2.9+2.9))*10.764</f>
        <v>566.40167999999994</v>
      </c>
      <c r="J221" s="36"/>
      <c r="K221" s="53">
        <f t="shared" si="28"/>
        <v>0</v>
      </c>
    </row>
    <row r="222" spans="1:14" s="53" customFormat="1" x14ac:dyDescent="0.25">
      <c r="A222" s="71">
        <v>2</v>
      </c>
      <c r="B222" s="72"/>
      <c r="C222" s="54" t="s">
        <v>178</v>
      </c>
      <c r="D222" s="54">
        <f>(55.78)*10.764</f>
        <v>600.41592000000003</v>
      </c>
      <c r="E222" s="54">
        <v>0</v>
      </c>
      <c r="F222" s="54">
        <f>D222*(($F$124)+1)+(IF(E222&lt;101,E222,IF(E222&lt;201,E222/2,IF(E222&lt;=301,E222/3,E222/4))))</f>
        <v>900.6238800000001</v>
      </c>
      <c r="G222" s="71" t="str">
        <f>A221</f>
        <v>2nd Podium Floor for Residential &amp; Parking</v>
      </c>
      <c r="H222" s="72"/>
      <c r="I222" s="36"/>
      <c r="K222" s="53">
        <f t="shared" si="28"/>
        <v>6484491.9360000007</v>
      </c>
      <c r="L222" s="83"/>
      <c r="M222" s="83"/>
      <c r="N222" s="36"/>
    </row>
    <row r="223" spans="1:14" s="53" customFormat="1" x14ac:dyDescent="0.25">
      <c r="A223" s="71" t="s">
        <v>206</v>
      </c>
      <c r="B223" s="72"/>
      <c r="C223" s="54" t="s">
        <v>186</v>
      </c>
      <c r="D223" s="54">
        <f>(77.61)*10.764</f>
        <v>835.3940399999999</v>
      </c>
      <c r="E223" s="54">
        <v>0</v>
      </c>
      <c r="F223" s="54">
        <f>D223*(($F$124)+1)+(IF(E223&lt;101,E223,IF(E223&lt;201,E223/2,IF(E223&lt;=301,E223/3,E223/4))))</f>
        <v>1253.0910599999997</v>
      </c>
      <c r="G223" s="71" t="str">
        <f t="shared" ref="G223" si="38">G222</f>
        <v>2nd Podium Floor for Residential &amp; Parking</v>
      </c>
      <c r="H223" s="72"/>
      <c r="K223" s="53">
        <f t="shared" si="28"/>
        <v>9022255.6319999974</v>
      </c>
      <c r="L223" s="83"/>
      <c r="M223" s="83"/>
      <c r="N223" s="36"/>
    </row>
    <row r="224" spans="1:14" s="53" customFormat="1" x14ac:dyDescent="0.25">
      <c r="A224" s="76" t="s">
        <v>207</v>
      </c>
      <c r="B224" s="77"/>
      <c r="C224" s="77"/>
      <c r="D224" s="77"/>
      <c r="E224" s="77"/>
      <c r="F224" s="77"/>
      <c r="G224" s="77"/>
      <c r="H224" s="78"/>
      <c r="I224" s="36">
        <f>(3.05*3.8+2.15*2.25+2.9*3+2.9*3.25+2.25*1.2+2.15*1.2+0.9*5.5+0.75*(2.5+2.15+2.9+2.9))*10.764</f>
        <v>566.40167999999994</v>
      </c>
      <c r="J224" s="36"/>
      <c r="K224" s="53">
        <f t="shared" si="28"/>
        <v>0</v>
      </c>
    </row>
    <row r="225" spans="1:16" s="53" customFormat="1" x14ac:dyDescent="0.25">
      <c r="A225" s="71">
        <v>2</v>
      </c>
      <c r="B225" s="72"/>
      <c r="C225" s="54" t="s">
        <v>178</v>
      </c>
      <c r="D225" s="54">
        <f>(55.78)*10.764</f>
        <v>600.41592000000003</v>
      </c>
      <c r="E225" s="54">
        <v>0</v>
      </c>
      <c r="F225" s="54">
        <f>D225*(($F$124)+1)+(IF(E225&lt;101,E225,IF(E225&lt;201,E225/2,IF(E225&lt;=301,E225/3,E225/4))))</f>
        <v>900.6238800000001</v>
      </c>
      <c r="G225" s="71" t="str">
        <f>A224</f>
        <v>3rd to 5th Podium Floor for Residential &amp; Parking</v>
      </c>
      <c r="H225" s="72"/>
      <c r="I225" s="36"/>
      <c r="K225" s="53">
        <f t="shared" si="28"/>
        <v>6484491.9360000007</v>
      </c>
      <c r="L225" s="83"/>
      <c r="M225" s="83"/>
      <c r="N225" s="36"/>
    </row>
    <row r="226" spans="1:16" s="53" customFormat="1" x14ac:dyDescent="0.25">
      <c r="A226" s="71">
        <v>3</v>
      </c>
      <c r="B226" s="72"/>
      <c r="C226" s="54" t="s">
        <v>193</v>
      </c>
      <c r="D226" s="54">
        <f>(36.29)*10.764</f>
        <v>390.62555999999995</v>
      </c>
      <c r="E226" s="54">
        <v>0</v>
      </c>
      <c r="F226" s="54">
        <f>D226*(($F$124)+1)+(IF(E226&lt;101,E226,IF(E226&lt;201,E226/2,IF(E226&lt;=301,E226/3,E226/4))))</f>
        <v>585.93833999999993</v>
      </c>
      <c r="G226" s="71" t="str">
        <f t="shared" ref="G226:G229" si="39">G225</f>
        <v>3rd to 5th Podium Floor for Residential &amp; Parking</v>
      </c>
      <c r="H226" s="72"/>
      <c r="I226" s="36"/>
      <c r="K226" s="53">
        <f t="shared" si="28"/>
        <v>4218756.0479999995</v>
      </c>
      <c r="L226" s="83"/>
      <c r="M226" s="83"/>
      <c r="N226" s="36"/>
    </row>
    <row r="227" spans="1:16" s="53" customFormat="1" x14ac:dyDescent="0.25">
      <c r="A227" s="71">
        <v>4</v>
      </c>
      <c r="B227" s="72"/>
      <c r="C227" s="54" t="s">
        <v>178</v>
      </c>
      <c r="D227" s="54">
        <f>(53.22)*10.764</f>
        <v>572.86007999999993</v>
      </c>
      <c r="E227" s="54">
        <v>0</v>
      </c>
      <c r="F227" s="54">
        <f>D227*(($F$124)+1)+(IF(E227&lt;101,E227,IF(E227&lt;201,E227/2,IF(E227&lt;=301,E227/3,E227/4))))</f>
        <v>859.29011999999989</v>
      </c>
      <c r="G227" s="71" t="str">
        <f t="shared" si="39"/>
        <v>3rd to 5th Podium Floor for Residential &amp; Parking</v>
      </c>
      <c r="H227" s="72"/>
      <c r="I227" s="36">
        <f>4350000/F228</f>
        <v>7640.8557505501958</v>
      </c>
      <c r="K227" s="53">
        <f t="shared" si="28"/>
        <v>6186888.8639999991</v>
      </c>
      <c r="L227" s="83"/>
      <c r="M227" s="83"/>
      <c r="N227" s="36"/>
    </row>
    <row r="228" spans="1:16" s="53" customFormat="1" x14ac:dyDescent="0.25">
      <c r="A228" s="71">
        <v>5</v>
      </c>
      <c r="B228" s="72"/>
      <c r="C228" s="54" t="s">
        <v>193</v>
      </c>
      <c r="D228" s="54">
        <f>(35.26)*10.764</f>
        <v>379.53863999999993</v>
      </c>
      <c r="E228" s="54">
        <v>0</v>
      </c>
      <c r="F228" s="54">
        <f>D228*(($F$124)+1)+(IF(E228&lt;101,E228,IF(E228&lt;201,E228/2,IF(E228&lt;=301,E228/3,E228/4))))</f>
        <v>569.30795999999987</v>
      </c>
      <c r="G228" s="71" t="str">
        <f t="shared" si="39"/>
        <v>3rd to 5th Podium Floor for Residential &amp; Parking</v>
      </c>
      <c r="H228" s="72"/>
      <c r="I228" s="36"/>
      <c r="J228" s="53" t="s">
        <v>237</v>
      </c>
      <c r="K228" s="53">
        <f t="shared" si="28"/>
        <v>4099017.311999999</v>
      </c>
      <c r="L228" s="83"/>
      <c r="M228" s="83"/>
      <c r="N228" s="36"/>
    </row>
    <row r="229" spans="1:16" s="53" customFormat="1" x14ac:dyDescent="0.25">
      <c r="A229" s="71">
        <v>6</v>
      </c>
      <c r="B229" s="72"/>
      <c r="C229" s="54" t="s">
        <v>178</v>
      </c>
      <c r="D229" s="54">
        <f>(49.05)*10.764</f>
        <v>527.97419999999988</v>
      </c>
      <c r="E229" s="54">
        <v>0</v>
      </c>
      <c r="F229" s="54">
        <f>D229*(($F$124)+1)+(IF(E229&lt;101,E229,IF(E229&lt;201,E229/2,IF(E229&lt;=301,E229/3,E229/4))))</f>
        <v>791.96129999999982</v>
      </c>
      <c r="G229" s="71" t="str">
        <f t="shared" si="39"/>
        <v>3rd to 5th Podium Floor for Residential &amp; Parking</v>
      </c>
      <c r="H229" s="72"/>
      <c r="I229" s="36"/>
      <c r="K229" s="53">
        <f t="shared" si="28"/>
        <v>5702121.3599999985</v>
      </c>
      <c r="L229" s="83"/>
      <c r="M229" s="83"/>
      <c r="N229" s="36"/>
    </row>
    <row r="230" spans="1:16" s="53" customFormat="1" x14ac:dyDescent="0.25">
      <c r="A230" s="76" t="s">
        <v>209</v>
      </c>
      <c r="B230" s="77"/>
      <c r="C230" s="77"/>
      <c r="D230" s="77"/>
      <c r="E230" s="77"/>
      <c r="F230" s="77"/>
      <c r="G230" s="77"/>
      <c r="H230" s="78"/>
      <c r="I230" s="36"/>
      <c r="K230" s="53">
        <f t="shared" si="28"/>
        <v>0</v>
      </c>
      <c r="P230" s="37"/>
    </row>
    <row r="231" spans="1:16" s="53" customFormat="1" x14ac:dyDescent="0.25">
      <c r="A231" s="71">
        <v>2</v>
      </c>
      <c r="B231" s="72"/>
      <c r="C231" s="54" t="s">
        <v>178</v>
      </c>
      <c r="D231" s="54">
        <f>(55.78)*10.764</f>
        <v>600.41592000000003</v>
      </c>
      <c r="E231" s="54">
        <v>0</v>
      </c>
      <c r="F231" s="54">
        <f>D231*(($F$124)+1)+(IF(E231&lt;101,E231,IF(E231&lt;201,E231/2,IF(E231&lt;=301,E231/3,E231/4))))</f>
        <v>900.6238800000001</v>
      </c>
      <c r="G231" s="71" t="str">
        <f>A230</f>
        <v xml:space="preserve">6th Floor for Residential </v>
      </c>
      <c r="H231" s="72"/>
      <c r="I231" s="36"/>
      <c r="K231" s="53">
        <f t="shared" si="28"/>
        <v>6484491.9360000007</v>
      </c>
    </row>
    <row r="232" spans="1:16" s="53" customFormat="1" x14ac:dyDescent="0.25">
      <c r="A232" s="71">
        <v>3</v>
      </c>
      <c r="B232" s="72"/>
      <c r="C232" s="54" t="s">
        <v>193</v>
      </c>
      <c r="D232" s="54">
        <f>(36.29)*10.764</f>
        <v>390.62555999999995</v>
      </c>
      <c r="E232" s="54">
        <v>0</v>
      </c>
      <c r="F232" s="54">
        <f>D232*(($F$124)+1)+(IF(E232&lt;101,E232,IF(E232&lt;201,E232/2,IF(E232&lt;=301,E232/3,E232/4))))</f>
        <v>585.93833999999993</v>
      </c>
      <c r="G232" s="71" t="str">
        <f>G231</f>
        <v xml:space="preserve">6th Floor for Residential </v>
      </c>
      <c r="H232" s="72"/>
      <c r="I232" s="36"/>
      <c r="K232" s="53">
        <f t="shared" si="28"/>
        <v>4218756.0479999995</v>
      </c>
    </row>
    <row r="233" spans="1:16" s="53" customFormat="1" x14ac:dyDescent="0.25">
      <c r="A233" s="71">
        <v>4</v>
      </c>
      <c r="B233" s="72"/>
      <c r="C233" s="54" t="s">
        <v>178</v>
      </c>
      <c r="D233" s="54">
        <f>(53.22)*10.764</f>
        <v>572.86007999999993</v>
      </c>
      <c r="E233" s="54">
        <v>0</v>
      </c>
      <c r="F233" s="54">
        <f>D233*(($F$124)+1)+(IF(E233&lt;101,E233,IF(E233&lt;201,E233/2,IF(E233&lt;=301,E233/3,E233/4))))</f>
        <v>859.29011999999989</v>
      </c>
      <c r="G233" s="71" t="str">
        <f>G232</f>
        <v xml:space="preserve">6th Floor for Residential </v>
      </c>
      <c r="H233" s="72"/>
      <c r="I233" s="36">
        <f>4396000/F234</f>
        <v>7721.6556044640602</v>
      </c>
      <c r="K233" s="53">
        <f t="shared" si="28"/>
        <v>6186888.8639999991</v>
      </c>
    </row>
    <row r="234" spans="1:16" s="53" customFormat="1" x14ac:dyDescent="0.25">
      <c r="A234" s="71">
        <v>5</v>
      </c>
      <c r="B234" s="72"/>
      <c r="C234" s="54" t="s">
        <v>193</v>
      </c>
      <c r="D234" s="54">
        <f>(35.26)*10.764</f>
        <v>379.53863999999993</v>
      </c>
      <c r="E234" s="54">
        <v>0</v>
      </c>
      <c r="F234" s="54">
        <f>D234*(($F$124)+1)+(IF(E234&lt;101,E234,IF(E234&lt;201,E234/2,IF(E234&lt;=301,E234/3,E234/4))))</f>
        <v>569.30795999999987</v>
      </c>
      <c r="G234" s="71" t="str">
        <f>G233</f>
        <v xml:space="preserve">6th Floor for Residential </v>
      </c>
      <c r="H234" s="72"/>
      <c r="I234" s="36">
        <f>7501000/F235</f>
        <v>9471.4224040997979</v>
      </c>
      <c r="J234" s="53" t="s">
        <v>237</v>
      </c>
      <c r="K234" s="53">
        <f t="shared" si="28"/>
        <v>4099017.311999999</v>
      </c>
    </row>
    <row r="235" spans="1:16" s="53" customFormat="1" x14ac:dyDescent="0.25">
      <c r="A235" s="71">
        <v>6</v>
      </c>
      <c r="B235" s="72"/>
      <c r="C235" s="54" t="s">
        <v>178</v>
      </c>
      <c r="D235" s="54">
        <f>(49.05)*10.764</f>
        <v>527.97419999999988</v>
      </c>
      <c r="E235" s="54">
        <v>0</v>
      </c>
      <c r="F235" s="54">
        <f>D235*(($F$124)+1)+(IF(E235&lt;101,E235,IF(E235&lt;201,E235/2,IF(E235&lt;=301,E235/3,E235/4))))</f>
        <v>791.96129999999982</v>
      </c>
      <c r="G235" s="71" t="str">
        <f>G234</f>
        <v xml:space="preserve">6th Floor for Residential </v>
      </c>
      <c r="H235" s="72"/>
      <c r="I235" s="36"/>
      <c r="J235" s="53" t="s">
        <v>238</v>
      </c>
      <c r="K235" s="53">
        <f t="shared" si="28"/>
        <v>5702121.3599999985</v>
      </c>
    </row>
    <row r="236" spans="1:16" s="45" customFormat="1" x14ac:dyDescent="0.25">
      <c r="A236" s="85" t="s">
        <v>241</v>
      </c>
      <c r="B236" s="85"/>
      <c r="C236" s="85"/>
      <c r="D236" s="85"/>
      <c r="E236" s="85"/>
      <c r="F236" s="85"/>
      <c r="G236" s="85"/>
      <c r="H236" s="85"/>
      <c r="I236" s="36"/>
      <c r="K236" s="53">
        <f t="shared" si="28"/>
        <v>0</v>
      </c>
      <c r="P236" s="37"/>
    </row>
    <row r="237" spans="1:16" s="45" customFormat="1" x14ac:dyDescent="0.25">
      <c r="A237" s="79">
        <v>1</v>
      </c>
      <c r="B237" s="79"/>
      <c r="C237" s="66" t="s">
        <v>186</v>
      </c>
      <c r="D237" s="66">
        <f>(76.91)*10.764</f>
        <v>827.85923999999989</v>
      </c>
      <c r="E237" s="66">
        <v>0</v>
      </c>
      <c r="F237" s="66">
        <f t="shared" ref="F237:F243" si="40">D237*(($F$124)+1)+(IF(E237&lt;101,E237,IF(E237&lt;201,E237/2,IF(E237&lt;=301,E237/3,E237/4))))</f>
        <v>1241.7888599999999</v>
      </c>
      <c r="G237" s="79" t="str">
        <f>A236</f>
        <v>7th, 9th to 11th, 14th to 17th, 19th to 22nd, 24th to 27th, 29th &amp; 30th Floor</v>
      </c>
      <c r="H237" s="79"/>
      <c r="I237" s="36"/>
      <c r="K237" s="53">
        <f t="shared" si="28"/>
        <v>8940879.7919999994</v>
      </c>
    </row>
    <row r="238" spans="1:16" s="45" customFormat="1" x14ac:dyDescent="0.25">
      <c r="A238" s="79">
        <v>2</v>
      </c>
      <c r="B238" s="79"/>
      <c r="C238" s="66" t="s">
        <v>178</v>
      </c>
      <c r="D238" s="66">
        <f>(55.78)*10.764</f>
        <v>600.41592000000003</v>
      </c>
      <c r="E238" s="66">
        <v>0</v>
      </c>
      <c r="F238" s="66">
        <f t="shared" si="40"/>
        <v>900.6238800000001</v>
      </c>
      <c r="G238" s="79" t="str">
        <f t="shared" ref="G238:G243" si="41">G237</f>
        <v>7th, 9th to 11th, 14th to 17th, 19th to 22nd, 24th to 27th, 29th &amp; 30th Floor</v>
      </c>
      <c r="H238" s="79"/>
      <c r="I238" s="36"/>
      <c r="K238" s="53">
        <f t="shared" si="28"/>
        <v>6484491.9360000007</v>
      </c>
    </row>
    <row r="239" spans="1:16" s="45" customFormat="1" x14ac:dyDescent="0.25">
      <c r="A239" s="79">
        <v>3</v>
      </c>
      <c r="B239" s="79"/>
      <c r="C239" s="66" t="s">
        <v>193</v>
      </c>
      <c r="D239" s="66">
        <f>(36.29)*10.764</f>
        <v>390.62555999999995</v>
      </c>
      <c r="E239" s="66">
        <v>0</v>
      </c>
      <c r="F239" s="66">
        <f t="shared" si="40"/>
        <v>585.93833999999993</v>
      </c>
      <c r="G239" s="79" t="str">
        <f t="shared" si="41"/>
        <v>7th, 9th to 11th, 14th to 17th, 19th to 22nd, 24th to 27th, 29th &amp; 30th Floor</v>
      </c>
      <c r="H239" s="79"/>
      <c r="I239" s="36"/>
      <c r="K239" s="53">
        <f t="shared" si="28"/>
        <v>4218756.0479999995</v>
      </c>
    </row>
    <row r="240" spans="1:16" s="45" customFormat="1" x14ac:dyDescent="0.25">
      <c r="A240" s="79">
        <v>4</v>
      </c>
      <c r="B240" s="79"/>
      <c r="C240" s="66" t="s">
        <v>178</v>
      </c>
      <c r="D240" s="66">
        <f>(53.22)*10.764</f>
        <v>572.86007999999993</v>
      </c>
      <c r="E240" s="66">
        <v>0</v>
      </c>
      <c r="F240" s="66">
        <f t="shared" si="40"/>
        <v>859.29011999999989</v>
      </c>
      <c r="G240" s="79" t="str">
        <f t="shared" si="41"/>
        <v>7th, 9th to 11th, 14th to 17th, 19th to 22nd, 24th to 27th, 29th &amp; 30th Floor</v>
      </c>
      <c r="H240" s="79"/>
      <c r="I240" s="36"/>
      <c r="K240" s="53">
        <f t="shared" si="28"/>
        <v>6186888.8639999991</v>
      </c>
    </row>
    <row r="241" spans="1:16" s="45" customFormat="1" x14ac:dyDescent="0.25">
      <c r="A241" s="79">
        <v>5</v>
      </c>
      <c r="B241" s="79"/>
      <c r="C241" s="66" t="s">
        <v>193</v>
      </c>
      <c r="D241" s="66">
        <f>(35.26)*10.764</f>
        <v>379.53863999999993</v>
      </c>
      <c r="E241" s="66">
        <v>0</v>
      </c>
      <c r="F241" s="66">
        <f t="shared" si="40"/>
        <v>569.30795999999987</v>
      </c>
      <c r="G241" s="79" t="str">
        <f t="shared" si="41"/>
        <v>7th, 9th to 11th, 14th to 17th, 19th to 22nd, 24th to 27th, 29th &amp; 30th Floor</v>
      </c>
      <c r="H241" s="79"/>
      <c r="I241" s="36"/>
      <c r="K241" s="53">
        <f t="shared" si="28"/>
        <v>4099017.311999999</v>
      </c>
    </row>
    <row r="242" spans="1:16" s="53" customFormat="1" x14ac:dyDescent="0.25">
      <c r="A242" s="79">
        <v>6</v>
      </c>
      <c r="B242" s="79"/>
      <c r="C242" s="66" t="s">
        <v>178</v>
      </c>
      <c r="D242" s="66">
        <f>(49.05)*10.764</f>
        <v>527.97419999999988</v>
      </c>
      <c r="E242" s="66">
        <v>0</v>
      </c>
      <c r="F242" s="66">
        <f t="shared" si="40"/>
        <v>791.96129999999982</v>
      </c>
      <c r="G242" s="79" t="str">
        <f t="shared" si="41"/>
        <v>7th, 9th to 11th, 14th to 17th, 19th to 22nd, 24th to 27th, 29th &amp; 30th Floor</v>
      </c>
      <c r="H242" s="79"/>
      <c r="I242" s="36"/>
      <c r="K242" s="53">
        <f t="shared" si="28"/>
        <v>5702121.3599999985</v>
      </c>
    </row>
    <row r="243" spans="1:16" s="53" customFormat="1" x14ac:dyDescent="0.25">
      <c r="A243" s="71">
        <v>7</v>
      </c>
      <c r="B243" s="72"/>
      <c r="C243" s="54" t="s">
        <v>178</v>
      </c>
      <c r="D243" s="54">
        <f>(49.05)*10.764</f>
        <v>527.97419999999988</v>
      </c>
      <c r="E243" s="54">
        <v>0</v>
      </c>
      <c r="F243" s="54">
        <f t="shared" si="40"/>
        <v>791.96129999999982</v>
      </c>
      <c r="G243" s="71" t="str">
        <f t="shared" si="41"/>
        <v>7th, 9th to 11th, 14th to 17th, 19th to 22nd, 24th to 27th, 29th &amp; 30th Floor</v>
      </c>
      <c r="H243" s="72"/>
      <c r="I243" s="36"/>
      <c r="K243" s="53">
        <f t="shared" si="28"/>
        <v>5702121.3599999985</v>
      </c>
    </row>
    <row r="244" spans="1:16" s="45" customFormat="1" x14ac:dyDescent="0.25">
      <c r="A244" s="76" t="s">
        <v>208</v>
      </c>
      <c r="B244" s="77"/>
      <c r="C244" s="77"/>
      <c r="D244" s="77"/>
      <c r="E244" s="77"/>
      <c r="F244" s="77"/>
      <c r="G244" s="77"/>
      <c r="H244" s="78"/>
      <c r="I244" s="36"/>
      <c r="K244" s="53">
        <f t="shared" si="28"/>
        <v>0</v>
      </c>
      <c r="P244" s="37"/>
    </row>
    <row r="245" spans="1:16" s="45" customFormat="1" x14ac:dyDescent="0.25">
      <c r="A245" s="71">
        <v>1</v>
      </c>
      <c r="B245" s="72"/>
      <c r="C245" s="42" t="s">
        <v>186</v>
      </c>
      <c r="D245" s="42">
        <f>(76.91)*10.764</f>
        <v>827.85923999999989</v>
      </c>
      <c r="E245" s="42">
        <v>0</v>
      </c>
      <c r="F245" s="42">
        <f>D245*(($F$124)+1)+(IF(E245&lt;101,E245,IF(E245&lt;201,E245/2,IF(E245&lt;=301,E245/3,E245/4))))</f>
        <v>1241.7888599999999</v>
      </c>
      <c r="G245" s="71" t="str">
        <f>A244</f>
        <v>8th, 13th, 18th, 23rd &amp; 28th Floor (Part Refuge Area)</v>
      </c>
      <c r="H245" s="72"/>
      <c r="I245" s="36"/>
      <c r="K245" s="53">
        <f t="shared" si="28"/>
        <v>8940879.7919999994</v>
      </c>
    </row>
    <row r="246" spans="1:16" s="45" customFormat="1" x14ac:dyDescent="0.25">
      <c r="A246" s="71">
        <v>2</v>
      </c>
      <c r="B246" s="72"/>
      <c r="C246" s="42" t="s">
        <v>178</v>
      </c>
      <c r="D246" s="42">
        <f>(55.78)*10.764</f>
        <v>600.41592000000003</v>
      </c>
      <c r="E246" s="42">
        <v>0</v>
      </c>
      <c r="F246" s="42">
        <f>D246*(($F$124)+1)+(IF(E246&lt;101,E246,IF(E246&lt;201,E246/2,IF(E246&lt;=301,E246/3,E246/4))))</f>
        <v>900.6238800000001</v>
      </c>
      <c r="G246" s="71" t="str">
        <f t="shared" ref="G246:G251" si="42">G245</f>
        <v>8th, 13th, 18th, 23rd &amp; 28th Floor (Part Refuge Area)</v>
      </c>
      <c r="H246" s="72"/>
      <c r="I246" s="36"/>
      <c r="K246" s="53">
        <f t="shared" si="28"/>
        <v>6484491.9360000007</v>
      </c>
    </row>
    <row r="247" spans="1:16" s="45" customFormat="1" x14ac:dyDescent="0.25">
      <c r="A247" s="71">
        <v>3</v>
      </c>
      <c r="B247" s="72"/>
      <c r="C247" s="42" t="s">
        <v>193</v>
      </c>
      <c r="D247" s="42">
        <f>(36.29)*10.764</f>
        <v>390.62555999999995</v>
      </c>
      <c r="E247" s="42">
        <v>0</v>
      </c>
      <c r="F247" s="42">
        <f>D247*(($F$124)+1)+(IF(E247&lt;101,E247,IF(E247&lt;201,E247/2,IF(E247&lt;=301,E247/3,E247/4))))</f>
        <v>585.93833999999993</v>
      </c>
      <c r="G247" s="71" t="str">
        <f t="shared" si="42"/>
        <v>8th, 13th, 18th, 23rd &amp; 28th Floor (Part Refuge Area)</v>
      </c>
      <c r="H247" s="72"/>
      <c r="I247" s="36">
        <f>7283000/F248</f>
        <v>8475.6007668283219</v>
      </c>
      <c r="K247" s="53">
        <f t="shared" si="28"/>
        <v>4218756.0479999995</v>
      </c>
    </row>
    <row r="248" spans="1:16" s="45" customFormat="1" x14ac:dyDescent="0.25">
      <c r="A248" s="71">
        <v>4</v>
      </c>
      <c r="B248" s="72"/>
      <c r="C248" s="42" t="s">
        <v>178</v>
      </c>
      <c r="D248" s="42">
        <f>(53.22)*10.764</f>
        <v>572.86007999999993</v>
      </c>
      <c r="E248" s="42">
        <v>0</v>
      </c>
      <c r="F248" s="42">
        <f>D248*(($F$124)+1)+(IF(E248&lt;101,E248,IF(E248&lt;201,E248/2,IF(E248&lt;=301,E248/3,E248/4))))</f>
        <v>859.29011999999989</v>
      </c>
      <c r="G248" s="71" t="str">
        <f t="shared" si="42"/>
        <v>8th, 13th, 18th, 23rd &amp; 28th Floor (Part Refuge Area)</v>
      </c>
      <c r="H248" s="72"/>
      <c r="I248" s="36"/>
      <c r="J248" s="45">
        <f>8311000/F248</f>
        <v>9671.937110134586</v>
      </c>
      <c r="K248" s="53">
        <f t="shared" si="28"/>
        <v>6186888.8639999991</v>
      </c>
    </row>
    <row r="249" spans="1:16" s="45" customFormat="1" x14ac:dyDescent="0.25">
      <c r="A249" s="71">
        <v>5</v>
      </c>
      <c r="B249" s="72"/>
      <c r="C249" s="71" t="s">
        <v>182</v>
      </c>
      <c r="D249" s="75"/>
      <c r="E249" s="75"/>
      <c r="F249" s="72"/>
      <c r="G249" s="71" t="str">
        <f t="shared" si="42"/>
        <v>8th, 13th, 18th, 23rd &amp; 28th Floor (Part Refuge Area)</v>
      </c>
      <c r="H249" s="72"/>
      <c r="I249" s="36">
        <f>8069000/F250</f>
        <v>10188.629166601957</v>
      </c>
      <c r="K249" s="53">
        <f t="shared" si="28"/>
        <v>0</v>
      </c>
    </row>
    <row r="250" spans="1:16" s="51" customFormat="1" x14ac:dyDescent="0.25">
      <c r="A250" s="71">
        <v>6</v>
      </c>
      <c r="B250" s="72"/>
      <c r="C250" s="50" t="s">
        <v>178</v>
      </c>
      <c r="D250" s="50">
        <f>(49.05)*10.764</f>
        <v>527.97419999999988</v>
      </c>
      <c r="E250" s="50">
        <v>0</v>
      </c>
      <c r="F250" s="50">
        <f>D250*(($F$124)+1)+(IF(E250&lt;101,E250,IF(E250&lt;201,E250/2,IF(E250&lt;=301,E250/3,E250/4))))</f>
        <v>791.96129999999982</v>
      </c>
      <c r="G250" s="71" t="str">
        <f t="shared" si="42"/>
        <v>8th, 13th, 18th, 23rd &amp; 28th Floor (Part Refuge Area)</v>
      </c>
      <c r="H250" s="72"/>
      <c r="I250" s="36"/>
      <c r="K250" s="53">
        <f t="shared" si="28"/>
        <v>5702121.3599999985</v>
      </c>
    </row>
    <row r="251" spans="1:16" s="53" customFormat="1" x14ac:dyDescent="0.25">
      <c r="A251" s="73">
        <v>7</v>
      </c>
      <c r="B251" s="74"/>
      <c r="C251" s="63" t="s">
        <v>178</v>
      </c>
      <c r="D251" s="63">
        <f>(49.05)*10.764</f>
        <v>527.97419999999988</v>
      </c>
      <c r="E251" s="63">
        <v>0</v>
      </c>
      <c r="F251" s="63">
        <f t="shared" ref="F251" si="43">D251*(($F$124)+1)+(IF(E251&lt;101,E251,IF(E251&lt;201,E251/2,IF(E251&lt;=301,E251/3,E251/4))))</f>
        <v>791.96129999999982</v>
      </c>
      <c r="G251" s="73" t="str">
        <f t="shared" si="42"/>
        <v>8th, 13th, 18th, 23rd &amp; 28th Floor (Part Refuge Area)</v>
      </c>
      <c r="H251" s="74"/>
      <c r="I251" s="35"/>
      <c r="K251" s="53">
        <f t="shared" si="28"/>
        <v>5702121.3599999985</v>
      </c>
    </row>
    <row r="252" spans="1:16" s="35" customFormat="1" x14ac:dyDescent="0.25">
      <c r="A252" s="84" t="s">
        <v>72</v>
      </c>
      <c r="B252" s="84"/>
      <c r="C252" s="84"/>
      <c r="D252" s="84"/>
      <c r="E252" s="84"/>
      <c r="F252" s="84"/>
      <c r="G252" s="84"/>
      <c r="H252" s="84"/>
    </row>
    <row r="253" spans="1:16" s="35" customFormat="1" x14ac:dyDescent="0.25">
      <c r="A253" s="64" t="s">
        <v>162</v>
      </c>
      <c r="B253" s="80" t="s">
        <v>245</v>
      </c>
      <c r="C253" s="81"/>
      <c r="D253" s="81"/>
      <c r="E253" s="81"/>
      <c r="F253" s="81"/>
      <c r="G253" s="81"/>
      <c r="H253" s="82"/>
    </row>
    <row r="254" spans="1:16" s="35" customFormat="1" x14ac:dyDescent="0.25">
      <c r="A254" s="64" t="s">
        <v>162</v>
      </c>
      <c r="B254" s="80" t="str">
        <f>(IF(F123="Saleable area Loading :","We have considered Saleable area of Flats as per our Calculation.","We considered Saleable area of Flat as per Builder area Sheet."))</f>
        <v>We have considered Saleable area of Flats as per our Calculation.</v>
      </c>
      <c r="C254" s="81"/>
      <c r="D254" s="81"/>
      <c r="E254" s="81"/>
      <c r="F254" s="81"/>
      <c r="G254" s="81"/>
      <c r="H254" s="82"/>
    </row>
    <row r="255" spans="1:16" s="35" customFormat="1" x14ac:dyDescent="0.25">
      <c r="A255" s="64" t="s">
        <v>162</v>
      </c>
      <c r="B255" s="80" t="str">
        <f>(IF(F116="Saleable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5" s="81"/>
      <c r="D255" s="81"/>
      <c r="E255" s="81"/>
      <c r="F255" s="81"/>
      <c r="G255" s="81"/>
      <c r="H255" s="82"/>
    </row>
    <row r="256" spans="1:16" s="35" customFormat="1" x14ac:dyDescent="0.25">
      <c r="A256" s="64" t="s">
        <v>162</v>
      </c>
      <c r="B256" s="80" t="s">
        <v>131</v>
      </c>
      <c r="C256" s="81"/>
      <c r="D256" s="81"/>
      <c r="E256" s="81"/>
      <c r="F256" s="81"/>
      <c r="G256" s="81"/>
      <c r="H256" s="82"/>
    </row>
    <row r="257" spans="1:8" s="35" customFormat="1" x14ac:dyDescent="0.25">
      <c r="A257" s="44" t="s">
        <v>162</v>
      </c>
      <c r="B257" s="86" t="s">
        <v>234</v>
      </c>
      <c r="C257" s="87"/>
      <c r="D257" s="87"/>
      <c r="E257" s="87"/>
      <c r="F257" s="87"/>
      <c r="G257" s="87"/>
      <c r="H257" s="88"/>
    </row>
    <row r="258" spans="1:8" s="35" customFormat="1" x14ac:dyDescent="0.25">
      <c r="A258" s="44" t="s">
        <v>162</v>
      </c>
      <c r="B258" s="86" t="s">
        <v>161</v>
      </c>
      <c r="C258" s="87"/>
      <c r="D258" s="87"/>
      <c r="E258" s="87"/>
      <c r="F258" s="87"/>
      <c r="G258" s="87"/>
      <c r="H258" s="88"/>
    </row>
    <row r="259" spans="1:8" s="35" customFormat="1" x14ac:dyDescent="0.25">
      <c r="A259" s="44" t="s">
        <v>162</v>
      </c>
      <c r="B259" s="86" t="s">
        <v>132</v>
      </c>
      <c r="C259" s="87"/>
      <c r="D259" s="87"/>
      <c r="E259" s="87"/>
      <c r="F259" s="87"/>
      <c r="G259" s="87"/>
      <c r="H259" s="88"/>
    </row>
    <row r="260" spans="1:8" s="35" customFormat="1" ht="34.5" customHeight="1" x14ac:dyDescent="0.25">
      <c r="A260" s="44" t="s">
        <v>162</v>
      </c>
      <c r="B260" s="86" t="s">
        <v>163</v>
      </c>
      <c r="C260" s="87"/>
      <c r="D260" s="87"/>
      <c r="E260" s="87"/>
      <c r="F260" s="87"/>
      <c r="G260" s="87"/>
      <c r="H260" s="88"/>
    </row>
    <row r="261" spans="1:8" s="35" customFormat="1" x14ac:dyDescent="0.25">
      <c r="A261" s="64" t="s">
        <v>162</v>
      </c>
      <c r="B261" s="80" t="s">
        <v>133</v>
      </c>
      <c r="C261" s="81"/>
      <c r="D261" s="81"/>
      <c r="E261" s="81"/>
      <c r="F261" s="81"/>
      <c r="G261" s="81"/>
      <c r="H261" s="82"/>
    </row>
    <row r="262" spans="1:8" s="35" customFormat="1" x14ac:dyDescent="0.25">
      <c r="A262" s="64" t="s">
        <v>162</v>
      </c>
      <c r="B262" s="80" t="s">
        <v>240</v>
      </c>
      <c r="C262" s="81"/>
      <c r="D262" s="81"/>
      <c r="E262" s="81"/>
      <c r="F262" s="81"/>
      <c r="G262" s="81"/>
      <c r="H262" s="82"/>
    </row>
    <row r="263" spans="1:8" s="35" customFormat="1" x14ac:dyDescent="0.25">
      <c r="A263" s="64" t="s">
        <v>162</v>
      </c>
      <c r="B263" s="80" t="s">
        <v>246</v>
      </c>
      <c r="C263" s="81"/>
      <c r="D263" s="81"/>
      <c r="E263" s="81"/>
      <c r="F263" s="81"/>
      <c r="G263" s="81"/>
      <c r="H263" s="82"/>
    </row>
    <row r="264" spans="1:8" s="35" customFormat="1" ht="33" customHeight="1" x14ac:dyDescent="0.25">
      <c r="A264" s="64" t="s">
        <v>162</v>
      </c>
      <c r="B264" s="80" t="s">
        <v>250</v>
      </c>
      <c r="C264" s="81"/>
      <c r="D264" s="81"/>
      <c r="E264" s="81"/>
      <c r="F264" s="81"/>
      <c r="G264" s="81"/>
      <c r="H264" s="82"/>
    </row>
    <row r="265" spans="1:8" x14ac:dyDescent="0.25">
      <c r="A265" s="162" t="s">
        <v>65</v>
      </c>
      <c r="B265" s="162"/>
      <c r="C265" s="162"/>
      <c r="D265" s="162"/>
      <c r="E265" s="162"/>
      <c r="F265" s="162"/>
      <c r="G265" s="162"/>
      <c r="H265" s="162"/>
    </row>
    <row r="266" spans="1:8" x14ac:dyDescent="0.25">
      <c r="A266" s="96" t="s">
        <v>66</v>
      </c>
      <c r="B266" s="96"/>
      <c r="C266" s="96"/>
      <c r="D266" s="96"/>
      <c r="E266" s="96"/>
      <c r="F266" s="96"/>
      <c r="G266" s="96"/>
      <c r="H266" s="96"/>
    </row>
    <row r="267" spans="1:8" ht="15.75" customHeight="1" x14ac:dyDescent="0.25">
      <c r="A267" s="177" t="s">
        <v>67</v>
      </c>
      <c r="B267" s="177"/>
      <c r="C267" s="177"/>
      <c r="D267" s="177"/>
      <c r="E267" s="177"/>
      <c r="F267" s="177"/>
      <c r="G267" s="177"/>
      <c r="H267" s="177"/>
    </row>
    <row r="268" spans="1:8" x14ac:dyDescent="0.25">
      <c r="A268" s="96" t="s">
        <v>68</v>
      </c>
      <c r="B268" s="96"/>
      <c r="C268" s="96"/>
      <c r="D268" s="96"/>
      <c r="E268" s="96"/>
      <c r="F268" s="96"/>
      <c r="G268" s="96"/>
      <c r="H268" s="96"/>
    </row>
    <row r="269" spans="1:8" x14ac:dyDescent="0.25">
      <c r="A269" s="96" t="s">
        <v>69</v>
      </c>
      <c r="B269" s="96"/>
      <c r="C269" s="96"/>
      <c r="D269" s="96"/>
      <c r="E269" s="96"/>
      <c r="F269" s="96"/>
      <c r="G269" s="96"/>
      <c r="H269" s="96"/>
    </row>
    <row r="270" spans="1:8" x14ac:dyDescent="0.25">
      <c r="A270" s="96" t="s">
        <v>134</v>
      </c>
      <c r="B270" s="96"/>
      <c r="C270" s="96"/>
      <c r="D270" s="96"/>
      <c r="E270" s="96"/>
      <c r="F270" s="96"/>
      <c r="G270" s="96"/>
      <c r="H270" s="96"/>
    </row>
    <row r="271" spans="1:8" ht="35.25" customHeight="1" x14ac:dyDescent="0.25">
      <c r="A271" s="156" t="s">
        <v>135</v>
      </c>
      <c r="B271" s="156"/>
      <c r="C271" s="156"/>
      <c r="D271" s="156"/>
      <c r="E271" s="156"/>
      <c r="F271" s="156"/>
      <c r="G271" s="156"/>
      <c r="H271" s="156"/>
    </row>
    <row r="272" spans="1:8" x14ac:dyDescent="0.25">
      <c r="A272" s="161" t="s">
        <v>82</v>
      </c>
      <c r="B272" s="161"/>
      <c r="C272" s="161" t="s">
        <v>249</v>
      </c>
      <c r="D272" s="161"/>
      <c r="E272" s="161" t="s">
        <v>112</v>
      </c>
      <c r="F272" s="161"/>
      <c r="G272" s="161" t="s">
        <v>248</v>
      </c>
      <c r="H272" s="161"/>
    </row>
    <row r="273" spans="1:8" x14ac:dyDescent="0.25">
      <c r="A273" s="160" t="s">
        <v>84</v>
      </c>
      <c r="B273" s="160"/>
      <c r="C273" s="160"/>
      <c r="D273" s="160"/>
      <c r="E273" s="160"/>
      <c r="F273" s="160"/>
      <c r="G273" s="160"/>
      <c r="H273" s="160"/>
    </row>
    <row r="274" spans="1:8" x14ac:dyDescent="0.25">
      <c r="A274" s="160"/>
      <c r="B274" s="160"/>
      <c r="C274" s="160"/>
      <c r="D274" s="160"/>
      <c r="E274" s="160"/>
      <c r="F274" s="160"/>
      <c r="G274" s="160"/>
      <c r="H274" s="160"/>
    </row>
    <row r="275" spans="1:8" x14ac:dyDescent="0.25">
      <c r="A275" s="160"/>
      <c r="B275" s="160"/>
      <c r="C275" s="160"/>
      <c r="D275" s="160"/>
      <c r="E275" s="160"/>
      <c r="F275" s="160"/>
      <c r="G275" s="160"/>
      <c r="H275" s="160"/>
    </row>
    <row r="276" spans="1:8" x14ac:dyDescent="0.25">
      <c r="A276" s="160"/>
      <c r="B276" s="160"/>
      <c r="C276" s="160"/>
      <c r="D276" s="160"/>
      <c r="E276" s="160"/>
      <c r="F276" s="160"/>
      <c r="G276" s="160"/>
      <c r="H276" s="160"/>
    </row>
    <row r="277" spans="1:8" x14ac:dyDescent="0.25">
      <c r="A277" s="38" t="s">
        <v>70</v>
      </c>
      <c r="B277" s="39"/>
      <c r="C277" s="39"/>
      <c r="D277" s="38" t="str">
        <f>E8</f>
        <v>Tycoons Square Avenue III</v>
      </c>
      <c r="F277" s="39"/>
      <c r="G277" s="39"/>
      <c r="H277" s="39"/>
    </row>
    <row r="278" spans="1:8" x14ac:dyDescent="0.25">
      <c r="A278" s="39"/>
      <c r="B278" s="39"/>
      <c r="C278" s="39"/>
      <c r="D278" s="39"/>
      <c r="E278" s="39"/>
      <c r="F278" s="39"/>
      <c r="G278" s="39"/>
      <c r="H278" s="39"/>
    </row>
    <row r="279" spans="1:8" x14ac:dyDescent="0.25">
      <c r="A279" s="39"/>
      <c r="B279" s="39"/>
      <c r="C279" s="39"/>
      <c r="D279" s="39"/>
      <c r="E279" s="39"/>
      <c r="F279" s="39"/>
      <c r="G279" s="39"/>
      <c r="H279" s="39"/>
    </row>
    <row r="280" spans="1:8" ht="15" customHeight="1" x14ac:dyDescent="0.25"/>
    <row r="320" spans="1:1" x14ac:dyDescent="0.25">
      <c r="A320" s="41" t="s">
        <v>71</v>
      </c>
    </row>
  </sheetData>
  <mergeCells count="561">
    <mergeCell ref="B263:H263"/>
    <mergeCell ref="G116:H117"/>
    <mergeCell ref="B264:H264"/>
    <mergeCell ref="A39:D39"/>
    <mergeCell ref="A270:H270"/>
    <mergeCell ref="A267:H267"/>
    <mergeCell ref="G240:H240"/>
    <mergeCell ref="A137:B137"/>
    <mergeCell ref="A110:B110"/>
    <mergeCell ref="D123:D124"/>
    <mergeCell ref="E123:E124"/>
    <mergeCell ref="G123:H124"/>
    <mergeCell ref="A88:B88"/>
    <mergeCell ref="A73:B73"/>
    <mergeCell ref="F93:H93"/>
    <mergeCell ref="G108:H108"/>
    <mergeCell ref="A91:B91"/>
    <mergeCell ref="A46:B46"/>
    <mergeCell ref="C46:E46"/>
    <mergeCell ref="A126:H126"/>
    <mergeCell ref="A127:H127"/>
    <mergeCell ref="A148:B148"/>
    <mergeCell ref="G46:H46"/>
    <mergeCell ref="G48:H48"/>
    <mergeCell ref="D52:H52"/>
    <mergeCell ref="D56:H56"/>
    <mergeCell ref="C49:H49"/>
    <mergeCell ref="A146:B146"/>
    <mergeCell ref="A71:B71"/>
    <mergeCell ref="E67:F67"/>
    <mergeCell ref="A60:C60"/>
    <mergeCell ref="D60:H60"/>
    <mergeCell ref="A63:C63"/>
    <mergeCell ref="D63:H63"/>
    <mergeCell ref="A61:C61"/>
    <mergeCell ref="D61:H61"/>
    <mergeCell ref="A62:C62"/>
    <mergeCell ref="D62:H62"/>
    <mergeCell ref="A68:B68"/>
    <mergeCell ref="G67:H67"/>
    <mergeCell ref="A75:B75"/>
    <mergeCell ref="C111:D111"/>
    <mergeCell ref="E111:F111"/>
    <mergeCell ref="G111:H111"/>
    <mergeCell ref="F99:H99"/>
    <mergeCell ref="A93:E93"/>
    <mergeCell ref="A78:B78"/>
    <mergeCell ref="C78:H78"/>
    <mergeCell ref="A119:H119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8:E48"/>
    <mergeCell ref="A273:H276"/>
    <mergeCell ref="A272:B272"/>
    <mergeCell ref="E272:F272"/>
    <mergeCell ref="C272:D272"/>
    <mergeCell ref="G272:H272"/>
    <mergeCell ref="A106:H106"/>
    <mergeCell ref="A104:E104"/>
    <mergeCell ref="F104:H104"/>
    <mergeCell ref="A105:E105"/>
    <mergeCell ref="F105:H105"/>
    <mergeCell ref="A136:H136"/>
    <mergeCell ref="A111:B111"/>
    <mergeCell ref="A147:B147"/>
    <mergeCell ref="A108:B108"/>
    <mergeCell ref="A268:H268"/>
    <mergeCell ref="A109:H109"/>
    <mergeCell ref="A271:H271"/>
    <mergeCell ref="A269:H269"/>
    <mergeCell ref="A265:H265"/>
    <mergeCell ref="A266:H266"/>
    <mergeCell ref="E110:F110"/>
    <mergeCell ref="B261:H261"/>
    <mergeCell ref="G120:H120"/>
    <mergeCell ref="A149:B14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A38:D38"/>
    <mergeCell ref="E38:H38"/>
    <mergeCell ref="F30:H30"/>
    <mergeCell ref="F31:H31"/>
    <mergeCell ref="A37:H37"/>
    <mergeCell ref="A57:C57"/>
    <mergeCell ref="F33:H33"/>
    <mergeCell ref="A35:B35"/>
    <mergeCell ref="E35:F35"/>
    <mergeCell ref="C35:D35"/>
    <mergeCell ref="G35:H35"/>
    <mergeCell ref="A36:B36"/>
    <mergeCell ref="C36:H36"/>
    <mergeCell ref="A42:D42"/>
    <mergeCell ref="A43:D43"/>
    <mergeCell ref="A44:H44"/>
    <mergeCell ref="D54:H54"/>
    <mergeCell ref="A54:C54"/>
    <mergeCell ref="G47:H47"/>
    <mergeCell ref="A48:B49"/>
    <mergeCell ref="E39:H39"/>
    <mergeCell ref="D57:H57"/>
    <mergeCell ref="E68:F77"/>
    <mergeCell ref="G68:H77"/>
    <mergeCell ref="A76:B76"/>
    <mergeCell ref="A77:B77"/>
    <mergeCell ref="D58:H58"/>
    <mergeCell ref="A40:D40"/>
    <mergeCell ref="E40:H40"/>
    <mergeCell ref="E41:H41"/>
    <mergeCell ref="E42:H42"/>
    <mergeCell ref="E43:H43"/>
    <mergeCell ref="A41:D41"/>
    <mergeCell ref="A74:B74"/>
    <mergeCell ref="A67:B67"/>
    <mergeCell ref="A70:B70"/>
    <mergeCell ref="A66:B66"/>
    <mergeCell ref="A64:B64"/>
    <mergeCell ref="C64:H64"/>
    <mergeCell ref="A72:B72"/>
    <mergeCell ref="A59:C59"/>
    <mergeCell ref="D59:H59"/>
    <mergeCell ref="C66:H66"/>
    <mergeCell ref="A69:B69"/>
    <mergeCell ref="A55:C56"/>
    <mergeCell ref="A98:E98"/>
    <mergeCell ref="F97:H97"/>
    <mergeCell ref="E107:F107"/>
    <mergeCell ref="G112:H112"/>
    <mergeCell ref="C110:D110"/>
    <mergeCell ref="G110:H110"/>
    <mergeCell ref="A113:B113"/>
    <mergeCell ref="E113:F113"/>
    <mergeCell ref="A58:C58"/>
    <mergeCell ref="B257:H257"/>
    <mergeCell ref="G245:H245"/>
    <mergeCell ref="G241:H241"/>
    <mergeCell ref="E82:F91"/>
    <mergeCell ref="F92:H92"/>
    <mergeCell ref="F100:H100"/>
    <mergeCell ref="C107:D107"/>
    <mergeCell ref="F103:H103"/>
    <mergeCell ref="F101:H101"/>
    <mergeCell ref="G107:H107"/>
    <mergeCell ref="G121:H121"/>
    <mergeCell ref="A114:H114"/>
    <mergeCell ref="F98:H98"/>
    <mergeCell ref="A99:E99"/>
    <mergeCell ref="A101:E101"/>
    <mergeCell ref="F95:H95"/>
    <mergeCell ref="A100:E100"/>
    <mergeCell ref="B116:B117"/>
    <mergeCell ref="A116:A117"/>
    <mergeCell ref="A150:B150"/>
    <mergeCell ref="G150:H150"/>
    <mergeCell ref="B123:B124"/>
    <mergeCell ref="A144:H144"/>
    <mergeCell ref="A107:B107"/>
    <mergeCell ref="B253:H253"/>
    <mergeCell ref="B254:H254"/>
    <mergeCell ref="B256:H256"/>
    <mergeCell ref="G149:H149"/>
    <mergeCell ref="G148:H148"/>
    <mergeCell ref="G129:H129"/>
    <mergeCell ref="L129:M129"/>
    <mergeCell ref="A130:B130"/>
    <mergeCell ref="G130:H130"/>
    <mergeCell ref="L130:M130"/>
    <mergeCell ref="G131:H131"/>
    <mergeCell ref="A131:B131"/>
    <mergeCell ref="A129:B129"/>
    <mergeCell ref="L135:M135"/>
    <mergeCell ref="C139:F139"/>
    <mergeCell ref="A140:H140"/>
    <mergeCell ref="L141:M141"/>
    <mergeCell ref="A142:B142"/>
    <mergeCell ref="G142:H142"/>
    <mergeCell ref="L142:M142"/>
    <mergeCell ref="A156:B156"/>
    <mergeCell ref="G156:H156"/>
    <mergeCell ref="C154:F154"/>
    <mergeCell ref="A182:H182"/>
    <mergeCell ref="A102:E102"/>
    <mergeCell ref="C108:D108"/>
    <mergeCell ref="E108:F108"/>
    <mergeCell ref="C123:C124"/>
    <mergeCell ref="C113:D113"/>
    <mergeCell ref="L121:M121"/>
    <mergeCell ref="L120:M120"/>
    <mergeCell ref="A45:B45"/>
    <mergeCell ref="C45:H45"/>
    <mergeCell ref="A82:B82"/>
    <mergeCell ref="A80:B80"/>
    <mergeCell ref="C80:H80"/>
    <mergeCell ref="A81:B81"/>
    <mergeCell ref="E81:F81"/>
    <mergeCell ref="G82:H91"/>
    <mergeCell ref="C116:C117"/>
    <mergeCell ref="A85:B85"/>
    <mergeCell ref="A86:B86"/>
    <mergeCell ref="A87:B87"/>
    <mergeCell ref="A89:B89"/>
    <mergeCell ref="G81:H81"/>
    <mergeCell ref="A90:B90"/>
    <mergeCell ref="A95:E95"/>
    <mergeCell ref="A92:E92"/>
    <mergeCell ref="B258:H258"/>
    <mergeCell ref="A83:B83"/>
    <mergeCell ref="A84:B84"/>
    <mergeCell ref="F94:H94"/>
    <mergeCell ref="A94:E94"/>
    <mergeCell ref="G146:H146"/>
    <mergeCell ref="G137:H137"/>
    <mergeCell ref="D116:D117"/>
    <mergeCell ref="A96:E96"/>
    <mergeCell ref="A120:B120"/>
    <mergeCell ref="A121:B121"/>
    <mergeCell ref="F102:H102"/>
    <mergeCell ref="G147:H147"/>
    <mergeCell ref="G145:H145"/>
    <mergeCell ref="A103:E103"/>
    <mergeCell ref="G113:H113"/>
    <mergeCell ref="A112:B112"/>
    <mergeCell ref="C112:D112"/>
    <mergeCell ref="A97:E97"/>
    <mergeCell ref="F96:H96"/>
    <mergeCell ref="A145:B145"/>
    <mergeCell ref="A132:H132"/>
    <mergeCell ref="A143:B143"/>
    <mergeCell ref="G143:H143"/>
    <mergeCell ref="L143:M143"/>
    <mergeCell ref="A135:B135"/>
    <mergeCell ref="G135:H135"/>
    <mergeCell ref="G139:H139"/>
    <mergeCell ref="G138:H138"/>
    <mergeCell ref="E112:F112"/>
    <mergeCell ref="A122:H122"/>
    <mergeCell ref="A123:A124"/>
    <mergeCell ref="A141:B141"/>
    <mergeCell ref="A138:B138"/>
    <mergeCell ref="A139:B139"/>
    <mergeCell ref="G141:H141"/>
    <mergeCell ref="A128:H128"/>
    <mergeCell ref="A125:H125"/>
    <mergeCell ref="L136:M136"/>
    <mergeCell ref="A133:B133"/>
    <mergeCell ref="G133:H133"/>
    <mergeCell ref="L133:M133"/>
    <mergeCell ref="A134:B134"/>
    <mergeCell ref="G134:H134"/>
    <mergeCell ref="L134:M134"/>
    <mergeCell ref="L131:M131"/>
    <mergeCell ref="A115:H115"/>
    <mergeCell ref="E116:E117"/>
    <mergeCell ref="A183:B183"/>
    <mergeCell ref="A240:B240"/>
    <mergeCell ref="A241:B241"/>
    <mergeCell ref="G249:H249"/>
    <mergeCell ref="A248:B248"/>
    <mergeCell ref="G248:H248"/>
    <mergeCell ref="G183:H183"/>
    <mergeCell ref="A161:B161"/>
    <mergeCell ref="G161:H161"/>
    <mergeCell ref="A237:B237"/>
    <mergeCell ref="A238:B238"/>
    <mergeCell ref="A239:B239"/>
    <mergeCell ref="G167:H167"/>
    <mergeCell ref="A175:H175"/>
    <mergeCell ref="A176:B176"/>
    <mergeCell ref="G176:H176"/>
    <mergeCell ref="A177:B177"/>
    <mergeCell ref="G177:H177"/>
    <mergeCell ref="A178:B178"/>
    <mergeCell ref="G178:H178"/>
    <mergeCell ref="A179:B179"/>
    <mergeCell ref="G179:H179"/>
    <mergeCell ref="A180:B180"/>
    <mergeCell ref="G180:H180"/>
    <mergeCell ref="A157:H157"/>
    <mergeCell ref="A158:B158"/>
    <mergeCell ref="G158:H158"/>
    <mergeCell ref="A159:B159"/>
    <mergeCell ref="G159:H159"/>
    <mergeCell ref="A184:B184"/>
    <mergeCell ref="G184:H184"/>
    <mergeCell ref="A185:B185"/>
    <mergeCell ref="A151:H151"/>
    <mergeCell ref="A152:B152"/>
    <mergeCell ref="G152:H152"/>
    <mergeCell ref="A153:B153"/>
    <mergeCell ref="G153:H153"/>
    <mergeCell ref="A154:B154"/>
    <mergeCell ref="G154:H154"/>
    <mergeCell ref="A155:B155"/>
    <mergeCell ref="G155:H155"/>
    <mergeCell ref="G185:H185"/>
    <mergeCell ref="A160:B160"/>
    <mergeCell ref="G160:H160"/>
    <mergeCell ref="A162:H162"/>
    <mergeCell ref="A163:B163"/>
    <mergeCell ref="G163:H163"/>
    <mergeCell ref="A167:B167"/>
    <mergeCell ref="A181:B181"/>
    <mergeCell ref="G181:H181"/>
    <mergeCell ref="C178:F178"/>
    <mergeCell ref="L163:M163"/>
    <mergeCell ref="A164:B164"/>
    <mergeCell ref="G164:H164"/>
    <mergeCell ref="L164:M164"/>
    <mergeCell ref="A165:B165"/>
    <mergeCell ref="G165:H165"/>
    <mergeCell ref="L165:M165"/>
    <mergeCell ref="A166:B166"/>
    <mergeCell ref="G166:H166"/>
    <mergeCell ref="L166:M166"/>
    <mergeCell ref="L167:M167"/>
    <mergeCell ref="A168:B168"/>
    <mergeCell ref="G168:H168"/>
    <mergeCell ref="L168:M168"/>
    <mergeCell ref="A173:B173"/>
    <mergeCell ref="G173:H173"/>
    <mergeCell ref="L173:M173"/>
    <mergeCell ref="A174:B174"/>
    <mergeCell ref="G174:H174"/>
    <mergeCell ref="L174:M174"/>
    <mergeCell ref="A169:H169"/>
    <mergeCell ref="A170:B170"/>
    <mergeCell ref="G170:H170"/>
    <mergeCell ref="L170:M170"/>
    <mergeCell ref="A171:B171"/>
    <mergeCell ref="G171:H171"/>
    <mergeCell ref="L171:M171"/>
    <mergeCell ref="A172:B172"/>
    <mergeCell ref="G172:H172"/>
    <mergeCell ref="L172:M172"/>
    <mergeCell ref="A186:B186"/>
    <mergeCell ref="G186:H186"/>
    <mergeCell ref="A187:B187"/>
    <mergeCell ref="G187:H187"/>
    <mergeCell ref="A192:B192"/>
    <mergeCell ref="G192:H192"/>
    <mergeCell ref="L192:M192"/>
    <mergeCell ref="A193:B193"/>
    <mergeCell ref="G193:H193"/>
    <mergeCell ref="L193:M193"/>
    <mergeCell ref="A189:H189"/>
    <mergeCell ref="A190:B190"/>
    <mergeCell ref="G190:H190"/>
    <mergeCell ref="L190:M190"/>
    <mergeCell ref="A191:B191"/>
    <mergeCell ref="G191:H191"/>
    <mergeCell ref="L191:M191"/>
    <mergeCell ref="A188:B188"/>
    <mergeCell ref="G188:H188"/>
    <mergeCell ref="A194:B194"/>
    <mergeCell ref="G194:H194"/>
    <mergeCell ref="L194:M194"/>
    <mergeCell ref="A195:H195"/>
    <mergeCell ref="A196:B196"/>
    <mergeCell ref="G196:H196"/>
    <mergeCell ref="L196:M196"/>
    <mergeCell ref="A197:B197"/>
    <mergeCell ref="G197:H197"/>
    <mergeCell ref="L197:M197"/>
    <mergeCell ref="A201:H201"/>
    <mergeCell ref="A202:B202"/>
    <mergeCell ref="G202:H202"/>
    <mergeCell ref="L202:M202"/>
    <mergeCell ref="A203:B203"/>
    <mergeCell ref="G203:H203"/>
    <mergeCell ref="L203:M203"/>
    <mergeCell ref="A198:B198"/>
    <mergeCell ref="G198:H198"/>
    <mergeCell ref="L198:M198"/>
    <mergeCell ref="A199:B199"/>
    <mergeCell ref="G199:H199"/>
    <mergeCell ref="L199:M199"/>
    <mergeCell ref="A200:B200"/>
    <mergeCell ref="G200:H200"/>
    <mergeCell ref="L200:M200"/>
    <mergeCell ref="G207:H207"/>
    <mergeCell ref="L207:M207"/>
    <mergeCell ref="A208:B208"/>
    <mergeCell ref="G208:H208"/>
    <mergeCell ref="L208:M208"/>
    <mergeCell ref="A209:B209"/>
    <mergeCell ref="G209:H209"/>
    <mergeCell ref="L209:M209"/>
    <mergeCell ref="A204:B204"/>
    <mergeCell ref="G204:H204"/>
    <mergeCell ref="L204:M204"/>
    <mergeCell ref="A205:B205"/>
    <mergeCell ref="G205:H205"/>
    <mergeCell ref="L205:M205"/>
    <mergeCell ref="C215:F215"/>
    <mergeCell ref="A118:H118"/>
    <mergeCell ref="A219:H219"/>
    <mergeCell ref="A214:B214"/>
    <mergeCell ref="G214:H214"/>
    <mergeCell ref="L214:M214"/>
    <mergeCell ref="A215:B215"/>
    <mergeCell ref="G215:H215"/>
    <mergeCell ref="L215:M215"/>
    <mergeCell ref="A216:B216"/>
    <mergeCell ref="G216:H216"/>
    <mergeCell ref="L216:M216"/>
    <mergeCell ref="A210:B210"/>
    <mergeCell ref="G210:H210"/>
    <mergeCell ref="L210:M210"/>
    <mergeCell ref="A211:B211"/>
    <mergeCell ref="G211:H211"/>
    <mergeCell ref="L211:M211"/>
    <mergeCell ref="A212:H212"/>
    <mergeCell ref="A213:B213"/>
    <mergeCell ref="G213:H213"/>
    <mergeCell ref="L213:M213"/>
    <mergeCell ref="A206:H206"/>
    <mergeCell ref="A207:B207"/>
    <mergeCell ref="A220:H220"/>
    <mergeCell ref="A221:H221"/>
    <mergeCell ref="A222:B222"/>
    <mergeCell ref="G222:H222"/>
    <mergeCell ref="L222:M222"/>
    <mergeCell ref="A223:B223"/>
    <mergeCell ref="G223:H223"/>
    <mergeCell ref="L223:M223"/>
    <mergeCell ref="A217:B217"/>
    <mergeCell ref="G217:H217"/>
    <mergeCell ref="L217:M217"/>
    <mergeCell ref="A218:B218"/>
    <mergeCell ref="G218:H218"/>
    <mergeCell ref="L218:M218"/>
    <mergeCell ref="A224:H224"/>
    <mergeCell ref="A225:B225"/>
    <mergeCell ref="G225:H225"/>
    <mergeCell ref="L225:M225"/>
    <mergeCell ref="A226:B226"/>
    <mergeCell ref="G226:H226"/>
    <mergeCell ref="L226:M226"/>
    <mergeCell ref="A227:B227"/>
    <mergeCell ref="G227:H227"/>
    <mergeCell ref="L227:M227"/>
    <mergeCell ref="B262:H262"/>
    <mergeCell ref="A228:B228"/>
    <mergeCell ref="G228:H228"/>
    <mergeCell ref="L228:M228"/>
    <mergeCell ref="A229:B229"/>
    <mergeCell ref="G229:H229"/>
    <mergeCell ref="L229:M229"/>
    <mergeCell ref="A242:B242"/>
    <mergeCell ref="G242:H242"/>
    <mergeCell ref="A243:B243"/>
    <mergeCell ref="G243:H243"/>
    <mergeCell ref="G237:H237"/>
    <mergeCell ref="A252:H252"/>
    <mergeCell ref="G239:H239"/>
    <mergeCell ref="A236:H236"/>
    <mergeCell ref="A233:B233"/>
    <mergeCell ref="G233:H233"/>
    <mergeCell ref="A234:B234"/>
    <mergeCell ref="G234:H234"/>
    <mergeCell ref="B260:H260"/>
    <mergeCell ref="B259:H259"/>
    <mergeCell ref="B255:H255"/>
    <mergeCell ref="A247:B247"/>
    <mergeCell ref="G247:H247"/>
    <mergeCell ref="A235:B235"/>
    <mergeCell ref="G235:H235"/>
    <mergeCell ref="A251:B251"/>
    <mergeCell ref="G251:H251"/>
    <mergeCell ref="C249:F249"/>
    <mergeCell ref="A230:H230"/>
    <mergeCell ref="A231:B231"/>
    <mergeCell ref="G231:H231"/>
    <mergeCell ref="A232:B232"/>
    <mergeCell ref="G232:H232"/>
    <mergeCell ref="G246:H246"/>
    <mergeCell ref="A244:H244"/>
    <mergeCell ref="A245:B245"/>
    <mergeCell ref="A246:B246"/>
    <mergeCell ref="A249:B249"/>
    <mergeCell ref="G238:H238"/>
    <mergeCell ref="A250:B250"/>
    <mergeCell ref="G250:H250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3" max="16383" man="1"/>
    <brk id="276" max="16383" man="1"/>
    <brk id="31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1" zoomScale="115" zoomScaleNormal="115" workbookViewId="0">
      <selection activeCell="J41" sqref="J41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79" t="s">
        <v>113</v>
      </c>
      <c r="C3" s="179"/>
      <c r="D3" s="179"/>
      <c r="E3" s="179"/>
      <c r="F3" s="179"/>
      <c r="G3" s="179"/>
      <c r="H3" s="179"/>
    </row>
    <row r="4" spans="1:9" x14ac:dyDescent="0.25">
      <c r="A4" s="3"/>
      <c r="B4" s="4" t="s">
        <v>114</v>
      </c>
      <c r="C4" s="4" t="s">
        <v>115</v>
      </c>
      <c r="D4" s="4" t="s">
        <v>73</v>
      </c>
      <c r="E4" s="4" t="s">
        <v>116</v>
      </c>
      <c r="F4" s="4" t="s">
        <v>122</v>
      </c>
      <c r="G4" s="4" t="s">
        <v>123</v>
      </c>
      <c r="H4" s="4" t="s">
        <v>117</v>
      </c>
    </row>
    <row r="5" spans="1:9" ht="15" customHeight="1" x14ac:dyDescent="0.25">
      <c r="A5" s="3"/>
      <c r="B5" s="6" t="s">
        <v>118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118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118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118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118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119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119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120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121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2025-08-18T10:47:48Z</cp:lastPrinted>
  <dcterms:created xsi:type="dcterms:W3CDTF">2019-07-16T09:29:46Z</dcterms:created>
  <dcterms:modified xsi:type="dcterms:W3CDTF">2025-08-18T10:49:39Z</dcterms:modified>
</cp:coreProperties>
</file>