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0490" windowHeight="7755"/>
  </bookViews>
  <sheets>
    <sheet name="Report" sheetId="1" r:id="rId1"/>
    <sheet name="Flat detail" sheetId="3" r:id="rId2"/>
    <sheet name="Note" sheetId="4" r:id="rId3"/>
    <sheet name="valuation" sheetId="5" r:id="rId4"/>
  </sheets>
  <definedNames>
    <definedName name="_xlnm.Print_Area" localSheetId="0">Report!$A$1:$H$389</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7" i="1" l="1"/>
  <c r="K86" i="1"/>
  <c r="K85" i="1"/>
  <c r="C83" i="1"/>
  <c r="H77" i="1"/>
  <c r="D89" i="1" l="1"/>
  <c r="D85" i="1"/>
  <c r="D82" i="1"/>
  <c r="K81" i="1"/>
  <c r="C80" i="1" s="1"/>
  <c r="D80" i="1" s="1"/>
  <c r="D84" i="1"/>
  <c r="K82" i="1"/>
  <c r="K83" i="1" s="1"/>
  <c r="K79" i="1"/>
  <c r="D88" i="1"/>
  <c r="D83" i="1"/>
  <c r="D86" i="1"/>
  <c r="D87" i="1"/>
  <c r="K80" i="1"/>
  <c r="G221" i="1"/>
  <c r="G216" i="1"/>
  <c r="G211" i="1"/>
  <c r="D224" i="1"/>
  <c r="F224" i="1" s="1"/>
  <c r="D223" i="1"/>
  <c r="F223" i="1" s="1"/>
  <c r="D222" i="1"/>
  <c r="F222" i="1" s="1"/>
  <c r="D221" i="1"/>
  <c r="F221" i="1" s="1"/>
  <c r="I210" i="1"/>
  <c r="E41" i="1"/>
  <c r="C69" i="1"/>
  <c r="C70" i="1" s="1"/>
  <c r="K84" i="1" l="1"/>
  <c r="K88" i="1" s="1"/>
  <c r="K89" i="1" s="1"/>
  <c r="C81" i="1" s="1"/>
  <c r="I150" i="1"/>
  <c r="D81" i="1" l="1"/>
  <c r="G80" i="1"/>
  <c r="I76" i="1"/>
  <c r="C78" i="1" s="1"/>
  <c r="E80" i="1" s="1"/>
  <c r="C15" i="1"/>
  <c r="C97" i="1" l="1"/>
  <c r="E3" i="1" l="1"/>
  <c r="K115" i="1" l="1"/>
  <c r="K114" i="1"/>
  <c r="K113" i="1"/>
  <c r="K101" i="1"/>
  <c r="K100" i="1"/>
  <c r="K99" i="1"/>
  <c r="H105" i="1"/>
  <c r="H91" i="1"/>
  <c r="D96" i="1" l="1"/>
  <c r="D97" i="1"/>
  <c r="K109" i="1"/>
  <c r="D117" i="1"/>
  <c r="D115" i="1"/>
  <c r="D113" i="1"/>
  <c r="D111" i="1"/>
  <c r="D109" i="1"/>
  <c r="D108" i="1"/>
  <c r="I104" i="1" s="1"/>
  <c r="C106" i="1" s="1"/>
  <c r="E108" i="1" s="1"/>
  <c r="K110" i="1"/>
  <c r="K111" i="1" s="1"/>
  <c r="K108" i="1"/>
  <c r="K107" i="1"/>
  <c r="D116" i="1"/>
  <c r="D114" i="1"/>
  <c r="D112" i="1"/>
  <c r="D110" i="1"/>
  <c r="G108" i="1"/>
  <c r="D103" i="1"/>
  <c r="D101" i="1"/>
  <c r="D99" i="1"/>
  <c r="K96" i="1"/>
  <c r="K97" i="1" s="1"/>
  <c r="K98" i="1" s="1"/>
  <c r="K94" i="1"/>
  <c r="D102" i="1"/>
  <c r="D100" i="1"/>
  <c r="D98" i="1"/>
  <c r="K93" i="1"/>
  <c r="K95" i="1"/>
  <c r="C94" i="1" s="1"/>
  <c r="D94" i="1" s="1"/>
  <c r="D169" i="1"/>
  <c r="D172" i="1"/>
  <c r="D167" i="1"/>
  <c r="D164" i="1"/>
  <c r="D161" i="1"/>
  <c r="K112" i="1" l="1"/>
  <c r="K116" i="1" s="1"/>
  <c r="K117" i="1" s="1"/>
  <c r="K102" i="1"/>
  <c r="I149" i="1"/>
  <c r="D252" i="1"/>
  <c r="F252" i="1" s="1"/>
  <c r="I246" i="1" s="1"/>
  <c r="D251" i="1"/>
  <c r="F251" i="1" s="1"/>
  <c r="I245" i="1" s="1"/>
  <c r="G249" i="1"/>
  <c r="W242" i="1"/>
  <c r="W243" i="1" s="1"/>
  <c r="W244" i="1" s="1"/>
  <c r="W245" i="1" s="1"/>
  <c r="W246" i="1" s="1"/>
  <c r="V242" i="1"/>
  <c r="V243" i="1" s="1"/>
  <c r="U242" i="1"/>
  <c r="U243" i="1" s="1"/>
  <c r="U244" i="1" s="1"/>
  <c r="U245" i="1" s="1"/>
  <c r="U246" i="1" s="1"/>
  <c r="I151" i="1"/>
  <c r="D218" i="1"/>
  <c r="D217" i="1"/>
  <c r="D216" i="1"/>
  <c r="D247" i="1"/>
  <c r="D246" i="1"/>
  <c r="D245" i="1"/>
  <c r="D242" i="1"/>
  <c r="D241" i="1"/>
  <c r="D240" i="1"/>
  <c r="D239" i="1"/>
  <c r="D237" i="1"/>
  <c r="D232" i="1"/>
  <c r="E149" i="1" s="1"/>
  <c r="G234" i="1"/>
  <c r="G229" i="1"/>
  <c r="D214" i="1"/>
  <c r="D213" i="1"/>
  <c r="D212" i="1"/>
  <c r="D211" i="1"/>
  <c r="D208" i="1"/>
  <c r="D207" i="1"/>
  <c r="D206" i="1"/>
  <c r="D204" i="1"/>
  <c r="D203" i="1"/>
  <c r="D202" i="1"/>
  <c r="D187" i="1"/>
  <c r="F187" i="1" s="1"/>
  <c r="D186" i="1"/>
  <c r="F186" i="1" s="1"/>
  <c r="D185" i="1"/>
  <c r="F185" i="1" s="1"/>
  <c r="I184" i="1" s="1"/>
  <c r="G184" i="1"/>
  <c r="D197" i="1"/>
  <c r="F197" i="1" s="1"/>
  <c r="D196" i="1"/>
  <c r="F196" i="1" s="1"/>
  <c r="D195" i="1"/>
  <c r="F195" i="1" s="1"/>
  <c r="G194" i="1"/>
  <c r="D192" i="1"/>
  <c r="D191" i="1"/>
  <c r="D190" i="1"/>
  <c r="D189" i="1"/>
  <c r="C142" i="1" l="1"/>
  <c r="C148" i="1"/>
  <c r="E142" i="1"/>
  <c r="C141" i="1"/>
  <c r="C149" i="1"/>
  <c r="E141" i="1"/>
  <c r="E148" i="1"/>
  <c r="E143" i="1"/>
  <c r="C143" i="1"/>
  <c r="S242" i="1"/>
  <c r="K103" i="1"/>
  <c r="C95" i="1" s="1"/>
  <c r="V244" i="1"/>
  <c r="S243" i="1"/>
  <c r="F192" i="1"/>
  <c r="D182" i="1"/>
  <c r="F182" i="1" s="1"/>
  <c r="D181" i="1"/>
  <c r="D180" i="1"/>
  <c r="G172" i="1"/>
  <c r="D174" i="1"/>
  <c r="F174" i="1" s="1"/>
  <c r="D173" i="1"/>
  <c r="F173" i="1" s="1"/>
  <c r="F172" i="1"/>
  <c r="D170" i="1"/>
  <c r="F170" i="1" s="1"/>
  <c r="F169" i="1"/>
  <c r="D168" i="1"/>
  <c r="F168" i="1" s="1"/>
  <c r="G167" i="1"/>
  <c r="F167" i="1"/>
  <c r="G164" i="1"/>
  <c r="D165" i="1"/>
  <c r="D162" i="1"/>
  <c r="D159" i="1"/>
  <c r="F159" i="1" s="1"/>
  <c r="G159" i="1"/>
  <c r="C146" i="1" l="1"/>
  <c r="E146" i="1"/>
  <c r="C147" i="1"/>
  <c r="E147" i="1"/>
  <c r="C140" i="1"/>
  <c r="E140" i="1"/>
  <c r="G94" i="1"/>
  <c r="D95" i="1"/>
  <c r="I90" i="1"/>
  <c r="C92" i="1" s="1"/>
  <c r="E94" i="1" s="1"/>
  <c r="G140" i="1"/>
  <c r="V245" i="1"/>
  <c r="S244" i="1"/>
  <c r="F6" i="5"/>
  <c r="G6" i="5" s="1"/>
  <c r="F5" i="5"/>
  <c r="H63" i="1"/>
  <c r="E150" i="1" l="1"/>
  <c r="C150" i="1"/>
  <c r="S245" i="1"/>
  <c r="V246" i="1"/>
  <c r="S246" i="1" s="1"/>
  <c r="K66" i="1"/>
  <c r="D75" i="1"/>
  <c r="D73" i="1"/>
  <c r="D71" i="1"/>
  <c r="D69" i="1"/>
  <c r="K67" i="1"/>
  <c r="K65" i="1"/>
  <c r="K68" i="1"/>
  <c r="K69" i="1" s="1"/>
  <c r="K70" i="1" s="1"/>
  <c r="D74" i="1"/>
  <c r="D72" i="1"/>
  <c r="D70" i="1"/>
  <c r="D68" i="1"/>
  <c r="I122" i="1"/>
  <c r="G244" i="1"/>
  <c r="G239" i="1"/>
  <c r="G206" i="1"/>
  <c r="G202" i="1"/>
  <c r="G189" i="1"/>
  <c r="G161" i="1"/>
  <c r="C66" i="1" l="1"/>
  <c r="D66" i="1" s="1"/>
  <c r="K71" i="1"/>
  <c r="K72" i="1" s="1"/>
  <c r="K73" i="1" s="1"/>
  <c r="J213" i="1"/>
  <c r="F247" i="1"/>
  <c r="I241" i="1" s="1"/>
  <c r="F246" i="1"/>
  <c r="I240" i="1" s="1"/>
  <c r="F245" i="1"/>
  <c r="F218" i="1"/>
  <c r="F217" i="1"/>
  <c r="F216" i="1"/>
  <c r="F214" i="1"/>
  <c r="I213" i="1" s="1"/>
  <c r="F213" i="1"/>
  <c r="F212" i="1"/>
  <c r="F211" i="1"/>
  <c r="F242" i="1"/>
  <c r="F241" i="1"/>
  <c r="F240" i="1"/>
  <c r="F239" i="1"/>
  <c r="F208" i="1"/>
  <c r="F207" i="1"/>
  <c r="F206" i="1"/>
  <c r="I205" i="1" s="1"/>
  <c r="F237" i="1"/>
  <c r="F191" i="1"/>
  <c r="F190" i="1"/>
  <c r="F189" i="1"/>
  <c r="F165" i="1"/>
  <c r="F164" i="1"/>
  <c r="F204" i="1"/>
  <c r="F203" i="1"/>
  <c r="F181" i="1"/>
  <c r="G179" i="1"/>
  <c r="G142" i="1" l="1"/>
  <c r="G141" i="1"/>
  <c r="G143" i="1"/>
  <c r="K74" i="1"/>
  <c r="K75" i="1" s="1"/>
  <c r="C67" i="1" s="1"/>
  <c r="F202" i="1"/>
  <c r="G148" i="1" s="1"/>
  <c r="F232" i="1"/>
  <c r="G149" i="1" s="1"/>
  <c r="E144" i="1" l="1"/>
  <c r="E151" i="1" s="1"/>
  <c r="D67" i="1"/>
  <c r="G66" i="1"/>
  <c r="I62" i="1"/>
  <c r="C144" i="1"/>
  <c r="C151" i="1" s="1"/>
  <c r="U222" i="1"/>
  <c r="V220" i="1"/>
  <c r="F180" i="1"/>
  <c r="F161" i="1"/>
  <c r="F162" i="1"/>
  <c r="V197" i="1"/>
  <c r="W220" i="1"/>
  <c r="V221" i="1"/>
  <c r="C64" i="1" l="1"/>
  <c r="E66" i="1" s="1"/>
  <c r="G146" i="1"/>
  <c r="I179" i="1"/>
  <c r="G147" i="1"/>
  <c r="U226" i="1"/>
  <c r="U227" i="1" s="1"/>
  <c r="U231" i="1" s="1"/>
  <c r="U232" i="1" s="1"/>
  <c r="U233" i="1" s="1"/>
  <c r="U234" i="1" s="1"/>
  <c r="U235" i="1" s="1"/>
  <c r="U236" i="1" s="1"/>
  <c r="U223" i="1"/>
  <c r="U224" i="1" s="1"/>
  <c r="U225" i="1" s="1"/>
  <c r="F118" i="1"/>
  <c r="D61" i="1"/>
  <c r="U237" i="1"/>
  <c r="U238" i="1" s="1"/>
  <c r="U239" i="1" s="1"/>
  <c r="U240" i="1" s="1"/>
  <c r="U241" i="1" s="1"/>
  <c r="U199" i="1"/>
  <c r="U201" i="1" s="1"/>
  <c r="U202" i="1" s="1"/>
  <c r="U203" i="1" s="1"/>
  <c r="U204" i="1" s="1"/>
  <c r="U205" i="1" s="1"/>
  <c r="U206" i="1" s="1"/>
  <c r="U207" i="1" s="1"/>
  <c r="U219" i="1" s="1"/>
  <c r="W221" i="1"/>
  <c r="V198" i="1"/>
  <c r="W197" i="1"/>
  <c r="G150" i="1" l="1"/>
  <c r="U228" i="1"/>
  <c r="U229" i="1" s="1"/>
  <c r="U230" i="1" s="1"/>
  <c r="G144" i="1"/>
  <c r="W237" i="1"/>
  <c r="W238" i="1" s="1"/>
  <c r="W239" i="1" s="1"/>
  <c r="W240" i="1" s="1"/>
  <c r="W241" i="1" s="1"/>
  <c r="S221" i="1"/>
  <c r="W222" i="1"/>
  <c r="V222" i="1"/>
  <c r="V223" i="1" s="1"/>
  <c r="V199" i="1"/>
  <c r="E42" i="1"/>
  <c r="E26" i="1"/>
  <c r="E24" i="1"/>
  <c r="W198" i="1"/>
  <c r="G151" i="1" l="1"/>
  <c r="W226" i="1"/>
  <c r="W227" i="1" s="1"/>
  <c r="W228" i="1" s="1"/>
  <c r="W229" i="1" s="1"/>
  <c r="W230" i="1" s="1"/>
  <c r="W223" i="1"/>
  <c r="W224" i="1" s="1"/>
  <c r="W225" i="1" s="1"/>
  <c r="V224" i="1"/>
  <c r="S222" i="1"/>
  <c r="V226" i="1"/>
  <c r="V237" i="1"/>
  <c r="S198" i="1"/>
  <c r="W199" i="1"/>
  <c r="W201" i="1" s="1"/>
  <c r="W202" i="1" s="1"/>
  <c r="W203" i="1" s="1"/>
  <c r="W204" i="1" s="1"/>
  <c r="W205" i="1" s="1"/>
  <c r="W206" i="1" s="1"/>
  <c r="W207" i="1" s="1"/>
  <c r="W219" i="1" s="1"/>
  <c r="G5" i="5"/>
  <c r="W231" i="1" l="1"/>
  <c r="W232" i="1" s="1"/>
  <c r="W233" i="1" s="1"/>
  <c r="W234" i="1" s="1"/>
  <c r="W235" i="1" s="1"/>
  <c r="W236" i="1" s="1"/>
  <c r="S223" i="1"/>
  <c r="S226" i="1"/>
  <c r="V225" i="1"/>
  <c r="S225" i="1" s="1"/>
  <c r="S224" i="1"/>
  <c r="S237" i="1"/>
  <c r="V227" i="1"/>
  <c r="V238" i="1"/>
  <c r="S238" i="1" s="1"/>
  <c r="S199" i="1"/>
  <c r="G7" i="5"/>
  <c r="S227" i="1" l="1"/>
  <c r="V228" i="1"/>
  <c r="V231" i="1"/>
  <c r="S231" i="1" s="1"/>
  <c r="V239" i="1"/>
  <c r="S239" i="1" s="1"/>
  <c r="V201" i="1"/>
  <c r="V229" i="1" l="1"/>
  <c r="S228" i="1"/>
  <c r="V232" i="1"/>
  <c r="S232" i="1" s="1"/>
  <c r="S201" i="1"/>
  <c r="V202" i="1"/>
  <c r="V240" i="1"/>
  <c r="S240" i="1" s="1"/>
  <c r="V230" i="1" l="1"/>
  <c r="S230" i="1" s="1"/>
  <c r="S229" i="1"/>
  <c r="V233" i="1"/>
  <c r="S233" i="1" s="1"/>
  <c r="S202" i="1"/>
  <c r="V203" i="1"/>
  <c r="V241" i="1"/>
  <c r="S241" i="1" s="1"/>
  <c r="E7" i="1"/>
  <c r="V234" i="1" l="1"/>
  <c r="S234" i="1" s="1"/>
  <c r="V204" i="1"/>
  <c r="S203" i="1"/>
  <c r="D267" i="1"/>
  <c r="F134" i="1"/>
  <c r="E43" i="1"/>
  <c r="D54" i="1" s="1"/>
  <c r="V235" i="1" l="1"/>
  <c r="S235" i="1" s="1"/>
  <c r="V205" i="1"/>
  <c r="S204" i="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V236" i="1" l="1"/>
  <c r="S236" i="1" s="1"/>
  <c r="S205" i="1"/>
  <c r="V206" i="1"/>
  <c r="L34" i="3"/>
  <c r="K34" i="3" s="1"/>
  <c r="E34" i="3"/>
  <c r="I34" i="3"/>
  <c r="H34" i="3" s="1"/>
  <c r="S206" i="1" l="1"/>
  <c r="V207" i="1"/>
  <c r="D34" i="3"/>
  <c r="D36" i="3" s="1"/>
  <c r="E36" i="3"/>
  <c r="V219" i="1" l="1"/>
  <c r="S207" i="1"/>
  <c r="S219" i="1" l="1"/>
</calcChain>
</file>

<file path=xl/sharedStrings.xml><?xml version="1.0" encoding="utf-8"?>
<sst xmlns="http://schemas.openxmlformats.org/spreadsheetml/2006/main" count="569" uniqueCount="290">
  <si>
    <t xml:space="preserve">Valuation Report </t>
  </si>
  <si>
    <t>Date:</t>
  </si>
  <si>
    <t>CPC Name:</t>
  </si>
  <si>
    <t>Date Of Property Visit</t>
  </si>
  <si>
    <t>Name of the builder group</t>
  </si>
  <si>
    <t>Name of the builder company</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</si>
  <si>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</si>
  <si>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</si>
  <si>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</si>
  <si>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</si>
  <si>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</si>
  <si>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</si>
  <si>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</si>
  <si>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</si>
  <si>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</si>
  <si>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</si>
  <si>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</si>
  <si>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</si>
  <si>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</si>
  <si>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</si>
  <si>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</si>
  <si>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</si>
  <si>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</si>
  <si>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</si>
  <si>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</si>
  <si>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</si>
  <si>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</si>
  <si>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</si>
  <si>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</si>
  <si>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</si>
  <si>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</si>
  <si>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</si>
  <si>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</si>
  <si>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</si>
  <si>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</si>
  <si>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</si>
  <si>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</si>
  <si>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</si>
  <si>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</si>
  <si>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</si>
  <si>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</si>
  <si>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</si>
  <si>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</si>
  <si>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</si>
  <si>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</si>
  <si>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</si>
  <si>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</si>
  <si>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</si>
  <si>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</si>
  <si>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</si>
  <si>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</si>
  <si>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</si>
  <si>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</si>
  <si>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</si>
  <si>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</si>
  <si>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</si>
  <si>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</si>
  <si>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</si>
  <si>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</si>
  <si>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</si>
  <si>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</si>
  <si>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</si>
  <si>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</si>
  <si>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</si>
  <si>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</si>
  <si>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</si>
  <si>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</si>
  <si>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</si>
  <si>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</si>
  <si>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</si>
  <si>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</si>
  <si>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</si>
  <si>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</si>
  <si>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</si>
  <si>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</si>
  <si>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</si>
  <si>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</si>
  <si>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</si>
  <si>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</si>
  <si>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</si>
  <si>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</si>
  <si>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</si>
  <si>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</si>
  <si>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</si>
  <si>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</si>
  <si>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</si>
  <si>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</si>
  <si>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</si>
  <si>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</si>
  <si>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</si>
  <si>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</si>
  <si>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</si>
  <si>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</si>
  <si>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</si>
  <si>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</si>
  <si>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</si>
  <si>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</si>
  <si>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</si>
  <si>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</si>
  <si>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</si>
  <si>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</si>
  <si>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</si>
  <si>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</si>
  <si>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</si>
  <si>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</si>
  <si>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</si>
  <si>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</si>
  <si>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</si>
  <si>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</si>
  <si>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</si>
  <si>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</si>
  <si>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</si>
  <si>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</si>
  <si>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</si>
  <si>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</si>
  <si>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</si>
  <si>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</si>
  <si>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</si>
  <si>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</si>
  <si>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</si>
  <si>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 xml:space="preserve">Valid upto date: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</si>
  <si>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</si>
  <si>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</si>
  <si>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</si>
  <si>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</si>
  <si>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</si>
  <si>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</si>
  <si>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</si>
  <si>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</si>
  <si>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</si>
  <si>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</si>
  <si>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</si>
  <si>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</si>
  <si>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</si>
  <si>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</si>
  <si>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</si>
  <si>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</si>
  <si>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NA
Approved upto : NA</t>
  </si>
  <si>
    <t>Report By :</t>
  </si>
  <si>
    <t>Market Research Data</t>
  </si>
  <si>
    <t>Source</t>
  </si>
  <si>
    <t>Distance from proposed property</t>
  </si>
  <si>
    <t>Net Carpet</t>
  </si>
  <si>
    <t>Market Value</t>
  </si>
  <si>
    <t>Average</t>
  </si>
  <si>
    <t xml:space="preserve">Valuation Adopted </t>
  </si>
  <si>
    <t>Saleable Area</t>
  </si>
  <si>
    <t>Rate on Saleable</t>
  </si>
  <si>
    <t>All work Completed. Provide OC.</t>
  </si>
  <si>
    <t xml:space="preserve">Wheather the construction is as per approved Building plan : </t>
  </si>
  <si>
    <t>Saleable area
Loading :</t>
  </si>
  <si>
    <t xml:space="preserve"> to </t>
  </si>
  <si>
    <t xml:space="preserve"> &amp; </t>
  </si>
  <si>
    <t>Contact Details ( Name &amp; Contact No.)</t>
  </si>
  <si>
    <t>Axis Goregaon</t>
  </si>
  <si>
    <t>M/s. Greenery Rock LLP</t>
  </si>
  <si>
    <t>VKG Amazon</t>
  </si>
  <si>
    <t>022-61898000</t>
  </si>
  <si>
    <t>P51800001980</t>
  </si>
  <si>
    <t>Wing A</t>
  </si>
  <si>
    <t xml:space="preserve">Basement Floor For Amenities &amp; Parking </t>
  </si>
  <si>
    <t>1BHK</t>
  </si>
  <si>
    <t>1st Floor for Residential &amp; Parking</t>
  </si>
  <si>
    <t>Wing B</t>
  </si>
  <si>
    <t>Wing C</t>
  </si>
  <si>
    <t>Wing D</t>
  </si>
  <si>
    <t>5.3KM from Andheri  Railway Station</t>
  </si>
  <si>
    <t>Marol</t>
  </si>
  <si>
    <t>Mumbai</t>
  </si>
  <si>
    <t>Andheri</t>
  </si>
  <si>
    <t>Andheri (East)</t>
  </si>
  <si>
    <t xml:space="preserve">Residential </t>
  </si>
  <si>
    <t>Customs Colony Road</t>
  </si>
  <si>
    <t>116/A</t>
  </si>
  <si>
    <t>CTS No</t>
  </si>
  <si>
    <t>Rockview Apartment CHS</t>
  </si>
  <si>
    <t>Share Money</t>
  </si>
  <si>
    <t>600/-</t>
  </si>
  <si>
    <t>Dish TV</t>
  </si>
  <si>
    <t>3000/-</t>
  </si>
  <si>
    <t>Maintenance Fees</t>
  </si>
  <si>
    <t>95760/-</t>
  </si>
  <si>
    <t>6000/-</t>
  </si>
  <si>
    <t>Electricity &amp; Water Charges</t>
  </si>
  <si>
    <t>30000/-</t>
  </si>
  <si>
    <t>119700/-</t>
  </si>
  <si>
    <t>Club Membership</t>
  </si>
  <si>
    <t>250000/-</t>
  </si>
  <si>
    <t>1000000/-</t>
  </si>
  <si>
    <t>2BHK</t>
  </si>
  <si>
    <t xml:space="preserve">Basement Floor For Parking </t>
  </si>
  <si>
    <t>Wing A, B, C &amp; D</t>
  </si>
  <si>
    <t>Approved Plans, CC, Cost Sheet</t>
  </si>
  <si>
    <t>4 Wings</t>
  </si>
  <si>
    <t>Ground Floor for Parking</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</si>
  <si>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</si>
  <si>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</si>
  <si>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</si>
  <si>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</si>
  <si>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</si>
  <si>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</si>
  <si>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</si>
  <si>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</si>
  <si>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</si>
  <si>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</si>
  <si>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</si>
  <si>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</si>
  <si>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</si>
  <si>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</si>
  <si>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</si>
  <si>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</si>
  <si>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</si>
  <si>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</si>
  <si>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housing.</t>
  </si>
  <si>
    <t xml:space="preserve"> VKG Amazon</t>
  </si>
  <si>
    <t>Ground Floor for Parking &amp; Residential</t>
  </si>
  <si>
    <t>Flats No.</t>
  </si>
  <si>
    <t>Sale</t>
  </si>
  <si>
    <t>Rehab</t>
  </si>
  <si>
    <t>3rd to 8th, 10th &amp; 11th Floor</t>
  </si>
  <si>
    <t>9th Floor (Part Refuge Area)</t>
  </si>
  <si>
    <t>Ground Floor for Parking &amp; Fitness Center</t>
  </si>
  <si>
    <t>Parking Area</t>
  </si>
  <si>
    <t>2nd Floor for Residential &amp; Entrance Lobby</t>
  </si>
  <si>
    <t>Entrance Lobby</t>
  </si>
  <si>
    <t>Refuge Area</t>
  </si>
  <si>
    <t>9th Floor (Part Refuge Area )</t>
  </si>
  <si>
    <t>1st Floor for Residential &amp; Parking Area</t>
  </si>
  <si>
    <t>2nd Floor for Residential, Entrance Lobby &amp; Parking</t>
  </si>
  <si>
    <t>12th Floor (Part Terrace Area )</t>
  </si>
  <si>
    <t>Terrace Area</t>
  </si>
  <si>
    <t>(Wing D) = B + Gr + 1st to 14th Floor</t>
  </si>
  <si>
    <t>Latitude, Longitude</t>
  </si>
  <si>
    <t>Location Link</t>
  </si>
  <si>
    <t>https://goo.gl/maps/GfhaRP65sM8ameeY6</t>
  </si>
  <si>
    <t>Site Person Contact Details ( Name &amp; Contact No.)</t>
  </si>
  <si>
    <t>Commencement Certificate No.
Valid Up to:</t>
  </si>
  <si>
    <t>Grand Total</t>
  </si>
  <si>
    <t>CHE/WS/1608/K/337(NEW)/FCC/
3/Amend</t>
  </si>
  <si>
    <t xml:space="preserve">Office No. 1031, Wing J, Akshar Business Park, Plot No. 03 Sector 25, Near APMC Market, Vashi, 
Navi Mumbai, Maharashtra 400703 TEL: 022-46090378/79/80
Email : vsjcapf@gmail.com. Web site : www.vsjadon.com
</t>
  </si>
  <si>
    <t>CHE/WS/1608/K/337(NEW)/337/8/Amend</t>
  </si>
  <si>
    <t>As per Layout</t>
  </si>
  <si>
    <t>19.121917,72.884028</t>
  </si>
  <si>
    <t>Layout:</t>
  </si>
  <si>
    <t>i</t>
  </si>
  <si>
    <t>Open Plot</t>
  </si>
  <si>
    <t xml:space="preserve">Internal Road/Kanakia Rainforest </t>
  </si>
  <si>
    <t>Lok Yamuna</t>
  </si>
  <si>
    <t>Other Plot</t>
  </si>
  <si>
    <t>9.15 Mt. Wide Right of the way</t>
  </si>
  <si>
    <t>9.00 Mt wide Internal Layout Road</t>
  </si>
  <si>
    <t xml:space="preserve">(Wing A, B, C &amp; D) = 1B + Gr + 1st to 15th Floor
</t>
  </si>
  <si>
    <t>(Wing C &amp; D ) = 1B + Gr + 1st to 15th Floor</t>
  </si>
  <si>
    <t>Wing A &amp; B= 1B + Gr + 1st &amp; 11th Floor
Wing C = 1B + Gr + 1st &amp; 15th Floor
Wing D = 1B + Gr + 1st to 12th Floor</t>
  </si>
  <si>
    <t xml:space="preserve">Basement Floor For Domestic Watertank, Rainwater Tank, Flushing Water Tank &amp; Parking </t>
  </si>
  <si>
    <t>Ground Floor For Amenities &amp; Parking</t>
  </si>
  <si>
    <t>1st Floor For Residential &amp; Parking</t>
  </si>
  <si>
    <t>2nd Floor For Residential &amp; Part Society Office, Entrance Lobby &amp; Parking</t>
  </si>
  <si>
    <t>Society Office, Entrance Lobby &amp; Parking</t>
  </si>
  <si>
    <t>-</t>
  </si>
  <si>
    <t>3rd to 8th Floor For Residential</t>
  </si>
  <si>
    <t>10th to 15th Floor</t>
  </si>
  <si>
    <t>Flats (Sale or Rehab)/
EWS</t>
  </si>
  <si>
    <t>EWS</t>
  </si>
  <si>
    <t>Wing C (EWS)</t>
  </si>
  <si>
    <t>Residential Area Details :(Sale Flat)</t>
  </si>
  <si>
    <t>Residential Area Details :(Rehab &amp; EWS Flat)</t>
  </si>
  <si>
    <t>Wing A (Rehab)</t>
  </si>
  <si>
    <t>Wing B (Rehab)</t>
  </si>
  <si>
    <t>Wing D (Rehab)</t>
  </si>
  <si>
    <t>Sale Flats - 159, Rehab Flats - 12, EWS Flat - 6</t>
  </si>
  <si>
    <t>Name of the Project (As per Builder)</t>
  </si>
  <si>
    <t>Name of the Project (As per RERA)</t>
  </si>
  <si>
    <t>VKG Estates</t>
  </si>
  <si>
    <t xml:space="preserve">Details of Residential in Building   </t>
  </si>
  <si>
    <t>Building Details Floor Wise</t>
  </si>
  <si>
    <t>9th Floor For Part Refuge Area</t>
  </si>
  <si>
    <r>
      <rPr>
        <sz val="12"/>
        <rFont val="Times New Roman"/>
        <family val="1"/>
      </rPr>
      <t>Vitrified tiles flooring,Granite Kitchen Platform, Decorative Entarnace, Swimming Pool, Childerns Play Area, Garden, Parking, Lift etc.</t>
    </r>
    <r>
      <rPr>
        <b/>
        <sz val="12"/>
        <rFont val="Times New Roman"/>
        <family val="1"/>
      </rPr>
      <t xml:space="preserve">                                                                                                                                                                                                                                 </t>
    </r>
    <r>
      <rPr>
        <sz val="12"/>
        <rFont val="Times New Roman"/>
        <family val="1"/>
      </rPr>
      <t xml:space="preserve">   </t>
    </r>
    <r>
      <rPr>
        <b/>
        <sz val="12"/>
        <rFont val="Times New Roman"/>
        <family val="1"/>
      </rPr>
      <t xml:space="preserve">                                               </t>
    </r>
  </si>
  <si>
    <t xml:space="preserve">As per RERA - 30/12/2026
</t>
  </si>
  <si>
    <t xml:space="preserve">Approved Floor plan No.
(Wing C)  </t>
  </si>
  <si>
    <t xml:space="preserve">Approved Floor plan No.
Wing (A, B &amp; D)  </t>
  </si>
  <si>
    <t>CHE/WS/1608/K/337(NEW)</t>
  </si>
  <si>
    <t>Mr. Ajit : 7507807006</t>
  </si>
  <si>
    <r>
      <t xml:space="preserve">Re endorsement of earlier .C.C. for </t>
    </r>
    <r>
      <rPr>
        <b/>
        <sz val="12"/>
        <rFont val="Times New Roman"/>
        <family val="1"/>
      </rPr>
      <t>Wing 'A'</t>
    </r>
    <r>
      <rPr>
        <sz val="12"/>
        <rFont val="Times New Roman"/>
        <family val="1"/>
      </rPr>
      <t xml:space="preserve"> till top of 6th(pt) residential upper floor + staircase core up to top of 15th floor + LMR + OHT i.e. ht. 50.15mt. AGL, And FCC for </t>
    </r>
    <r>
      <rPr>
        <b/>
        <sz val="12"/>
        <rFont val="Times New Roman"/>
        <family val="1"/>
      </rPr>
      <t>Wing 'B'</t>
    </r>
    <r>
      <rPr>
        <sz val="12"/>
        <rFont val="Times New Roman"/>
        <family val="1"/>
      </rPr>
      <t xml:space="preserve"> upto 15th residential upper floor + LMR + OHT i.e. ht. 50.15mt. AGL, Re endorsement of earlier .C.C. for </t>
    </r>
    <r>
      <rPr>
        <b/>
        <sz val="12"/>
        <rFont val="Times New Roman"/>
        <family val="1"/>
      </rPr>
      <t>Wing 'C' &amp; Wing ‘D’</t>
    </r>
    <r>
      <rPr>
        <sz val="12"/>
        <rFont val="Times New Roman"/>
        <family val="1"/>
      </rPr>
      <t xml:space="preserve"> upto 15th residential upper floor + LMR + OHT i.e. ht. 50.15mt. AGL, as per approved plan dated 06/08/2024.</t>
    </r>
  </si>
  <si>
    <t>(Wing A) = 1B + Gr + 1st to 15th Floor</t>
  </si>
  <si>
    <t>(Wing B) = 1B + Gr + 1st to 15th Floor</t>
  </si>
  <si>
    <t>Tushar Bhuwad</t>
  </si>
  <si>
    <t>Shruti Tathare</t>
  </si>
  <si>
    <t>1. Since internal visit were not permitted, we were unable to determine building progress from an external visit; so, we are maintaining the same progress as in the previous report.</t>
  </si>
  <si>
    <t>1. Wing A = Construction work is in process at the time of the visit. (Slow Speed)
Wing B, C &amp; D = Construction work is in process at the time of the visit. Internal visit was not allowed.
2. We considered Saleable area as per our calculation.
3. We considered Carpet area as per Approved Plan.
4. We considered Gross carpet area = Net carpet Area
5. We have considered rate by verifying it from market inquire.
7. Car parking is subjected to authentic documentation.
8. We have updated revised approved floor plan (on 10/12/2021).
9. We have updated revised C.C (on 16/03/2024).
10. We have considered construction percent as per proposed no. of floor ( B + Gr.+ 15th Floor).
11. We have updated revised C.C from MCGM Site (on 21/09/2024).
12. Please provide revised approved plans.
13. We have updated revised approved plan for Wing C from MCGM site on 23/11/2024.
14. Validity of CC is expired on 27/02/2025. Please provide latest CC.</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</si>
</sst>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_(* #,##0.00_);_(* \(#,##0.00\);_(* &quot;-&quot;??_);_(@_)"/>
    <numFmt numFmtId="166" formatCode="_(* #,##0_);_(* \(#,##0\);_(* &quot;-&quot;??_);_(@_)"/>
    <numFmt numFmtId="167" formatCode="dd\/mm\/yyyy"/>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0">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1" fillId="0" borderId="0"/>
    <xf numFmtId="9" fontId="22" fillId="0" borderId="0" applyFont="0" applyFill="0" applyBorder="0" applyAlignment="0" applyProtection="0"/>
    <xf numFmtId="0" fontId="23" fillId="0" borderId="0" applyNumberFormat="0" applyFill="0" applyBorder="0" applyAlignment="0" applyProtection="0"/>
  </cellStyleXfs>
  <cellXfs count="157">
    <xf numFmtId="0" fontId="0" fillId="0" borderId="0" xfId="0"/>
    <xf numFmtId="0" fontId="8" fillId="0" borderId="0" xfId="0" applyFont="1" applyAlignment="1">
      <alignment horizontal="center" vertical="center"/>
    </xf>
    <xf numFmtId="0" fontId="8" fillId="0" borderId="0" xfId="1" applyFont="1" applyAlignment="1">
      <alignment horizontal="center" vertical="center"/>
    </xf>
    <xf numFmtId="0" fontId="0" fillId="3" borderId="1" xfId="0" applyFill="1" applyBorder="1"/>
    <xf numFmtId="0" fontId="0" fillId="0" borderId="2" xfId="0" applyBorder="1"/>
    <xf numFmtId="0" fontId="10" fillId="0" borderId="1" xfId="0" applyFont="1" applyBorder="1"/>
    <xf numFmtId="0" fontId="10" fillId="0" borderId="1" xfId="0" applyFont="1" applyBorder="1" applyAlignment="1">
      <alignment horizontal="center"/>
    </xf>
    <xf numFmtId="0" fontId="0" fillId="0" borderId="1" xfId="0" applyBorder="1"/>
    <xf numFmtId="0" fontId="8" fillId="0" borderId="0" xfId="1" applyFont="1"/>
    <xf numFmtId="0" fontId="7" fillId="0" borderId="0" xfId="2" applyFont="1"/>
    <xf numFmtId="0" fontId="13" fillId="0" borderId="0" xfId="1" applyFont="1"/>
    <xf numFmtId="0" fontId="16" fillId="0" borderId="0" xfId="1" applyFont="1"/>
    <xf numFmtId="0" fontId="17" fillId="0" borderId="0" xfId="1" applyFont="1"/>
    <xf numFmtId="0" fontId="13" fillId="2" borderId="1" xfId="1" applyFont="1" applyFill="1" applyBorder="1" applyAlignment="1" applyProtection="1">
      <alignment vertical="top"/>
      <protection locked="0"/>
    </xf>
    <xf numFmtId="0" fontId="13" fillId="2" borderId="1" xfId="1" applyFont="1" applyFill="1" applyBorder="1" applyAlignment="1" applyProtection="1">
      <alignment vertical="top" wrapText="1"/>
      <protection locked="0"/>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0" fontId="8" fillId="0" borderId="0" xfId="1" applyFont="1" applyProtection="1">
      <protection hidden="1"/>
    </xf>
    <xf numFmtId="0" fontId="13" fillId="0" borderId="3" xfId="1" applyFont="1" applyBorder="1" applyAlignment="1" applyProtection="1">
      <alignment horizontal="center" vertical="top"/>
      <protection locked="0"/>
    </xf>
    <xf numFmtId="0" fontId="8" fillId="0" borderId="9" xfId="1" applyFont="1" applyBorder="1" applyProtection="1">
      <protection hidden="1"/>
    </xf>
    <xf numFmtId="0" fontId="8" fillId="0" borderId="10" xfId="1" applyFont="1" applyBorder="1" applyProtection="1">
      <protection hidden="1"/>
    </xf>
    <xf numFmtId="0" fontId="8" fillId="0" borderId="11" xfId="1" applyFont="1" applyBorder="1" applyProtection="1">
      <protection hidden="1"/>
    </xf>
    <xf numFmtId="0" fontId="8" fillId="0" borderId="11" xfId="1" applyFont="1" applyBorder="1"/>
    <xf numFmtId="9" fontId="18" fillId="0" borderId="0" xfId="0" applyNumberFormat="1" applyFont="1" applyProtection="1">
      <protection hidden="1"/>
    </xf>
    <xf numFmtId="9" fontId="18" fillId="0" borderId="12" xfId="0" applyNumberFormat="1" applyFont="1" applyBorder="1" applyProtection="1">
      <protection hidden="1"/>
    </xf>
    <xf numFmtId="0" fontId="6" fillId="0" borderId="0" xfId="4"/>
    <xf numFmtId="0" fontId="2" fillId="0" borderId="0" xfId="5"/>
    <xf numFmtId="0" fontId="10" fillId="0" borderId="1" xfId="5" applyFont="1" applyBorder="1" applyAlignment="1">
      <alignment horizontal="center" vertical="top" wrapText="1"/>
    </xf>
    <xf numFmtId="0" fontId="20" fillId="0" borderId="0" xfId="4" applyFont="1"/>
    <xf numFmtId="0" fontId="2" fillId="0" borderId="1" xfId="5" applyBorder="1" applyAlignment="1">
      <alignment horizontal="center"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10" fillId="0" borderId="1" xfId="5" applyFont="1" applyBorder="1" applyAlignment="1">
      <alignment horizontal="center" vertical="center"/>
    </xf>
    <xf numFmtId="1" fontId="19" fillId="0" borderId="1" xfId="5" applyNumberFormat="1" applyFont="1" applyBorder="1" applyAlignment="1">
      <alignment horizontal="center" vertical="center"/>
    </xf>
    <xf numFmtId="0" fontId="6" fillId="0" borderId="1" xfId="4" applyBorder="1" applyAlignment="1">
      <alignment horizontal="center" vertical="center"/>
    </xf>
    <xf numFmtId="1" fontId="8" fillId="0" borderId="0" xfId="1" applyNumberFormat="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0" fontId="14" fillId="2" borderId="1" xfId="1" applyFont="1" applyFill="1" applyBorder="1" applyAlignment="1" applyProtection="1">
      <alignment horizontal="left" vertical="top"/>
      <protection locked="0"/>
    </xf>
    <xf numFmtId="0" fontId="13" fillId="0" borderId="4"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wrapText="1"/>
      <protection locked="0"/>
    </xf>
    <xf numFmtId="1" fontId="13" fillId="0" borderId="1" xfId="1" applyNumberFormat="1" applyFont="1" applyBorder="1" applyAlignment="1" applyProtection="1">
      <alignment horizontal="center" wrapText="1"/>
      <protection locked="0"/>
    </xf>
    <xf numFmtId="0" fontId="13" fillId="0" borderId="6" xfId="1" applyFont="1" applyBorder="1" applyAlignment="1" applyProtection="1">
      <alignment horizontal="center" wrapText="1"/>
      <protection locked="0"/>
    </xf>
    <xf numFmtId="0" fontId="18" fillId="0" borderId="0" xfId="0" applyFont="1" applyProtection="1">
      <protection hidden="1"/>
    </xf>
    <xf numFmtId="0" fontId="18" fillId="0" borderId="11" xfId="0" applyFont="1" applyBorder="1" applyProtection="1">
      <protection hidden="1"/>
    </xf>
    <xf numFmtId="1" fontId="0" fillId="0" borderId="11" xfId="0" applyNumberFormat="1" applyBorder="1"/>
    <xf numFmtId="1" fontId="0" fillId="0" borderId="0" xfId="0" applyNumberFormat="1"/>
    <xf numFmtId="164" fontId="0" fillId="0" borderId="0" xfId="0" applyNumberFormat="1"/>
    <xf numFmtId="1" fontId="0" fillId="0" borderId="11" xfId="0" applyNumberFormat="1" applyBorder="1" applyAlignment="1">
      <alignment horizontal="right"/>
    </xf>
    <xf numFmtId="0" fontId="0" fillId="0" borderId="11" xfId="0" applyBorder="1"/>
    <xf numFmtId="0" fontId="18" fillId="0" borderId="12" xfId="0" applyFont="1" applyBorder="1" applyProtection="1">
      <protection hidden="1"/>
    </xf>
    <xf numFmtId="1" fontId="0" fillId="0" borderId="13" xfId="0" applyNumberFormat="1" applyBorder="1"/>
    <xf numFmtId="0" fontId="1" fillId="0" borderId="1" xfId="5" applyFont="1" applyBorder="1" applyAlignment="1">
      <alignment horizontal="center" vertical="center"/>
    </xf>
    <xf numFmtId="0" fontId="1" fillId="0" borderId="1" xfId="5" applyFont="1" applyBorder="1" applyAlignment="1">
      <alignment horizontal="left" vertical="center"/>
    </xf>
    <xf numFmtId="0" fontId="13" fillId="2" borderId="1" xfId="1" applyFont="1" applyFill="1" applyBorder="1" applyAlignment="1" applyProtection="1">
      <alignment horizontal="left" vertical="top"/>
      <protection locked="0"/>
    </xf>
    <xf numFmtId="9" fontId="13" fillId="2" borderId="1" xfId="1" applyNumberFormat="1" applyFont="1" applyFill="1" applyBorder="1" applyAlignment="1" applyProtection="1">
      <alignment horizontal="center" vertical="center" wrapText="1"/>
      <protection hidden="1"/>
    </xf>
    <xf numFmtId="9" fontId="13" fillId="2" borderId="6" xfId="1" applyNumberFormat="1" applyFont="1" applyFill="1" applyBorder="1" applyAlignment="1" applyProtection="1">
      <alignment horizontal="center" vertical="center" wrapText="1"/>
      <protection hidden="1"/>
    </xf>
    <xf numFmtId="0" fontId="13"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3" fillId="2" borderId="1" xfId="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9" fontId="13" fillId="2" borderId="1" xfId="1" applyNumberFormat="1" applyFont="1" applyFill="1" applyBorder="1" applyAlignment="1" applyProtection="1">
      <alignment horizontal="center" vertical="center" wrapText="1"/>
      <protection hidden="1"/>
    </xf>
    <xf numFmtId="1" fontId="7"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protection locked="0"/>
    </xf>
    <xf numFmtId="1" fontId="9" fillId="0" borderId="1" xfId="1" applyNumberFormat="1" applyFont="1" applyBorder="1" applyAlignment="1" applyProtection="1">
      <alignment horizontal="center" vertical="top" wrapText="1"/>
      <protection locked="0"/>
    </xf>
    <xf numFmtId="9" fontId="9" fillId="0" borderId="1" xfId="8" applyFont="1" applyFill="1" applyBorder="1" applyAlignment="1" applyProtection="1">
      <alignment horizontal="center" vertical="top" wrapText="1"/>
      <protection locked="0"/>
    </xf>
    <xf numFmtId="0" fontId="8" fillId="0" borderId="0" xfId="1" applyFont="1" applyAlignment="1">
      <alignment vertical="top"/>
    </xf>
    <xf numFmtId="0" fontId="14" fillId="0" borderId="21" xfId="1" applyFont="1" applyBorder="1" applyAlignment="1" applyProtection="1">
      <alignment horizontal="center" vertical="top" wrapText="1"/>
      <protection locked="0"/>
    </xf>
    <xf numFmtId="0" fontId="14" fillId="0" borderId="16" xfId="1" applyFont="1" applyBorder="1" applyAlignment="1" applyProtection="1">
      <alignment horizontal="center" vertical="top" wrapText="1"/>
      <protection locked="0"/>
    </xf>
    <xf numFmtId="0" fontId="14" fillId="0" borderId="14"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0" fontId="14" fillId="0" borderId="22" xfId="1" applyFont="1" applyBorder="1" applyAlignment="1" applyProtection="1">
      <alignment horizontal="left" vertical="top" wrapText="1"/>
      <protection locked="0"/>
    </xf>
    <xf numFmtId="0" fontId="14" fillId="0" borderId="3"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0" fontId="14" fillId="0" borderId="4" xfId="1" applyFont="1" applyBorder="1" applyAlignment="1" applyProtection="1">
      <alignment horizontal="left" vertical="top" wrapText="1"/>
      <protection locked="0"/>
    </xf>
    <xf numFmtId="0" fontId="13" fillId="0" borderId="3"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3" fillId="0" borderId="4" xfId="1" applyFont="1" applyBorder="1" applyAlignment="1" applyProtection="1">
      <alignment horizontal="center" vertical="top" wrapText="1"/>
      <protection locked="0"/>
    </xf>
    <xf numFmtId="9" fontId="13" fillId="2" borderId="1" xfId="1" applyNumberFormat="1" applyFont="1" applyFill="1" applyBorder="1" applyAlignment="1" applyProtection="1">
      <alignment horizontal="center" vertical="center" wrapText="1"/>
      <protection hidden="1"/>
    </xf>
    <xf numFmtId="0" fontId="13"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1" fontId="9" fillId="0" borderId="1" xfId="0"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8" fillId="0" borderId="0" xfId="1" applyFont="1" applyAlignment="1">
      <alignment horizontal="center" vertical="center"/>
    </xf>
    <xf numFmtId="1" fontId="9" fillId="0" borderId="1" xfId="1" applyNumberFormat="1" applyFont="1" applyBorder="1" applyAlignment="1" applyProtection="1">
      <alignment horizontal="center" vertical="center" wrapText="1"/>
      <protection locked="0"/>
    </xf>
    <xf numFmtId="1" fontId="9" fillId="0" borderId="1" xfId="1" applyNumberFormat="1" applyFont="1" applyFill="1" applyBorder="1" applyAlignment="1" applyProtection="1">
      <alignment horizontal="center" vertical="center" wrapText="1"/>
      <protection locked="0"/>
    </xf>
    <xf numFmtId="1" fontId="7" fillId="0" borderId="17" xfId="1" applyNumberFormat="1" applyFont="1" applyBorder="1" applyAlignment="1" applyProtection="1">
      <alignment horizontal="center" vertical="center" wrapText="1"/>
      <protection locked="0"/>
    </xf>
    <xf numFmtId="1" fontId="7" fillId="0" borderId="18" xfId="1" applyNumberFormat="1" applyFont="1" applyBorder="1" applyAlignment="1" applyProtection="1">
      <alignment horizontal="center" vertical="center" wrapText="1"/>
      <protection locked="0"/>
    </xf>
    <xf numFmtId="1" fontId="7" fillId="0" borderId="26" xfId="1" applyNumberFormat="1" applyFont="1" applyBorder="1" applyAlignment="1" applyProtection="1">
      <alignment horizontal="center" vertical="center" wrapText="1"/>
      <protection locked="0"/>
    </xf>
    <xf numFmtId="1" fontId="7" fillId="0" borderId="27"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24" xfId="1" applyNumberFormat="1" applyFont="1" applyBorder="1" applyAlignment="1" applyProtection="1">
      <alignment horizontal="center" vertical="center" wrapText="1"/>
      <protection locked="0"/>
    </xf>
    <xf numFmtId="1" fontId="7" fillId="0" borderId="25"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13" fillId="2" borderId="1" xfId="1" applyFont="1" applyFill="1" applyBorder="1" applyAlignment="1" applyProtection="1">
      <alignment horizontal="left" vertical="top"/>
      <protection locked="0"/>
    </xf>
    <xf numFmtId="0" fontId="14" fillId="2" borderId="1" xfId="1" applyFont="1" applyFill="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1" fillId="0" borderId="1" xfId="0" applyFont="1" applyBorder="1" applyAlignment="1" applyProtection="1">
      <alignment horizontal="center" vertical="top" wrapText="1"/>
      <protection locked="0"/>
    </xf>
    <xf numFmtId="0" fontId="8" fillId="0" borderId="1" xfId="0" applyFont="1" applyBorder="1" applyAlignment="1" applyProtection="1">
      <alignment horizontal="center" vertical="center"/>
      <protection locked="0"/>
    </xf>
    <xf numFmtId="0" fontId="14" fillId="0" borderId="1" xfId="2" applyFont="1" applyBorder="1" applyAlignment="1" applyProtection="1">
      <alignment horizontal="left" vertical="top" wrapText="1"/>
      <protection locked="0"/>
    </xf>
    <xf numFmtId="0" fontId="9" fillId="0" borderId="1" xfId="1" applyFont="1" applyBorder="1" applyAlignment="1" applyProtection="1">
      <alignment horizontal="center" vertical="top"/>
      <protection locked="0"/>
    </xf>
    <xf numFmtId="0" fontId="13" fillId="0" borderId="23"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8" fillId="0" borderId="1" xfId="0"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2" borderId="1" xfId="1" applyFont="1" applyFill="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13" fillId="0" borderId="1" xfId="1" applyFont="1" applyBorder="1" applyAlignment="1" applyProtection="1">
      <alignment horizontal="left"/>
      <protection locked="0"/>
    </xf>
    <xf numFmtId="0" fontId="14"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4" fillId="0" borderId="1" xfId="1" applyFont="1" applyBorder="1" applyAlignment="1" applyProtection="1">
      <alignment horizontal="center"/>
      <protection locked="0"/>
    </xf>
    <xf numFmtId="0" fontId="12" fillId="0" borderId="1" xfId="1" applyFont="1" applyBorder="1" applyAlignment="1" applyProtection="1">
      <alignment horizontal="center" vertical="top" wrapText="1"/>
      <protection locked="0"/>
    </xf>
    <xf numFmtId="167" fontId="7"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left" vertical="center" wrapText="1"/>
      <protection locked="0"/>
    </xf>
    <xf numFmtId="1" fontId="9" fillId="0" borderId="1" xfId="0" applyNumberFormat="1" applyFont="1" applyBorder="1" applyAlignment="1" applyProtection="1">
      <alignment horizontal="left" vertical="top" wrapText="1"/>
      <protection locked="0"/>
    </xf>
    <xf numFmtId="164" fontId="7" fillId="0" borderId="1" xfId="1" applyNumberFormat="1" applyFont="1" applyBorder="1" applyAlignment="1" applyProtection="1">
      <alignment horizontal="left" vertical="top"/>
      <protection locked="0"/>
    </xf>
    <xf numFmtId="2" fontId="7" fillId="0" borderId="1" xfId="1" applyNumberFormat="1" applyFont="1" applyBorder="1" applyAlignment="1" applyProtection="1">
      <alignment horizontal="left" vertical="top" wrapText="1"/>
      <protection locked="0"/>
    </xf>
    <xf numFmtId="167" fontId="13" fillId="0" borderId="1" xfId="1" applyNumberFormat="1" applyFont="1" applyBorder="1" applyAlignment="1" applyProtection="1">
      <alignment horizontal="left" vertical="top" wrapText="1"/>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67" fontId="14" fillId="0" borderId="1" xfId="1" applyNumberFormat="1" applyFont="1" applyBorder="1" applyAlignment="1" applyProtection="1">
      <alignment horizontal="left" vertical="top" wrapText="1"/>
      <protection locked="0"/>
    </xf>
    <xf numFmtId="0" fontId="11" fillId="0" borderId="1" xfId="1" applyFont="1" applyBorder="1" applyAlignment="1" applyProtection="1">
      <alignment horizontal="left"/>
      <protection locked="0"/>
    </xf>
    <xf numFmtId="0" fontId="23" fillId="0" borderId="1" xfId="9" applyBorder="1" applyAlignment="1" applyProtection="1">
      <alignment horizontal="left"/>
      <protection locked="0"/>
    </xf>
    <xf numFmtId="0" fontId="8" fillId="0" borderId="1" xfId="1" applyFont="1" applyBorder="1" applyAlignment="1" applyProtection="1">
      <alignment horizontal="left"/>
      <protection locked="0"/>
    </xf>
    <xf numFmtId="164" fontId="13" fillId="0" borderId="1" xfId="1" applyNumberFormat="1" applyFont="1" applyBorder="1" applyAlignment="1" applyProtection="1">
      <alignment horizontal="left" vertical="top"/>
      <protection locked="0"/>
    </xf>
    <xf numFmtId="2" fontId="13" fillId="0" borderId="1" xfId="1" applyNumberFormat="1" applyFont="1" applyBorder="1" applyAlignment="1" applyProtection="1">
      <alignment horizontal="left" vertical="top"/>
      <protection locked="0"/>
    </xf>
    <xf numFmtId="0" fontId="14" fillId="0" borderId="1" xfId="1" applyFont="1" applyBorder="1" applyAlignment="1" applyProtection="1">
      <alignment vertical="top"/>
      <protection locked="0"/>
    </xf>
    <xf numFmtId="9" fontId="13" fillId="2" borderId="6" xfId="1" applyNumberFormat="1" applyFont="1" applyFill="1" applyBorder="1" applyAlignment="1" applyProtection="1">
      <alignment horizontal="center" vertical="center" wrapText="1"/>
      <protection hidden="1"/>
    </xf>
    <xf numFmtId="9" fontId="13" fillId="2" borderId="4" xfId="1" applyNumberFormat="1" applyFont="1" applyFill="1" applyBorder="1" applyAlignment="1" applyProtection="1">
      <alignment horizontal="center" vertical="center" wrapText="1"/>
      <protection hidden="1"/>
    </xf>
    <xf numFmtId="9" fontId="13" fillId="2" borderId="7" xfId="1" applyNumberFormat="1" applyFont="1" applyFill="1" applyBorder="1" applyAlignment="1" applyProtection="1">
      <alignment horizontal="center" vertical="center" wrapText="1"/>
      <protection hidden="1"/>
    </xf>
    <xf numFmtId="0" fontId="13" fillId="0" borderId="14" xfId="1" applyFont="1" applyBorder="1" applyAlignment="1" applyProtection="1">
      <alignment horizontal="left" vertical="top"/>
      <protection locked="0"/>
    </xf>
    <xf numFmtId="0" fontId="13" fillId="0" borderId="15" xfId="1" applyFont="1" applyBorder="1" applyAlignment="1" applyProtection="1">
      <alignment horizontal="left" vertical="top"/>
      <protection locked="0"/>
    </xf>
    <xf numFmtId="0" fontId="13" fillId="0" borderId="16" xfId="1" applyFont="1" applyBorder="1" applyAlignment="1" applyProtection="1">
      <alignment horizontal="left" vertical="top"/>
      <protection locked="0"/>
    </xf>
    <xf numFmtId="0" fontId="13" fillId="0" borderId="5" xfId="1" applyFont="1" applyBorder="1" applyAlignment="1" applyProtection="1">
      <alignment horizontal="center" vertical="top" wrapText="1"/>
      <protection locked="0"/>
    </xf>
    <xf numFmtId="0" fontId="13" fillId="0" borderId="6"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top" wrapText="1"/>
      <protection locked="0"/>
    </xf>
    <xf numFmtId="0" fontId="14" fillId="2" borderId="1" xfId="1" applyFont="1" applyFill="1" applyBorder="1" applyAlignment="1" applyProtection="1">
      <alignment horizontal="left" vertical="top" wrapText="1"/>
      <protection locked="0"/>
    </xf>
    <xf numFmtId="0" fontId="0" fillId="3" borderId="1" xfId="0" applyFill="1" applyBorder="1" applyAlignment="1">
      <alignment horizontal="center" wrapText="1"/>
    </xf>
    <xf numFmtId="0" fontId="10" fillId="0" borderId="1" xfId="0" applyFont="1" applyBorder="1" applyAlignment="1">
      <alignment horizontal="center"/>
    </xf>
    <xf numFmtId="0" fontId="10" fillId="0" borderId="1" xfId="5" applyFont="1" applyBorder="1" applyAlignment="1">
      <alignment horizontal="left"/>
    </xf>
  </cellXfs>
  <cellStyles count="10">
    <cellStyle name="Comma 2" xfId="6"/>
    <cellStyle name="Excel Built-in Normal" xfId="2"/>
    <cellStyle name="Excel Built-in Normal 2" xfId="4"/>
    <cellStyle name="Hyperlink" xfId="9"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0F07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xdr:col>
      <xdr:colOff>399375</xdr:colOff>
      <xdr:row>349</xdr:row>
      <xdr:rowOff>137160</xdr:rowOff>
    </xdr:from>
    <xdr:to>
      <xdr:col>7</xdr:col>
      <xdr:colOff>214184</xdr:colOff>
      <xdr:row>365</xdr:row>
      <xdr:rowOff>51020</xdr:rowOff>
    </xdr:to>
    <xdr:pic>
      <xdr:nvPicPr>
        <xdr:cNvPr id="8" name="Picture 7">
          <a:extLst>
            <a:ext uri="{FF2B5EF4-FFF2-40B4-BE49-F238E27FC236}">
              <a16:creationId xmlns=""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184235" y="69593460"/>
          <a:ext cx="4783049" cy="3083779"/>
        </a:xfrm>
        <a:prstGeom prst="rect">
          <a:avLst/>
        </a:prstGeom>
        <a:ln>
          <a:solidFill>
            <a:sysClr val="windowText" lastClr="000000"/>
          </a:solidFill>
        </a:ln>
      </xdr:spPr>
    </xdr:pic>
    <xdr:clientData/>
  </xdr:twoCellAnchor>
  <xdr:twoCellAnchor editAs="oneCell">
    <xdr:from>
      <xdr:col>8</xdr:col>
      <xdr:colOff>481877</xdr:colOff>
      <xdr:row>41</xdr:row>
      <xdr:rowOff>84799</xdr:rowOff>
    </xdr:from>
    <xdr:to>
      <xdr:col>24</xdr:col>
      <xdr:colOff>309498</xdr:colOff>
      <xdr:row>50</xdr:row>
      <xdr:rowOff>1403798</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7465773" y="8685460"/>
          <a:ext cx="7613273" cy="3957156"/>
        </a:xfrm>
        <a:prstGeom prst="rect">
          <a:avLst/>
        </a:prstGeom>
      </xdr:spPr>
    </xdr:pic>
    <xdr:clientData/>
  </xdr:twoCellAnchor>
  <xdr:twoCellAnchor>
    <xdr:from>
      <xdr:col>1</xdr:col>
      <xdr:colOff>46384</xdr:colOff>
      <xdr:row>366</xdr:row>
      <xdr:rowOff>17285</xdr:rowOff>
    </xdr:from>
    <xdr:to>
      <xdr:col>7</xdr:col>
      <xdr:colOff>457200</xdr:colOff>
      <xdr:row>387</xdr:row>
      <xdr:rowOff>102769</xdr:rowOff>
    </xdr:to>
    <xdr:grpSp>
      <xdr:nvGrpSpPr>
        <xdr:cNvPr id="15" name="Group 14">
          <a:extLst>
            <a:ext uri="{FF2B5EF4-FFF2-40B4-BE49-F238E27FC236}">
              <a16:creationId xmlns="" xmlns:a16="http://schemas.microsoft.com/office/drawing/2014/main" id="{9C32C487-0BC2-6C27-F7D6-BAB393A815E3}"/>
            </a:ext>
          </a:extLst>
        </xdr:cNvPr>
        <xdr:cNvGrpSpPr/>
      </xdr:nvGrpSpPr>
      <xdr:grpSpPr>
        <a:xfrm>
          <a:off x="808384" y="77236046"/>
          <a:ext cx="5239577" cy="4259919"/>
          <a:chOff x="828262" y="62892224"/>
          <a:chExt cx="5380381" cy="4259919"/>
        </a:xfrm>
      </xdr:grpSpPr>
      <xdr:pic>
        <xdr:nvPicPr>
          <xdr:cNvPr id="11" name="Picture 10">
            <a:extLst>
              <a:ext uri="{FF2B5EF4-FFF2-40B4-BE49-F238E27FC236}">
                <a16:creationId xmlns="" xmlns:a16="http://schemas.microsoft.com/office/drawing/2014/main" id="{0D8B56A1-FC2F-3511-D74F-8B46DFA38F0C}"/>
              </a:ext>
            </a:extLst>
          </xdr:cNvPr>
          <xdr:cNvPicPr>
            <a:picLocks noChangeAspect="1"/>
          </xdr:cNvPicPr>
        </xdr:nvPicPr>
        <xdr:blipFill>
          <a:blip xmlns:r="http://schemas.openxmlformats.org/officeDocument/2006/relationships" r:embed="rId3"/>
          <a:stretch>
            <a:fillRect/>
          </a:stretch>
        </xdr:blipFill>
        <xdr:spPr>
          <a:xfrm>
            <a:off x="828262" y="62892224"/>
            <a:ext cx="5380381" cy="4259919"/>
          </a:xfrm>
          <a:prstGeom prst="rect">
            <a:avLst/>
          </a:prstGeom>
          <a:ln>
            <a:solidFill>
              <a:sysClr val="windowText" lastClr="000000"/>
            </a:solidFill>
          </a:ln>
        </xdr:spPr>
      </xdr:pic>
      <xdr:sp macro="" textlink="">
        <xdr:nvSpPr>
          <xdr:cNvPr id="12" name="Rectangle 11">
            <a:extLst>
              <a:ext uri="{FF2B5EF4-FFF2-40B4-BE49-F238E27FC236}">
                <a16:creationId xmlns="" xmlns:a16="http://schemas.microsoft.com/office/drawing/2014/main" id="{3C5589D1-4EB2-CE85-FF19-13EAB5F69536}"/>
              </a:ext>
            </a:extLst>
          </xdr:cNvPr>
          <xdr:cNvSpPr/>
        </xdr:nvSpPr>
        <xdr:spPr>
          <a:xfrm>
            <a:off x="2584174" y="63855601"/>
            <a:ext cx="1470991" cy="1881808"/>
          </a:xfrm>
          <a:prstGeom prst="rect">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kern="1200"/>
          </a:p>
        </xdr:txBody>
      </xdr:sp>
    </xdr:grpSp>
    <xdr:clientData/>
  </xdr:twoCellAnchor>
  <xdr:twoCellAnchor editAs="oneCell">
    <xdr:from>
      <xdr:col>2</xdr:col>
      <xdr:colOff>119742</xdr:colOff>
      <xdr:row>308</xdr:row>
      <xdr:rowOff>33447</xdr:rowOff>
    </xdr:from>
    <xdr:to>
      <xdr:col>5</xdr:col>
      <xdr:colOff>446313</xdr:colOff>
      <xdr:row>322</xdr:row>
      <xdr:rowOff>67003</xdr:rowOff>
    </xdr:to>
    <xdr:pic>
      <xdr:nvPicPr>
        <xdr:cNvPr id="23" name="Picture 22">
          <a:extLst>
            <a:ext uri="{FF2B5EF4-FFF2-40B4-BE49-F238E27FC236}">
              <a16:creationId xmlns="" xmlns:a16="http://schemas.microsoft.com/office/drawing/2014/main" id="{6B8D9540-63D3-A69C-049C-7ADEBE587C0E}"/>
            </a:ext>
          </a:extLst>
        </xdr:cNvPr>
        <xdr:cNvPicPr>
          <a:picLocks noChangeAspect="1"/>
        </xdr:cNvPicPr>
      </xdr:nvPicPr>
      <xdr:blipFill>
        <a:blip xmlns:r="http://schemas.openxmlformats.org/officeDocument/2006/relationships" r:embed="rId4"/>
        <a:stretch>
          <a:fillRect/>
        </a:stretch>
      </xdr:blipFill>
      <xdr:spPr>
        <a:xfrm>
          <a:off x="1719942" y="58925161"/>
          <a:ext cx="2884714" cy="2776758"/>
        </a:xfrm>
        <a:prstGeom prst="rect">
          <a:avLst/>
        </a:prstGeom>
        <a:ln>
          <a:solidFill>
            <a:sysClr val="windowText" lastClr="000000"/>
          </a:solidFill>
        </a:ln>
      </xdr:spPr>
    </xdr:pic>
    <xdr:clientData/>
  </xdr:twoCellAnchor>
  <xdr:twoCellAnchor>
    <xdr:from>
      <xdr:col>0</xdr:col>
      <xdr:colOff>394813</xdr:colOff>
      <xdr:row>323</xdr:row>
      <xdr:rowOff>741</xdr:rowOff>
    </xdr:from>
    <xdr:to>
      <xdr:col>7</xdr:col>
      <xdr:colOff>793679</xdr:colOff>
      <xdr:row>344</xdr:row>
      <xdr:rowOff>195525</xdr:rowOff>
    </xdr:to>
    <xdr:grpSp>
      <xdr:nvGrpSpPr>
        <xdr:cNvPr id="56" name="Group 55">
          <a:extLst>
            <a:ext uri="{FF2B5EF4-FFF2-40B4-BE49-F238E27FC236}">
              <a16:creationId xmlns="" xmlns:a16="http://schemas.microsoft.com/office/drawing/2014/main" id="{A8A497EC-16D9-17F7-A41F-A1055A3165EF}"/>
            </a:ext>
          </a:extLst>
        </xdr:cNvPr>
        <xdr:cNvGrpSpPr/>
      </xdr:nvGrpSpPr>
      <xdr:grpSpPr>
        <a:xfrm>
          <a:off x="394813" y="68671850"/>
          <a:ext cx="5989627" cy="4369218"/>
          <a:chOff x="402772" y="62531804"/>
          <a:chExt cx="6136665" cy="4380028"/>
        </a:xfrm>
      </xdr:grpSpPr>
      <xdr:pic>
        <xdr:nvPicPr>
          <xdr:cNvPr id="24" name="Picture 23">
            <a:extLst>
              <a:ext uri="{FF2B5EF4-FFF2-40B4-BE49-F238E27FC236}">
                <a16:creationId xmlns="" xmlns:a16="http://schemas.microsoft.com/office/drawing/2014/main" id="{54D135A1-99A9-0C72-F7AE-158CA906FF1B}"/>
              </a:ext>
            </a:extLst>
          </xdr:cNvPr>
          <xdr:cNvPicPr>
            <a:picLocks noChangeAspect="1"/>
          </xdr:cNvPicPr>
        </xdr:nvPicPr>
        <xdr:blipFill>
          <a:blip xmlns:r="http://schemas.openxmlformats.org/officeDocument/2006/relationships" r:embed="rId5"/>
          <a:stretch>
            <a:fillRect/>
          </a:stretch>
        </xdr:blipFill>
        <xdr:spPr>
          <a:xfrm>
            <a:off x="402772" y="62531804"/>
            <a:ext cx="6136665" cy="4380028"/>
          </a:xfrm>
          <a:prstGeom prst="rect">
            <a:avLst/>
          </a:prstGeom>
          <a:ln>
            <a:solidFill>
              <a:sysClr val="windowText" lastClr="000000"/>
            </a:solidFill>
          </a:ln>
        </xdr:spPr>
      </xdr:pic>
      <xdr:sp macro="" textlink="">
        <xdr:nvSpPr>
          <xdr:cNvPr id="45" name="Freeform: Shape 44">
            <a:extLst>
              <a:ext uri="{FF2B5EF4-FFF2-40B4-BE49-F238E27FC236}">
                <a16:creationId xmlns="" xmlns:a16="http://schemas.microsoft.com/office/drawing/2014/main" id="{B0A68AEC-71FA-44E7-AE53-1046875BE0E5}"/>
              </a:ext>
            </a:extLst>
          </xdr:cNvPr>
          <xdr:cNvSpPr/>
        </xdr:nvSpPr>
        <xdr:spPr>
          <a:xfrm>
            <a:off x="2067339" y="63550800"/>
            <a:ext cx="1179444" cy="1318591"/>
          </a:xfrm>
          <a:custGeom>
            <a:avLst/>
            <a:gdLst>
              <a:gd name="connsiteX0" fmla="*/ 1106557 w 1179444"/>
              <a:gd name="connsiteY0" fmla="*/ 602974 h 1318591"/>
              <a:gd name="connsiteX1" fmla="*/ 463826 w 1179444"/>
              <a:gd name="connsiteY1" fmla="*/ 1285461 h 1318591"/>
              <a:gd name="connsiteX2" fmla="*/ 13252 w 1179444"/>
              <a:gd name="connsiteY2" fmla="*/ 1318591 h 1318591"/>
              <a:gd name="connsiteX3" fmla="*/ 0 w 1179444"/>
              <a:gd name="connsiteY3" fmla="*/ 569843 h 1318591"/>
              <a:gd name="connsiteX4" fmla="*/ 470452 w 1179444"/>
              <a:gd name="connsiteY4" fmla="*/ 46383 h 1318591"/>
              <a:gd name="connsiteX5" fmla="*/ 1179444 w 1179444"/>
              <a:gd name="connsiteY5" fmla="*/ 0 h 1318591"/>
              <a:gd name="connsiteX6" fmla="*/ 1106557 w 1179444"/>
              <a:gd name="connsiteY6" fmla="*/ 602974 h 13185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79444" h="1318591">
                <a:moveTo>
                  <a:pt x="1106557" y="602974"/>
                </a:moveTo>
                <a:lnTo>
                  <a:pt x="463826" y="1285461"/>
                </a:lnTo>
                <a:lnTo>
                  <a:pt x="13252" y="1318591"/>
                </a:lnTo>
                <a:lnTo>
                  <a:pt x="0" y="569843"/>
                </a:lnTo>
                <a:lnTo>
                  <a:pt x="470452" y="46383"/>
                </a:lnTo>
                <a:lnTo>
                  <a:pt x="1179444" y="0"/>
                </a:lnTo>
                <a:lnTo>
                  <a:pt x="1106557" y="602974"/>
                </a:lnTo>
                <a:close/>
              </a:path>
            </a:pathLst>
          </a:custGeom>
          <a:noFill/>
          <a:ln w="38100">
            <a:solidFill>
              <a:srgbClr val="0F077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kern="1200"/>
          </a:p>
        </xdr:txBody>
      </xdr:sp>
      <xdr:sp macro="" textlink="">
        <xdr:nvSpPr>
          <xdr:cNvPr id="46" name="Freeform: Shape 45">
            <a:extLst>
              <a:ext uri="{FF2B5EF4-FFF2-40B4-BE49-F238E27FC236}">
                <a16:creationId xmlns="" xmlns:a16="http://schemas.microsoft.com/office/drawing/2014/main" id="{FE996D8B-F1BB-E43C-86DA-70988449E3A6}"/>
              </a:ext>
            </a:extLst>
          </xdr:cNvPr>
          <xdr:cNvSpPr/>
        </xdr:nvSpPr>
        <xdr:spPr>
          <a:xfrm rot="10800000">
            <a:off x="2498034" y="64127270"/>
            <a:ext cx="1179444" cy="1318591"/>
          </a:xfrm>
          <a:custGeom>
            <a:avLst/>
            <a:gdLst>
              <a:gd name="connsiteX0" fmla="*/ 1106557 w 1179444"/>
              <a:gd name="connsiteY0" fmla="*/ 602974 h 1318591"/>
              <a:gd name="connsiteX1" fmla="*/ 463826 w 1179444"/>
              <a:gd name="connsiteY1" fmla="*/ 1285461 h 1318591"/>
              <a:gd name="connsiteX2" fmla="*/ 13252 w 1179444"/>
              <a:gd name="connsiteY2" fmla="*/ 1318591 h 1318591"/>
              <a:gd name="connsiteX3" fmla="*/ 0 w 1179444"/>
              <a:gd name="connsiteY3" fmla="*/ 569843 h 1318591"/>
              <a:gd name="connsiteX4" fmla="*/ 470452 w 1179444"/>
              <a:gd name="connsiteY4" fmla="*/ 46383 h 1318591"/>
              <a:gd name="connsiteX5" fmla="*/ 1179444 w 1179444"/>
              <a:gd name="connsiteY5" fmla="*/ 0 h 1318591"/>
              <a:gd name="connsiteX6" fmla="*/ 1106557 w 1179444"/>
              <a:gd name="connsiteY6" fmla="*/ 602974 h 13185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79444" h="1318591">
                <a:moveTo>
                  <a:pt x="1106557" y="602974"/>
                </a:moveTo>
                <a:lnTo>
                  <a:pt x="463826" y="1285461"/>
                </a:lnTo>
                <a:lnTo>
                  <a:pt x="13252" y="1318591"/>
                </a:lnTo>
                <a:lnTo>
                  <a:pt x="0" y="569843"/>
                </a:lnTo>
                <a:lnTo>
                  <a:pt x="470452" y="46383"/>
                </a:lnTo>
                <a:lnTo>
                  <a:pt x="1179444" y="0"/>
                </a:lnTo>
                <a:lnTo>
                  <a:pt x="1106557" y="602974"/>
                </a:lnTo>
                <a:close/>
              </a:path>
            </a:pathLst>
          </a:custGeom>
          <a:noFill/>
          <a:ln w="38100">
            <a:solidFill>
              <a:srgbClr val="0F077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kern="1200"/>
          </a:p>
        </xdr:txBody>
      </xdr:sp>
      <xdr:sp macro="" textlink="">
        <xdr:nvSpPr>
          <xdr:cNvPr id="47" name="Freeform: Shape 46">
            <a:extLst>
              <a:ext uri="{FF2B5EF4-FFF2-40B4-BE49-F238E27FC236}">
                <a16:creationId xmlns="" xmlns:a16="http://schemas.microsoft.com/office/drawing/2014/main" id="{9239415C-534F-8AE6-F497-175D461470EB}"/>
              </a:ext>
            </a:extLst>
          </xdr:cNvPr>
          <xdr:cNvSpPr/>
        </xdr:nvSpPr>
        <xdr:spPr>
          <a:xfrm rot="10800000" flipH="1">
            <a:off x="3710608" y="64107391"/>
            <a:ext cx="1179444" cy="1318591"/>
          </a:xfrm>
          <a:custGeom>
            <a:avLst/>
            <a:gdLst>
              <a:gd name="connsiteX0" fmla="*/ 1106557 w 1179444"/>
              <a:gd name="connsiteY0" fmla="*/ 602974 h 1318591"/>
              <a:gd name="connsiteX1" fmla="*/ 463826 w 1179444"/>
              <a:gd name="connsiteY1" fmla="*/ 1285461 h 1318591"/>
              <a:gd name="connsiteX2" fmla="*/ 13252 w 1179444"/>
              <a:gd name="connsiteY2" fmla="*/ 1318591 h 1318591"/>
              <a:gd name="connsiteX3" fmla="*/ 0 w 1179444"/>
              <a:gd name="connsiteY3" fmla="*/ 569843 h 1318591"/>
              <a:gd name="connsiteX4" fmla="*/ 470452 w 1179444"/>
              <a:gd name="connsiteY4" fmla="*/ 46383 h 1318591"/>
              <a:gd name="connsiteX5" fmla="*/ 1179444 w 1179444"/>
              <a:gd name="connsiteY5" fmla="*/ 0 h 1318591"/>
              <a:gd name="connsiteX6" fmla="*/ 1106557 w 1179444"/>
              <a:gd name="connsiteY6" fmla="*/ 602974 h 13185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79444" h="1318591">
                <a:moveTo>
                  <a:pt x="1106557" y="602974"/>
                </a:moveTo>
                <a:lnTo>
                  <a:pt x="463826" y="1285461"/>
                </a:lnTo>
                <a:lnTo>
                  <a:pt x="13252" y="1318591"/>
                </a:lnTo>
                <a:lnTo>
                  <a:pt x="0" y="569843"/>
                </a:lnTo>
                <a:lnTo>
                  <a:pt x="470452" y="46383"/>
                </a:lnTo>
                <a:lnTo>
                  <a:pt x="1179444" y="0"/>
                </a:lnTo>
                <a:lnTo>
                  <a:pt x="1106557" y="602974"/>
                </a:lnTo>
                <a:close/>
              </a:path>
            </a:pathLst>
          </a:custGeom>
          <a:noFill/>
          <a:ln w="38100">
            <a:solidFill>
              <a:srgbClr val="0F077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kern="1200"/>
          </a:p>
        </xdr:txBody>
      </xdr:sp>
      <xdr:sp macro="" textlink="">
        <xdr:nvSpPr>
          <xdr:cNvPr id="49" name="Freeform: Shape 48">
            <a:extLst>
              <a:ext uri="{FF2B5EF4-FFF2-40B4-BE49-F238E27FC236}">
                <a16:creationId xmlns="" xmlns:a16="http://schemas.microsoft.com/office/drawing/2014/main" id="{355BAB65-1A38-3DEA-A914-C9D94D1448A7}"/>
              </a:ext>
            </a:extLst>
          </xdr:cNvPr>
          <xdr:cNvSpPr/>
        </xdr:nvSpPr>
        <xdr:spPr>
          <a:xfrm flipH="1">
            <a:off x="4147931" y="63590556"/>
            <a:ext cx="1179444" cy="1318591"/>
          </a:xfrm>
          <a:custGeom>
            <a:avLst/>
            <a:gdLst>
              <a:gd name="connsiteX0" fmla="*/ 1106557 w 1179444"/>
              <a:gd name="connsiteY0" fmla="*/ 602974 h 1318591"/>
              <a:gd name="connsiteX1" fmla="*/ 463826 w 1179444"/>
              <a:gd name="connsiteY1" fmla="*/ 1285461 h 1318591"/>
              <a:gd name="connsiteX2" fmla="*/ 13252 w 1179444"/>
              <a:gd name="connsiteY2" fmla="*/ 1318591 h 1318591"/>
              <a:gd name="connsiteX3" fmla="*/ 0 w 1179444"/>
              <a:gd name="connsiteY3" fmla="*/ 569843 h 1318591"/>
              <a:gd name="connsiteX4" fmla="*/ 470452 w 1179444"/>
              <a:gd name="connsiteY4" fmla="*/ 46383 h 1318591"/>
              <a:gd name="connsiteX5" fmla="*/ 1179444 w 1179444"/>
              <a:gd name="connsiteY5" fmla="*/ 0 h 1318591"/>
              <a:gd name="connsiteX6" fmla="*/ 1106557 w 1179444"/>
              <a:gd name="connsiteY6" fmla="*/ 602974 h 13185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79444" h="1318591">
                <a:moveTo>
                  <a:pt x="1106557" y="602974"/>
                </a:moveTo>
                <a:lnTo>
                  <a:pt x="463826" y="1285461"/>
                </a:lnTo>
                <a:lnTo>
                  <a:pt x="13252" y="1318591"/>
                </a:lnTo>
                <a:lnTo>
                  <a:pt x="0" y="569843"/>
                </a:lnTo>
                <a:lnTo>
                  <a:pt x="470452" y="46383"/>
                </a:lnTo>
                <a:lnTo>
                  <a:pt x="1179444" y="0"/>
                </a:lnTo>
                <a:lnTo>
                  <a:pt x="1106557" y="602974"/>
                </a:lnTo>
                <a:close/>
              </a:path>
            </a:pathLst>
          </a:custGeom>
          <a:noFill/>
          <a:ln w="38100">
            <a:solidFill>
              <a:srgbClr val="0F077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kern="1200"/>
          </a:p>
        </xdr:txBody>
      </xdr:sp>
      <xdr:sp macro="" textlink="">
        <xdr:nvSpPr>
          <xdr:cNvPr id="50" name="TextBox 49">
            <a:extLst>
              <a:ext uri="{FF2B5EF4-FFF2-40B4-BE49-F238E27FC236}">
                <a16:creationId xmlns="" xmlns:a16="http://schemas.microsoft.com/office/drawing/2014/main" id="{6A69ECE1-8983-B4F2-72B7-A44A3ADA1B27}"/>
              </a:ext>
            </a:extLst>
          </xdr:cNvPr>
          <xdr:cNvSpPr txBox="1"/>
        </xdr:nvSpPr>
        <xdr:spPr>
          <a:xfrm>
            <a:off x="2411896" y="63259252"/>
            <a:ext cx="1113182" cy="4903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kern="1200">
                <a:solidFill>
                  <a:srgbClr val="0F0775"/>
                </a:solidFill>
                <a:latin typeface="Times New Roman" panose="02020603050405020304" pitchFamily="18" charset="0"/>
                <a:cs typeface="Times New Roman" panose="02020603050405020304" pitchFamily="18" charset="0"/>
              </a:rPr>
              <a:t>Wing A</a:t>
            </a:r>
          </a:p>
        </xdr:txBody>
      </xdr:sp>
      <xdr:sp macro="" textlink="">
        <xdr:nvSpPr>
          <xdr:cNvPr id="51" name="TextBox 50">
            <a:extLst>
              <a:ext uri="{FF2B5EF4-FFF2-40B4-BE49-F238E27FC236}">
                <a16:creationId xmlns="" xmlns:a16="http://schemas.microsoft.com/office/drawing/2014/main" id="{9122B616-67A3-2092-ECB7-94F998FB313F}"/>
              </a:ext>
            </a:extLst>
          </xdr:cNvPr>
          <xdr:cNvSpPr txBox="1"/>
        </xdr:nvSpPr>
        <xdr:spPr>
          <a:xfrm rot="21449325">
            <a:off x="2405270" y="65372972"/>
            <a:ext cx="1113182" cy="4903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kern="1200">
                <a:solidFill>
                  <a:srgbClr val="0F0775"/>
                </a:solidFill>
                <a:latin typeface="Times New Roman" panose="02020603050405020304" pitchFamily="18" charset="0"/>
                <a:cs typeface="Times New Roman" panose="02020603050405020304" pitchFamily="18" charset="0"/>
              </a:rPr>
              <a:t>Wing B</a:t>
            </a:r>
          </a:p>
        </xdr:txBody>
      </xdr:sp>
      <xdr:sp macro="" textlink="">
        <xdr:nvSpPr>
          <xdr:cNvPr id="53" name="TextBox 52">
            <a:extLst>
              <a:ext uri="{FF2B5EF4-FFF2-40B4-BE49-F238E27FC236}">
                <a16:creationId xmlns="" xmlns:a16="http://schemas.microsoft.com/office/drawing/2014/main" id="{383AA296-7553-C914-4368-1803FAC7D040}"/>
              </a:ext>
            </a:extLst>
          </xdr:cNvPr>
          <xdr:cNvSpPr txBox="1"/>
        </xdr:nvSpPr>
        <xdr:spPr>
          <a:xfrm rot="169254">
            <a:off x="4002158" y="65359721"/>
            <a:ext cx="1113182" cy="4903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kern="1200">
                <a:solidFill>
                  <a:srgbClr val="0F0775"/>
                </a:solidFill>
                <a:latin typeface="Times New Roman" panose="02020603050405020304" pitchFamily="18" charset="0"/>
                <a:cs typeface="Times New Roman" panose="02020603050405020304" pitchFamily="18" charset="0"/>
              </a:rPr>
              <a:t>Wing C</a:t>
            </a:r>
          </a:p>
        </xdr:txBody>
      </xdr:sp>
      <xdr:sp macro="" textlink="">
        <xdr:nvSpPr>
          <xdr:cNvPr id="54" name="TextBox 53">
            <a:extLst>
              <a:ext uri="{FF2B5EF4-FFF2-40B4-BE49-F238E27FC236}">
                <a16:creationId xmlns="" xmlns:a16="http://schemas.microsoft.com/office/drawing/2014/main" id="{21DA29B3-BF14-9C7C-FF14-054FEFC6A7B2}"/>
              </a:ext>
            </a:extLst>
          </xdr:cNvPr>
          <xdr:cNvSpPr txBox="1"/>
        </xdr:nvSpPr>
        <xdr:spPr>
          <a:xfrm rot="169254">
            <a:off x="4008783" y="63305633"/>
            <a:ext cx="1113182" cy="4903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kern="1200">
                <a:solidFill>
                  <a:srgbClr val="0F0775"/>
                </a:solidFill>
                <a:latin typeface="Times New Roman" panose="02020603050405020304" pitchFamily="18" charset="0"/>
                <a:cs typeface="Times New Roman" panose="02020603050405020304" pitchFamily="18" charset="0"/>
              </a:rPr>
              <a:t>Wing D</a:t>
            </a:r>
          </a:p>
        </xdr:txBody>
      </xdr:sp>
    </xdr:grpSp>
    <xdr:clientData/>
  </xdr:twoCellAnchor>
  <xdr:twoCellAnchor editAs="oneCell">
    <xdr:from>
      <xdr:col>8</xdr:col>
      <xdr:colOff>826642</xdr:colOff>
      <xdr:row>186</xdr:row>
      <xdr:rowOff>150321</xdr:rowOff>
    </xdr:from>
    <xdr:to>
      <xdr:col>16</xdr:col>
      <xdr:colOff>113818</xdr:colOff>
      <xdr:row>206</xdr:row>
      <xdr:rowOff>111776</xdr:rowOff>
    </xdr:to>
    <xdr:pic>
      <xdr:nvPicPr>
        <xdr:cNvPr id="58" name="Picture 57">
          <a:extLst>
            <a:ext uri="{FF2B5EF4-FFF2-40B4-BE49-F238E27FC236}">
              <a16:creationId xmlns="" xmlns:a16="http://schemas.microsoft.com/office/drawing/2014/main" id="{BF629E10-74C1-4150-A5ED-B01D8B1A0134}"/>
            </a:ext>
          </a:extLst>
        </xdr:cNvPr>
        <xdr:cNvPicPr>
          <a:picLocks noChangeAspect="1"/>
        </xdr:cNvPicPr>
      </xdr:nvPicPr>
      <xdr:blipFill>
        <a:blip xmlns:r="http://schemas.openxmlformats.org/officeDocument/2006/relationships" r:embed="rId6"/>
        <a:stretch>
          <a:fillRect/>
        </a:stretch>
      </xdr:blipFill>
      <xdr:spPr>
        <a:xfrm>
          <a:off x="7814182" y="34867041"/>
          <a:ext cx="5215536" cy="3923854"/>
        </a:xfrm>
        <a:prstGeom prst="rect">
          <a:avLst/>
        </a:prstGeom>
      </xdr:spPr>
    </xdr:pic>
    <xdr:clientData/>
  </xdr:twoCellAnchor>
  <xdr:twoCellAnchor editAs="oneCell">
    <xdr:from>
      <xdr:col>8</xdr:col>
      <xdr:colOff>967740</xdr:colOff>
      <xdr:row>206</xdr:row>
      <xdr:rowOff>60960</xdr:rowOff>
    </xdr:from>
    <xdr:to>
      <xdr:col>17</xdr:col>
      <xdr:colOff>114300</xdr:colOff>
      <xdr:row>224</xdr:row>
      <xdr:rowOff>143384</xdr:rowOff>
    </xdr:to>
    <xdr:pic>
      <xdr:nvPicPr>
        <xdr:cNvPr id="59" name="Picture 58">
          <a:extLst>
            <a:ext uri="{FF2B5EF4-FFF2-40B4-BE49-F238E27FC236}">
              <a16:creationId xmlns="" xmlns:a16="http://schemas.microsoft.com/office/drawing/2014/main" id="{C457534D-BBFF-924F-B619-97F44DCB1C40}"/>
            </a:ext>
          </a:extLst>
        </xdr:cNvPr>
        <xdr:cNvPicPr>
          <a:picLocks noChangeAspect="1"/>
        </xdr:cNvPicPr>
      </xdr:nvPicPr>
      <xdr:blipFill>
        <a:blip xmlns:r="http://schemas.openxmlformats.org/officeDocument/2006/relationships" r:embed="rId7"/>
        <a:stretch>
          <a:fillRect/>
        </a:stretch>
      </xdr:blipFill>
      <xdr:spPr>
        <a:xfrm>
          <a:off x="7955280" y="39128700"/>
          <a:ext cx="5699760" cy="3648584"/>
        </a:xfrm>
        <a:prstGeom prst="rect">
          <a:avLst/>
        </a:prstGeom>
      </xdr:spPr>
    </xdr:pic>
    <xdr:clientData/>
  </xdr:twoCellAnchor>
  <xdr:twoCellAnchor>
    <xdr:from>
      <xdr:col>0</xdr:col>
      <xdr:colOff>114299</xdr:colOff>
      <xdr:row>267</xdr:row>
      <xdr:rowOff>109853</xdr:rowOff>
    </xdr:from>
    <xdr:to>
      <xdr:col>7</xdr:col>
      <xdr:colOff>1164799</xdr:colOff>
      <xdr:row>306</xdr:row>
      <xdr:rowOff>57776</xdr:rowOff>
    </xdr:to>
    <xdr:grpSp>
      <xdr:nvGrpSpPr>
        <xdr:cNvPr id="3" name="Group 2"/>
        <xdr:cNvGrpSpPr/>
      </xdr:nvGrpSpPr>
      <xdr:grpSpPr>
        <a:xfrm>
          <a:off x="114299" y="57649136"/>
          <a:ext cx="6641261" cy="7700444"/>
          <a:chOff x="114299" y="58196566"/>
          <a:chExt cx="6676466" cy="7814551"/>
        </a:xfrm>
      </xdr:grpSpPr>
      <xdr:pic>
        <xdr:nvPicPr>
          <xdr:cNvPr id="37" name="Picture 36" descr="https://vsjcllp.vsjadon.com/upload/insp-243302-1525.jpe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123764" y="64097646"/>
            <a:ext cx="1424272" cy="19078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43302-845.jpe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053354" y="64101777"/>
            <a:ext cx="1427709" cy="190934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3302-846.jpe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2407984" y="58196566"/>
            <a:ext cx="2136603" cy="293422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3302-844.jpe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593040" y="64095967"/>
            <a:ext cx="1427709" cy="190786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43302-848.jpe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114299" y="58201674"/>
            <a:ext cx="2195970" cy="293450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43302-850.jpe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407020" y="61230060"/>
            <a:ext cx="2072201" cy="277793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43302-851.jpe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4628029" y="58205035"/>
            <a:ext cx="2162736" cy="291184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43302-865.jpe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257735" y="61228938"/>
            <a:ext cx="2052490" cy="275436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https://vsjcllp.vsjadon.com/upload/insp-243302-868.jpe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4584061" y="61231522"/>
            <a:ext cx="2129117" cy="279058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156883</xdr:colOff>
      <xdr:row>267</xdr:row>
      <xdr:rowOff>134471</xdr:rowOff>
    </xdr:from>
    <xdr:to>
      <xdr:col>2</xdr:col>
      <xdr:colOff>549089</xdr:colOff>
      <xdr:row>269</xdr:row>
      <xdr:rowOff>112059</xdr:rowOff>
    </xdr:to>
    <xdr:sp macro="" textlink="">
      <xdr:nvSpPr>
        <xdr:cNvPr id="4" name="TextBox 3"/>
        <xdr:cNvSpPr txBox="1"/>
      </xdr:nvSpPr>
      <xdr:spPr>
        <a:xfrm>
          <a:off x="1714501" y="58259383"/>
          <a:ext cx="392206"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t>A</a:t>
          </a:r>
        </a:p>
      </xdr:txBody>
    </xdr:sp>
    <xdr:clientData/>
  </xdr:twoCellAnchor>
  <xdr:twoCellAnchor>
    <xdr:from>
      <xdr:col>8</xdr:col>
      <xdr:colOff>898279</xdr:colOff>
      <xdr:row>264</xdr:row>
      <xdr:rowOff>170719</xdr:rowOff>
    </xdr:from>
    <xdr:to>
      <xdr:col>8</xdr:col>
      <xdr:colOff>1290485</xdr:colOff>
      <xdr:row>266</xdr:row>
      <xdr:rowOff>148308</xdr:rowOff>
    </xdr:to>
    <xdr:sp macro="" textlink="">
      <xdr:nvSpPr>
        <xdr:cNvPr id="57" name="TextBox 56"/>
        <xdr:cNvSpPr txBox="1"/>
      </xdr:nvSpPr>
      <xdr:spPr>
        <a:xfrm>
          <a:off x="7712317" y="56888431"/>
          <a:ext cx="392206" cy="373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t>C</a:t>
          </a:r>
        </a:p>
      </xdr:txBody>
    </xdr:sp>
    <xdr:clientData/>
  </xdr:twoCellAnchor>
  <xdr:twoCellAnchor>
    <xdr:from>
      <xdr:col>0</xdr:col>
      <xdr:colOff>685799</xdr:colOff>
      <xdr:row>282</xdr:row>
      <xdr:rowOff>87968</xdr:rowOff>
    </xdr:from>
    <xdr:to>
      <xdr:col>1</xdr:col>
      <xdr:colOff>316005</xdr:colOff>
      <xdr:row>284</xdr:row>
      <xdr:rowOff>65556</xdr:rowOff>
    </xdr:to>
    <xdr:sp macro="" textlink="">
      <xdr:nvSpPr>
        <xdr:cNvPr id="60" name="TextBox 59"/>
        <xdr:cNvSpPr txBox="1"/>
      </xdr:nvSpPr>
      <xdr:spPr>
        <a:xfrm>
          <a:off x="685799" y="61238468"/>
          <a:ext cx="392206"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t>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3351</xdr:colOff>
      <xdr:row>9</xdr:row>
      <xdr:rowOff>0</xdr:rowOff>
    </xdr:from>
    <xdr:to>
      <xdr:col>6</xdr:col>
      <xdr:colOff>4020</xdr:colOff>
      <xdr:row>27</xdr:row>
      <xdr:rowOff>171000</xdr:rowOff>
    </xdr:to>
    <xdr:pic>
      <xdr:nvPicPr>
        <xdr:cNvPr id="2" name="Picture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83134" y="1722783"/>
          <a:ext cx="6403125" cy="3600000"/>
        </a:xfrm>
        <a:prstGeom prst="rect">
          <a:avLst/>
        </a:prstGeom>
        <a:ln>
          <a:solidFill>
            <a:schemeClr val="tx1"/>
          </a:solidFill>
        </a:ln>
      </xdr:spPr>
    </xdr:pic>
    <xdr:clientData/>
  </xdr:twoCellAnchor>
  <xdr:twoCellAnchor editAs="oneCell">
    <xdr:from>
      <xdr:col>1</xdr:col>
      <xdr:colOff>0</xdr:colOff>
      <xdr:row>29</xdr:row>
      <xdr:rowOff>24327</xdr:rowOff>
    </xdr:from>
    <xdr:to>
      <xdr:col>6</xdr:col>
      <xdr:colOff>669</xdr:colOff>
      <xdr:row>48</xdr:row>
      <xdr:rowOff>4827</xdr:rowOff>
    </xdr:to>
    <xdr:pic>
      <xdr:nvPicPr>
        <xdr:cNvPr id="3" name="Picture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79783" y="5557110"/>
          <a:ext cx="640312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GfhaRP65sM8ameeY6"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W349"/>
  <sheetViews>
    <sheetView tabSelected="1" view="pageBreakPreview" zoomScale="115" zoomScaleNormal="100" zoomScaleSheetLayoutView="115" zoomScalePageLayoutView="85" workbookViewId="0">
      <selection activeCell="K15" sqref="K15"/>
    </sheetView>
  </sheetViews>
  <sheetFormatPr defaultColWidth="9.140625" defaultRowHeight="15.75" x14ac:dyDescent="0.25"/>
  <cols>
    <col min="1" max="1" width="11.42578125" style="17" customWidth="1"/>
    <col min="2" max="2" width="11.85546875" style="17" customWidth="1"/>
    <col min="3" max="3" width="12.7109375" style="17" customWidth="1"/>
    <col min="4" max="4" width="12.85546875" style="17" customWidth="1"/>
    <col min="5" max="7" width="11.7109375" style="17" customWidth="1"/>
    <col min="8" max="8" width="18" style="17" customWidth="1"/>
    <col min="9" max="9" width="20.42578125" style="8" customWidth="1"/>
    <col min="10" max="10" width="9.85546875" style="8" bestFit="1" customWidth="1"/>
    <col min="11" max="11" width="10.5703125" style="8" bestFit="1" customWidth="1"/>
    <col min="12" max="18" width="9.140625" style="8"/>
    <col min="19" max="19" width="11.140625" style="8" hidden="1" customWidth="1"/>
    <col min="20" max="21" width="9.140625" style="8" hidden="1" customWidth="1"/>
    <col min="22" max="22" width="10.7109375" style="8" hidden="1" customWidth="1"/>
    <col min="23" max="23" width="13.42578125" style="8" hidden="1" customWidth="1"/>
    <col min="24" max="254" width="9.140625" style="8"/>
    <col min="255" max="255" width="8.7109375" style="8" customWidth="1"/>
    <col min="256" max="256" width="9.85546875" style="8" customWidth="1"/>
    <col min="257" max="257" width="14.42578125" style="8" customWidth="1"/>
    <col min="258" max="258" width="7.28515625" style="8" customWidth="1"/>
    <col min="259" max="259" width="5.5703125" style="8" customWidth="1"/>
    <col min="260" max="260" width="9" style="8" customWidth="1"/>
    <col min="261" max="262" width="9.85546875" style="8" customWidth="1"/>
    <col min="263" max="263" width="11.140625" style="8" customWidth="1"/>
    <col min="264" max="264" width="2.85546875" style="8" customWidth="1"/>
    <col min="265" max="265" width="3.5703125" style="8" customWidth="1"/>
    <col min="266" max="510" width="9.140625" style="8"/>
    <col min="511" max="511" width="8.7109375" style="8" customWidth="1"/>
    <col min="512" max="512" width="9.85546875" style="8" customWidth="1"/>
    <col min="513" max="513" width="14.42578125" style="8" customWidth="1"/>
    <col min="514" max="514" width="7.28515625" style="8" customWidth="1"/>
    <col min="515" max="515" width="5.5703125" style="8" customWidth="1"/>
    <col min="516" max="516" width="9" style="8" customWidth="1"/>
    <col min="517" max="518" width="9.85546875" style="8" customWidth="1"/>
    <col min="519" max="519" width="11.140625" style="8" customWidth="1"/>
    <col min="520" max="520" width="2.85546875" style="8" customWidth="1"/>
    <col min="521" max="521" width="3.5703125" style="8" customWidth="1"/>
    <col min="522" max="766" width="9.140625" style="8"/>
    <col min="767" max="767" width="8.7109375" style="8" customWidth="1"/>
    <col min="768" max="768" width="9.85546875" style="8" customWidth="1"/>
    <col min="769" max="769" width="14.42578125" style="8" customWidth="1"/>
    <col min="770" max="770" width="7.28515625" style="8" customWidth="1"/>
    <col min="771" max="771" width="5.5703125" style="8" customWidth="1"/>
    <col min="772" max="772" width="9" style="8" customWidth="1"/>
    <col min="773" max="774" width="9.85546875" style="8" customWidth="1"/>
    <col min="775" max="775" width="11.140625" style="8" customWidth="1"/>
    <col min="776" max="776" width="2.85546875" style="8" customWidth="1"/>
    <col min="777" max="777" width="3.5703125" style="8" customWidth="1"/>
    <col min="778" max="1022" width="9.140625" style="8"/>
    <col min="1023" max="1023" width="8.7109375" style="8" customWidth="1"/>
    <col min="1024" max="1024" width="9.85546875" style="8" customWidth="1"/>
    <col min="1025" max="1025" width="14.42578125" style="8" customWidth="1"/>
    <col min="1026" max="1026" width="7.28515625" style="8" customWidth="1"/>
    <col min="1027" max="1027" width="5.5703125" style="8" customWidth="1"/>
    <col min="1028" max="1028" width="9" style="8" customWidth="1"/>
    <col min="1029" max="1030" width="9.85546875" style="8" customWidth="1"/>
    <col min="1031" max="1031" width="11.140625" style="8" customWidth="1"/>
    <col min="1032" max="1032" width="2.85546875" style="8" customWidth="1"/>
    <col min="1033" max="1033" width="3.5703125" style="8" customWidth="1"/>
    <col min="1034" max="1278" width="9.140625" style="8"/>
    <col min="1279" max="1279" width="8.7109375" style="8" customWidth="1"/>
    <col min="1280" max="1280" width="9.85546875" style="8" customWidth="1"/>
    <col min="1281" max="1281" width="14.42578125" style="8" customWidth="1"/>
    <col min="1282" max="1282" width="7.28515625" style="8" customWidth="1"/>
    <col min="1283" max="1283" width="5.5703125" style="8" customWidth="1"/>
    <col min="1284" max="1284" width="9" style="8" customWidth="1"/>
    <col min="1285" max="1286" width="9.85546875" style="8" customWidth="1"/>
    <col min="1287" max="1287" width="11.140625" style="8" customWidth="1"/>
    <col min="1288" max="1288" width="2.85546875" style="8" customWidth="1"/>
    <col min="1289" max="1289" width="3.5703125" style="8" customWidth="1"/>
    <col min="1290" max="1534" width="9.140625" style="8"/>
    <col min="1535" max="1535" width="8.7109375" style="8" customWidth="1"/>
    <col min="1536" max="1536" width="9.85546875" style="8" customWidth="1"/>
    <col min="1537" max="1537" width="14.42578125" style="8" customWidth="1"/>
    <col min="1538" max="1538" width="7.28515625" style="8" customWidth="1"/>
    <col min="1539" max="1539" width="5.5703125" style="8" customWidth="1"/>
    <col min="1540" max="1540" width="9" style="8" customWidth="1"/>
    <col min="1541" max="1542" width="9.85546875" style="8" customWidth="1"/>
    <col min="1543" max="1543" width="11.140625" style="8" customWidth="1"/>
    <col min="1544" max="1544" width="2.85546875" style="8" customWidth="1"/>
    <col min="1545" max="1545" width="3.5703125" style="8" customWidth="1"/>
    <col min="1546" max="1790" width="9.140625" style="8"/>
    <col min="1791" max="1791" width="8.7109375" style="8" customWidth="1"/>
    <col min="1792" max="1792" width="9.85546875" style="8" customWidth="1"/>
    <col min="1793" max="1793" width="14.42578125" style="8" customWidth="1"/>
    <col min="1794" max="1794" width="7.28515625" style="8" customWidth="1"/>
    <col min="1795" max="1795" width="5.5703125" style="8" customWidth="1"/>
    <col min="1796" max="1796" width="9" style="8" customWidth="1"/>
    <col min="1797" max="1798" width="9.85546875" style="8" customWidth="1"/>
    <col min="1799" max="1799" width="11.140625" style="8" customWidth="1"/>
    <col min="1800" max="1800" width="2.85546875" style="8" customWidth="1"/>
    <col min="1801" max="1801" width="3.5703125" style="8" customWidth="1"/>
    <col min="1802" max="2046" width="9.140625" style="8"/>
    <col min="2047" max="2047" width="8.7109375" style="8" customWidth="1"/>
    <col min="2048" max="2048" width="9.85546875" style="8" customWidth="1"/>
    <col min="2049" max="2049" width="14.42578125" style="8" customWidth="1"/>
    <col min="2050" max="2050" width="7.28515625" style="8" customWidth="1"/>
    <col min="2051" max="2051" width="5.5703125" style="8" customWidth="1"/>
    <col min="2052" max="2052" width="9" style="8" customWidth="1"/>
    <col min="2053" max="2054" width="9.85546875" style="8" customWidth="1"/>
    <col min="2055" max="2055" width="11.140625" style="8" customWidth="1"/>
    <col min="2056" max="2056" width="2.85546875" style="8" customWidth="1"/>
    <col min="2057" max="2057" width="3.5703125" style="8" customWidth="1"/>
    <col min="2058" max="2302" width="9.140625" style="8"/>
    <col min="2303" max="2303" width="8.7109375" style="8" customWidth="1"/>
    <col min="2304" max="2304" width="9.85546875" style="8" customWidth="1"/>
    <col min="2305" max="2305" width="14.42578125" style="8" customWidth="1"/>
    <col min="2306" max="2306" width="7.28515625" style="8" customWidth="1"/>
    <col min="2307" max="2307" width="5.5703125" style="8" customWidth="1"/>
    <col min="2308" max="2308" width="9" style="8" customWidth="1"/>
    <col min="2309" max="2310" width="9.85546875" style="8" customWidth="1"/>
    <col min="2311" max="2311" width="11.140625" style="8" customWidth="1"/>
    <col min="2312" max="2312" width="2.85546875" style="8" customWidth="1"/>
    <col min="2313" max="2313" width="3.5703125" style="8" customWidth="1"/>
    <col min="2314" max="2558" width="9.140625" style="8"/>
    <col min="2559" max="2559" width="8.7109375" style="8" customWidth="1"/>
    <col min="2560" max="2560" width="9.85546875" style="8" customWidth="1"/>
    <col min="2561" max="2561" width="14.42578125" style="8" customWidth="1"/>
    <col min="2562" max="2562" width="7.28515625" style="8" customWidth="1"/>
    <col min="2563" max="2563" width="5.5703125" style="8" customWidth="1"/>
    <col min="2564" max="2564" width="9" style="8" customWidth="1"/>
    <col min="2565" max="2566" width="9.85546875" style="8" customWidth="1"/>
    <col min="2567" max="2567" width="11.140625" style="8" customWidth="1"/>
    <col min="2568" max="2568" width="2.85546875" style="8" customWidth="1"/>
    <col min="2569" max="2569" width="3.5703125" style="8" customWidth="1"/>
    <col min="2570" max="2814" width="9.140625" style="8"/>
    <col min="2815" max="2815" width="8.7109375" style="8" customWidth="1"/>
    <col min="2816" max="2816" width="9.85546875" style="8" customWidth="1"/>
    <col min="2817" max="2817" width="14.42578125" style="8" customWidth="1"/>
    <col min="2818" max="2818" width="7.28515625" style="8" customWidth="1"/>
    <col min="2819" max="2819" width="5.5703125" style="8" customWidth="1"/>
    <col min="2820" max="2820" width="9" style="8" customWidth="1"/>
    <col min="2821" max="2822" width="9.85546875" style="8" customWidth="1"/>
    <col min="2823" max="2823" width="11.140625" style="8" customWidth="1"/>
    <col min="2824" max="2824" width="2.85546875" style="8" customWidth="1"/>
    <col min="2825" max="2825" width="3.5703125" style="8" customWidth="1"/>
    <col min="2826" max="3070" width="9.140625" style="8"/>
    <col min="3071" max="3071" width="8.7109375" style="8" customWidth="1"/>
    <col min="3072" max="3072" width="9.85546875" style="8" customWidth="1"/>
    <col min="3073" max="3073" width="14.42578125" style="8" customWidth="1"/>
    <col min="3074" max="3074" width="7.28515625" style="8" customWidth="1"/>
    <col min="3075" max="3075" width="5.5703125" style="8" customWidth="1"/>
    <col min="3076" max="3076" width="9" style="8" customWidth="1"/>
    <col min="3077" max="3078" width="9.85546875" style="8" customWidth="1"/>
    <col min="3079" max="3079" width="11.140625" style="8" customWidth="1"/>
    <col min="3080" max="3080" width="2.85546875" style="8" customWidth="1"/>
    <col min="3081" max="3081" width="3.5703125" style="8" customWidth="1"/>
    <col min="3082" max="3326" width="9.140625" style="8"/>
    <col min="3327" max="3327" width="8.7109375" style="8" customWidth="1"/>
    <col min="3328" max="3328" width="9.85546875" style="8" customWidth="1"/>
    <col min="3329" max="3329" width="14.42578125" style="8" customWidth="1"/>
    <col min="3330" max="3330" width="7.28515625" style="8" customWidth="1"/>
    <col min="3331" max="3331" width="5.5703125" style="8" customWidth="1"/>
    <col min="3332" max="3332" width="9" style="8" customWidth="1"/>
    <col min="3333" max="3334" width="9.85546875" style="8" customWidth="1"/>
    <col min="3335" max="3335" width="11.140625" style="8" customWidth="1"/>
    <col min="3336" max="3336" width="2.85546875" style="8" customWidth="1"/>
    <col min="3337" max="3337" width="3.5703125" style="8" customWidth="1"/>
    <col min="3338" max="3582" width="9.140625" style="8"/>
    <col min="3583" max="3583" width="8.7109375" style="8" customWidth="1"/>
    <col min="3584" max="3584" width="9.85546875" style="8" customWidth="1"/>
    <col min="3585" max="3585" width="14.42578125" style="8" customWidth="1"/>
    <col min="3586" max="3586" width="7.28515625" style="8" customWidth="1"/>
    <col min="3587" max="3587" width="5.5703125" style="8" customWidth="1"/>
    <col min="3588" max="3588" width="9" style="8" customWidth="1"/>
    <col min="3589" max="3590" width="9.85546875" style="8" customWidth="1"/>
    <col min="3591" max="3591" width="11.140625" style="8" customWidth="1"/>
    <col min="3592" max="3592" width="2.85546875" style="8" customWidth="1"/>
    <col min="3593" max="3593" width="3.5703125" style="8" customWidth="1"/>
    <col min="3594" max="3838" width="9.140625" style="8"/>
    <col min="3839" max="3839" width="8.7109375" style="8" customWidth="1"/>
    <col min="3840" max="3840" width="9.85546875" style="8" customWidth="1"/>
    <col min="3841" max="3841" width="14.42578125" style="8" customWidth="1"/>
    <col min="3842" max="3842" width="7.28515625" style="8" customWidth="1"/>
    <col min="3843" max="3843" width="5.5703125" style="8" customWidth="1"/>
    <col min="3844" max="3844" width="9" style="8" customWidth="1"/>
    <col min="3845" max="3846" width="9.85546875" style="8" customWidth="1"/>
    <col min="3847" max="3847" width="11.140625" style="8" customWidth="1"/>
    <col min="3848" max="3848" width="2.85546875" style="8" customWidth="1"/>
    <col min="3849" max="3849" width="3.5703125" style="8" customWidth="1"/>
    <col min="3850" max="4094" width="9.140625" style="8"/>
    <col min="4095" max="4095" width="8.7109375" style="8" customWidth="1"/>
    <col min="4096" max="4096" width="9.85546875" style="8" customWidth="1"/>
    <col min="4097" max="4097" width="14.42578125" style="8" customWidth="1"/>
    <col min="4098" max="4098" width="7.28515625" style="8" customWidth="1"/>
    <col min="4099" max="4099" width="5.5703125" style="8" customWidth="1"/>
    <col min="4100" max="4100" width="9" style="8" customWidth="1"/>
    <col min="4101" max="4102" width="9.85546875" style="8" customWidth="1"/>
    <col min="4103" max="4103" width="11.140625" style="8" customWidth="1"/>
    <col min="4104" max="4104" width="2.85546875" style="8" customWidth="1"/>
    <col min="4105" max="4105" width="3.5703125" style="8" customWidth="1"/>
    <col min="4106" max="4350" width="9.140625" style="8"/>
    <col min="4351" max="4351" width="8.7109375" style="8" customWidth="1"/>
    <col min="4352" max="4352" width="9.85546875" style="8" customWidth="1"/>
    <col min="4353" max="4353" width="14.42578125" style="8" customWidth="1"/>
    <col min="4354" max="4354" width="7.28515625" style="8" customWidth="1"/>
    <col min="4355" max="4355" width="5.5703125" style="8" customWidth="1"/>
    <col min="4356" max="4356" width="9" style="8" customWidth="1"/>
    <col min="4357" max="4358" width="9.85546875" style="8" customWidth="1"/>
    <col min="4359" max="4359" width="11.140625" style="8" customWidth="1"/>
    <col min="4360" max="4360" width="2.85546875" style="8" customWidth="1"/>
    <col min="4361" max="4361" width="3.5703125" style="8" customWidth="1"/>
    <col min="4362" max="4606" width="9.140625" style="8"/>
    <col min="4607" max="4607" width="8.7109375" style="8" customWidth="1"/>
    <col min="4608" max="4608" width="9.85546875" style="8" customWidth="1"/>
    <col min="4609" max="4609" width="14.42578125" style="8" customWidth="1"/>
    <col min="4610" max="4610" width="7.28515625" style="8" customWidth="1"/>
    <col min="4611" max="4611" width="5.5703125" style="8" customWidth="1"/>
    <col min="4612" max="4612" width="9" style="8" customWidth="1"/>
    <col min="4613" max="4614" width="9.85546875" style="8" customWidth="1"/>
    <col min="4615" max="4615" width="11.140625" style="8" customWidth="1"/>
    <col min="4616" max="4616" width="2.85546875" style="8" customWidth="1"/>
    <col min="4617" max="4617" width="3.5703125" style="8" customWidth="1"/>
    <col min="4618" max="4862" width="9.140625" style="8"/>
    <col min="4863" max="4863" width="8.7109375" style="8" customWidth="1"/>
    <col min="4864" max="4864" width="9.85546875" style="8" customWidth="1"/>
    <col min="4865" max="4865" width="14.42578125" style="8" customWidth="1"/>
    <col min="4866" max="4866" width="7.28515625" style="8" customWidth="1"/>
    <col min="4867" max="4867" width="5.5703125" style="8" customWidth="1"/>
    <col min="4868" max="4868" width="9" style="8" customWidth="1"/>
    <col min="4869" max="4870" width="9.85546875" style="8" customWidth="1"/>
    <col min="4871" max="4871" width="11.140625" style="8" customWidth="1"/>
    <col min="4872" max="4872" width="2.85546875" style="8" customWidth="1"/>
    <col min="4873" max="4873" width="3.5703125" style="8" customWidth="1"/>
    <col min="4874" max="5118" width="9.140625" style="8"/>
    <col min="5119" max="5119" width="8.7109375" style="8" customWidth="1"/>
    <col min="5120" max="5120" width="9.85546875" style="8" customWidth="1"/>
    <col min="5121" max="5121" width="14.42578125" style="8" customWidth="1"/>
    <col min="5122" max="5122" width="7.28515625" style="8" customWidth="1"/>
    <col min="5123" max="5123" width="5.5703125" style="8" customWidth="1"/>
    <col min="5124" max="5124" width="9" style="8" customWidth="1"/>
    <col min="5125" max="5126" width="9.85546875" style="8" customWidth="1"/>
    <col min="5127" max="5127" width="11.140625" style="8" customWidth="1"/>
    <col min="5128" max="5128" width="2.85546875" style="8" customWidth="1"/>
    <col min="5129" max="5129" width="3.5703125" style="8" customWidth="1"/>
    <col min="5130" max="5374" width="9.140625" style="8"/>
    <col min="5375" max="5375" width="8.7109375" style="8" customWidth="1"/>
    <col min="5376" max="5376" width="9.85546875" style="8" customWidth="1"/>
    <col min="5377" max="5377" width="14.42578125" style="8" customWidth="1"/>
    <col min="5378" max="5378" width="7.28515625" style="8" customWidth="1"/>
    <col min="5379" max="5379" width="5.5703125" style="8" customWidth="1"/>
    <col min="5380" max="5380" width="9" style="8" customWidth="1"/>
    <col min="5381" max="5382" width="9.85546875" style="8" customWidth="1"/>
    <col min="5383" max="5383" width="11.140625" style="8" customWidth="1"/>
    <col min="5384" max="5384" width="2.85546875" style="8" customWidth="1"/>
    <col min="5385" max="5385" width="3.5703125" style="8" customWidth="1"/>
    <col min="5386" max="5630" width="9.140625" style="8"/>
    <col min="5631" max="5631" width="8.7109375" style="8" customWidth="1"/>
    <col min="5632" max="5632" width="9.85546875" style="8" customWidth="1"/>
    <col min="5633" max="5633" width="14.42578125" style="8" customWidth="1"/>
    <col min="5634" max="5634" width="7.28515625" style="8" customWidth="1"/>
    <col min="5635" max="5635" width="5.5703125" style="8" customWidth="1"/>
    <col min="5636" max="5636" width="9" style="8" customWidth="1"/>
    <col min="5637" max="5638" width="9.85546875" style="8" customWidth="1"/>
    <col min="5639" max="5639" width="11.140625" style="8" customWidth="1"/>
    <col min="5640" max="5640" width="2.85546875" style="8" customWidth="1"/>
    <col min="5641" max="5641" width="3.5703125" style="8" customWidth="1"/>
    <col min="5642" max="5886" width="9.140625" style="8"/>
    <col min="5887" max="5887" width="8.7109375" style="8" customWidth="1"/>
    <col min="5888" max="5888" width="9.85546875" style="8" customWidth="1"/>
    <col min="5889" max="5889" width="14.42578125" style="8" customWidth="1"/>
    <col min="5890" max="5890" width="7.28515625" style="8" customWidth="1"/>
    <col min="5891" max="5891" width="5.5703125" style="8" customWidth="1"/>
    <col min="5892" max="5892" width="9" style="8" customWidth="1"/>
    <col min="5893" max="5894" width="9.85546875" style="8" customWidth="1"/>
    <col min="5895" max="5895" width="11.140625" style="8" customWidth="1"/>
    <col min="5896" max="5896" width="2.85546875" style="8" customWidth="1"/>
    <col min="5897" max="5897" width="3.5703125" style="8" customWidth="1"/>
    <col min="5898" max="6142" width="9.140625" style="8"/>
    <col min="6143" max="6143" width="8.7109375" style="8" customWidth="1"/>
    <col min="6144" max="6144" width="9.85546875" style="8" customWidth="1"/>
    <col min="6145" max="6145" width="14.42578125" style="8" customWidth="1"/>
    <col min="6146" max="6146" width="7.28515625" style="8" customWidth="1"/>
    <col min="6147" max="6147" width="5.5703125" style="8" customWidth="1"/>
    <col min="6148" max="6148" width="9" style="8" customWidth="1"/>
    <col min="6149" max="6150" width="9.85546875" style="8" customWidth="1"/>
    <col min="6151" max="6151" width="11.140625" style="8" customWidth="1"/>
    <col min="6152" max="6152" width="2.85546875" style="8" customWidth="1"/>
    <col min="6153" max="6153" width="3.5703125" style="8" customWidth="1"/>
    <col min="6154" max="6398" width="9.140625" style="8"/>
    <col min="6399" max="6399" width="8.7109375" style="8" customWidth="1"/>
    <col min="6400" max="6400" width="9.85546875" style="8" customWidth="1"/>
    <col min="6401" max="6401" width="14.42578125" style="8" customWidth="1"/>
    <col min="6402" max="6402" width="7.28515625" style="8" customWidth="1"/>
    <col min="6403" max="6403" width="5.5703125" style="8" customWidth="1"/>
    <col min="6404" max="6404" width="9" style="8" customWidth="1"/>
    <col min="6405" max="6406" width="9.85546875" style="8" customWidth="1"/>
    <col min="6407" max="6407" width="11.140625" style="8" customWidth="1"/>
    <col min="6408" max="6408" width="2.85546875" style="8" customWidth="1"/>
    <col min="6409" max="6409" width="3.5703125" style="8" customWidth="1"/>
    <col min="6410" max="6654" width="9.140625" style="8"/>
    <col min="6655" max="6655" width="8.7109375" style="8" customWidth="1"/>
    <col min="6656" max="6656" width="9.85546875" style="8" customWidth="1"/>
    <col min="6657" max="6657" width="14.42578125" style="8" customWidth="1"/>
    <col min="6658" max="6658" width="7.28515625" style="8" customWidth="1"/>
    <col min="6659" max="6659" width="5.5703125" style="8" customWidth="1"/>
    <col min="6660" max="6660" width="9" style="8" customWidth="1"/>
    <col min="6661" max="6662" width="9.85546875" style="8" customWidth="1"/>
    <col min="6663" max="6663" width="11.140625" style="8" customWidth="1"/>
    <col min="6664" max="6664" width="2.85546875" style="8" customWidth="1"/>
    <col min="6665" max="6665" width="3.5703125" style="8" customWidth="1"/>
    <col min="6666" max="6910" width="9.140625" style="8"/>
    <col min="6911" max="6911" width="8.7109375" style="8" customWidth="1"/>
    <col min="6912" max="6912" width="9.85546875" style="8" customWidth="1"/>
    <col min="6913" max="6913" width="14.42578125" style="8" customWidth="1"/>
    <col min="6914" max="6914" width="7.28515625" style="8" customWidth="1"/>
    <col min="6915" max="6915" width="5.5703125" style="8" customWidth="1"/>
    <col min="6916" max="6916" width="9" style="8" customWidth="1"/>
    <col min="6917" max="6918" width="9.85546875" style="8" customWidth="1"/>
    <col min="6919" max="6919" width="11.140625" style="8" customWidth="1"/>
    <col min="6920" max="6920" width="2.85546875" style="8" customWidth="1"/>
    <col min="6921" max="6921" width="3.5703125" style="8" customWidth="1"/>
    <col min="6922" max="7166" width="9.140625" style="8"/>
    <col min="7167" max="7167" width="8.7109375" style="8" customWidth="1"/>
    <col min="7168" max="7168" width="9.85546875" style="8" customWidth="1"/>
    <col min="7169" max="7169" width="14.42578125" style="8" customWidth="1"/>
    <col min="7170" max="7170" width="7.28515625" style="8" customWidth="1"/>
    <col min="7171" max="7171" width="5.5703125" style="8" customWidth="1"/>
    <col min="7172" max="7172" width="9" style="8" customWidth="1"/>
    <col min="7173" max="7174" width="9.85546875" style="8" customWidth="1"/>
    <col min="7175" max="7175" width="11.140625" style="8" customWidth="1"/>
    <col min="7176" max="7176" width="2.85546875" style="8" customWidth="1"/>
    <col min="7177" max="7177" width="3.5703125" style="8" customWidth="1"/>
    <col min="7178" max="7422" width="9.140625" style="8"/>
    <col min="7423" max="7423" width="8.7109375" style="8" customWidth="1"/>
    <col min="7424" max="7424" width="9.85546875" style="8" customWidth="1"/>
    <col min="7425" max="7425" width="14.42578125" style="8" customWidth="1"/>
    <col min="7426" max="7426" width="7.28515625" style="8" customWidth="1"/>
    <col min="7427" max="7427" width="5.5703125" style="8" customWidth="1"/>
    <col min="7428" max="7428" width="9" style="8" customWidth="1"/>
    <col min="7429" max="7430" width="9.85546875" style="8" customWidth="1"/>
    <col min="7431" max="7431" width="11.140625" style="8" customWidth="1"/>
    <col min="7432" max="7432" width="2.85546875" style="8" customWidth="1"/>
    <col min="7433" max="7433" width="3.5703125" style="8" customWidth="1"/>
    <col min="7434" max="7678" width="9.140625" style="8"/>
    <col min="7679" max="7679" width="8.7109375" style="8" customWidth="1"/>
    <col min="7680" max="7680" width="9.85546875" style="8" customWidth="1"/>
    <col min="7681" max="7681" width="14.42578125" style="8" customWidth="1"/>
    <col min="7682" max="7682" width="7.28515625" style="8" customWidth="1"/>
    <col min="7683" max="7683" width="5.5703125" style="8" customWidth="1"/>
    <col min="7684" max="7684" width="9" style="8" customWidth="1"/>
    <col min="7685" max="7686" width="9.85546875" style="8" customWidth="1"/>
    <col min="7687" max="7687" width="11.140625" style="8" customWidth="1"/>
    <col min="7688" max="7688" width="2.85546875" style="8" customWidth="1"/>
    <col min="7689" max="7689" width="3.5703125" style="8" customWidth="1"/>
    <col min="7690" max="7934" width="9.140625" style="8"/>
    <col min="7935" max="7935" width="8.7109375" style="8" customWidth="1"/>
    <col min="7936" max="7936" width="9.85546875" style="8" customWidth="1"/>
    <col min="7937" max="7937" width="14.42578125" style="8" customWidth="1"/>
    <col min="7938" max="7938" width="7.28515625" style="8" customWidth="1"/>
    <col min="7939" max="7939" width="5.5703125" style="8" customWidth="1"/>
    <col min="7940" max="7940" width="9" style="8" customWidth="1"/>
    <col min="7941" max="7942" width="9.85546875" style="8" customWidth="1"/>
    <col min="7943" max="7943" width="11.140625" style="8" customWidth="1"/>
    <col min="7944" max="7944" width="2.85546875" style="8" customWidth="1"/>
    <col min="7945" max="7945" width="3.5703125" style="8" customWidth="1"/>
    <col min="7946" max="8190" width="9.140625" style="8"/>
    <col min="8191" max="8191" width="8.7109375" style="8" customWidth="1"/>
    <col min="8192" max="8192" width="9.85546875" style="8" customWidth="1"/>
    <col min="8193" max="8193" width="14.42578125" style="8" customWidth="1"/>
    <col min="8194" max="8194" width="7.28515625" style="8" customWidth="1"/>
    <col min="8195" max="8195" width="5.5703125" style="8" customWidth="1"/>
    <col min="8196" max="8196" width="9" style="8" customWidth="1"/>
    <col min="8197" max="8198" width="9.85546875" style="8" customWidth="1"/>
    <col min="8199" max="8199" width="11.140625" style="8" customWidth="1"/>
    <col min="8200" max="8200" width="2.85546875" style="8" customWidth="1"/>
    <col min="8201" max="8201" width="3.5703125" style="8" customWidth="1"/>
    <col min="8202" max="8446" width="9.140625" style="8"/>
    <col min="8447" max="8447" width="8.7109375" style="8" customWidth="1"/>
    <col min="8448" max="8448" width="9.85546875" style="8" customWidth="1"/>
    <col min="8449" max="8449" width="14.42578125" style="8" customWidth="1"/>
    <col min="8450" max="8450" width="7.28515625" style="8" customWidth="1"/>
    <col min="8451" max="8451" width="5.5703125" style="8" customWidth="1"/>
    <col min="8452" max="8452" width="9" style="8" customWidth="1"/>
    <col min="8453" max="8454" width="9.85546875" style="8" customWidth="1"/>
    <col min="8455" max="8455" width="11.140625" style="8" customWidth="1"/>
    <col min="8456" max="8456" width="2.85546875" style="8" customWidth="1"/>
    <col min="8457" max="8457" width="3.5703125" style="8" customWidth="1"/>
    <col min="8458" max="8702" width="9.140625" style="8"/>
    <col min="8703" max="8703" width="8.7109375" style="8" customWidth="1"/>
    <col min="8704" max="8704" width="9.85546875" style="8" customWidth="1"/>
    <col min="8705" max="8705" width="14.42578125" style="8" customWidth="1"/>
    <col min="8706" max="8706" width="7.28515625" style="8" customWidth="1"/>
    <col min="8707" max="8707" width="5.5703125" style="8" customWidth="1"/>
    <col min="8708" max="8708" width="9" style="8" customWidth="1"/>
    <col min="8709" max="8710" width="9.85546875" style="8" customWidth="1"/>
    <col min="8711" max="8711" width="11.140625" style="8" customWidth="1"/>
    <col min="8712" max="8712" width="2.85546875" style="8" customWidth="1"/>
    <col min="8713" max="8713" width="3.5703125" style="8" customWidth="1"/>
    <col min="8714" max="8958" width="9.140625" style="8"/>
    <col min="8959" max="8959" width="8.7109375" style="8" customWidth="1"/>
    <col min="8960" max="8960" width="9.85546875" style="8" customWidth="1"/>
    <col min="8961" max="8961" width="14.42578125" style="8" customWidth="1"/>
    <col min="8962" max="8962" width="7.28515625" style="8" customWidth="1"/>
    <col min="8963" max="8963" width="5.5703125" style="8" customWidth="1"/>
    <col min="8964" max="8964" width="9" style="8" customWidth="1"/>
    <col min="8965" max="8966" width="9.85546875" style="8" customWidth="1"/>
    <col min="8967" max="8967" width="11.140625" style="8" customWidth="1"/>
    <col min="8968" max="8968" width="2.85546875" style="8" customWidth="1"/>
    <col min="8969" max="8969" width="3.5703125" style="8" customWidth="1"/>
    <col min="8970" max="9214" width="9.140625" style="8"/>
    <col min="9215" max="9215" width="8.7109375" style="8" customWidth="1"/>
    <col min="9216" max="9216" width="9.85546875" style="8" customWidth="1"/>
    <col min="9217" max="9217" width="14.42578125" style="8" customWidth="1"/>
    <col min="9218" max="9218" width="7.28515625" style="8" customWidth="1"/>
    <col min="9219" max="9219" width="5.5703125" style="8" customWidth="1"/>
    <col min="9220" max="9220" width="9" style="8" customWidth="1"/>
    <col min="9221" max="9222" width="9.85546875" style="8" customWidth="1"/>
    <col min="9223" max="9223" width="11.140625" style="8" customWidth="1"/>
    <col min="9224" max="9224" width="2.85546875" style="8" customWidth="1"/>
    <col min="9225" max="9225" width="3.5703125" style="8" customWidth="1"/>
    <col min="9226" max="9470" width="9.140625" style="8"/>
    <col min="9471" max="9471" width="8.7109375" style="8" customWidth="1"/>
    <col min="9472" max="9472" width="9.85546875" style="8" customWidth="1"/>
    <col min="9473" max="9473" width="14.42578125" style="8" customWidth="1"/>
    <col min="9474" max="9474" width="7.28515625" style="8" customWidth="1"/>
    <col min="9475" max="9475" width="5.5703125" style="8" customWidth="1"/>
    <col min="9476" max="9476" width="9" style="8" customWidth="1"/>
    <col min="9477" max="9478" width="9.85546875" style="8" customWidth="1"/>
    <col min="9479" max="9479" width="11.140625" style="8" customWidth="1"/>
    <col min="9480" max="9480" width="2.85546875" style="8" customWidth="1"/>
    <col min="9481" max="9481" width="3.5703125" style="8" customWidth="1"/>
    <col min="9482" max="9726" width="9.140625" style="8"/>
    <col min="9727" max="9727" width="8.7109375" style="8" customWidth="1"/>
    <col min="9728" max="9728" width="9.85546875" style="8" customWidth="1"/>
    <col min="9729" max="9729" width="14.42578125" style="8" customWidth="1"/>
    <col min="9730" max="9730" width="7.28515625" style="8" customWidth="1"/>
    <col min="9731" max="9731" width="5.5703125" style="8" customWidth="1"/>
    <col min="9732" max="9732" width="9" style="8" customWidth="1"/>
    <col min="9733" max="9734" width="9.85546875" style="8" customWidth="1"/>
    <col min="9735" max="9735" width="11.140625" style="8" customWidth="1"/>
    <col min="9736" max="9736" width="2.85546875" style="8" customWidth="1"/>
    <col min="9737" max="9737" width="3.5703125" style="8" customWidth="1"/>
    <col min="9738" max="9982" width="9.140625" style="8"/>
    <col min="9983" max="9983" width="8.7109375" style="8" customWidth="1"/>
    <col min="9984" max="9984" width="9.85546875" style="8" customWidth="1"/>
    <col min="9985" max="9985" width="14.42578125" style="8" customWidth="1"/>
    <col min="9986" max="9986" width="7.28515625" style="8" customWidth="1"/>
    <col min="9987" max="9987" width="5.5703125" style="8" customWidth="1"/>
    <col min="9988" max="9988" width="9" style="8" customWidth="1"/>
    <col min="9989" max="9990" width="9.85546875" style="8" customWidth="1"/>
    <col min="9991" max="9991" width="11.140625" style="8" customWidth="1"/>
    <col min="9992" max="9992" width="2.85546875" style="8" customWidth="1"/>
    <col min="9993" max="9993" width="3.5703125" style="8" customWidth="1"/>
    <col min="9994" max="10238" width="9.140625" style="8"/>
    <col min="10239" max="10239" width="8.7109375" style="8" customWidth="1"/>
    <col min="10240" max="10240" width="9.85546875" style="8" customWidth="1"/>
    <col min="10241" max="10241" width="14.42578125" style="8" customWidth="1"/>
    <col min="10242" max="10242" width="7.28515625" style="8" customWidth="1"/>
    <col min="10243" max="10243" width="5.5703125" style="8" customWidth="1"/>
    <col min="10244" max="10244" width="9" style="8" customWidth="1"/>
    <col min="10245" max="10246" width="9.85546875" style="8" customWidth="1"/>
    <col min="10247" max="10247" width="11.140625" style="8" customWidth="1"/>
    <col min="10248" max="10248" width="2.85546875" style="8" customWidth="1"/>
    <col min="10249" max="10249" width="3.5703125" style="8" customWidth="1"/>
    <col min="10250" max="10494" width="9.140625" style="8"/>
    <col min="10495" max="10495" width="8.7109375" style="8" customWidth="1"/>
    <col min="10496" max="10496" width="9.85546875" style="8" customWidth="1"/>
    <col min="10497" max="10497" width="14.42578125" style="8" customWidth="1"/>
    <col min="10498" max="10498" width="7.28515625" style="8" customWidth="1"/>
    <col min="10499" max="10499" width="5.5703125" style="8" customWidth="1"/>
    <col min="10500" max="10500" width="9" style="8" customWidth="1"/>
    <col min="10501" max="10502" width="9.85546875" style="8" customWidth="1"/>
    <col min="10503" max="10503" width="11.140625" style="8" customWidth="1"/>
    <col min="10504" max="10504" width="2.85546875" style="8" customWidth="1"/>
    <col min="10505" max="10505" width="3.5703125" style="8" customWidth="1"/>
    <col min="10506" max="10750" width="9.140625" style="8"/>
    <col min="10751" max="10751" width="8.7109375" style="8" customWidth="1"/>
    <col min="10752" max="10752" width="9.85546875" style="8" customWidth="1"/>
    <col min="10753" max="10753" width="14.42578125" style="8" customWidth="1"/>
    <col min="10754" max="10754" width="7.28515625" style="8" customWidth="1"/>
    <col min="10755" max="10755" width="5.5703125" style="8" customWidth="1"/>
    <col min="10756" max="10756" width="9" style="8" customWidth="1"/>
    <col min="10757" max="10758" width="9.85546875" style="8" customWidth="1"/>
    <col min="10759" max="10759" width="11.140625" style="8" customWidth="1"/>
    <col min="10760" max="10760" width="2.85546875" style="8" customWidth="1"/>
    <col min="10761" max="10761" width="3.5703125" style="8" customWidth="1"/>
    <col min="10762" max="11006" width="9.140625" style="8"/>
    <col min="11007" max="11007" width="8.7109375" style="8" customWidth="1"/>
    <col min="11008" max="11008" width="9.85546875" style="8" customWidth="1"/>
    <col min="11009" max="11009" width="14.42578125" style="8" customWidth="1"/>
    <col min="11010" max="11010" width="7.28515625" style="8" customWidth="1"/>
    <col min="11011" max="11011" width="5.5703125" style="8" customWidth="1"/>
    <col min="11012" max="11012" width="9" style="8" customWidth="1"/>
    <col min="11013" max="11014" width="9.85546875" style="8" customWidth="1"/>
    <col min="11015" max="11015" width="11.140625" style="8" customWidth="1"/>
    <col min="11016" max="11016" width="2.85546875" style="8" customWidth="1"/>
    <col min="11017" max="11017" width="3.5703125" style="8" customWidth="1"/>
    <col min="11018" max="11262" width="9.140625" style="8"/>
    <col min="11263" max="11263" width="8.7109375" style="8" customWidth="1"/>
    <col min="11264" max="11264" width="9.85546875" style="8" customWidth="1"/>
    <col min="11265" max="11265" width="14.42578125" style="8" customWidth="1"/>
    <col min="11266" max="11266" width="7.28515625" style="8" customWidth="1"/>
    <col min="11267" max="11267" width="5.5703125" style="8" customWidth="1"/>
    <col min="11268" max="11268" width="9" style="8" customWidth="1"/>
    <col min="11269" max="11270" width="9.85546875" style="8" customWidth="1"/>
    <col min="11271" max="11271" width="11.140625" style="8" customWidth="1"/>
    <col min="11272" max="11272" width="2.85546875" style="8" customWidth="1"/>
    <col min="11273" max="11273" width="3.5703125" style="8" customWidth="1"/>
    <col min="11274" max="11518" width="9.140625" style="8"/>
    <col min="11519" max="11519" width="8.7109375" style="8" customWidth="1"/>
    <col min="11520" max="11520" width="9.85546875" style="8" customWidth="1"/>
    <col min="11521" max="11521" width="14.42578125" style="8" customWidth="1"/>
    <col min="11522" max="11522" width="7.28515625" style="8" customWidth="1"/>
    <col min="11523" max="11523" width="5.5703125" style="8" customWidth="1"/>
    <col min="11524" max="11524" width="9" style="8" customWidth="1"/>
    <col min="11525" max="11526" width="9.85546875" style="8" customWidth="1"/>
    <col min="11527" max="11527" width="11.140625" style="8" customWidth="1"/>
    <col min="11528" max="11528" width="2.85546875" style="8" customWidth="1"/>
    <col min="11529" max="11529" width="3.5703125" style="8" customWidth="1"/>
    <col min="11530" max="11774" width="9.140625" style="8"/>
    <col min="11775" max="11775" width="8.7109375" style="8" customWidth="1"/>
    <col min="11776" max="11776" width="9.85546875" style="8" customWidth="1"/>
    <col min="11777" max="11777" width="14.42578125" style="8" customWidth="1"/>
    <col min="11778" max="11778" width="7.28515625" style="8" customWidth="1"/>
    <col min="11779" max="11779" width="5.5703125" style="8" customWidth="1"/>
    <col min="11780" max="11780" width="9" style="8" customWidth="1"/>
    <col min="11781" max="11782" width="9.85546875" style="8" customWidth="1"/>
    <col min="11783" max="11783" width="11.140625" style="8" customWidth="1"/>
    <col min="11784" max="11784" width="2.85546875" style="8" customWidth="1"/>
    <col min="11785" max="11785" width="3.5703125" style="8" customWidth="1"/>
    <col min="11786" max="12030" width="9.140625" style="8"/>
    <col min="12031" max="12031" width="8.7109375" style="8" customWidth="1"/>
    <col min="12032" max="12032" width="9.85546875" style="8" customWidth="1"/>
    <col min="12033" max="12033" width="14.42578125" style="8" customWidth="1"/>
    <col min="12034" max="12034" width="7.28515625" style="8" customWidth="1"/>
    <col min="12035" max="12035" width="5.5703125" style="8" customWidth="1"/>
    <col min="12036" max="12036" width="9" style="8" customWidth="1"/>
    <col min="12037" max="12038" width="9.85546875" style="8" customWidth="1"/>
    <col min="12039" max="12039" width="11.140625" style="8" customWidth="1"/>
    <col min="12040" max="12040" width="2.85546875" style="8" customWidth="1"/>
    <col min="12041" max="12041" width="3.5703125" style="8" customWidth="1"/>
    <col min="12042" max="12286" width="9.140625" style="8"/>
    <col min="12287" max="12287" width="8.7109375" style="8" customWidth="1"/>
    <col min="12288" max="12288" width="9.85546875" style="8" customWidth="1"/>
    <col min="12289" max="12289" width="14.42578125" style="8" customWidth="1"/>
    <col min="12290" max="12290" width="7.28515625" style="8" customWidth="1"/>
    <col min="12291" max="12291" width="5.5703125" style="8" customWidth="1"/>
    <col min="12292" max="12292" width="9" style="8" customWidth="1"/>
    <col min="12293" max="12294" width="9.85546875" style="8" customWidth="1"/>
    <col min="12295" max="12295" width="11.140625" style="8" customWidth="1"/>
    <col min="12296" max="12296" width="2.85546875" style="8" customWidth="1"/>
    <col min="12297" max="12297" width="3.5703125" style="8" customWidth="1"/>
    <col min="12298" max="12542" width="9.140625" style="8"/>
    <col min="12543" max="12543" width="8.7109375" style="8" customWidth="1"/>
    <col min="12544" max="12544" width="9.85546875" style="8" customWidth="1"/>
    <col min="12545" max="12545" width="14.42578125" style="8" customWidth="1"/>
    <col min="12546" max="12546" width="7.28515625" style="8" customWidth="1"/>
    <col min="12547" max="12547" width="5.5703125" style="8" customWidth="1"/>
    <col min="12548" max="12548" width="9" style="8" customWidth="1"/>
    <col min="12549" max="12550" width="9.85546875" style="8" customWidth="1"/>
    <col min="12551" max="12551" width="11.140625" style="8" customWidth="1"/>
    <col min="12552" max="12552" width="2.85546875" style="8" customWidth="1"/>
    <col min="12553" max="12553" width="3.5703125" style="8" customWidth="1"/>
    <col min="12554" max="12798" width="9.140625" style="8"/>
    <col min="12799" max="12799" width="8.7109375" style="8" customWidth="1"/>
    <col min="12800" max="12800" width="9.85546875" style="8" customWidth="1"/>
    <col min="12801" max="12801" width="14.42578125" style="8" customWidth="1"/>
    <col min="12802" max="12802" width="7.28515625" style="8" customWidth="1"/>
    <col min="12803" max="12803" width="5.5703125" style="8" customWidth="1"/>
    <col min="12804" max="12804" width="9" style="8" customWidth="1"/>
    <col min="12805" max="12806" width="9.85546875" style="8" customWidth="1"/>
    <col min="12807" max="12807" width="11.140625" style="8" customWidth="1"/>
    <col min="12808" max="12808" width="2.85546875" style="8" customWidth="1"/>
    <col min="12809" max="12809" width="3.5703125" style="8" customWidth="1"/>
    <col min="12810" max="13054" width="9.140625" style="8"/>
    <col min="13055" max="13055" width="8.7109375" style="8" customWidth="1"/>
    <col min="13056" max="13056" width="9.85546875" style="8" customWidth="1"/>
    <col min="13057" max="13057" width="14.42578125" style="8" customWidth="1"/>
    <col min="13058" max="13058" width="7.28515625" style="8" customWidth="1"/>
    <col min="13059" max="13059" width="5.5703125" style="8" customWidth="1"/>
    <col min="13060" max="13060" width="9" style="8" customWidth="1"/>
    <col min="13061" max="13062" width="9.85546875" style="8" customWidth="1"/>
    <col min="13063" max="13063" width="11.140625" style="8" customWidth="1"/>
    <col min="13064" max="13064" width="2.85546875" style="8" customWidth="1"/>
    <col min="13065" max="13065" width="3.5703125" style="8" customWidth="1"/>
    <col min="13066" max="13310" width="9.140625" style="8"/>
    <col min="13311" max="13311" width="8.7109375" style="8" customWidth="1"/>
    <col min="13312" max="13312" width="9.85546875" style="8" customWidth="1"/>
    <col min="13313" max="13313" width="14.42578125" style="8" customWidth="1"/>
    <col min="13314" max="13314" width="7.28515625" style="8" customWidth="1"/>
    <col min="13315" max="13315" width="5.5703125" style="8" customWidth="1"/>
    <col min="13316" max="13316" width="9" style="8" customWidth="1"/>
    <col min="13317" max="13318" width="9.85546875" style="8" customWidth="1"/>
    <col min="13319" max="13319" width="11.140625" style="8" customWidth="1"/>
    <col min="13320" max="13320" width="2.85546875" style="8" customWidth="1"/>
    <col min="13321" max="13321" width="3.5703125" style="8" customWidth="1"/>
    <col min="13322" max="13566" width="9.140625" style="8"/>
    <col min="13567" max="13567" width="8.7109375" style="8" customWidth="1"/>
    <col min="13568" max="13568" width="9.85546875" style="8" customWidth="1"/>
    <col min="13569" max="13569" width="14.42578125" style="8" customWidth="1"/>
    <col min="13570" max="13570" width="7.28515625" style="8" customWidth="1"/>
    <col min="13571" max="13571" width="5.5703125" style="8" customWidth="1"/>
    <col min="13572" max="13572" width="9" style="8" customWidth="1"/>
    <col min="13573" max="13574" width="9.85546875" style="8" customWidth="1"/>
    <col min="13575" max="13575" width="11.140625" style="8" customWidth="1"/>
    <col min="13576" max="13576" width="2.85546875" style="8" customWidth="1"/>
    <col min="13577" max="13577" width="3.5703125" style="8" customWidth="1"/>
    <col min="13578" max="13822" width="9.140625" style="8"/>
    <col min="13823" max="13823" width="8.7109375" style="8" customWidth="1"/>
    <col min="13824" max="13824" width="9.85546875" style="8" customWidth="1"/>
    <col min="13825" max="13825" width="14.42578125" style="8" customWidth="1"/>
    <col min="13826" max="13826" width="7.28515625" style="8" customWidth="1"/>
    <col min="13827" max="13827" width="5.5703125" style="8" customWidth="1"/>
    <col min="13828" max="13828" width="9" style="8" customWidth="1"/>
    <col min="13829" max="13830" width="9.85546875" style="8" customWidth="1"/>
    <col min="13831" max="13831" width="11.140625" style="8" customWidth="1"/>
    <col min="13832" max="13832" width="2.85546875" style="8" customWidth="1"/>
    <col min="13833" max="13833" width="3.5703125" style="8" customWidth="1"/>
    <col min="13834" max="14078" width="9.140625" style="8"/>
    <col min="14079" max="14079" width="8.7109375" style="8" customWidth="1"/>
    <col min="14080" max="14080" width="9.85546875" style="8" customWidth="1"/>
    <col min="14081" max="14081" width="14.42578125" style="8" customWidth="1"/>
    <col min="14082" max="14082" width="7.28515625" style="8" customWidth="1"/>
    <col min="14083" max="14083" width="5.5703125" style="8" customWidth="1"/>
    <col min="14084" max="14084" width="9" style="8" customWidth="1"/>
    <col min="14085" max="14086" width="9.85546875" style="8" customWidth="1"/>
    <col min="14087" max="14087" width="11.140625" style="8" customWidth="1"/>
    <col min="14088" max="14088" width="2.85546875" style="8" customWidth="1"/>
    <col min="14089" max="14089" width="3.5703125" style="8" customWidth="1"/>
    <col min="14090" max="14334" width="9.140625" style="8"/>
    <col min="14335" max="14335" width="8.7109375" style="8" customWidth="1"/>
    <col min="14336" max="14336" width="9.85546875" style="8" customWidth="1"/>
    <col min="14337" max="14337" width="14.42578125" style="8" customWidth="1"/>
    <col min="14338" max="14338" width="7.28515625" style="8" customWidth="1"/>
    <col min="14339" max="14339" width="5.5703125" style="8" customWidth="1"/>
    <col min="14340" max="14340" width="9" style="8" customWidth="1"/>
    <col min="14341" max="14342" width="9.85546875" style="8" customWidth="1"/>
    <col min="14343" max="14343" width="11.140625" style="8" customWidth="1"/>
    <col min="14344" max="14344" width="2.85546875" style="8" customWidth="1"/>
    <col min="14345" max="14345" width="3.5703125" style="8" customWidth="1"/>
    <col min="14346" max="14590" width="9.140625" style="8"/>
    <col min="14591" max="14591" width="8.7109375" style="8" customWidth="1"/>
    <col min="14592" max="14592" width="9.85546875" style="8" customWidth="1"/>
    <col min="14593" max="14593" width="14.42578125" style="8" customWidth="1"/>
    <col min="14594" max="14594" width="7.28515625" style="8" customWidth="1"/>
    <col min="14595" max="14595" width="5.5703125" style="8" customWidth="1"/>
    <col min="14596" max="14596" width="9" style="8" customWidth="1"/>
    <col min="14597" max="14598" width="9.85546875" style="8" customWidth="1"/>
    <col min="14599" max="14599" width="11.140625" style="8" customWidth="1"/>
    <col min="14600" max="14600" width="2.85546875" style="8" customWidth="1"/>
    <col min="14601" max="14601" width="3.5703125" style="8" customWidth="1"/>
    <col min="14602" max="14846" width="9.140625" style="8"/>
    <col min="14847" max="14847" width="8.7109375" style="8" customWidth="1"/>
    <col min="14848" max="14848" width="9.85546875" style="8" customWidth="1"/>
    <col min="14849" max="14849" width="14.42578125" style="8" customWidth="1"/>
    <col min="14850" max="14850" width="7.28515625" style="8" customWidth="1"/>
    <col min="14851" max="14851" width="5.5703125" style="8" customWidth="1"/>
    <col min="14852" max="14852" width="9" style="8" customWidth="1"/>
    <col min="14853" max="14854" width="9.85546875" style="8" customWidth="1"/>
    <col min="14855" max="14855" width="11.140625" style="8" customWidth="1"/>
    <col min="14856" max="14856" width="2.85546875" style="8" customWidth="1"/>
    <col min="14857" max="14857" width="3.5703125" style="8" customWidth="1"/>
    <col min="14858" max="15102" width="9.140625" style="8"/>
    <col min="15103" max="15103" width="8.7109375" style="8" customWidth="1"/>
    <col min="15104" max="15104" width="9.85546875" style="8" customWidth="1"/>
    <col min="15105" max="15105" width="14.42578125" style="8" customWidth="1"/>
    <col min="15106" max="15106" width="7.28515625" style="8" customWidth="1"/>
    <col min="15107" max="15107" width="5.5703125" style="8" customWidth="1"/>
    <col min="15108" max="15108" width="9" style="8" customWidth="1"/>
    <col min="15109" max="15110" width="9.85546875" style="8" customWidth="1"/>
    <col min="15111" max="15111" width="11.140625" style="8" customWidth="1"/>
    <col min="15112" max="15112" width="2.85546875" style="8" customWidth="1"/>
    <col min="15113" max="15113" width="3.5703125" style="8" customWidth="1"/>
    <col min="15114" max="15358" width="9.140625" style="8"/>
    <col min="15359" max="15359" width="8.7109375" style="8" customWidth="1"/>
    <col min="15360" max="15360" width="9.85546875" style="8" customWidth="1"/>
    <col min="15361" max="15361" width="14.42578125" style="8" customWidth="1"/>
    <col min="15362" max="15362" width="7.28515625" style="8" customWidth="1"/>
    <col min="15363" max="15363" width="5.5703125" style="8" customWidth="1"/>
    <col min="15364" max="15364" width="9" style="8" customWidth="1"/>
    <col min="15365" max="15366" width="9.85546875" style="8" customWidth="1"/>
    <col min="15367" max="15367" width="11.140625" style="8" customWidth="1"/>
    <col min="15368" max="15368" width="2.85546875" style="8" customWidth="1"/>
    <col min="15369" max="15369" width="3.5703125" style="8" customWidth="1"/>
    <col min="15370" max="15614" width="9.140625" style="8"/>
    <col min="15615" max="15615" width="8.7109375" style="8" customWidth="1"/>
    <col min="15616" max="15616" width="9.85546875" style="8" customWidth="1"/>
    <col min="15617" max="15617" width="14.42578125" style="8" customWidth="1"/>
    <col min="15618" max="15618" width="7.28515625" style="8" customWidth="1"/>
    <col min="15619" max="15619" width="5.5703125" style="8" customWidth="1"/>
    <col min="15620" max="15620" width="9" style="8" customWidth="1"/>
    <col min="15621" max="15622" width="9.85546875" style="8" customWidth="1"/>
    <col min="15623" max="15623" width="11.140625" style="8" customWidth="1"/>
    <col min="15624" max="15624" width="2.85546875" style="8" customWidth="1"/>
    <col min="15625" max="15625" width="3.5703125" style="8" customWidth="1"/>
    <col min="15626" max="15870" width="9.140625" style="8"/>
    <col min="15871" max="15871" width="8.7109375" style="8" customWidth="1"/>
    <col min="15872" max="15872" width="9.85546875" style="8" customWidth="1"/>
    <col min="15873" max="15873" width="14.42578125" style="8" customWidth="1"/>
    <col min="15874" max="15874" width="7.28515625" style="8" customWidth="1"/>
    <col min="15875" max="15875" width="5.5703125" style="8" customWidth="1"/>
    <col min="15876" max="15876" width="9" style="8" customWidth="1"/>
    <col min="15877" max="15878" width="9.85546875" style="8" customWidth="1"/>
    <col min="15879" max="15879" width="11.140625" style="8" customWidth="1"/>
    <col min="15880" max="15880" width="2.85546875" style="8" customWidth="1"/>
    <col min="15881" max="15881" width="3.5703125" style="8" customWidth="1"/>
    <col min="15882" max="16126" width="9.140625" style="8"/>
    <col min="16127" max="16127" width="8.7109375" style="8" customWidth="1"/>
    <col min="16128" max="16128" width="9.85546875" style="8" customWidth="1"/>
    <col min="16129" max="16129" width="14.42578125" style="8" customWidth="1"/>
    <col min="16130" max="16130" width="7.28515625" style="8" customWidth="1"/>
    <col min="16131" max="16131" width="5.5703125" style="8" customWidth="1"/>
    <col min="16132" max="16132" width="9" style="8" customWidth="1"/>
    <col min="16133" max="16134" width="9.85546875" style="8" customWidth="1"/>
    <col min="16135" max="16135" width="11.140625" style="8" customWidth="1"/>
    <col min="16136" max="16136" width="2.85546875" style="8" customWidth="1"/>
    <col min="16137" max="16137" width="3.5703125" style="8" customWidth="1"/>
    <col min="16138" max="16384" width="9.140625" style="8"/>
  </cols>
  <sheetData>
    <row r="1" spans="1:8" ht="46.5" customHeight="1" x14ac:dyDescent="0.25">
      <c r="A1" s="123" t="s">
        <v>239</v>
      </c>
      <c r="B1" s="123"/>
      <c r="C1" s="123"/>
      <c r="D1" s="123"/>
      <c r="E1" s="123"/>
      <c r="F1" s="123"/>
      <c r="G1" s="123"/>
      <c r="H1" s="123"/>
    </row>
    <row r="2" spans="1:8" ht="16.5" customHeight="1" x14ac:dyDescent="0.25">
      <c r="A2" s="110" t="s">
        <v>0</v>
      </c>
      <c r="B2" s="110"/>
      <c r="C2" s="110"/>
      <c r="D2" s="110"/>
      <c r="E2" s="110"/>
      <c r="F2" s="110"/>
      <c r="G2" s="110"/>
      <c r="H2" s="110"/>
    </row>
    <row r="3" spans="1:8" x14ac:dyDescent="0.25">
      <c r="A3" s="86" t="s">
        <v>1</v>
      </c>
      <c r="B3" s="86"/>
      <c r="C3" s="86"/>
      <c r="D3" s="86"/>
      <c r="E3" s="124" t="str">
        <f ca="1">TEXT(TODAY(),"DD/MM/YYYY")</f>
        <v>19/08/2025</v>
      </c>
      <c r="F3" s="124"/>
      <c r="G3" s="124"/>
      <c r="H3" s="124"/>
    </row>
    <row r="4" spans="1:8" ht="15" customHeight="1" x14ac:dyDescent="0.25">
      <c r="A4" s="86" t="s">
        <v>2</v>
      </c>
      <c r="B4" s="86"/>
      <c r="C4" s="86"/>
      <c r="D4" s="86"/>
      <c r="E4" s="125" t="s">
        <v>154</v>
      </c>
      <c r="F4" s="125"/>
      <c r="G4" s="125"/>
      <c r="H4" s="125"/>
    </row>
    <row r="5" spans="1:8" x14ac:dyDescent="0.25">
      <c r="A5" s="86" t="s">
        <v>3</v>
      </c>
      <c r="B5" s="86"/>
      <c r="C5" s="86"/>
      <c r="D5" s="86"/>
      <c r="E5" s="124">
        <v>45878</v>
      </c>
      <c r="F5" s="124"/>
      <c r="G5" s="124"/>
      <c r="H5" s="124"/>
    </row>
    <row r="6" spans="1:8" ht="16.5" customHeight="1" x14ac:dyDescent="0.25">
      <c r="A6" s="86" t="s">
        <v>4</v>
      </c>
      <c r="B6" s="86"/>
      <c r="C6" s="86"/>
      <c r="D6" s="86"/>
      <c r="E6" s="118" t="s">
        <v>155</v>
      </c>
      <c r="F6" s="118"/>
      <c r="G6" s="118"/>
      <c r="H6" s="118"/>
    </row>
    <row r="7" spans="1:8" ht="15" customHeight="1" x14ac:dyDescent="0.25">
      <c r="A7" s="86" t="s">
        <v>5</v>
      </c>
      <c r="B7" s="86"/>
      <c r="C7" s="86"/>
      <c r="D7" s="86"/>
      <c r="E7" s="118" t="str">
        <f>E6</f>
        <v>M/s. Greenery Rock LLP</v>
      </c>
      <c r="F7" s="118"/>
      <c r="G7" s="118"/>
      <c r="H7" s="118"/>
    </row>
    <row r="8" spans="1:8" x14ac:dyDescent="0.25">
      <c r="A8" s="86" t="s">
        <v>271</v>
      </c>
      <c r="B8" s="86"/>
      <c r="C8" s="86"/>
      <c r="D8" s="86"/>
      <c r="E8" s="87" t="s">
        <v>156</v>
      </c>
      <c r="F8" s="87"/>
      <c r="G8" s="87"/>
      <c r="H8" s="87"/>
    </row>
    <row r="9" spans="1:8" x14ac:dyDescent="0.25">
      <c r="A9" s="86" t="s">
        <v>272</v>
      </c>
      <c r="B9" s="86"/>
      <c r="C9" s="86"/>
      <c r="D9" s="86"/>
      <c r="E9" s="87" t="s">
        <v>273</v>
      </c>
      <c r="F9" s="87"/>
      <c r="G9" s="87"/>
      <c r="H9" s="87"/>
    </row>
    <row r="10" spans="1:8" x14ac:dyDescent="0.25">
      <c r="A10" s="86" t="s">
        <v>153</v>
      </c>
      <c r="B10" s="86"/>
      <c r="C10" s="86"/>
      <c r="D10" s="86"/>
      <c r="E10" s="86" t="s">
        <v>157</v>
      </c>
      <c r="F10" s="86"/>
      <c r="G10" s="86"/>
      <c r="H10" s="86"/>
    </row>
    <row r="11" spans="1:8" hidden="1" x14ac:dyDescent="0.25">
      <c r="A11" s="86" t="s">
        <v>235</v>
      </c>
      <c r="B11" s="86"/>
      <c r="C11" s="86"/>
      <c r="D11" s="86"/>
      <c r="E11" s="86" t="s">
        <v>282</v>
      </c>
      <c r="F11" s="86"/>
      <c r="G11" s="86"/>
      <c r="H11" s="86"/>
    </row>
    <row r="12" spans="1:8" x14ac:dyDescent="0.25">
      <c r="A12" s="106" t="s">
        <v>6</v>
      </c>
      <c r="B12" s="106"/>
      <c r="C12" s="106"/>
      <c r="D12" s="106"/>
      <c r="E12" s="106" t="s">
        <v>191</v>
      </c>
      <c r="F12" s="106"/>
      <c r="G12" s="106"/>
      <c r="H12" s="106"/>
    </row>
    <row r="13" spans="1:8" x14ac:dyDescent="0.25">
      <c r="A13" s="86" t="s">
        <v>7</v>
      </c>
      <c r="B13" s="86"/>
      <c r="C13" s="86"/>
      <c r="D13" s="86"/>
      <c r="E13" s="116" t="s">
        <v>192</v>
      </c>
      <c r="F13" s="116"/>
      <c r="G13" s="116"/>
      <c r="H13" s="116"/>
    </row>
    <row r="14" spans="1:8" x14ac:dyDescent="0.25">
      <c r="A14" s="106" t="s">
        <v>8</v>
      </c>
      <c r="B14" s="106"/>
      <c r="C14" s="106"/>
      <c r="D14" s="106"/>
      <c r="E14" s="106" t="s">
        <v>158</v>
      </c>
      <c r="F14" s="106"/>
      <c r="G14" s="106"/>
      <c r="H14" s="106"/>
    </row>
    <row r="15" spans="1:8" ht="34.5" customHeight="1" x14ac:dyDescent="0.25">
      <c r="A15" s="116" t="s">
        <v>9</v>
      </c>
      <c r="B15" s="116"/>
      <c r="C15" s="116" t="str">
        <f>CONCATENATE((IF(OR(E8="",E8="NA"),"",E8)),", ",(IF(OR(A16="",A16="NA"),"",A16)),".",(IF(OR(C16="",C16="NA"),"",C16)),", ",(IF(OR(C17="",C17="NA"),"",C17)),", ",(IF(OR(G17="",G17="NA"),"",G17)),", ",(IF(OR(C18="",C18="NA"),"",C18)),", ",(IF(OR(C19="",C19="NA"),"",C19)),", ",(IF(OR(G18="",G18="NA"),"",G18)),", ",(IF(OR(G19="",G19="NA"),"",G19)),".")</f>
        <v>VKG Amazon, CTS No.116/A, Customs Colony Road, Marol, Andheri (East), Andheri, Mumbai, 400059.</v>
      </c>
      <c r="D15" s="116"/>
      <c r="E15" s="116"/>
      <c r="F15" s="116"/>
      <c r="G15" s="116"/>
      <c r="H15" s="116"/>
    </row>
    <row r="16" spans="1:8" ht="15.75" customHeight="1" x14ac:dyDescent="0.25">
      <c r="A16" s="116" t="s">
        <v>174</v>
      </c>
      <c r="B16" s="116"/>
      <c r="C16" s="116" t="s">
        <v>173</v>
      </c>
      <c r="D16" s="116"/>
      <c r="E16" s="116"/>
      <c r="F16" s="116"/>
      <c r="G16" s="116"/>
      <c r="H16" s="116"/>
    </row>
    <row r="17" spans="1:8" ht="15.75" customHeight="1" x14ac:dyDescent="0.25">
      <c r="A17" s="116" t="s">
        <v>10</v>
      </c>
      <c r="B17" s="116"/>
      <c r="C17" s="106" t="s">
        <v>172</v>
      </c>
      <c r="D17" s="106"/>
      <c r="E17" s="116" t="s">
        <v>99</v>
      </c>
      <c r="F17" s="116"/>
      <c r="G17" s="116" t="s">
        <v>167</v>
      </c>
      <c r="H17" s="116"/>
    </row>
    <row r="18" spans="1:8" x14ac:dyDescent="0.25">
      <c r="A18" s="106" t="s">
        <v>12</v>
      </c>
      <c r="B18" s="106"/>
      <c r="C18" s="116" t="s">
        <v>170</v>
      </c>
      <c r="D18" s="116"/>
      <c r="E18" s="116" t="s">
        <v>11</v>
      </c>
      <c r="F18" s="116"/>
      <c r="G18" s="119" t="s">
        <v>168</v>
      </c>
      <c r="H18" s="119"/>
    </row>
    <row r="19" spans="1:8" x14ac:dyDescent="0.25">
      <c r="A19" s="106" t="s">
        <v>100</v>
      </c>
      <c r="B19" s="106"/>
      <c r="C19" s="116" t="s">
        <v>169</v>
      </c>
      <c r="D19" s="116"/>
      <c r="E19" s="116" t="s">
        <v>13</v>
      </c>
      <c r="F19" s="116"/>
      <c r="G19" s="116">
        <v>400059</v>
      </c>
      <c r="H19" s="116"/>
    </row>
    <row r="20" spans="1:8" ht="32.25" customHeight="1" x14ac:dyDescent="0.25">
      <c r="A20" s="106" t="s">
        <v>14</v>
      </c>
      <c r="B20" s="106"/>
      <c r="C20" s="117" t="s">
        <v>175</v>
      </c>
      <c r="D20" s="117"/>
      <c r="E20" s="116" t="s">
        <v>15</v>
      </c>
      <c r="F20" s="116"/>
      <c r="G20" s="116" t="s">
        <v>166</v>
      </c>
      <c r="H20" s="116"/>
    </row>
    <row r="21" spans="1:8" ht="15" customHeight="1" x14ac:dyDescent="0.25">
      <c r="A21" s="116" t="s">
        <v>104</v>
      </c>
      <c r="B21" s="116"/>
      <c r="C21" s="116"/>
      <c r="D21" s="116"/>
      <c r="E21" s="106" t="s">
        <v>16</v>
      </c>
      <c r="F21" s="106"/>
      <c r="G21" s="106"/>
      <c r="H21" s="106"/>
    </row>
    <row r="22" spans="1:8" ht="18.75" customHeight="1" x14ac:dyDescent="0.25">
      <c r="A22" s="116"/>
      <c r="B22" s="116"/>
      <c r="C22" s="116"/>
      <c r="D22" s="116"/>
      <c r="E22" s="106"/>
      <c r="F22" s="106"/>
      <c r="G22" s="106"/>
      <c r="H22" s="106"/>
    </row>
    <row r="23" spans="1:8" ht="15" customHeight="1" x14ac:dyDescent="0.25">
      <c r="A23" s="118" t="s">
        <v>17</v>
      </c>
      <c r="B23" s="118"/>
      <c r="C23" s="118"/>
      <c r="D23" s="118"/>
      <c r="E23" s="116" t="s">
        <v>18</v>
      </c>
      <c r="F23" s="116"/>
      <c r="G23" s="116"/>
      <c r="H23" s="116"/>
    </row>
    <row r="24" spans="1:8" ht="15" customHeight="1" x14ac:dyDescent="0.25">
      <c r="A24" s="86" t="s">
        <v>19</v>
      </c>
      <c r="B24" s="86"/>
      <c r="C24" s="86"/>
      <c r="D24" s="86"/>
      <c r="E24" s="116" t="str">
        <f>IF(AND(G18="Mumbai"),"Upper Class","Middle Class")</f>
        <v>Upper Class</v>
      </c>
      <c r="F24" s="116"/>
      <c r="G24" s="116"/>
      <c r="H24" s="116"/>
    </row>
    <row r="25" spans="1:8" x14ac:dyDescent="0.25">
      <c r="A25" s="86" t="s">
        <v>20</v>
      </c>
      <c r="B25" s="86"/>
      <c r="C25" s="86"/>
      <c r="D25" s="86"/>
      <c r="E25" s="116" t="s">
        <v>21</v>
      </c>
      <c r="F25" s="116"/>
      <c r="G25" s="116"/>
      <c r="H25" s="116"/>
    </row>
    <row r="26" spans="1:8" ht="15.75" customHeight="1" x14ac:dyDescent="0.25">
      <c r="A26" s="86" t="s">
        <v>22</v>
      </c>
      <c r="B26" s="86"/>
      <c r="C26" s="86"/>
      <c r="D26" s="86"/>
      <c r="E26" s="116" t="str">
        <f>IF(AND(G18="Mumbai"),"Developed","Developing")</f>
        <v>Developed</v>
      </c>
      <c r="F26" s="116"/>
      <c r="G26" s="116"/>
      <c r="H26" s="116"/>
    </row>
    <row r="27" spans="1:8" x14ac:dyDescent="0.25">
      <c r="A27" s="86" t="s">
        <v>23</v>
      </c>
      <c r="B27" s="86"/>
      <c r="C27" s="86"/>
      <c r="D27" s="86"/>
      <c r="E27" s="116" t="s">
        <v>24</v>
      </c>
      <c r="F27" s="116"/>
      <c r="G27" s="116"/>
      <c r="H27" s="116"/>
    </row>
    <row r="28" spans="1:8" x14ac:dyDescent="0.25">
      <c r="A28" s="86" t="s">
        <v>111</v>
      </c>
      <c r="B28" s="86"/>
      <c r="C28" s="86"/>
      <c r="D28" s="86"/>
      <c r="E28" s="116" t="s">
        <v>112</v>
      </c>
      <c r="F28" s="116"/>
      <c r="G28" s="116"/>
      <c r="H28" s="116"/>
    </row>
    <row r="29" spans="1:8" ht="15" customHeight="1" x14ac:dyDescent="0.25">
      <c r="A29" s="118" t="s">
        <v>32</v>
      </c>
      <c r="B29" s="118"/>
      <c r="C29" s="118"/>
      <c r="D29" s="118"/>
      <c r="E29" s="125" t="s">
        <v>171</v>
      </c>
      <c r="F29" s="125"/>
      <c r="G29" s="125"/>
      <c r="H29" s="125"/>
    </row>
    <row r="30" spans="1:8" x14ac:dyDescent="0.25">
      <c r="A30" s="118" t="s">
        <v>125</v>
      </c>
      <c r="B30" s="118"/>
      <c r="C30" s="118"/>
      <c r="D30" s="118"/>
      <c r="E30" s="118" t="s">
        <v>33</v>
      </c>
      <c r="F30" s="118"/>
      <c r="G30" s="118"/>
      <c r="H30" s="118"/>
    </row>
    <row r="31" spans="1:8" s="11" customFormat="1" x14ac:dyDescent="0.25">
      <c r="A31" s="122" t="s">
        <v>126</v>
      </c>
      <c r="B31" s="122"/>
      <c r="C31" s="120" t="s">
        <v>241</v>
      </c>
      <c r="D31" s="120"/>
      <c r="E31" s="120"/>
      <c r="F31" s="120" t="s">
        <v>30</v>
      </c>
      <c r="G31" s="120"/>
      <c r="H31" s="120"/>
    </row>
    <row r="32" spans="1:8" s="11" customFormat="1" x14ac:dyDescent="0.25">
      <c r="A32" s="121" t="s">
        <v>25</v>
      </c>
      <c r="B32" s="121" t="s">
        <v>29</v>
      </c>
      <c r="C32" s="84" t="s">
        <v>248</v>
      </c>
      <c r="D32" s="84"/>
      <c r="E32" s="84"/>
      <c r="F32" s="84" t="s">
        <v>247</v>
      </c>
      <c r="G32" s="84"/>
      <c r="H32" s="84"/>
    </row>
    <row r="33" spans="1:9" x14ac:dyDescent="0.25">
      <c r="A33" s="121" t="s">
        <v>26</v>
      </c>
      <c r="B33" s="121" t="s">
        <v>29</v>
      </c>
      <c r="C33" s="84" t="s">
        <v>249</v>
      </c>
      <c r="D33" s="84"/>
      <c r="E33" s="84"/>
      <c r="F33" s="84" t="s">
        <v>172</v>
      </c>
      <c r="G33" s="84"/>
      <c r="H33" s="84"/>
    </row>
    <row r="34" spans="1:9" s="11" customFormat="1" x14ac:dyDescent="0.25">
      <c r="A34" s="121" t="s">
        <v>28</v>
      </c>
      <c r="B34" s="121" t="s">
        <v>29</v>
      </c>
      <c r="C34" s="84" t="s">
        <v>250</v>
      </c>
      <c r="D34" s="84"/>
      <c r="E34" s="84"/>
      <c r="F34" s="84" t="s">
        <v>246</v>
      </c>
      <c r="G34" s="84"/>
      <c r="H34" s="84"/>
      <c r="I34" s="11" t="s">
        <v>244</v>
      </c>
    </row>
    <row r="35" spans="1:9" x14ac:dyDescent="0.25">
      <c r="A35" s="121" t="s">
        <v>27</v>
      </c>
      <c r="B35" s="121" t="s">
        <v>29</v>
      </c>
      <c r="C35" s="84" t="s">
        <v>248</v>
      </c>
      <c r="D35" s="84"/>
      <c r="E35" s="84"/>
      <c r="F35" s="84" t="s">
        <v>245</v>
      </c>
      <c r="G35" s="84"/>
      <c r="H35" s="84"/>
    </row>
    <row r="36" spans="1:9" x14ac:dyDescent="0.25">
      <c r="A36" s="86" t="s">
        <v>31</v>
      </c>
      <c r="B36" s="86"/>
      <c r="C36" s="86"/>
      <c r="D36" s="86"/>
      <c r="E36" s="86"/>
      <c r="F36" s="86"/>
      <c r="G36" s="86"/>
      <c r="H36" s="86"/>
    </row>
    <row r="37" spans="1:9" ht="15.75" customHeight="1" x14ac:dyDescent="0.25">
      <c r="A37" s="87" t="s">
        <v>232</v>
      </c>
      <c r="B37" s="87"/>
      <c r="C37" s="135" t="s">
        <v>242</v>
      </c>
      <c r="D37" s="135"/>
      <c r="E37" s="135"/>
      <c r="F37" s="135"/>
      <c r="G37" s="135"/>
      <c r="H37" s="135"/>
    </row>
    <row r="38" spans="1:9" ht="15.75" customHeight="1" x14ac:dyDescent="0.25">
      <c r="A38" s="87" t="s">
        <v>233</v>
      </c>
      <c r="B38" s="87"/>
      <c r="C38" s="136" t="s">
        <v>234</v>
      </c>
      <c r="D38" s="137"/>
      <c r="E38" s="137"/>
      <c r="F38" s="137"/>
      <c r="G38" s="137"/>
      <c r="H38" s="137"/>
    </row>
    <row r="39" spans="1:9" x14ac:dyDescent="0.25">
      <c r="A39" s="87" t="s">
        <v>34</v>
      </c>
      <c r="B39" s="87"/>
      <c r="C39" s="87"/>
      <c r="D39" s="87"/>
      <c r="E39" s="87"/>
      <c r="F39" s="87"/>
      <c r="G39" s="87"/>
      <c r="H39" s="87"/>
    </row>
    <row r="40" spans="1:9" x14ac:dyDescent="0.25">
      <c r="A40" s="86" t="s">
        <v>35</v>
      </c>
      <c r="B40" s="86"/>
      <c r="C40" s="86"/>
      <c r="D40" s="86"/>
      <c r="E40" s="128">
        <v>4180.1899999999996</v>
      </c>
      <c r="F40" s="128"/>
      <c r="G40" s="128"/>
      <c r="H40" s="128"/>
    </row>
    <row r="41" spans="1:9" x14ac:dyDescent="0.25">
      <c r="A41" s="86" t="s">
        <v>36</v>
      </c>
      <c r="B41" s="86"/>
      <c r="C41" s="86"/>
      <c r="D41" s="86"/>
      <c r="E41" s="127">
        <f>4180.19/E40</f>
        <v>1</v>
      </c>
      <c r="F41" s="127"/>
      <c r="G41" s="127"/>
      <c r="H41" s="127"/>
    </row>
    <row r="42" spans="1:9" x14ac:dyDescent="0.25">
      <c r="A42" s="86" t="s">
        <v>37</v>
      </c>
      <c r="B42" s="86"/>
      <c r="C42" s="86"/>
      <c r="D42" s="86"/>
      <c r="E42" s="127">
        <f>E44/E40-E41</f>
        <v>1</v>
      </c>
      <c r="F42" s="127"/>
      <c r="G42" s="127"/>
      <c r="H42" s="127"/>
    </row>
    <row r="43" spans="1:9" x14ac:dyDescent="0.25">
      <c r="A43" s="106" t="s">
        <v>38</v>
      </c>
      <c r="B43" s="106"/>
      <c r="C43" s="106"/>
      <c r="D43" s="106"/>
      <c r="E43" s="138">
        <f>E41+E42</f>
        <v>2</v>
      </c>
      <c r="F43" s="138"/>
      <c r="G43" s="138"/>
      <c r="H43" s="138"/>
    </row>
    <row r="44" spans="1:9" x14ac:dyDescent="0.25">
      <c r="A44" s="106" t="s">
        <v>124</v>
      </c>
      <c r="B44" s="106"/>
      <c r="C44" s="106"/>
      <c r="D44" s="106"/>
      <c r="E44" s="139">
        <v>8360.3799999999992</v>
      </c>
      <c r="F44" s="139"/>
      <c r="G44" s="139"/>
      <c r="H44" s="139"/>
    </row>
    <row r="45" spans="1:9" x14ac:dyDescent="0.25">
      <c r="A45" s="106" t="s">
        <v>39</v>
      </c>
      <c r="B45" s="106"/>
      <c r="C45" s="106"/>
      <c r="D45" s="106"/>
      <c r="E45" s="106" t="s">
        <v>193</v>
      </c>
      <c r="F45" s="106"/>
      <c r="G45" s="106"/>
      <c r="H45" s="106"/>
    </row>
    <row r="46" spans="1:9" x14ac:dyDescent="0.25">
      <c r="A46" s="77" t="s">
        <v>40</v>
      </c>
      <c r="B46" s="77"/>
      <c r="C46" s="77"/>
      <c r="D46" s="77"/>
      <c r="E46" s="77"/>
      <c r="F46" s="77"/>
      <c r="G46" s="77"/>
      <c r="H46" s="77"/>
    </row>
    <row r="47" spans="1:9" ht="33" customHeight="1" x14ac:dyDescent="0.25">
      <c r="A47" s="116" t="s">
        <v>41</v>
      </c>
      <c r="B47" s="116"/>
      <c r="C47" s="117" t="s">
        <v>240</v>
      </c>
      <c r="D47" s="117"/>
      <c r="E47" s="117"/>
      <c r="F47" s="62" t="s">
        <v>42</v>
      </c>
      <c r="G47" s="129">
        <v>45510</v>
      </c>
      <c r="H47" s="129"/>
    </row>
    <row r="48" spans="1:9" ht="30.75" customHeight="1" x14ac:dyDescent="0.25">
      <c r="A48" s="116" t="s">
        <v>280</v>
      </c>
      <c r="B48" s="116"/>
      <c r="C48" s="117" t="s">
        <v>281</v>
      </c>
      <c r="D48" s="117"/>
      <c r="E48" s="117"/>
      <c r="F48" s="62" t="s">
        <v>42</v>
      </c>
      <c r="G48" s="129">
        <v>44427</v>
      </c>
      <c r="H48" s="129"/>
    </row>
    <row r="49" spans="1:11" ht="33.75" customHeight="1" x14ac:dyDescent="0.25">
      <c r="A49" s="116" t="s">
        <v>279</v>
      </c>
      <c r="B49" s="116"/>
      <c r="C49" s="117" t="s">
        <v>240</v>
      </c>
      <c r="D49" s="117"/>
      <c r="E49" s="117"/>
      <c r="F49" s="56" t="s">
        <v>42</v>
      </c>
      <c r="G49" s="129">
        <v>45510</v>
      </c>
      <c r="H49" s="129"/>
    </row>
    <row r="50" spans="1:11" s="10" customFormat="1" ht="33" customHeight="1" x14ac:dyDescent="0.25">
      <c r="A50" s="116" t="s">
        <v>236</v>
      </c>
      <c r="B50" s="116"/>
      <c r="C50" s="117" t="s">
        <v>238</v>
      </c>
      <c r="D50" s="104"/>
      <c r="E50" s="104"/>
      <c r="F50" s="13" t="s">
        <v>42</v>
      </c>
      <c r="G50" s="129">
        <v>45518</v>
      </c>
      <c r="H50" s="129"/>
    </row>
    <row r="51" spans="1:11" s="10" customFormat="1" ht="174" customHeight="1" x14ac:dyDescent="0.25">
      <c r="A51" s="116"/>
      <c r="B51" s="116"/>
      <c r="C51" s="117" t="s">
        <v>283</v>
      </c>
      <c r="D51" s="117"/>
      <c r="E51" s="117"/>
      <c r="F51" s="14" t="s">
        <v>120</v>
      </c>
      <c r="G51" s="129">
        <v>46080</v>
      </c>
      <c r="H51" s="129"/>
    </row>
    <row r="52" spans="1:11" x14ac:dyDescent="0.25">
      <c r="A52" s="78" t="s">
        <v>43</v>
      </c>
      <c r="B52" s="78"/>
      <c r="C52" s="153" t="s">
        <v>137</v>
      </c>
      <c r="D52" s="105"/>
      <c r="E52" s="105" t="s">
        <v>44</v>
      </c>
      <c r="F52" s="39" t="s">
        <v>42</v>
      </c>
      <c r="G52" s="134" t="s">
        <v>29</v>
      </c>
      <c r="H52" s="134"/>
    </row>
    <row r="53" spans="1:11" x14ac:dyDescent="0.25">
      <c r="A53" s="140" t="s">
        <v>46</v>
      </c>
      <c r="B53" s="140"/>
      <c r="C53" s="140"/>
      <c r="D53" s="140"/>
      <c r="E53" s="140"/>
      <c r="F53" s="140"/>
      <c r="G53" s="140"/>
      <c r="H53" s="140"/>
    </row>
    <row r="54" spans="1:11" x14ac:dyDescent="0.25">
      <c r="A54" s="116" t="s">
        <v>123</v>
      </c>
      <c r="B54" s="116"/>
      <c r="C54" s="116"/>
      <c r="D54" s="106">
        <f>E44</f>
        <v>8360.3799999999992</v>
      </c>
      <c r="E54" s="106"/>
      <c r="F54" s="106"/>
      <c r="G54" s="106"/>
      <c r="H54" s="106"/>
    </row>
    <row r="55" spans="1:11" x14ac:dyDescent="0.25">
      <c r="A55" s="116" t="s">
        <v>47</v>
      </c>
      <c r="B55" s="106"/>
      <c r="C55" s="106"/>
      <c r="D55" s="106" t="s">
        <v>270</v>
      </c>
      <c r="E55" s="106"/>
      <c r="F55" s="106"/>
      <c r="G55" s="106"/>
      <c r="H55" s="106"/>
    </row>
    <row r="56" spans="1:11" ht="52.9" customHeight="1" x14ac:dyDescent="0.25">
      <c r="A56" s="116" t="s">
        <v>48</v>
      </c>
      <c r="B56" s="106"/>
      <c r="C56" s="106"/>
      <c r="D56" s="116" t="s">
        <v>253</v>
      </c>
      <c r="E56" s="106"/>
      <c r="F56" s="106"/>
      <c r="G56" s="106"/>
      <c r="H56" s="106"/>
    </row>
    <row r="57" spans="1:11" x14ac:dyDescent="0.25">
      <c r="A57" s="116" t="s">
        <v>121</v>
      </c>
      <c r="B57" s="106"/>
      <c r="C57" s="106"/>
      <c r="D57" s="116" t="s">
        <v>251</v>
      </c>
      <c r="E57" s="106"/>
      <c r="F57" s="106"/>
      <c r="G57" s="106"/>
      <c r="H57" s="106"/>
    </row>
    <row r="58" spans="1:11" ht="15.75" customHeight="1" x14ac:dyDescent="0.25">
      <c r="A58" s="86" t="s">
        <v>45</v>
      </c>
      <c r="B58" s="86"/>
      <c r="C58" s="86"/>
      <c r="D58" s="118" t="s">
        <v>278</v>
      </c>
      <c r="E58" s="118"/>
      <c r="F58" s="118"/>
      <c r="G58" s="118"/>
      <c r="H58" s="118"/>
    </row>
    <row r="59" spans="1:11" ht="15.75" customHeight="1" x14ac:dyDescent="0.25">
      <c r="A59" s="86" t="s">
        <v>117</v>
      </c>
      <c r="B59" s="86"/>
      <c r="C59" s="86"/>
      <c r="D59" s="118" t="s">
        <v>118</v>
      </c>
      <c r="E59" s="118"/>
      <c r="F59" s="118"/>
      <c r="G59" s="118"/>
      <c r="H59" s="118"/>
    </row>
    <row r="60" spans="1:11" ht="15.75" customHeight="1" x14ac:dyDescent="0.25">
      <c r="A60" s="86" t="s">
        <v>119</v>
      </c>
      <c r="B60" s="86"/>
      <c r="C60" s="86"/>
      <c r="D60" s="118" t="s">
        <v>24</v>
      </c>
      <c r="E60" s="118"/>
      <c r="F60" s="118"/>
      <c r="G60" s="118"/>
      <c r="H60" s="118"/>
      <c r="J60" s="19"/>
      <c r="K60" s="19"/>
    </row>
    <row r="61" spans="1:11" ht="15.75" customHeight="1" thickBot="1" x14ac:dyDescent="0.3">
      <c r="A61" s="86" t="s">
        <v>116</v>
      </c>
      <c r="B61" s="86"/>
      <c r="C61" s="86"/>
      <c r="D61" s="116" t="str">
        <f ca="1">(IF(G66&gt;95%,"Nothing",IF(G66&gt;0%,"Cement, Aggregate, Steel, etc",IF(G66=0%,"Work not yet Started"))))</f>
        <v>Cement, Aggregate, Steel, etc</v>
      </c>
      <c r="E61" s="116"/>
      <c r="F61" s="116"/>
      <c r="G61" s="116"/>
      <c r="H61" s="116"/>
      <c r="J61" s="19"/>
      <c r="K61" s="19"/>
    </row>
    <row r="62" spans="1:11" ht="15.75" customHeight="1" x14ac:dyDescent="0.25">
      <c r="A62" s="130" t="s">
        <v>195</v>
      </c>
      <c r="B62" s="130"/>
      <c r="C62" s="78" t="s">
        <v>284</v>
      </c>
      <c r="D62" s="78"/>
      <c r="E62" s="78"/>
      <c r="F62" s="78"/>
      <c r="G62" s="78"/>
      <c r="H62" s="78"/>
      <c r="I62" s="21" t="str">
        <f ca="1">(IF(C66=0,"Work not yet Started.",IF(D66=25%,"Piling work in process",IF(D66=50%,"Excavation work in process",IF(D66=100%,"Excavation work completed, ","0")))&amp;(IF(C67=0%,"",IF(C67=K68,"Footing work is process",IF(C67=K69,"Footing work Completed",IF(C67=K70,"1st Basement Completed",IF(C67=K71,"1st &amp; 2nd Basement Completed",IF(C67=K72,"1st to 3rd Basement Completed",IF(C67=K73,"1st to 4th Basement Completed",IF(C67=K74,"Plinth work is process",IF(C67=K75,"Plinth work completed","0")))))))))))&amp;(IF(C68&gt;0,", RCC upto "&amp;C68&amp;" Slab completed",""))&amp;(IF(C69&gt;0,", Brickwork upto "&amp;C69&amp;" Floor completed"," "))&amp;(IF(C70&gt;0,", Internal Plaster upto "&amp;C70&amp;" Floor completed"," "))&amp;(IF(C71&gt;0,", External Plaster upto "&amp;C71&amp;" Floor completed"," "))&amp;(IF(C72&gt;0,", Flooring upto "&amp;C72&amp;" Floor completed"," "))&amp;(IF(C73&gt;0,", Painting upto "&amp;C73&amp;" Floor completed"," "))&amp;(IF(C74&gt;0,", Finishing upto "&amp;C74&amp;" Floor completed"," ")))</f>
        <v xml:space="preserve">Excavation work completed, Plinth work completed, RCC upto 6 Slab completed, Brickwork upto 5 Floor completed, Internal Plaster upto 3.75 Floor completed, External Plaster upto 3 Floor completed   </v>
      </c>
      <c r="J62" s="21"/>
      <c r="K62" s="22"/>
    </row>
    <row r="63" spans="1:11" x14ac:dyDescent="0.25">
      <c r="A63" s="63" t="s">
        <v>96</v>
      </c>
      <c r="B63" s="63">
        <v>1</v>
      </c>
      <c r="C63" s="63" t="s">
        <v>98</v>
      </c>
      <c r="D63" s="63">
        <v>1</v>
      </c>
      <c r="E63" s="63" t="s">
        <v>97</v>
      </c>
      <c r="F63" s="63">
        <v>0</v>
      </c>
      <c r="G63" s="63" t="s">
        <v>110</v>
      </c>
      <c r="H63" s="63">
        <f ca="1">--TRIM(RIGHT(SUBSTITUTE(LEFT(C62,_xlfn.AGGREGATE(16,6,FIND({0,1,2,3,4,5,6,7,8,9},C62,ROW(INDIRECT("1:"&amp;LEN(C62)))),1))," ",REPT(" ",LEN(C62))),LEN(C62)))</f>
        <v>15</v>
      </c>
      <c r="I63" s="19" t="s">
        <v>148</v>
      </c>
      <c r="J63" s="19"/>
      <c r="K63" s="23"/>
    </row>
    <row r="64" spans="1:11" ht="49.5" customHeight="1" x14ac:dyDescent="0.25">
      <c r="A64" s="77" t="s">
        <v>122</v>
      </c>
      <c r="B64" s="77"/>
      <c r="C64" s="78" t="str">
        <f ca="1">I62</f>
        <v xml:space="preserve">Excavation work completed, Plinth work completed, RCC upto 6 Slab completed, Brickwork upto 5 Floor completed, Internal Plaster upto 3.75 Floor completed, External Plaster upto 3 Floor completed   </v>
      </c>
      <c r="D64" s="78"/>
      <c r="E64" s="78"/>
      <c r="F64" s="78"/>
      <c r="G64" s="78"/>
      <c r="H64" s="78"/>
      <c r="I64" s="19" t="s">
        <v>136</v>
      </c>
      <c r="J64" s="19"/>
      <c r="K64" s="23"/>
    </row>
    <row r="65" spans="1:11" x14ac:dyDescent="0.25">
      <c r="A65" s="80" t="s">
        <v>49</v>
      </c>
      <c r="B65" s="81"/>
      <c r="C65" s="41" t="s">
        <v>196</v>
      </c>
      <c r="D65" s="41" t="s">
        <v>113</v>
      </c>
      <c r="E65" s="81" t="s">
        <v>115</v>
      </c>
      <c r="F65" s="81"/>
      <c r="G65" s="81" t="s">
        <v>114</v>
      </c>
      <c r="H65" s="82"/>
      <c r="I65" s="45" t="s">
        <v>197</v>
      </c>
      <c r="K65" s="24">
        <f ca="1">H63*25%</f>
        <v>3.75</v>
      </c>
    </row>
    <row r="66" spans="1:11" x14ac:dyDescent="0.25">
      <c r="A66" s="80" t="s">
        <v>198</v>
      </c>
      <c r="B66" s="81"/>
      <c r="C66" s="42">
        <f ca="1">K67</f>
        <v>15</v>
      </c>
      <c r="D66" s="57">
        <f ca="1">((100/H63)*C66)/100</f>
        <v>1</v>
      </c>
      <c r="E66" s="83">
        <f ca="1">(IF(C64=I63,"100%",IF(C64=I64,"100%",(((C67/H63*10)+(40/(B63+D63+F63+H63)*C68)+(7.5/(H63)*C69)+(7.5/(H63)*C70)+(10/H63*C71)+(10/H63*C72)+(5/H63*C73)+(5/H63*C74)+(5/H63*C75))/100))))</f>
        <v>0.3049264705882353</v>
      </c>
      <c r="F66" s="83"/>
      <c r="G66" s="83">
        <f ca="1">((((C66/H63)*20)+((C67/H63)*25)+(30/(B63+H63+F63+D63)*C68)+(5/H63*C69)+(5/H63*C70)+(5/H63*C71)+(5/H63*C72)+(0/H63*C73)+(0/H63*C74)+(5/H63*C75))/100)</f>
        <v>0.59504901960784307</v>
      </c>
      <c r="H66" s="142"/>
      <c r="I66" s="45" t="s">
        <v>130</v>
      </c>
      <c r="J66" s="25"/>
      <c r="K66" s="46">
        <f ca="1">H63*50%</f>
        <v>7.5</v>
      </c>
    </row>
    <row r="67" spans="1:11" x14ac:dyDescent="0.25">
      <c r="A67" s="80" t="s">
        <v>50</v>
      </c>
      <c r="B67" s="81"/>
      <c r="C67" s="43">
        <f ca="1">K75</f>
        <v>15</v>
      </c>
      <c r="D67" s="57">
        <f ca="1">((100/H63)*C67)/100</f>
        <v>1</v>
      </c>
      <c r="E67" s="83"/>
      <c r="F67" s="83"/>
      <c r="G67" s="83"/>
      <c r="H67" s="142"/>
      <c r="I67" s="45" t="s">
        <v>131</v>
      </c>
      <c r="J67" s="25"/>
      <c r="K67" s="46">
        <f ca="1">H63</f>
        <v>15</v>
      </c>
    </row>
    <row r="68" spans="1:11" ht="15.75" customHeight="1" x14ac:dyDescent="0.25">
      <c r="A68" s="111" t="s">
        <v>199</v>
      </c>
      <c r="B68" s="112"/>
      <c r="C68" s="43">
        <v>6</v>
      </c>
      <c r="D68" s="57">
        <f ca="1">((100/(B63+D63+F63+H63))*C68)/100</f>
        <v>0.35294117647058826</v>
      </c>
      <c r="E68" s="83"/>
      <c r="F68" s="83"/>
      <c r="G68" s="83"/>
      <c r="H68" s="142"/>
      <c r="I68" s="45" t="s">
        <v>132</v>
      </c>
      <c r="J68" s="25"/>
      <c r="K68" s="47">
        <f ca="1">(IF(B63=0,H63/4,(H63/(B63+4))))</f>
        <v>3</v>
      </c>
    </row>
    <row r="69" spans="1:11" x14ac:dyDescent="0.25">
      <c r="A69" s="80" t="s">
        <v>200</v>
      </c>
      <c r="B69" s="81" t="s">
        <v>201</v>
      </c>
      <c r="C69" s="43">
        <f>C68-1</f>
        <v>5</v>
      </c>
      <c r="D69" s="57">
        <f ca="1">((100/H63)*C69)/100</f>
        <v>0.33333333333333337</v>
      </c>
      <c r="E69" s="83"/>
      <c r="F69" s="83"/>
      <c r="G69" s="83"/>
      <c r="H69" s="142"/>
      <c r="I69" s="45" t="s">
        <v>133</v>
      </c>
      <c r="J69" s="25"/>
      <c r="K69" s="47">
        <f ca="1">(IF(B63=0,H63/4+K68,(H63/(B63+4)+K68)))</f>
        <v>6</v>
      </c>
    </row>
    <row r="70" spans="1:11" x14ac:dyDescent="0.25">
      <c r="A70" s="80" t="s">
        <v>202</v>
      </c>
      <c r="B70" s="81" t="s">
        <v>201</v>
      </c>
      <c r="C70" s="43">
        <f>C69*0.75</f>
        <v>3.75</v>
      </c>
      <c r="D70" s="57">
        <f ca="1">((100/H63)*C70)/100</f>
        <v>0.25</v>
      </c>
      <c r="E70" s="83"/>
      <c r="F70" s="83"/>
      <c r="G70" s="83"/>
      <c r="H70" s="142"/>
      <c r="I70" s="45" t="s">
        <v>203</v>
      </c>
      <c r="J70" s="48"/>
      <c r="K70" s="47">
        <f ca="1">(IF(B63=0,0,(H63/(B63+4)+K69)))</f>
        <v>9</v>
      </c>
    </row>
    <row r="71" spans="1:11" ht="15" customHeight="1" x14ac:dyDescent="0.25">
      <c r="A71" s="80" t="s">
        <v>204</v>
      </c>
      <c r="B71" s="81" t="s">
        <v>205</v>
      </c>
      <c r="C71" s="42">
        <v>3</v>
      </c>
      <c r="D71" s="57">
        <f ca="1">((100/(H63))*C71)/100</f>
        <v>0.2</v>
      </c>
      <c r="E71" s="83"/>
      <c r="F71" s="83"/>
      <c r="G71" s="83"/>
      <c r="H71" s="142"/>
      <c r="I71" s="45" t="s">
        <v>206</v>
      </c>
      <c r="J71" s="48"/>
      <c r="K71" s="47">
        <f>(IF(B63&gt;1,(H63/(B63+4)+K70),0))</f>
        <v>0</v>
      </c>
    </row>
    <row r="72" spans="1:11" x14ac:dyDescent="0.25">
      <c r="A72" s="80" t="s">
        <v>207</v>
      </c>
      <c r="B72" s="81" t="s">
        <v>207</v>
      </c>
      <c r="C72" s="42">
        <v>0</v>
      </c>
      <c r="D72" s="57">
        <f ca="1">((100/H63)*C72)/100</f>
        <v>0</v>
      </c>
      <c r="E72" s="83"/>
      <c r="F72" s="83"/>
      <c r="G72" s="83"/>
      <c r="H72" s="142"/>
      <c r="I72" s="45" t="s">
        <v>208</v>
      </c>
      <c r="J72" s="49"/>
      <c r="K72" s="50">
        <f>(IF(B63&gt;2,(H63/(B63+4)+K71),0))</f>
        <v>0</v>
      </c>
    </row>
    <row r="73" spans="1:11" x14ac:dyDescent="0.25">
      <c r="A73" s="80" t="s">
        <v>209</v>
      </c>
      <c r="B73" s="81"/>
      <c r="C73" s="42">
        <v>0</v>
      </c>
      <c r="D73" s="57">
        <f ca="1">((100/H63)*C73)/100</f>
        <v>0</v>
      </c>
      <c r="E73" s="83"/>
      <c r="F73" s="83"/>
      <c r="G73" s="83"/>
      <c r="H73" s="142"/>
      <c r="I73" s="45" t="s">
        <v>210</v>
      </c>
      <c r="J73"/>
      <c r="K73" s="51">
        <f>(IF(B63&gt;3,(H63/(B63+4)+K72),0))</f>
        <v>0</v>
      </c>
    </row>
    <row r="74" spans="1:11" ht="15" customHeight="1" x14ac:dyDescent="0.25">
      <c r="A74" s="80" t="s">
        <v>211</v>
      </c>
      <c r="B74" s="81" t="s">
        <v>211</v>
      </c>
      <c r="C74" s="42">
        <v>0</v>
      </c>
      <c r="D74" s="57">
        <f ca="1">((100/(H63))*C74)/100</f>
        <v>0</v>
      </c>
      <c r="E74" s="83"/>
      <c r="F74" s="83"/>
      <c r="G74" s="83"/>
      <c r="H74" s="142"/>
      <c r="I74" s="45" t="s">
        <v>134</v>
      </c>
      <c r="J74" s="25"/>
      <c r="K74" s="47">
        <f ca="1">(IF(B63=0,H63/4+K69,(H63/(B63+4)+K69+MAX(0,K70-K69)+MAX(0,K71-K70)+MAX(0,K72-K71)+MAX(0,K73-K72))))</f>
        <v>12</v>
      </c>
    </row>
    <row r="75" spans="1:11" ht="16.5" thickBot="1" x14ac:dyDescent="0.3">
      <c r="A75" s="147" t="s">
        <v>212</v>
      </c>
      <c r="B75" s="148"/>
      <c r="C75" s="44">
        <v>0</v>
      </c>
      <c r="D75" s="58">
        <f ca="1">((100/(H63))*C75)/100</f>
        <v>0</v>
      </c>
      <c r="E75" s="141"/>
      <c r="F75" s="141"/>
      <c r="G75" s="141"/>
      <c r="H75" s="143"/>
      <c r="I75" s="52" t="s">
        <v>135</v>
      </c>
      <c r="J75" s="26"/>
      <c r="K75" s="53">
        <f ca="1">(IF(B63=0,H63/4+K74,(H63/(B63+4)+K74)))</f>
        <v>15</v>
      </c>
    </row>
    <row r="76" spans="1:11" ht="15.75" customHeight="1" x14ac:dyDescent="0.25">
      <c r="A76" s="71" t="s">
        <v>195</v>
      </c>
      <c r="B76" s="72"/>
      <c r="C76" s="73" t="s">
        <v>285</v>
      </c>
      <c r="D76" s="74"/>
      <c r="E76" s="74"/>
      <c r="F76" s="74"/>
      <c r="G76" s="74"/>
      <c r="H76" s="75"/>
      <c r="I76" s="21" t="str">
        <f ca="1">(IF(C80=0,"Work not yet Started.",IF(D80=25%,"Piling work in process",IF(D80=50%,"Excavation work in process",IF(D80=100%,"Excavation work completed, ","0")))&amp;(IF(C81=0%,"",IF(C81=K82,"Footing work is process",IF(C81=K83,"Footing work Completed",IF(C81=K84,"1st Basement Completed",IF(C81=K85,"1st &amp; 2nd Basement Completed",IF(C81=K86,"1st to 3rd Basement Completed",IF(C81=K87,"1st to 4th Basement Completed",IF(C81=K88,"Plinth work is process",IF(C81=K89,"Plinth work completed","0")))))))))))&amp;(IF(C82&gt;0,", RCC upto "&amp;C82&amp;" Slab completed",""))&amp;(IF(C83&gt;0,", Brickwork upto "&amp;C83&amp;" Floor completed"," "))&amp;(IF(C84&gt;0,", Internal Plaster upto "&amp;C84&amp;" Floor completed"," "))&amp;(IF(C85&gt;0,", External Plaster upto "&amp;C85&amp;" Floor completed"," "))&amp;(IF(C86&gt;0,", Flooring upto "&amp;C86&amp;" Floor completed"," "))&amp;(IF(C87&gt;0,", Painting upto "&amp;C87&amp;" Floor completed"," "))&amp;(IF(C88&gt;0,", Finishing upto "&amp;C88&amp;" Floor completed"," ")))</f>
        <v xml:space="preserve">Excavation work completed, Plinth work completed, RCC upto 16 Slab completed, Brickwork upto 15 Floor completed, Internal Plaster upto 13 Floor completed, External Plaster upto 9 Floor completed   </v>
      </c>
      <c r="J76" s="21"/>
      <c r="K76" s="22"/>
    </row>
    <row r="77" spans="1:11" x14ac:dyDescent="0.25">
      <c r="A77" s="20" t="s">
        <v>96</v>
      </c>
      <c r="B77" s="63">
        <v>1</v>
      </c>
      <c r="C77" s="63" t="s">
        <v>98</v>
      </c>
      <c r="D77" s="63">
        <v>1</v>
      </c>
      <c r="E77" s="63" t="s">
        <v>97</v>
      </c>
      <c r="F77" s="63">
        <v>0</v>
      </c>
      <c r="G77" s="63" t="s">
        <v>110</v>
      </c>
      <c r="H77" s="40">
        <f ca="1">--TRIM(RIGHT(SUBSTITUTE(LEFT(C76,_xlfn.AGGREGATE(16,6,FIND({0,1,2,3,4,5,6,7,8,9},C76,ROW(INDIRECT("1:"&amp;LEN(C76)))),1))," ",REPT(" ",LEN(C76))),LEN(C76)))</f>
        <v>15</v>
      </c>
      <c r="I77" s="19" t="s">
        <v>148</v>
      </c>
      <c r="J77" s="19"/>
      <c r="K77" s="23"/>
    </row>
    <row r="78" spans="1:11" ht="49.5" customHeight="1" x14ac:dyDescent="0.25">
      <c r="A78" s="76" t="s">
        <v>122</v>
      </c>
      <c r="B78" s="77"/>
      <c r="C78" s="78" t="str">
        <f ca="1">I76</f>
        <v xml:space="preserve">Excavation work completed, Plinth work completed, RCC upto 16 Slab completed, Brickwork upto 15 Floor completed, Internal Plaster upto 13 Floor completed, External Plaster upto 9 Floor completed   </v>
      </c>
      <c r="D78" s="78"/>
      <c r="E78" s="78"/>
      <c r="F78" s="78"/>
      <c r="G78" s="78"/>
      <c r="H78" s="79"/>
      <c r="I78" s="19" t="s">
        <v>136</v>
      </c>
      <c r="J78" s="19"/>
      <c r="K78" s="23"/>
    </row>
    <row r="79" spans="1:11" x14ac:dyDescent="0.25">
      <c r="A79" s="80" t="s">
        <v>49</v>
      </c>
      <c r="B79" s="81"/>
      <c r="C79" s="61" t="s">
        <v>196</v>
      </c>
      <c r="D79" s="61" t="s">
        <v>113</v>
      </c>
      <c r="E79" s="81" t="s">
        <v>115</v>
      </c>
      <c r="F79" s="81"/>
      <c r="G79" s="81" t="s">
        <v>114</v>
      </c>
      <c r="H79" s="82"/>
      <c r="I79" s="45" t="s">
        <v>197</v>
      </c>
      <c r="K79" s="24">
        <f ca="1">H77*25%</f>
        <v>3.75</v>
      </c>
    </row>
    <row r="80" spans="1:11" x14ac:dyDescent="0.25">
      <c r="A80" s="81" t="s">
        <v>198</v>
      </c>
      <c r="B80" s="81"/>
      <c r="C80" s="42">
        <f ca="1">K81</f>
        <v>15</v>
      </c>
      <c r="D80" s="65">
        <f ca="1">((100/H77)*C80)/100</f>
        <v>1</v>
      </c>
      <c r="E80" s="83">
        <f ca="1">(IF(C78=I77,"100%",IF(C78=I78,"100%",(((C81/H77*10)+(40/(B77+D77+F77+H77)*C82)+(7.5/(H77)*C83)+(7.5/(H77)*C84)+(10/H77*C85)+(10/H77*C86)+(5/H77*C87)+(5/H77*C88)+(5/H77*C89))/100))))</f>
        <v>0.67647058823529416</v>
      </c>
      <c r="F80" s="83"/>
      <c r="G80" s="83">
        <f ca="1">((((C80/H77)*20)+((C81/H77)*25)+(30/(B77+H77+F77+D77)*C82)+(5/H77*C83)+(5/H77*C84)+(5/H77*C85)+(5/H77*C86)+(0/H77*C87)+(0/H77*C88)+(5/H77*C89))/100)</f>
        <v>0.85568627450980383</v>
      </c>
      <c r="H80" s="83"/>
      <c r="I80" s="45" t="s">
        <v>130</v>
      </c>
      <c r="J80" s="25"/>
      <c r="K80" s="46">
        <f ca="1">H77*50%</f>
        <v>7.5</v>
      </c>
    </row>
    <row r="81" spans="1:11" x14ac:dyDescent="0.25">
      <c r="A81" s="81" t="s">
        <v>50</v>
      </c>
      <c r="B81" s="81"/>
      <c r="C81" s="43">
        <f ca="1">K89</f>
        <v>15</v>
      </c>
      <c r="D81" s="65">
        <f ca="1">((100/H77)*C81)/100</f>
        <v>1</v>
      </c>
      <c r="E81" s="83"/>
      <c r="F81" s="83"/>
      <c r="G81" s="83"/>
      <c r="H81" s="83"/>
      <c r="I81" s="45" t="s">
        <v>131</v>
      </c>
      <c r="J81" s="25"/>
      <c r="K81" s="46">
        <f ca="1">H77</f>
        <v>15</v>
      </c>
    </row>
    <row r="82" spans="1:11" ht="15.75" customHeight="1" x14ac:dyDescent="0.25">
      <c r="A82" s="84" t="s">
        <v>199</v>
      </c>
      <c r="B82" s="84"/>
      <c r="C82" s="43">
        <v>16</v>
      </c>
      <c r="D82" s="65">
        <f ca="1">((100/(B77+D77+F77+H77))*C82)/100</f>
        <v>0.94117647058823539</v>
      </c>
      <c r="E82" s="83"/>
      <c r="F82" s="83"/>
      <c r="G82" s="83"/>
      <c r="H82" s="83"/>
      <c r="I82" s="45" t="s">
        <v>132</v>
      </c>
      <c r="J82" s="25"/>
      <c r="K82" s="47">
        <f ca="1">(IF(B77=0,H77/4,(H77/(B77+4))))</f>
        <v>3</v>
      </c>
    </row>
    <row r="83" spans="1:11" x14ac:dyDescent="0.25">
      <c r="A83" s="81" t="s">
        <v>200</v>
      </c>
      <c r="B83" s="81" t="s">
        <v>201</v>
      </c>
      <c r="C83" s="43">
        <f>C82-1</f>
        <v>15</v>
      </c>
      <c r="D83" s="65">
        <f ca="1">((100/H77)*C83)/100</f>
        <v>1</v>
      </c>
      <c r="E83" s="83"/>
      <c r="F83" s="83"/>
      <c r="G83" s="83"/>
      <c r="H83" s="83"/>
      <c r="I83" s="45" t="s">
        <v>133</v>
      </c>
      <c r="J83" s="25"/>
      <c r="K83" s="47">
        <f ca="1">(IF(B77=0,H77/4+K82,(H77/(B77+4)+K82)))</f>
        <v>6</v>
      </c>
    </row>
    <row r="84" spans="1:11" x14ac:dyDescent="0.25">
      <c r="A84" s="81" t="s">
        <v>202</v>
      </c>
      <c r="B84" s="81" t="s">
        <v>201</v>
      </c>
      <c r="C84" s="43">
        <v>13</v>
      </c>
      <c r="D84" s="65">
        <f ca="1">((100/H77)*C84)/100</f>
        <v>0.8666666666666667</v>
      </c>
      <c r="E84" s="83"/>
      <c r="F84" s="83"/>
      <c r="G84" s="83"/>
      <c r="H84" s="83"/>
      <c r="I84" s="45" t="s">
        <v>203</v>
      </c>
      <c r="J84" s="48"/>
      <c r="K84" s="47">
        <f ca="1">(IF(B77=0,0,(H77/(B77+4)+K83)))</f>
        <v>9</v>
      </c>
    </row>
    <row r="85" spans="1:11" ht="15" customHeight="1" x14ac:dyDescent="0.25">
      <c r="A85" s="81" t="s">
        <v>204</v>
      </c>
      <c r="B85" s="81" t="s">
        <v>205</v>
      </c>
      <c r="C85" s="43">
        <v>9</v>
      </c>
      <c r="D85" s="65">
        <f ca="1">((100/(H77))*C85)/100</f>
        <v>0.6</v>
      </c>
      <c r="E85" s="83"/>
      <c r="F85" s="83"/>
      <c r="G85" s="83"/>
      <c r="H85" s="83"/>
      <c r="I85" s="45" t="s">
        <v>206</v>
      </c>
      <c r="J85" s="48"/>
      <c r="K85" s="47">
        <f>(IF(B77&gt;1,(H77/(B77+4)+K84),0))</f>
        <v>0</v>
      </c>
    </row>
    <row r="86" spans="1:11" x14ac:dyDescent="0.25">
      <c r="A86" s="81" t="s">
        <v>207</v>
      </c>
      <c r="B86" s="81" t="s">
        <v>207</v>
      </c>
      <c r="C86" s="42">
        <v>0</v>
      </c>
      <c r="D86" s="65">
        <f ca="1">((100/H77)*C86)/100</f>
        <v>0</v>
      </c>
      <c r="E86" s="83"/>
      <c r="F86" s="83"/>
      <c r="G86" s="83"/>
      <c r="H86" s="83"/>
      <c r="I86" s="45" t="s">
        <v>208</v>
      </c>
      <c r="J86" s="49"/>
      <c r="K86" s="50">
        <f>(IF(B77&gt;2,(H77/(B77+4)+K85),0))</f>
        <v>0</v>
      </c>
    </row>
    <row r="87" spans="1:11" x14ac:dyDescent="0.25">
      <c r="A87" s="81" t="s">
        <v>209</v>
      </c>
      <c r="B87" s="81"/>
      <c r="C87" s="42">
        <v>0</v>
      </c>
      <c r="D87" s="65">
        <f ca="1">((100/H77)*C87)/100</f>
        <v>0</v>
      </c>
      <c r="E87" s="83"/>
      <c r="F87" s="83"/>
      <c r="G87" s="83"/>
      <c r="H87" s="83"/>
      <c r="I87" s="45" t="s">
        <v>210</v>
      </c>
      <c r="J87"/>
      <c r="K87" s="51">
        <f>(IF(B77&gt;3,(H77/(B77+4)+K86),0))</f>
        <v>0</v>
      </c>
    </row>
    <row r="88" spans="1:11" ht="15" customHeight="1" x14ac:dyDescent="0.25">
      <c r="A88" s="81" t="s">
        <v>211</v>
      </c>
      <c r="B88" s="81" t="s">
        <v>211</v>
      </c>
      <c r="C88" s="42">
        <v>0</v>
      </c>
      <c r="D88" s="65">
        <f ca="1">((100/(H77))*C88)/100</f>
        <v>0</v>
      </c>
      <c r="E88" s="83"/>
      <c r="F88" s="83"/>
      <c r="G88" s="83"/>
      <c r="H88" s="83"/>
      <c r="I88" s="45" t="s">
        <v>134</v>
      </c>
      <c r="J88" s="25"/>
      <c r="K88" s="47">
        <f ca="1">(IF(B77=0,H77/4+K83,(H77/(B77+4)+K83+MAX(0,K84-K83)+MAX(0,K85-K84)+MAX(0,K86-K85)+MAX(0,K87-K86))))</f>
        <v>12</v>
      </c>
    </row>
    <row r="89" spans="1:11" ht="16.5" thickBot="1" x14ac:dyDescent="0.3">
      <c r="A89" s="81" t="s">
        <v>212</v>
      </c>
      <c r="B89" s="81"/>
      <c r="C89" s="42">
        <v>0</v>
      </c>
      <c r="D89" s="65">
        <f ca="1">((100/(H77))*C89)/100</f>
        <v>0</v>
      </c>
      <c r="E89" s="83"/>
      <c r="F89" s="83"/>
      <c r="G89" s="83"/>
      <c r="H89" s="83"/>
      <c r="I89" s="52" t="s">
        <v>135</v>
      </c>
      <c r="J89" s="26"/>
      <c r="K89" s="53">
        <f ca="1">(IF(B77=0,H77/4+K88,(H77/(B77+4)+K88)))</f>
        <v>15</v>
      </c>
    </row>
    <row r="90" spans="1:11" ht="15.75" customHeight="1" x14ac:dyDescent="0.25">
      <c r="A90" s="130" t="s">
        <v>195</v>
      </c>
      <c r="B90" s="130"/>
      <c r="C90" s="78" t="s">
        <v>252</v>
      </c>
      <c r="D90" s="78"/>
      <c r="E90" s="78"/>
      <c r="F90" s="78"/>
      <c r="G90" s="78"/>
      <c r="H90" s="78"/>
      <c r="I90" s="21" t="str">
        <f ca="1">(IF(C94=0,"Work not yet Started.",IF(D94=25%,"Piling work in process",IF(D94=50%,"Excavation work in process",IF(D94=100%,"Excavation work completed, ","0")))&amp;(IF(C95=0%,"",IF(C95=K96,"Footing work is process",IF(C95=K97,"Footing work Completed",IF(C95=K98,"1st Basement Completed",IF(C95=K99,"1st &amp; 2nd Basement Completed",IF(C95=K100,"1st to 3rd Basement Completed",IF(C95=K101,"1st to 4th Basement Completed",IF(C95=K102,"Plinth work is process",IF(C95=K103,"Plinth work completed","0")))))))))))&amp;(IF(C96&gt;0,", RCC upto "&amp;C96&amp;" Slab completed",""))&amp;(IF(C97&gt;0,", Brickwork upto "&amp;C97&amp;" Floor completed"," "))&amp;(IF(C98&gt;0,", Internal Plaster upto "&amp;C98&amp;" Floor completed"," "))&amp;(IF(C99&gt;0,", External Plaster upto "&amp;C99&amp;" Floor completed"," "))&amp;(IF(C100&gt;0,", Flooring upto "&amp;C100&amp;" Floor completed"," "))&amp;(IF(C101&gt;0,", Painting upto "&amp;C101&amp;" Floor completed"," "))&amp;(IF(C102&gt;0,", Finishing upto "&amp;C102&amp;" Floor completed"," ")))</f>
        <v>Excavation work completed, Plinth work completed, RCC upto 16 Slab completed, Brickwork upto 15 Floor completed, Internal Plaster upto 15 Floor completed, External Plaster upto 15 Floor completed, Flooring upto 11 Floor completed, Painting upto 9 Floor completed, Finishing upto 3 Floor completed</v>
      </c>
      <c r="J90" s="21"/>
      <c r="K90" s="22"/>
    </row>
    <row r="91" spans="1:11" x14ac:dyDescent="0.25">
      <c r="A91" s="67" t="s">
        <v>96</v>
      </c>
      <c r="B91" s="67">
        <v>1</v>
      </c>
      <c r="C91" s="67" t="s">
        <v>98</v>
      </c>
      <c r="D91" s="67">
        <v>1</v>
      </c>
      <c r="E91" s="67" t="s">
        <v>97</v>
      </c>
      <c r="F91" s="67">
        <v>0</v>
      </c>
      <c r="G91" s="67" t="s">
        <v>110</v>
      </c>
      <c r="H91" s="67">
        <f ca="1">--TRIM(RIGHT(SUBSTITUTE(LEFT(C90,_xlfn.AGGREGATE(16,6,FIND({0,1,2,3,4,5,6,7,8,9},C90,ROW(INDIRECT("1:"&amp;LEN(C90)))),1))," ",REPT(" ",LEN(C90))),LEN(C90)))</f>
        <v>15</v>
      </c>
      <c r="I91" s="19" t="s">
        <v>148</v>
      </c>
      <c r="J91" s="19"/>
      <c r="K91" s="23"/>
    </row>
    <row r="92" spans="1:11" ht="64.5" customHeight="1" x14ac:dyDescent="0.25">
      <c r="A92" s="77" t="s">
        <v>122</v>
      </c>
      <c r="B92" s="77"/>
      <c r="C92" s="78" t="str">
        <f ca="1">I90</f>
        <v>Excavation work completed, Plinth work completed, RCC upto 16 Slab completed, Brickwork upto 15 Floor completed, Internal Plaster upto 15 Floor completed, External Plaster upto 15 Floor completed, Flooring upto 11 Floor completed, Painting upto 9 Floor completed, Finishing upto 3 Floor completed</v>
      </c>
      <c r="D92" s="78"/>
      <c r="E92" s="78"/>
      <c r="F92" s="78"/>
      <c r="G92" s="78"/>
      <c r="H92" s="78"/>
      <c r="I92" s="19" t="s">
        <v>136</v>
      </c>
      <c r="J92" s="19"/>
      <c r="K92" s="23"/>
    </row>
    <row r="93" spans="1:11" x14ac:dyDescent="0.25">
      <c r="A93" s="81" t="s">
        <v>49</v>
      </c>
      <c r="B93" s="81"/>
      <c r="C93" s="64" t="s">
        <v>196</v>
      </c>
      <c r="D93" s="64" t="s">
        <v>113</v>
      </c>
      <c r="E93" s="81" t="s">
        <v>115</v>
      </c>
      <c r="F93" s="81"/>
      <c r="G93" s="81" t="s">
        <v>114</v>
      </c>
      <c r="H93" s="81"/>
      <c r="I93" s="45" t="s">
        <v>197</v>
      </c>
      <c r="K93" s="24">
        <f ca="1">H91*25%</f>
        <v>3.75</v>
      </c>
    </row>
    <row r="94" spans="1:11" x14ac:dyDescent="0.25">
      <c r="A94" s="80" t="s">
        <v>198</v>
      </c>
      <c r="B94" s="81"/>
      <c r="C94" s="42">
        <f ca="1">K95</f>
        <v>15</v>
      </c>
      <c r="D94" s="57">
        <f ca="1">((100/H91)*C94)/100</f>
        <v>1</v>
      </c>
      <c r="E94" s="83">
        <f ca="1">(IF(C92=I91,"100%",IF(C92=I92,"100%",(((C95/H91*10)+(40/(B91+D91+F91+H91)*C96)+(7.5/(H91)*C97)+(7.5/(H91)*C98)+(10/H91*C99)+(10/H91*C100)+(5/H91*C101)+(5/H91*C102)+(5/H91*C103))/100))))</f>
        <v>0.83980392156862749</v>
      </c>
      <c r="F94" s="83"/>
      <c r="G94" s="83">
        <f ca="1">((((C94/H91)*20)+((C95/H91)*25)+(30/(B91+H91+F91+D91)*C96)+(5/H91*C97)+(5/H91*C98)+(5/H91*C99)+(5/H91*C100)+(0/H91*C101)+(0/H91*C102)+(5/H91*C103))/100)</f>
        <v>0.9190196078431373</v>
      </c>
      <c r="H94" s="142"/>
      <c r="I94" s="45" t="s">
        <v>130</v>
      </c>
      <c r="J94" s="25"/>
      <c r="K94" s="46">
        <f ca="1">H91*50%</f>
        <v>7.5</v>
      </c>
    </row>
    <row r="95" spans="1:11" x14ac:dyDescent="0.25">
      <c r="A95" s="80" t="s">
        <v>50</v>
      </c>
      <c r="B95" s="81"/>
      <c r="C95" s="43">
        <f ca="1">K103</f>
        <v>15</v>
      </c>
      <c r="D95" s="57">
        <f ca="1">((100/H91)*C95)/100</f>
        <v>1</v>
      </c>
      <c r="E95" s="83"/>
      <c r="F95" s="83"/>
      <c r="G95" s="83"/>
      <c r="H95" s="142"/>
      <c r="I95" s="45" t="s">
        <v>131</v>
      </c>
      <c r="J95" s="25"/>
      <c r="K95" s="46">
        <f ca="1">H91</f>
        <v>15</v>
      </c>
    </row>
    <row r="96" spans="1:11" ht="15.75" customHeight="1" x14ac:dyDescent="0.25">
      <c r="A96" s="111" t="s">
        <v>199</v>
      </c>
      <c r="B96" s="112"/>
      <c r="C96" s="43">
        <v>16</v>
      </c>
      <c r="D96" s="57">
        <f ca="1">((100/(D91+F91+H91))*C96)/100</f>
        <v>1</v>
      </c>
      <c r="E96" s="83"/>
      <c r="F96" s="83"/>
      <c r="G96" s="83"/>
      <c r="H96" s="142"/>
      <c r="I96" s="45" t="s">
        <v>132</v>
      </c>
      <c r="J96" s="25"/>
      <c r="K96" s="47">
        <f ca="1">(IF(B91=0,H91/4,(H91/(B91+4))))</f>
        <v>3</v>
      </c>
    </row>
    <row r="97" spans="1:11" x14ac:dyDescent="0.25">
      <c r="A97" s="80" t="s">
        <v>200</v>
      </c>
      <c r="B97" s="81" t="s">
        <v>201</v>
      </c>
      <c r="C97" s="43">
        <f>C96-1</f>
        <v>15</v>
      </c>
      <c r="D97" s="57">
        <f ca="1">((100/H91)*C97)/100</f>
        <v>1</v>
      </c>
      <c r="E97" s="83"/>
      <c r="F97" s="83"/>
      <c r="G97" s="83"/>
      <c r="H97" s="142"/>
      <c r="I97" s="45" t="s">
        <v>133</v>
      </c>
      <c r="J97" s="25"/>
      <c r="K97" s="47">
        <f ca="1">(IF(B91=0,H91/4+K96,(H91/(B91+4)+K96)))</f>
        <v>6</v>
      </c>
    </row>
    <row r="98" spans="1:11" x14ac:dyDescent="0.25">
      <c r="A98" s="80" t="s">
        <v>202</v>
      </c>
      <c r="B98" s="81" t="s">
        <v>201</v>
      </c>
      <c r="C98" s="43">
        <v>15</v>
      </c>
      <c r="D98" s="57">
        <f ca="1">((100/H91)*C98)/100</f>
        <v>1</v>
      </c>
      <c r="E98" s="83"/>
      <c r="F98" s="83"/>
      <c r="G98" s="83"/>
      <c r="H98" s="142"/>
      <c r="I98" s="45" t="s">
        <v>203</v>
      </c>
      <c r="J98" s="48"/>
      <c r="K98" s="47">
        <f ca="1">(IF(B91=0,0,(H91/(B91+4)+K97)))</f>
        <v>9</v>
      </c>
    </row>
    <row r="99" spans="1:11" ht="15" customHeight="1" x14ac:dyDescent="0.25">
      <c r="A99" s="80" t="s">
        <v>204</v>
      </c>
      <c r="B99" s="81" t="s">
        <v>205</v>
      </c>
      <c r="C99" s="43">
        <v>15</v>
      </c>
      <c r="D99" s="57">
        <f ca="1">((100/(H91))*C99)/100</f>
        <v>1</v>
      </c>
      <c r="E99" s="83"/>
      <c r="F99" s="83"/>
      <c r="G99" s="83"/>
      <c r="H99" s="142"/>
      <c r="I99" s="45" t="s">
        <v>206</v>
      </c>
      <c r="J99" s="48"/>
      <c r="K99" s="47">
        <f>(IF(B91&gt;1,(H91/(B91+4)+K98),0))</f>
        <v>0</v>
      </c>
    </row>
    <row r="100" spans="1:11" x14ac:dyDescent="0.25">
      <c r="A100" s="80" t="s">
        <v>207</v>
      </c>
      <c r="B100" s="81" t="s">
        <v>207</v>
      </c>
      <c r="C100" s="42">
        <v>11</v>
      </c>
      <c r="D100" s="57">
        <f ca="1">((100/H91)*C100)/100</f>
        <v>0.73333333333333339</v>
      </c>
      <c r="E100" s="83"/>
      <c r="F100" s="83"/>
      <c r="G100" s="83"/>
      <c r="H100" s="142"/>
      <c r="I100" s="45" t="s">
        <v>208</v>
      </c>
      <c r="J100" s="49"/>
      <c r="K100" s="50">
        <f>(IF(B91&gt;2,(H91/(B91+4)+K99),0))</f>
        <v>0</v>
      </c>
    </row>
    <row r="101" spans="1:11" x14ac:dyDescent="0.25">
      <c r="A101" s="80" t="s">
        <v>209</v>
      </c>
      <c r="B101" s="81"/>
      <c r="C101" s="42">
        <v>9</v>
      </c>
      <c r="D101" s="57">
        <f ca="1">((100/H91)*C101)/100</f>
        <v>0.6</v>
      </c>
      <c r="E101" s="83"/>
      <c r="F101" s="83"/>
      <c r="G101" s="83"/>
      <c r="H101" s="142"/>
      <c r="I101" s="45" t="s">
        <v>210</v>
      </c>
      <c r="J101"/>
      <c r="K101" s="51">
        <f>(IF(B91&gt;3,(H91/(B91+4)+K100),0))</f>
        <v>0</v>
      </c>
    </row>
    <row r="102" spans="1:11" ht="15" customHeight="1" x14ac:dyDescent="0.25">
      <c r="A102" s="80" t="s">
        <v>211</v>
      </c>
      <c r="B102" s="81" t="s">
        <v>211</v>
      </c>
      <c r="C102" s="42">
        <v>3</v>
      </c>
      <c r="D102" s="57">
        <f ca="1">((100/(H91))*C102)/100</f>
        <v>0.2</v>
      </c>
      <c r="E102" s="83"/>
      <c r="F102" s="83"/>
      <c r="G102" s="83"/>
      <c r="H102" s="142"/>
      <c r="I102" s="45" t="s">
        <v>134</v>
      </c>
      <c r="J102" s="25"/>
      <c r="K102" s="47">
        <f ca="1">(IF(B91=0,H91/4+K97,(H91/(B91+4)+K97+MAX(0,K98-K97)+MAX(0,K99-K98)+MAX(0,K100-K99)+MAX(0,K101-K100))))</f>
        <v>12</v>
      </c>
    </row>
    <row r="103" spans="1:11" ht="16.5" thickBot="1" x14ac:dyDescent="0.3">
      <c r="A103" s="147" t="s">
        <v>212</v>
      </c>
      <c r="B103" s="148"/>
      <c r="C103" s="44">
        <v>0</v>
      </c>
      <c r="D103" s="58">
        <f ca="1">((100/(H91))*C103)/100</f>
        <v>0</v>
      </c>
      <c r="E103" s="141"/>
      <c r="F103" s="141"/>
      <c r="G103" s="141"/>
      <c r="H103" s="143"/>
      <c r="I103" s="52" t="s">
        <v>135</v>
      </c>
      <c r="J103" s="26"/>
      <c r="K103" s="53">
        <f ca="1">(IF(B91=0,H91/4+K102,(H91/(B91+4)+K102)))</f>
        <v>15</v>
      </c>
    </row>
    <row r="104" spans="1:11" ht="15.75" hidden="1" customHeight="1" x14ac:dyDescent="0.25">
      <c r="A104" s="71" t="s">
        <v>195</v>
      </c>
      <c r="B104" s="72"/>
      <c r="C104" s="73" t="s">
        <v>231</v>
      </c>
      <c r="D104" s="74"/>
      <c r="E104" s="74"/>
      <c r="F104" s="74"/>
      <c r="G104" s="74"/>
      <c r="H104" s="75"/>
      <c r="I104" s="21" t="str">
        <f ca="1">(IF(C108=0,"Work not yet Started.",IF(D108=25%,"Piling work in process",IF(D108=50%,"Excavation work in process",IF(D108=100%,"Excavation work completed, ","0")))&amp;(IF(C109=0%,"",IF(C109=K110,"Footing work is process",IF(C109=K111,"Footing work Completed",IF(C109=K112,"1st Basement Completed",IF(C109=K113,"1st &amp; 2nd Basement Completed",IF(C109=K114,"1st to 3rd Basement Completed",IF(C109=K115,"1st to 4th Basement Completed",IF(C109=K116,"Plinth work is process",IF(C109=K117,"Plinth work completed","0")))))))))))&amp;(IF(C110&gt;0,", RCC upto "&amp;C110&amp;" Slab completed",""))&amp;(IF(C111&gt;0,", Brickwork upto "&amp;C111&amp;" Floor completed"," "))&amp;(IF(C112&gt;0,", Internal Plaster upto "&amp;C112&amp;" Floor completed"," "))&amp;(IF(C113&gt;0,", External Plaster upto "&amp;C113&amp;" Floor completed"," "))&amp;(IF(C114&gt;0,", Flooring upto "&amp;C114&amp;" Floor completed"," "))&amp;(IF(C115&gt;0,", Painting upto "&amp;C115&amp;" Floor completed"," "))&amp;(IF(C116&gt;0,", Finishing upto "&amp;C116&amp;" Floor completed"," ")))</f>
        <v xml:space="preserve">Excavation work completed,       </v>
      </c>
      <c r="J104" s="21"/>
      <c r="K104" s="22"/>
    </row>
    <row r="105" spans="1:11" hidden="1" x14ac:dyDescent="0.25">
      <c r="A105" s="20" t="s">
        <v>96</v>
      </c>
      <c r="B105" s="59">
        <v>1</v>
      </c>
      <c r="C105" s="59" t="s">
        <v>98</v>
      </c>
      <c r="D105" s="59">
        <v>1</v>
      </c>
      <c r="E105" s="59" t="s">
        <v>97</v>
      </c>
      <c r="F105" s="59">
        <v>0</v>
      </c>
      <c r="G105" s="59" t="s">
        <v>110</v>
      </c>
      <c r="H105" s="40">
        <f ca="1">--TRIM(RIGHT(SUBSTITUTE(LEFT(C104,_xlfn.AGGREGATE(16,6,FIND({0,1,2,3,4,5,6,7,8,9},C104,ROW(INDIRECT("1:"&amp;LEN(C104)))),1))," ",REPT(" ",LEN(C104))),LEN(C104)))</f>
        <v>14</v>
      </c>
      <c r="I105" s="19" t="s">
        <v>148</v>
      </c>
      <c r="J105" s="19"/>
      <c r="K105" s="23"/>
    </row>
    <row r="106" spans="1:11" ht="15.75" hidden="1" customHeight="1" x14ac:dyDescent="0.25">
      <c r="A106" s="76" t="s">
        <v>122</v>
      </c>
      <c r="B106" s="77"/>
      <c r="C106" s="78" t="str">
        <f ca="1">I104</f>
        <v xml:space="preserve">Excavation work completed,       </v>
      </c>
      <c r="D106" s="78"/>
      <c r="E106" s="78"/>
      <c r="F106" s="78"/>
      <c r="G106" s="78"/>
      <c r="H106" s="79"/>
      <c r="I106" s="19" t="s">
        <v>136</v>
      </c>
      <c r="J106" s="19"/>
      <c r="K106" s="23"/>
    </row>
    <row r="107" spans="1:11" hidden="1" x14ac:dyDescent="0.25">
      <c r="A107" s="80" t="s">
        <v>49</v>
      </c>
      <c r="B107" s="81"/>
      <c r="C107" s="41" t="s">
        <v>196</v>
      </c>
      <c r="D107" s="41" t="s">
        <v>113</v>
      </c>
      <c r="E107" s="81" t="s">
        <v>115</v>
      </c>
      <c r="F107" s="81"/>
      <c r="G107" s="81" t="s">
        <v>114</v>
      </c>
      <c r="H107" s="82"/>
      <c r="I107" s="45" t="s">
        <v>197</v>
      </c>
      <c r="K107" s="24">
        <f ca="1">H105*25%</f>
        <v>3.5</v>
      </c>
    </row>
    <row r="108" spans="1:11" hidden="1" x14ac:dyDescent="0.25">
      <c r="A108" s="80" t="s">
        <v>198</v>
      </c>
      <c r="B108" s="81"/>
      <c r="C108" s="42">
        <v>14</v>
      </c>
      <c r="D108" s="57">
        <f ca="1">((100/H105)*C108)/100</f>
        <v>1</v>
      </c>
      <c r="E108" s="83">
        <f ca="1">(IF(C106=I105,"100%",IF(C106=I106,"100%",(((C109/H105*10)+(40/(B105+D105+F105+H105)*C110)+(7.5/(H105)*C111)+(7.5/(H105)*C112)+(10/H105*C113)+(10/H105*C114)+(5/H105*C115)+(5/H105*C116)+(5/H105*C117))/100))))</f>
        <v>0</v>
      </c>
      <c r="F108" s="83"/>
      <c r="G108" s="83">
        <f ca="1">((((C108/H105)*20)+((C109/H105)*25)+(30/(B105+H105+F105+D105)*C110)+(5/H105*C111)+(5/H105*C112)+(5/H105*C113)+(5/H105*C114)+(0/H105*C115)+(0/H105*C116)+(5/H105*C117))/100)</f>
        <v>0.2</v>
      </c>
      <c r="H108" s="142"/>
      <c r="I108" s="45" t="s">
        <v>130</v>
      </c>
      <c r="J108" s="25"/>
      <c r="K108" s="46">
        <f ca="1">H105*50%</f>
        <v>7</v>
      </c>
    </row>
    <row r="109" spans="1:11" hidden="1" x14ac:dyDescent="0.25">
      <c r="A109" s="80" t="s">
        <v>50</v>
      </c>
      <c r="B109" s="81"/>
      <c r="C109" s="43">
        <v>0</v>
      </c>
      <c r="D109" s="57">
        <f ca="1">((100/H105)*C109)/100</f>
        <v>0</v>
      </c>
      <c r="E109" s="83"/>
      <c r="F109" s="83"/>
      <c r="G109" s="83"/>
      <c r="H109" s="142"/>
      <c r="I109" s="45" t="s">
        <v>131</v>
      </c>
      <c r="J109" s="25"/>
      <c r="K109" s="46">
        <f ca="1">H105</f>
        <v>14</v>
      </c>
    </row>
    <row r="110" spans="1:11" ht="15.75" hidden="1" customHeight="1" x14ac:dyDescent="0.25">
      <c r="A110" s="111" t="s">
        <v>199</v>
      </c>
      <c r="B110" s="112"/>
      <c r="C110" s="43">
        <v>0</v>
      </c>
      <c r="D110" s="57">
        <f ca="1">((100/(B105+D105+F105+H105))*C110)/100</f>
        <v>0</v>
      </c>
      <c r="E110" s="83"/>
      <c r="F110" s="83"/>
      <c r="G110" s="83"/>
      <c r="H110" s="142"/>
      <c r="I110" s="45" t="s">
        <v>132</v>
      </c>
      <c r="J110" s="25"/>
      <c r="K110" s="47">
        <f ca="1">(IF(B105=0,H105/4,(H105/(B105+4))))</f>
        <v>2.8</v>
      </c>
    </row>
    <row r="111" spans="1:11" hidden="1" x14ac:dyDescent="0.25">
      <c r="A111" s="80" t="s">
        <v>200</v>
      </c>
      <c r="B111" s="81" t="s">
        <v>201</v>
      </c>
      <c r="C111" s="42">
        <v>0</v>
      </c>
      <c r="D111" s="57">
        <f ca="1">((100/H105)*C111)/100</f>
        <v>0</v>
      </c>
      <c r="E111" s="83"/>
      <c r="F111" s="83"/>
      <c r="G111" s="83"/>
      <c r="H111" s="142"/>
      <c r="I111" s="45" t="s">
        <v>133</v>
      </c>
      <c r="J111" s="25"/>
      <c r="K111" s="47">
        <f ca="1">(IF(B105=0,H105/4+K110,(H105/(B105+4)+K110)))</f>
        <v>5.6</v>
      </c>
    </row>
    <row r="112" spans="1:11" hidden="1" x14ac:dyDescent="0.25">
      <c r="A112" s="80" t="s">
        <v>202</v>
      </c>
      <c r="B112" s="81" t="s">
        <v>201</v>
      </c>
      <c r="C112" s="42">
        <v>0</v>
      </c>
      <c r="D112" s="57">
        <f ca="1">((100/H105)*C112)/100</f>
        <v>0</v>
      </c>
      <c r="E112" s="83"/>
      <c r="F112" s="83"/>
      <c r="G112" s="83"/>
      <c r="H112" s="142"/>
      <c r="I112" s="45" t="s">
        <v>203</v>
      </c>
      <c r="J112" s="48"/>
      <c r="K112" s="47">
        <f ca="1">(IF(B105=0,0,(H105/(B105+4)+K111)))</f>
        <v>8.3999999999999986</v>
      </c>
    </row>
    <row r="113" spans="1:11" ht="15" hidden="1" customHeight="1" x14ac:dyDescent="0.25">
      <c r="A113" s="80" t="s">
        <v>204</v>
      </c>
      <c r="B113" s="81" t="s">
        <v>205</v>
      </c>
      <c r="C113" s="42">
        <v>0</v>
      </c>
      <c r="D113" s="57">
        <f ca="1">((100/(H105))*C113)/100</f>
        <v>0</v>
      </c>
      <c r="E113" s="83"/>
      <c r="F113" s="83"/>
      <c r="G113" s="83"/>
      <c r="H113" s="142"/>
      <c r="I113" s="45" t="s">
        <v>206</v>
      </c>
      <c r="J113" s="48"/>
      <c r="K113" s="47">
        <f>(IF(B105&gt;1,(H105/(B105+4)+K112),0))</f>
        <v>0</v>
      </c>
    </row>
    <row r="114" spans="1:11" hidden="1" x14ac:dyDescent="0.25">
      <c r="A114" s="80" t="s">
        <v>207</v>
      </c>
      <c r="B114" s="81" t="s">
        <v>207</v>
      </c>
      <c r="C114" s="42">
        <v>0</v>
      </c>
      <c r="D114" s="57">
        <f ca="1">((100/H105)*C114)/100</f>
        <v>0</v>
      </c>
      <c r="E114" s="83"/>
      <c r="F114" s="83"/>
      <c r="G114" s="83"/>
      <c r="H114" s="142"/>
      <c r="I114" s="45" t="s">
        <v>208</v>
      </c>
      <c r="J114" s="49"/>
      <c r="K114" s="50">
        <f>(IF(B105&gt;2,(H105/(B105+4)+K113),0))</f>
        <v>0</v>
      </c>
    </row>
    <row r="115" spans="1:11" hidden="1" x14ac:dyDescent="0.25">
      <c r="A115" s="80" t="s">
        <v>209</v>
      </c>
      <c r="B115" s="81"/>
      <c r="C115" s="42">
        <v>0</v>
      </c>
      <c r="D115" s="57">
        <f ca="1">((100/H105)*C115)/100</f>
        <v>0</v>
      </c>
      <c r="E115" s="83"/>
      <c r="F115" s="83"/>
      <c r="G115" s="83"/>
      <c r="H115" s="142"/>
      <c r="I115" s="45" t="s">
        <v>210</v>
      </c>
      <c r="J115"/>
      <c r="K115" s="51">
        <f>(IF(B105&gt;3,(H105/(B105+4)+K114),0))</f>
        <v>0</v>
      </c>
    </row>
    <row r="116" spans="1:11" ht="15" hidden="1" customHeight="1" x14ac:dyDescent="0.25">
      <c r="A116" s="80" t="s">
        <v>211</v>
      </c>
      <c r="B116" s="81" t="s">
        <v>211</v>
      </c>
      <c r="C116" s="42">
        <v>0</v>
      </c>
      <c r="D116" s="57">
        <f ca="1">((100/(H105))*C116)/100</f>
        <v>0</v>
      </c>
      <c r="E116" s="83"/>
      <c r="F116" s="83"/>
      <c r="G116" s="83"/>
      <c r="H116" s="142"/>
      <c r="I116" s="45" t="s">
        <v>134</v>
      </c>
      <c r="J116" s="25"/>
      <c r="K116" s="47">
        <f ca="1">(IF(B105=0,H105/4+K111,(H105/(B105+4)+K111+MAX(0,K112-K111)+MAX(0,K113-K112)+MAX(0,K114-K113)+MAX(0,K115-K114))))</f>
        <v>11.199999999999998</v>
      </c>
    </row>
    <row r="117" spans="1:11" ht="16.5" hidden="1" thickBot="1" x14ac:dyDescent="0.3">
      <c r="A117" s="147" t="s">
        <v>212</v>
      </c>
      <c r="B117" s="148"/>
      <c r="C117" s="44">
        <v>0</v>
      </c>
      <c r="D117" s="58">
        <f ca="1">((100/(H105))*C117)/100</f>
        <v>0</v>
      </c>
      <c r="E117" s="141"/>
      <c r="F117" s="141"/>
      <c r="G117" s="141"/>
      <c r="H117" s="143"/>
      <c r="I117" s="52" t="s">
        <v>135</v>
      </c>
      <c r="J117" s="26"/>
      <c r="K117" s="53">
        <f ca="1">(IF(B105=0,H105/4+K116,(H105/(B105+4)+K116)))</f>
        <v>13.999999999999996</v>
      </c>
    </row>
    <row r="118" spans="1:11" x14ac:dyDescent="0.25">
      <c r="A118" s="144" t="s">
        <v>149</v>
      </c>
      <c r="B118" s="145"/>
      <c r="C118" s="145"/>
      <c r="D118" s="145"/>
      <c r="E118" s="146"/>
      <c r="F118" s="144" t="str">
        <f ca="1">(IF(G66="100%","Yes",IF(G66&gt;0%,"Under Construction",IF(G66=0%,"Work not yet Started"))))</f>
        <v>Under Construction</v>
      </c>
      <c r="G118" s="145"/>
      <c r="H118" s="146"/>
    </row>
    <row r="119" spans="1:11" x14ac:dyDescent="0.25">
      <c r="A119" s="106" t="s">
        <v>51</v>
      </c>
      <c r="B119" s="106"/>
      <c r="C119" s="106"/>
      <c r="D119" s="106"/>
      <c r="E119" s="106"/>
      <c r="F119" s="106"/>
      <c r="G119" s="106"/>
      <c r="H119" s="106"/>
    </row>
    <row r="120" spans="1:11" ht="31.9" customHeight="1" x14ac:dyDescent="0.25">
      <c r="A120" s="77" t="s">
        <v>101</v>
      </c>
      <c r="B120" s="77"/>
      <c r="C120" s="78" t="s">
        <v>277</v>
      </c>
      <c r="D120" s="78"/>
      <c r="E120" s="78"/>
      <c r="F120" s="78"/>
      <c r="G120" s="78"/>
      <c r="H120" s="78"/>
    </row>
    <row r="121" spans="1:11" x14ac:dyDescent="0.25">
      <c r="A121" s="77" t="s">
        <v>52</v>
      </c>
      <c r="B121" s="77"/>
      <c r="C121" s="77"/>
      <c r="D121" s="77"/>
      <c r="E121" s="77"/>
      <c r="F121" s="77"/>
      <c r="G121" s="77"/>
      <c r="H121" s="77"/>
    </row>
    <row r="122" spans="1:11" x14ac:dyDescent="0.25">
      <c r="A122" s="86" t="s">
        <v>102</v>
      </c>
      <c r="B122" s="86"/>
      <c r="C122" s="86"/>
      <c r="D122" s="86"/>
      <c r="E122" s="86"/>
      <c r="F122" s="105">
        <v>15600</v>
      </c>
      <c r="G122" s="105"/>
      <c r="H122" s="105"/>
      <c r="I122" s="8">
        <f>25000/1.6</f>
        <v>15625</v>
      </c>
    </row>
    <row r="123" spans="1:11" hidden="1" x14ac:dyDescent="0.25">
      <c r="A123" s="86" t="s">
        <v>108</v>
      </c>
      <c r="B123" s="86"/>
      <c r="C123" s="86"/>
      <c r="D123" s="86"/>
      <c r="E123" s="86"/>
      <c r="F123" s="104"/>
      <c r="G123" s="104"/>
      <c r="H123" s="104"/>
    </row>
    <row r="124" spans="1:11" hidden="1" x14ac:dyDescent="0.25">
      <c r="A124" s="86" t="s">
        <v>109</v>
      </c>
      <c r="B124" s="86"/>
      <c r="C124" s="86"/>
      <c r="D124" s="86"/>
      <c r="E124" s="86"/>
      <c r="F124" s="104"/>
      <c r="G124" s="104"/>
      <c r="H124" s="104"/>
    </row>
    <row r="125" spans="1:11" s="12" customFormat="1" x14ac:dyDescent="0.25">
      <c r="A125" s="86" t="s">
        <v>176</v>
      </c>
      <c r="B125" s="86"/>
      <c r="C125" s="86"/>
      <c r="D125" s="86"/>
      <c r="E125" s="86"/>
      <c r="F125" s="104" t="s">
        <v>177</v>
      </c>
      <c r="G125" s="104"/>
      <c r="H125" s="104"/>
    </row>
    <row r="126" spans="1:11" s="12" customFormat="1" x14ac:dyDescent="0.25">
      <c r="A126" s="86" t="s">
        <v>178</v>
      </c>
      <c r="B126" s="86"/>
      <c r="C126" s="86"/>
      <c r="D126" s="86"/>
      <c r="E126" s="86"/>
      <c r="F126" s="104" t="s">
        <v>179</v>
      </c>
      <c r="G126" s="104"/>
      <c r="H126" s="104"/>
    </row>
    <row r="127" spans="1:11" s="12" customFormat="1" x14ac:dyDescent="0.25">
      <c r="A127" s="86" t="s">
        <v>180</v>
      </c>
      <c r="B127" s="86"/>
      <c r="C127" s="86"/>
      <c r="D127" s="86"/>
      <c r="E127" s="86"/>
      <c r="F127" s="104" t="s">
        <v>181</v>
      </c>
      <c r="G127" s="104"/>
      <c r="H127" s="104"/>
    </row>
    <row r="128" spans="1:11" s="12" customFormat="1" x14ac:dyDescent="0.25">
      <c r="A128" s="86" t="s">
        <v>128</v>
      </c>
      <c r="B128" s="86"/>
      <c r="C128" s="86"/>
      <c r="D128" s="86"/>
      <c r="E128" s="86"/>
      <c r="F128" s="104" t="s">
        <v>182</v>
      </c>
      <c r="G128" s="104"/>
      <c r="H128" s="104"/>
    </row>
    <row r="129" spans="1:8" s="12" customFormat="1" x14ac:dyDescent="0.25">
      <c r="A129" s="86" t="s">
        <v>183</v>
      </c>
      <c r="B129" s="86"/>
      <c r="C129" s="86"/>
      <c r="D129" s="86"/>
      <c r="E129" s="86"/>
      <c r="F129" s="104" t="s">
        <v>184</v>
      </c>
      <c r="G129" s="104"/>
      <c r="H129" s="104"/>
    </row>
    <row r="130" spans="1:8" s="12" customFormat="1" x14ac:dyDescent="0.25">
      <c r="A130" s="86" t="s">
        <v>127</v>
      </c>
      <c r="B130" s="86"/>
      <c r="C130" s="86"/>
      <c r="D130" s="86"/>
      <c r="E130" s="86"/>
      <c r="F130" s="104" t="s">
        <v>185</v>
      </c>
      <c r="G130" s="104"/>
      <c r="H130" s="104"/>
    </row>
    <row r="131" spans="1:8" s="12" customFormat="1" x14ac:dyDescent="0.25">
      <c r="A131" s="86" t="s">
        <v>186</v>
      </c>
      <c r="B131" s="86"/>
      <c r="C131" s="86"/>
      <c r="D131" s="86"/>
      <c r="E131" s="86"/>
      <c r="F131" s="104" t="s">
        <v>187</v>
      </c>
      <c r="G131" s="104"/>
      <c r="H131" s="104"/>
    </row>
    <row r="132" spans="1:8" s="12" customFormat="1" hidden="1" x14ac:dyDescent="0.25">
      <c r="A132" s="86" t="s">
        <v>129</v>
      </c>
      <c r="B132" s="86"/>
      <c r="C132" s="86"/>
      <c r="D132" s="86"/>
      <c r="E132" s="86"/>
      <c r="F132" s="104" t="s">
        <v>29</v>
      </c>
      <c r="G132" s="104"/>
      <c r="H132" s="104"/>
    </row>
    <row r="133" spans="1:8" x14ac:dyDescent="0.25">
      <c r="A133" s="86" t="s">
        <v>53</v>
      </c>
      <c r="B133" s="86"/>
      <c r="C133" s="86"/>
      <c r="D133" s="86"/>
      <c r="E133" s="86"/>
      <c r="F133" s="117" t="s">
        <v>188</v>
      </c>
      <c r="G133" s="117"/>
      <c r="H133" s="117"/>
    </row>
    <row r="134" spans="1:8" s="9" customFormat="1" x14ac:dyDescent="0.25">
      <c r="A134" s="87" t="s">
        <v>54</v>
      </c>
      <c r="B134" s="87"/>
      <c r="C134" s="87"/>
      <c r="D134" s="87"/>
      <c r="E134" s="87"/>
      <c r="F134" s="104">
        <f>F122*0.8</f>
        <v>12480</v>
      </c>
      <c r="G134" s="104"/>
      <c r="H134" s="104"/>
    </row>
    <row r="135" spans="1:8" s="1" customFormat="1" ht="15.75" hidden="1" customHeight="1" x14ac:dyDescent="0.25">
      <c r="A135" s="132" t="s">
        <v>103</v>
      </c>
      <c r="B135" s="132"/>
      <c r="C135" s="132"/>
      <c r="D135" s="132"/>
      <c r="E135" s="132"/>
      <c r="F135" s="132"/>
      <c r="G135" s="132"/>
      <c r="H135" s="132"/>
    </row>
    <row r="136" spans="1:8" s="1" customFormat="1" ht="15.75" hidden="1" customHeight="1" x14ac:dyDescent="0.25">
      <c r="A136" s="88" t="s">
        <v>55</v>
      </c>
      <c r="B136" s="88"/>
      <c r="C136" s="90" t="s">
        <v>106</v>
      </c>
      <c r="D136" s="90"/>
      <c r="E136" s="107" t="s">
        <v>56</v>
      </c>
      <c r="F136" s="107"/>
      <c r="G136" s="88" t="s">
        <v>57</v>
      </c>
      <c r="H136" s="88"/>
    </row>
    <row r="137" spans="1:8" s="1" customFormat="1" hidden="1" x14ac:dyDescent="0.25">
      <c r="A137" s="133"/>
      <c r="B137" s="133"/>
      <c r="C137" s="108"/>
      <c r="D137" s="108"/>
      <c r="E137" s="113"/>
      <c r="F137" s="113"/>
      <c r="G137" s="149"/>
      <c r="H137" s="149"/>
    </row>
    <row r="138" spans="1:8" s="1" customFormat="1" x14ac:dyDescent="0.25">
      <c r="A138" s="132" t="s">
        <v>265</v>
      </c>
      <c r="B138" s="132"/>
      <c r="C138" s="132"/>
      <c r="D138" s="132"/>
      <c r="E138" s="132"/>
      <c r="F138" s="132"/>
      <c r="G138" s="132"/>
      <c r="H138" s="132"/>
    </row>
    <row r="139" spans="1:8" s="1" customFormat="1" ht="15.75" customHeight="1" x14ac:dyDescent="0.25">
      <c r="A139" s="88" t="s">
        <v>55</v>
      </c>
      <c r="B139" s="88"/>
      <c r="C139" s="90" t="s">
        <v>106</v>
      </c>
      <c r="D139" s="90"/>
      <c r="E139" s="107" t="s">
        <v>56</v>
      </c>
      <c r="F139" s="107"/>
      <c r="G139" s="88" t="s">
        <v>57</v>
      </c>
      <c r="H139" s="88"/>
    </row>
    <row r="140" spans="1:8" s="1" customFormat="1" ht="15.75" customHeight="1" x14ac:dyDescent="0.25">
      <c r="A140" s="133" t="s">
        <v>159</v>
      </c>
      <c r="B140" s="133"/>
      <c r="C140" s="150">
        <f>COUNT(D159)+COUNT(D167:D170)*8+COUNT(D172:D174)</f>
        <v>36</v>
      </c>
      <c r="D140" s="108"/>
      <c r="E140" s="151">
        <f>SUM(D159)+SUM(D167:D170)*8+SUM(D172:D174)</f>
        <v>18282.869280000003</v>
      </c>
      <c r="F140" s="113"/>
      <c r="G140" s="151">
        <f>SUM(F159)+SUM(F167:F170)*8+SUM(F172:F174)</f>
        <v>29252.590847999996</v>
      </c>
      <c r="H140" s="113"/>
    </row>
    <row r="141" spans="1:8" s="1" customFormat="1" ht="15.75" customHeight="1" x14ac:dyDescent="0.25">
      <c r="A141" s="133" t="s">
        <v>163</v>
      </c>
      <c r="B141" s="133"/>
      <c r="C141" s="150">
        <f>COUNT(D189:D192)*8+COUNT(D195:D197)</f>
        <v>35</v>
      </c>
      <c r="D141" s="108"/>
      <c r="E141" s="151">
        <f>SUM(D189:D192)*8+SUM(D195:D197)</f>
        <v>21146.416200000003</v>
      </c>
      <c r="F141" s="113"/>
      <c r="G141" s="151">
        <f>SUM(F189:F192)*8+SUM(F195:F197)</f>
        <v>33834.265920000005</v>
      </c>
      <c r="H141" s="113"/>
    </row>
    <row r="142" spans="1:8" s="1" customFormat="1" ht="15.75" customHeight="1" x14ac:dyDescent="0.25">
      <c r="A142" s="133" t="s">
        <v>164</v>
      </c>
      <c r="B142" s="133"/>
      <c r="C142" s="108">
        <f>COUNT(D211:D214)*6+COUNT(D216:D218)+COUNT(D221:D224)*6</f>
        <v>51</v>
      </c>
      <c r="D142" s="108"/>
      <c r="E142" s="151">
        <f>SUM(D211:D214)*6+SUM(D216:D218)+SUM(D221:D224)*6</f>
        <v>25942.746959999997</v>
      </c>
      <c r="F142" s="113"/>
      <c r="G142" s="151">
        <f>SUM(F211:F214)*6+SUM(F216:F218)+SUM(F221:F224)*6</f>
        <v>37616.983091999995</v>
      </c>
      <c r="H142" s="113"/>
    </row>
    <row r="143" spans="1:8" s="1" customFormat="1" ht="15.75" customHeight="1" x14ac:dyDescent="0.25">
      <c r="A143" s="133" t="s">
        <v>165</v>
      </c>
      <c r="B143" s="133"/>
      <c r="C143" s="108">
        <f>COUNT(D239:D242)*8+COUNT(D245:D247)+COUNT(D251:D252)</f>
        <v>37</v>
      </c>
      <c r="D143" s="108"/>
      <c r="E143" s="151">
        <f>SUM(D239:D242)*8+SUM(D245:D247)+SUM(D251:D252)</f>
        <v>22904.069759999998</v>
      </c>
      <c r="F143" s="113"/>
      <c r="G143" s="151">
        <f>SUM(F239:F242)*8+SUM(F245:F247)+SUM(F251:F252)</f>
        <v>33210.901151999991</v>
      </c>
      <c r="H143" s="113"/>
    </row>
    <row r="144" spans="1:8" s="1" customFormat="1" x14ac:dyDescent="0.25">
      <c r="A144" s="88" t="s">
        <v>59</v>
      </c>
      <c r="B144" s="88"/>
      <c r="C144" s="89">
        <f>SUM(C140:D143)</f>
        <v>159</v>
      </c>
      <c r="D144" s="90"/>
      <c r="E144" s="152">
        <f>SUM(E140:F143)</f>
        <v>88276.102199999994</v>
      </c>
      <c r="F144" s="107"/>
      <c r="G144" s="88">
        <f>SUM(G140:H143)</f>
        <v>133914.74101199998</v>
      </c>
      <c r="H144" s="88"/>
    </row>
    <row r="145" spans="1:9" s="1" customFormat="1" ht="15.75" customHeight="1" x14ac:dyDescent="0.25">
      <c r="A145" s="132" t="s">
        <v>266</v>
      </c>
      <c r="B145" s="132"/>
      <c r="C145" s="132"/>
      <c r="D145" s="132"/>
      <c r="E145" s="132"/>
      <c r="F145" s="132"/>
      <c r="G145" s="132"/>
      <c r="H145" s="132"/>
    </row>
    <row r="146" spans="1:9" s="1" customFormat="1" ht="15.75" customHeight="1" x14ac:dyDescent="0.25">
      <c r="A146" s="133" t="s">
        <v>267</v>
      </c>
      <c r="B146" s="133"/>
      <c r="C146" s="150">
        <f>COUNT(D161:D162)+COUNT(D164:D165)</f>
        <v>4</v>
      </c>
      <c r="D146" s="108"/>
      <c r="E146" s="151">
        <f>SUM(D161:D162)+SUM(D164:D165)</f>
        <v>1673.15616</v>
      </c>
      <c r="F146" s="113"/>
      <c r="G146" s="151">
        <f>SUM(F161:F162)+SUM(F164:F165)</f>
        <v>2677.0498560000001</v>
      </c>
      <c r="H146" s="113"/>
    </row>
    <row r="147" spans="1:9" s="1" customFormat="1" ht="15.75" customHeight="1" x14ac:dyDescent="0.25">
      <c r="A147" s="133" t="s">
        <v>268</v>
      </c>
      <c r="B147" s="133"/>
      <c r="C147" s="150">
        <f>COUNT(D180:D182)+COUNT(D185:D187)</f>
        <v>6</v>
      </c>
      <c r="D147" s="108"/>
      <c r="E147" s="151">
        <f>SUM(D180:D182)+SUM(D185:D187)</f>
        <v>2881.3075199999998</v>
      </c>
      <c r="F147" s="113"/>
      <c r="G147" s="151">
        <f>SUM(F180:F182)+SUM(F185:F187)</f>
        <v>4610.0920320000005</v>
      </c>
      <c r="H147" s="113"/>
    </row>
    <row r="148" spans="1:9" s="1" customFormat="1" ht="15.75" customHeight="1" x14ac:dyDescent="0.25">
      <c r="A148" s="133" t="s">
        <v>264</v>
      </c>
      <c r="B148" s="133"/>
      <c r="C148" s="150">
        <f>COUNT(D202:D204)+COUNT(D206:D208)</f>
        <v>6</v>
      </c>
      <c r="D148" s="108"/>
      <c r="E148" s="151">
        <f>SUM(D202:D204)+SUM(D206:D208)</f>
        <v>2732.7643199999998</v>
      </c>
      <c r="F148" s="113"/>
      <c r="G148" s="151">
        <f>SUM(F202:F204)+SUM(F206:F208)</f>
        <v>4372.422912</v>
      </c>
      <c r="H148" s="113"/>
    </row>
    <row r="149" spans="1:9" s="1" customFormat="1" x14ac:dyDescent="0.25">
      <c r="A149" s="133" t="s">
        <v>269</v>
      </c>
      <c r="B149" s="133"/>
      <c r="C149" s="150">
        <f>COUNT(D232)+COUNT(D237)</f>
        <v>2</v>
      </c>
      <c r="D149" s="108"/>
      <c r="E149" s="151">
        <f>SUM(D232)+SUM(D237)</f>
        <v>979.95456000000001</v>
      </c>
      <c r="F149" s="113"/>
      <c r="G149" s="151">
        <f>SUM(F232)+SUM(F237)</f>
        <v>1420.9341119999999</v>
      </c>
      <c r="H149" s="113"/>
      <c r="I149" s="1">
        <f>18+143</f>
        <v>161</v>
      </c>
    </row>
    <row r="150" spans="1:9" s="1" customFormat="1" x14ac:dyDescent="0.25">
      <c r="A150" s="88" t="s">
        <v>59</v>
      </c>
      <c r="B150" s="88"/>
      <c r="C150" s="89">
        <f>SUM(C146:D149)</f>
        <v>18</v>
      </c>
      <c r="D150" s="90"/>
      <c r="E150" s="152">
        <f>SUM(E146:F149)</f>
        <v>8267.1825599999993</v>
      </c>
      <c r="F150" s="107"/>
      <c r="G150" s="88">
        <f>SUM(G146:H149)</f>
        <v>13080.498911999999</v>
      </c>
      <c r="H150" s="88"/>
      <c r="I150" s="1">
        <f>18+143</f>
        <v>161</v>
      </c>
    </row>
    <row r="151" spans="1:9" s="9" customFormat="1" x14ac:dyDescent="0.25">
      <c r="A151" s="88" t="s">
        <v>237</v>
      </c>
      <c r="B151" s="88"/>
      <c r="C151" s="89">
        <f>C144+C150</f>
        <v>177</v>
      </c>
      <c r="D151" s="90"/>
      <c r="E151" s="89">
        <f>E144+E150</f>
        <v>96543.284759999995</v>
      </c>
      <c r="F151" s="90"/>
      <c r="G151" s="89">
        <f>G144+G150</f>
        <v>146995.23992399999</v>
      </c>
      <c r="H151" s="90"/>
      <c r="I151" s="9">
        <f>35+6</f>
        <v>41</v>
      </c>
    </row>
    <row r="152" spans="1:9" x14ac:dyDescent="0.25">
      <c r="A152" s="110" t="s">
        <v>275</v>
      </c>
      <c r="B152" s="110"/>
      <c r="C152" s="110"/>
      <c r="D152" s="110"/>
      <c r="E152" s="110"/>
      <c r="F152" s="110"/>
      <c r="G152" s="110"/>
      <c r="H152" s="110"/>
    </row>
    <row r="153" spans="1:9" x14ac:dyDescent="0.25">
      <c r="A153" s="110" t="s">
        <v>274</v>
      </c>
      <c r="B153" s="110"/>
      <c r="C153" s="110"/>
      <c r="D153" s="110"/>
      <c r="E153" s="110"/>
      <c r="F153" s="110"/>
      <c r="G153" s="110"/>
      <c r="H153" s="110"/>
    </row>
    <row r="154" spans="1:9" s="2" customFormat="1" ht="47.25" x14ac:dyDescent="0.25">
      <c r="A154" s="115" t="s">
        <v>216</v>
      </c>
      <c r="B154" s="115" t="s">
        <v>262</v>
      </c>
      <c r="C154" s="115" t="s">
        <v>60</v>
      </c>
      <c r="D154" s="115" t="s">
        <v>61</v>
      </c>
      <c r="E154" s="114" t="s">
        <v>62</v>
      </c>
      <c r="F154" s="68" t="s">
        <v>150</v>
      </c>
      <c r="G154" s="115" t="s">
        <v>63</v>
      </c>
      <c r="H154" s="115"/>
    </row>
    <row r="155" spans="1:9" s="2" customFormat="1" x14ac:dyDescent="0.25">
      <c r="A155" s="115"/>
      <c r="B155" s="115"/>
      <c r="C155" s="115"/>
      <c r="D155" s="115"/>
      <c r="E155" s="114"/>
      <c r="F155" s="69">
        <v>0.6</v>
      </c>
      <c r="G155" s="115"/>
      <c r="H155" s="115"/>
    </row>
    <row r="156" spans="1:9" s="2" customFormat="1" x14ac:dyDescent="0.25">
      <c r="A156" s="92" t="s">
        <v>159</v>
      </c>
      <c r="B156" s="92"/>
      <c r="C156" s="92"/>
      <c r="D156" s="92"/>
      <c r="E156" s="92"/>
      <c r="F156" s="92"/>
      <c r="G156" s="92"/>
      <c r="H156" s="92"/>
    </row>
    <row r="157" spans="1:9" s="2" customFormat="1" ht="15.75" customHeight="1" x14ac:dyDescent="0.25">
      <c r="A157" s="92" t="s">
        <v>190</v>
      </c>
      <c r="B157" s="92"/>
      <c r="C157" s="92"/>
      <c r="D157" s="92"/>
      <c r="E157" s="92"/>
      <c r="F157" s="92"/>
      <c r="G157" s="92"/>
      <c r="H157" s="92"/>
    </row>
    <row r="158" spans="1:9" s="2" customFormat="1" ht="15.75" customHeight="1" x14ac:dyDescent="0.25">
      <c r="A158" s="92" t="s">
        <v>215</v>
      </c>
      <c r="B158" s="92"/>
      <c r="C158" s="92"/>
      <c r="D158" s="92"/>
      <c r="E158" s="92"/>
      <c r="F158" s="92"/>
      <c r="G158" s="92"/>
      <c r="H158" s="92"/>
    </row>
    <row r="159" spans="1:9" s="2" customFormat="1" x14ac:dyDescent="0.25">
      <c r="A159" s="38">
        <v>1</v>
      </c>
      <c r="B159" s="38" t="s">
        <v>217</v>
      </c>
      <c r="C159" s="38" t="s">
        <v>161</v>
      </c>
      <c r="D159" s="38">
        <f>37.52*10.764</f>
        <v>403.86527999999998</v>
      </c>
      <c r="E159" s="38">
        <v>0</v>
      </c>
      <c r="F159" s="38">
        <f>D159*(($F$155)+1)+E159</f>
        <v>646.18444799999997</v>
      </c>
      <c r="G159" s="85" t="str">
        <f>A158</f>
        <v>Ground Floor for Parking &amp; Residential</v>
      </c>
      <c r="H159" s="85"/>
    </row>
    <row r="160" spans="1:9" s="2" customFormat="1" ht="15.75" customHeight="1" x14ac:dyDescent="0.25">
      <c r="A160" s="92" t="s">
        <v>162</v>
      </c>
      <c r="B160" s="92"/>
      <c r="C160" s="92"/>
      <c r="D160" s="92"/>
      <c r="E160" s="92"/>
      <c r="F160" s="92"/>
      <c r="G160" s="92"/>
      <c r="H160" s="92"/>
    </row>
    <row r="161" spans="1:8" s="2" customFormat="1" ht="15.75" customHeight="1" x14ac:dyDescent="0.25">
      <c r="A161" s="38">
        <v>1</v>
      </c>
      <c r="B161" s="38" t="s">
        <v>218</v>
      </c>
      <c r="C161" s="38" t="s">
        <v>161</v>
      </c>
      <c r="D161" s="38">
        <f>39.9*10.764</f>
        <v>429.48359999999997</v>
      </c>
      <c r="E161" s="38">
        <v>0</v>
      </c>
      <c r="F161" s="38">
        <f>D161*(($F$155)+1)+E161</f>
        <v>687.17376000000002</v>
      </c>
      <c r="G161" s="85" t="str">
        <f>A160</f>
        <v>1st Floor for Residential &amp; Parking</v>
      </c>
      <c r="H161" s="85"/>
    </row>
    <row r="162" spans="1:8" s="2" customFormat="1" x14ac:dyDescent="0.25">
      <c r="A162" s="38">
        <v>2</v>
      </c>
      <c r="B162" s="38" t="s">
        <v>218</v>
      </c>
      <c r="C162" s="38" t="s">
        <v>161</v>
      </c>
      <c r="D162" s="38">
        <f>37.82*10.764</f>
        <v>407.09447999999998</v>
      </c>
      <c r="E162" s="38">
        <v>0</v>
      </c>
      <c r="F162" s="38">
        <f>D162*(($F$155)+1)+E162</f>
        <v>651.35116800000003</v>
      </c>
      <c r="G162" s="85"/>
      <c r="H162" s="85"/>
    </row>
    <row r="163" spans="1:8" s="2" customFormat="1" ht="15.75" customHeight="1" x14ac:dyDescent="0.25">
      <c r="A163" s="92" t="s">
        <v>223</v>
      </c>
      <c r="B163" s="92"/>
      <c r="C163" s="92"/>
      <c r="D163" s="92"/>
      <c r="E163" s="92"/>
      <c r="F163" s="92"/>
      <c r="G163" s="92"/>
      <c r="H163" s="92"/>
    </row>
    <row r="164" spans="1:8" s="2" customFormat="1" ht="15.75" customHeight="1" x14ac:dyDescent="0.25">
      <c r="A164" s="38">
        <v>1</v>
      </c>
      <c r="B164" s="38" t="s">
        <v>218</v>
      </c>
      <c r="C164" s="38" t="s">
        <v>161</v>
      </c>
      <c r="D164" s="38">
        <f>39.9*10.764</f>
        <v>429.48359999999997</v>
      </c>
      <c r="E164" s="38">
        <v>0</v>
      </c>
      <c r="F164" s="38">
        <f>D164*(($F$155)+1)+E164</f>
        <v>687.17376000000002</v>
      </c>
      <c r="G164" s="85" t="str">
        <f>A163</f>
        <v>2nd Floor for Residential &amp; Entrance Lobby</v>
      </c>
      <c r="H164" s="85"/>
    </row>
    <row r="165" spans="1:8" s="2" customFormat="1" x14ac:dyDescent="0.25">
      <c r="A165" s="38">
        <v>2</v>
      </c>
      <c r="B165" s="38" t="s">
        <v>218</v>
      </c>
      <c r="C165" s="38" t="s">
        <v>161</v>
      </c>
      <c r="D165" s="38">
        <f>37.82*10.764</f>
        <v>407.09447999999998</v>
      </c>
      <c r="E165" s="38">
        <v>0</v>
      </c>
      <c r="F165" s="38">
        <f>D165*(($F$155)+1)+E165</f>
        <v>651.35116800000003</v>
      </c>
      <c r="G165" s="85"/>
      <c r="H165" s="85"/>
    </row>
    <row r="166" spans="1:8" s="2" customFormat="1" ht="15.75" customHeight="1" x14ac:dyDescent="0.25">
      <c r="A166" s="92" t="s">
        <v>219</v>
      </c>
      <c r="B166" s="92"/>
      <c r="C166" s="92"/>
      <c r="D166" s="92"/>
      <c r="E166" s="92"/>
      <c r="F166" s="92"/>
      <c r="G166" s="92"/>
      <c r="H166" s="92"/>
    </row>
    <row r="167" spans="1:8" s="2" customFormat="1" ht="15.75" customHeight="1" x14ac:dyDescent="0.25">
      <c r="A167" s="38">
        <v>1</v>
      </c>
      <c r="B167" s="38" t="s">
        <v>217</v>
      </c>
      <c r="C167" s="38" t="s">
        <v>161</v>
      </c>
      <c r="D167" s="38">
        <f>39.9*10.764</f>
        <v>429.48359999999997</v>
      </c>
      <c r="E167" s="38">
        <v>0</v>
      </c>
      <c r="F167" s="38">
        <f>D167*(($F$155)+1)+E167</f>
        <v>687.17376000000002</v>
      </c>
      <c r="G167" s="85" t="str">
        <f>A166</f>
        <v>3rd to 8th, 10th &amp; 11th Floor</v>
      </c>
      <c r="H167" s="85"/>
    </row>
    <row r="168" spans="1:8" s="2" customFormat="1" ht="15.75" customHeight="1" x14ac:dyDescent="0.25">
      <c r="A168" s="38">
        <v>2</v>
      </c>
      <c r="B168" s="38" t="s">
        <v>217</v>
      </c>
      <c r="C168" s="38" t="s">
        <v>161</v>
      </c>
      <c r="D168" s="38">
        <f>37.82*10.764</f>
        <v>407.09447999999998</v>
      </c>
      <c r="E168" s="38">
        <v>0</v>
      </c>
      <c r="F168" s="38">
        <f>D168*(($F$155)+1)+E168</f>
        <v>651.35116800000003</v>
      </c>
      <c r="G168" s="85"/>
      <c r="H168" s="85"/>
    </row>
    <row r="169" spans="1:8" s="2" customFormat="1" ht="15.75" customHeight="1" x14ac:dyDescent="0.25">
      <c r="A169" s="38">
        <v>3</v>
      </c>
      <c r="B169" s="38" t="s">
        <v>217</v>
      </c>
      <c r="C169" s="38" t="s">
        <v>189</v>
      </c>
      <c r="D169" s="38">
        <f>56.72*10.764</f>
        <v>610.5340799999999</v>
      </c>
      <c r="E169" s="38">
        <v>0</v>
      </c>
      <c r="F169" s="38">
        <f>D169*(($F$155)+1)+E169</f>
        <v>976.85452799999985</v>
      </c>
      <c r="G169" s="85"/>
      <c r="H169" s="85"/>
    </row>
    <row r="170" spans="1:8" s="2" customFormat="1" x14ac:dyDescent="0.25">
      <c r="A170" s="38">
        <v>4</v>
      </c>
      <c r="B170" s="38" t="s">
        <v>217</v>
      </c>
      <c r="C170" s="38" t="s">
        <v>189</v>
      </c>
      <c r="D170" s="38">
        <f>56.38*10.764</f>
        <v>606.87432000000001</v>
      </c>
      <c r="E170" s="38">
        <v>0</v>
      </c>
      <c r="F170" s="38">
        <f>D170*(($F$155)+1)+E170</f>
        <v>970.99891200000002</v>
      </c>
      <c r="G170" s="85"/>
      <c r="H170" s="85"/>
    </row>
    <row r="171" spans="1:8" s="2" customFormat="1" ht="15.75" customHeight="1" x14ac:dyDescent="0.25">
      <c r="A171" s="92" t="s">
        <v>220</v>
      </c>
      <c r="B171" s="92"/>
      <c r="C171" s="92"/>
      <c r="D171" s="92"/>
      <c r="E171" s="92"/>
      <c r="F171" s="92"/>
      <c r="G171" s="92"/>
      <c r="H171" s="92"/>
    </row>
    <row r="172" spans="1:8" s="2" customFormat="1" ht="15.75" customHeight="1" x14ac:dyDescent="0.25">
      <c r="A172" s="38">
        <v>1</v>
      </c>
      <c r="B172" s="38" t="s">
        <v>217</v>
      </c>
      <c r="C172" s="38" t="s">
        <v>161</v>
      </c>
      <c r="D172" s="38">
        <f>39.9*10.764</f>
        <v>429.48359999999997</v>
      </c>
      <c r="E172" s="38">
        <v>0</v>
      </c>
      <c r="F172" s="38">
        <f>D172*(($F$155)+1)+E172</f>
        <v>687.17376000000002</v>
      </c>
      <c r="G172" s="85" t="str">
        <f>A171</f>
        <v>9th Floor (Part Refuge Area)</v>
      </c>
      <c r="H172" s="85"/>
    </row>
    <row r="173" spans="1:8" s="2" customFormat="1" ht="15.75" customHeight="1" x14ac:dyDescent="0.25">
      <c r="A173" s="38">
        <v>2</v>
      </c>
      <c r="B173" s="38" t="s">
        <v>217</v>
      </c>
      <c r="C173" s="38" t="s">
        <v>161</v>
      </c>
      <c r="D173" s="38">
        <f>37.82*10.764</f>
        <v>407.09447999999998</v>
      </c>
      <c r="E173" s="38">
        <v>0</v>
      </c>
      <c r="F173" s="38">
        <f>D173*(($F$155)+1)+E173</f>
        <v>651.35116800000003</v>
      </c>
      <c r="G173" s="85"/>
      <c r="H173" s="85"/>
    </row>
    <row r="174" spans="1:8" s="2" customFormat="1" x14ac:dyDescent="0.25">
      <c r="A174" s="38">
        <v>3</v>
      </c>
      <c r="B174" s="38" t="s">
        <v>217</v>
      </c>
      <c r="C174" s="38" t="s">
        <v>189</v>
      </c>
      <c r="D174" s="38">
        <f>56.72*10.764</f>
        <v>610.5340799999999</v>
      </c>
      <c r="E174" s="38">
        <v>0</v>
      </c>
      <c r="F174" s="38">
        <f>D174*(($F$155)+1)+E174</f>
        <v>976.85452799999985</v>
      </c>
      <c r="G174" s="85"/>
      <c r="H174" s="85"/>
    </row>
    <row r="175" spans="1:8" s="2" customFormat="1" x14ac:dyDescent="0.25">
      <c r="A175" s="92" t="s">
        <v>163</v>
      </c>
      <c r="B175" s="92"/>
      <c r="C175" s="92"/>
      <c r="D175" s="92"/>
      <c r="E175" s="92"/>
      <c r="F175" s="92"/>
      <c r="G175" s="92"/>
      <c r="H175" s="92"/>
    </row>
    <row r="176" spans="1:8" s="2" customFormat="1" ht="15.75" customHeight="1" x14ac:dyDescent="0.25">
      <c r="A176" s="92" t="s">
        <v>160</v>
      </c>
      <c r="B176" s="92"/>
      <c r="C176" s="92"/>
      <c r="D176" s="92"/>
      <c r="E176" s="92"/>
      <c r="F176" s="92"/>
      <c r="G176" s="92"/>
      <c r="H176" s="92"/>
    </row>
    <row r="177" spans="1:21" s="2" customFormat="1" ht="15.75" customHeight="1" x14ac:dyDescent="0.25">
      <c r="A177" s="92" t="s">
        <v>221</v>
      </c>
      <c r="B177" s="92"/>
      <c r="C177" s="92"/>
      <c r="D177" s="92"/>
      <c r="E177" s="92"/>
      <c r="F177" s="92"/>
      <c r="G177" s="92"/>
      <c r="H177" s="92"/>
    </row>
    <row r="178" spans="1:21" s="2" customFormat="1" ht="15.75" customHeight="1" x14ac:dyDescent="0.25">
      <c r="A178" s="92" t="s">
        <v>162</v>
      </c>
      <c r="B178" s="92"/>
      <c r="C178" s="92"/>
      <c r="D178" s="92"/>
      <c r="E178" s="92"/>
      <c r="F178" s="92"/>
      <c r="G178" s="92"/>
      <c r="H178" s="92"/>
      <c r="I178" s="37"/>
      <c r="S178" s="91"/>
      <c r="T178" s="91"/>
      <c r="U178" s="37"/>
    </row>
    <row r="179" spans="1:21" s="2" customFormat="1" x14ac:dyDescent="0.25">
      <c r="A179" s="85">
        <v>1</v>
      </c>
      <c r="B179" s="85"/>
      <c r="C179" s="85" t="s">
        <v>222</v>
      </c>
      <c r="D179" s="85"/>
      <c r="E179" s="85"/>
      <c r="F179" s="85"/>
      <c r="G179" s="85" t="str">
        <f>A178</f>
        <v>1st Floor for Residential &amp; Parking</v>
      </c>
      <c r="H179" s="85"/>
      <c r="I179" s="37">
        <f>11500000/F180</f>
        <v>15217.298148018293</v>
      </c>
      <c r="S179" s="91"/>
      <c r="T179" s="91"/>
      <c r="U179" s="37"/>
    </row>
    <row r="180" spans="1:21" s="2" customFormat="1" ht="15.75" customHeight="1" x14ac:dyDescent="0.25">
      <c r="A180" s="38">
        <v>2</v>
      </c>
      <c r="B180" s="38" t="s">
        <v>218</v>
      </c>
      <c r="C180" s="38" t="s">
        <v>161</v>
      </c>
      <c r="D180" s="38">
        <f>43.88*10.764</f>
        <v>472.32432</v>
      </c>
      <c r="E180" s="38">
        <v>0</v>
      </c>
      <c r="F180" s="38">
        <f>D180*(($F$155)+1)+E180</f>
        <v>755.71891200000005</v>
      </c>
      <c r="G180" s="85"/>
      <c r="H180" s="85"/>
      <c r="I180" s="37"/>
      <c r="S180" s="91"/>
      <c r="T180" s="91"/>
      <c r="U180" s="37"/>
    </row>
    <row r="181" spans="1:21" s="2" customFormat="1" ht="15.75" customHeight="1" x14ac:dyDescent="0.25">
      <c r="A181" s="38">
        <v>3</v>
      </c>
      <c r="B181" s="38" t="s">
        <v>218</v>
      </c>
      <c r="C181" s="38" t="s">
        <v>161</v>
      </c>
      <c r="D181" s="38">
        <f>44.98*10.764</f>
        <v>484.16471999999993</v>
      </c>
      <c r="E181" s="38">
        <v>0</v>
      </c>
      <c r="F181" s="38">
        <f>D181*(($F$155)+1)+E181</f>
        <v>774.66355199999998</v>
      </c>
      <c r="G181" s="85"/>
      <c r="H181" s="85"/>
      <c r="I181" s="37"/>
      <c r="S181" s="91"/>
      <c r="T181" s="91"/>
      <c r="U181" s="37"/>
    </row>
    <row r="182" spans="1:21" s="2" customFormat="1" ht="15.75" customHeight="1" x14ac:dyDescent="0.25">
      <c r="A182" s="38">
        <v>4</v>
      </c>
      <c r="B182" s="38" t="s">
        <v>218</v>
      </c>
      <c r="C182" s="38" t="s">
        <v>161</v>
      </c>
      <c r="D182" s="38">
        <f>44.98*10.764</f>
        <v>484.16471999999993</v>
      </c>
      <c r="E182" s="38">
        <v>0</v>
      </c>
      <c r="F182" s="38">
        <f>D182*(($F$155)+1)+E182</f>
        <v>774.66355199999998</v>
      </c>
      <c r="G182" s="85"/>
      <c r="H182" s="85"/>
    </row>
    <row r="183" spans="1:21" s="2" customFormat="1" ht="15.75" customHeight="1" x14ac:dyDescent="0.25">
      <c r="A183" s="92" t="s">
        <v>223</v>
      </c>
      <c r="B183" s="92"/>
      <c r="C183" s="92"/>
      <c r="D183" s="92"/>
      <c r="E183" s="92"/>
      <c r="F183" s="92"/>
      <c r="G183" s="92"/>
      <c r="H183" s="92"/>
      <c r="I183" s="37"/>
      <c r="S183" s="91"/>
      <c r="T183" s="91"/>
      <c r="U183" s="37"/>
    </row>
    <row r="184" spans="1:21" s="2" customFormat="1" x14ac:dyDescent="0.25">
      <c r="A184" s="85">
        <v>1</v>
      </c>
      <c r="B184" s="85"/>
      <c r="C184" s="85" t="s">
        <v>224</v>
      </c>
      <c r="D184" s="85"/>
      <c r="E184" s="85"/>
      <c r="F184" s="85"/>
      <c r="G184" s="85" t="str">
        <f>A183</f>
        <v>2nd Floor for Residential &amp; Entrance Lobby</v>
      </c>
      <c r="H184" s="85"/>
      <c r="I184" s="37">
        <f>11500000/F185</f>
        <v>15217.298148018293</v>
      </c>
      <c r="S184" s="91"/>
      <c r="T184" s="91"/>
      <c r="U184" s="37"/>
    </row>
    <row r="185" spans="1:21" s="2" customFormat="1" ht="15.75" customHeight="1" x14ac:dyDescent="0.25">
      <c r="A185" s="38">
        <v>2</v>
      </c>
      <c r="B185" s="38" t="s">
        <v>218</v>
      </c>
      <c r="C185" s="38" t="s">
        <v>161</v>
      </c>
      <c r="D185" s="38">
        <f>43.88*10.764</f>
        <v>472.32432</v>
      </c>
      <c r="E185" s="38">
        <v>0</v>
      </c>
      <c r="F185" s="38">
        <f>D185*(($F$155)+1)+E185</f>
        <v>755.71891200000005</v>
      </c>
      <c r="G185" s="85"/>
      <c r="H185" s="85"/>
      <c r="I185" s="37"/>
      <c r="S185" s="91"/>
      <c r="T185" s="91"/>
      <c r="U185" s="37"/>
    </row>
    <row r="186" spans="1:21" s="2" customFormat="1" ht="15.75" customHeight="1" x14ac:dyDescent="0.25">
      <c r="A186" s="38">
        <v>3</v>
      </c>
      <c r="B186" s="38" t="s">
        <v>218</v>
      </c>
      <c r="C186" s="38" t="s">
        <v>161</v>
      </c>
      <c r="D186" s="38">
        <f>44.98*10.764</f>
        <v>484.16471999999993</v>
      </c>
      <c r="E186" s="38">
        <v>0</v>
      </c>
      <c r="F186" s="38">
        <f>D186*(($F$155)+1)+E186</f>
        <v>774.66355199999998</v>
      </c>
      <c r="G186" s="85"/>
      <c r="H186" s="85"/>
      <c r="I186" s="37"/>
      <c r="S186" s="91"/>
      <c r="T186" s="91"/>
      <c r="U186" s="37"/>
    </row>
    <row r="187" spans="1:21" s="2" customFormat="1" ht="15.75" customHeight="1" x14ac:dyDescent="0.25">
      <c r="A187" s="38">
        <v>4</v>
      </c>
      <c r="B187" s="38" t="s">
        <v>218</v>
      </c>
      <c r="C187" s="38" t="s">
        <v>161</v>
      </c>
      <c r="D187" s="38">
        <f>44.98*10.764</f>
        <v>484.16471999999993</v>
      </c>
      <c r="E187" s="38">
        <v>0</v>
      </c>
      <c r="F187" s="38">
        <f>D187*(($F$155)+1)+E187</f>
        <v>774.66355199999998</v>
      </c>
      <c r="G187" s="85"/>
      <c r="H187" s="85"/>
      <c r="I187" s="37"/>
      <c r="U187" s="37"/>
    </row>
    <row r="188" spans="1:21" s="2" customFormat="1" ht="15.75" customHeight="1" x14ac:dyDescent="0.25">
      <c r="A188" s="92" t="s">
        <v>219</v>
      </c>
      <c r="B188" s="92"/>
      <c r="C188" s="92"/>
      <c r="D188" s="92"/>
      <c r="E188" s="92"/>
      <c r="F188" s="92"/>
      <c r="G188" s="92"/>
      <c r="H188" s="92"/>
      <c r="I188" s="37"/>
      <c r="U188" s="37"/>
    </row>
    <row r="189" spans="1:21" s="2" customFormat="1" ht="15.75" customHeight="1" x14ac:dyDescent="0.25">
      <c r="A189" s="60">
        <v>1</v>
      </c>
      <c r="B189" s="60" t="s">
        <v>217</v>
      </c>
      <c r="C189" s="60" t="s">
        <v>189</v>
      </c>
      <c r="D189" s="60">
        <f>56.76*10.764</f>
        <v>610.96463999999992</v>
      </c>
      <c r="E189" s="60">
        <v>0</v>
      </c>
      <c r="F189" s="60">
        <f>D189*(($F$155)+1)+E189</f>
        <v>977.54342399999996</v>
      </c>
      <c r="G189" s="85" t="str">
        <f>A188</f>
        <v>3rd to 8th, 10th &amp; 11th Floor</v>
      </c>
      <c r="H189" s="85"/>
      <c r="I189" s="37"/>
      <c r="U189" s="37"/>
    </row>
    <row r="190" spans="1:21" s="2" customFormat="1" ht="15.75" customHeight="1" x14ac:dyDescent="0.25">
      <c r="A190" s="60">
        <v>2</v>
      </c>
      <c r="B190" s="60" t="s">
        <v>217</v>
      </c>
      <c r="C190" s="60" t="s">
        <v>189</v>
      </c>
      <c r="D190" s="60">
        <f>54.99*10.764</f>
        <v>591.91236000000004</v>
      </c>
      <c r="E190" s="60">
        <v>0</v>
      </c>
      <c r="F190" s="60">
        <f>D190*(($F$155)+1)+E190</f>
        <v>947.05977600000006</v>
      </c>
      <c r="G190" s="85"/>
      <c r="H190" s="85"/>
      <c r="I190" s="37"/>
      <c r="U190" s="37"/>
    </row>
    <row r="191" spans="1:21" s="2" customFormat="1" ht="15.75" customHeight="1" x14ac:dyDescent="0.25">
      <c r="A191" s="60">
        <v>3</v>
      </c>
      <c r="B191" s="60" t="s">
        <v>217</v>
      </c>
      <c r="C191" s="60" t="s">
        <v>189</v>
      </c>
      <c r="D191" s="60">
        <f>56.42*10.764</f>
        <v>607.30488000000003</v>
      </c>
      <c r="E191" s="60">
        <v>0</v>
      </c>
      <c r="F191" s="60">
        <f>D191*(($F$155)+1)+E191</f>
        <v>971.68780800000013</v>
      </c>
      <c r="G191" s="85"/>
      <c r="H191" s="85"/>
      <c r="I191" s="37"/>
      <c r="U191" s="37"/>
    </row>
    <row r="192" spans="1:21" s="2" customFormat="1" ht="15.75" customHeight="1" x14ac:dyDescent="0.25">
      <c r="A192" s="60">
        <v>4</v>
      </c>
      <c r="B192" s="60" t="s">
        <v>217</v>
      </c>
      <c r="C192" s="60" t="s">
        <v>189</v>
      </c>
      <c r="D192" s="60">
        <f>56.42*10.764</f>
        <v>607.30488000000003</v>
      </c>
      <c r="E192" s="60">
        <v>0</v>
      </c>
      <c r="F192" s="60">
        <f>D192*(($F$155)+1)+E192</f>
        <v>971.68780800000013</v>
      </c>
      <c r="G192" s="85"/>
      <c r="H192" s="85"/>
      <c r="I192" s="37"/>
      <c r="U192" s="37"/>
    </row>
    <row r="193" spans="1:23" s="2" customFormat="1" ht="15.75" customHeight="1" x14ac:dyDescent="0.25">
      <c r="A193" s="92" t="s">
        <v>220</v>
      </c>
      <c r="B193" s="92"/>
      <c r="C193" s="92"/>
      <c r="D193" s="92"/>
      <c r="E193" s="92"/>
      <c r="F193" s="92"/>
      <c r="G193" s="92"/>
      <c r="H193" s="92"/>
      <c r="I193" s="37"/>
      <c r="U193" s="37"/>
    </row>
    <row r="194" spans="1:23" s="2" customFormat="1" ht="15.75" customHeight="1" x14ac:dyDescent="0.25">
      <c r="A194" s="85">
        <v>1</v>
      </c>
      <c r="B194" s="85"/>
      <c r="C194" s="85" t="s">
        <v>225</v>
      </c>
      <c r="D194" s="85"/>
      <c r="E194" s="85"/>
      <c r="F194" s="85"/>
      <c r="G194" s="85" t="str">
        <f>A193</f>
        <v>9th Floor (Part Refuge Area)</v>
      </c>
      <c r="H194" s="85"/>
      <c r="I194" s="37"/>
      <c r="U194" s="37"/>
    </row>
    <row r="195" spans="1:23" s="2" customFormat="1" ht="15.75" customHeight="1" x14ac:dyDescent="0.25">
      <c r="A195" s="66">
        <v>2</v>
      </c>
      <c r="B195" s="66" t="s">
        <v>217</v>
      </c>
      <c r="C195" s="66" t="s">
        <v>189</v>
      </c>
      <c r="D195" s="66">
        <f>54.99*10.764</f>
        <v>591.91236000000004</v>
      </c>
      <c r="E195" s="66">
        <v>0</v>
      </c>
      <c r="F195" s="66">
        <f>D195*(($F$155)+1)+E195</f>
        <v>947.05977600000006</v>
      </c>
      <c r="G195" s="85"/>
      <c r="H195" s="85"/>
      <c r="I195" s="37"/>
      <c r="U195" s="37"/>
    </row>
    <row r="196" spans="1:23" s="2" customFormat="1" ht="15.75" customHeight="1" x14ac:dyDescent="0.25">
      <c r="A196" s="66">
        <v>3</v>
      </c>
      <c r="B196" s="66" t="s">
        <v>217</v>
      </c>
      <c r="C196" s="66" t="s">
        <v>189</v>
      </c>
      <c r="D196" s="66">
        <f>56.42*10.764</f>
        <v>607.30488000000003</v>
      </c>
      <c r="E196" s="66">
        <v>0</v>
      </c>
      <c r="F196" s="66">
        <f>D196*(($F$155)+1)+E196</f>
        <v>971.68780800000013</v>
      </c>
      <c r="G196" s="85"/>
      <c r="H196" s="85"/>
      <c r="I196" s="37"/>
      <c r="U196" s="37"/>
    </row>
    <row r="197" spans="1:23" s="2" customFormat="1" ht="15.75" customHeight="1" x14ac:dyDescent="0.25">
      <c r="A197" s="66">
        <v>4</v>
      </c>
      <c r="B197" s="66" t="s">
        <v>217</v>
      </c>
      <c r="C197" s="66" t="s">
        <v>189</v>
      </c>
      <c r="D197" s="66">
        <f>56.42*10.764</f>
        <v>607.30488000000003</v>
      </c>
      <c r="E197" s="66">
        <v>0</v>
      </c>
      <c r="F197" s="66">
        <f>D197*(($F$155)+1)+E197</f>
        <v>971.68780800000013</v>
      </c>
      <c r="G197" s="85"/>
      <c r="H197" s="85"/>
      <c r="I197" s="37"/>
      <c r="S197" s="91" t="s">
        <v>151</v>
      </c>
      <c r="T197" s="91"/>
      <c r="V197" s="2" t="str">
        <f>MID(A201,1,3)</f>
        <v>1st</v>
      </c>
      <c r="W197" s="2">
        <f ca="1">--TRIM(RIGHT(SUBSTITUTE(LEFT(A201,_xlfn.AGGREGATE(14,6,FIND({0,1,2,3,4,5,6,7,8,9},A201,ROW(INDIRECT("1:"&amp;LEN(A201)))),1))," ",REPT(" ",LEN(A201))),LEN(A201)))</f>
        <v>1</v>
      </c>
    </row>
    <row r="198" spans="1:23" s="2" customFormat="1" x14ac:dyDescent="0.25">
      <c r="A198" s="92" t="s">
        <v>164</v>
      </c>
      <c r="B198" s="92"/>
      <c r="C198" s="92"/>
      <c r="D198" s="92"/>
      <c r="E198" s="92"/>
      <c r="F198" s="92"/>
      <c r="G198" s="92"/>
      <c r="H198" s="92"/>
      <c r="I198" s="37"/>
      <c r="S198" s="91" t="str">
        <f ca="1">V198&amp;""&amp;$S$197&amp;""&amp;W198</f>
        <v>101 to 101</v>
      </c>
      <c r="T198" s="91"/>
      <c r="U198" s="37">
        <v>1</v>
      </c>
      <c r="V198" s="2">
        <f ca="1">(SUMPRODUCT(MID(0&amp;V197, LARGE(INDEX(ISNUMBER(--MID(V197, ROW(INDIRECT("1:"&amp;LEN(V197))), 1)) * ROW(INDIRECT("1:"&amp;LEN(V197))), 0), ROW(INDIRECT("1:"&amp;LEN(V197))))+1, 1) * 10^ROW(INDIRECT("1:"&amp;LEN(V197)))/10))*U198*100+1</f>
        <v>101</v>
      </c>
      <c r="W198" s="2">
        <f ca="1">(SUMPRODUCT(MID(0&amp;W197, LARGE(INDEX(ISNUMBER(--MID(W197, ROW(INDIRECT("1:"&amp;LEN(W197))), 1)) * ROW(INDIRECT("1:"&amp;LEN(W197))), 0), ROW(INDIRECT("1:"&amp;LEN(W197))))+1, 1) * 10^ROW(INDIRECT("1:"&amp;LEN(W197)))/10))*U198*100+1</f>
        <v>101</v>
      </c>
    </row>
    <row r="199" spans="1:23" s="2" customFormat="1" ht="15.75" customHeight="1" x14ac:dyDescent="0.25">
      <c r="A199" s="92" t="s">
        <v>254</v>
      </c>
      <c r="B199" s="92"/>
      <c r="C199" s="92"/>
      <c r="D199" s="92"/>
      <c r="E199" s="92"/>
      <c r="F199" s="92"/>
      <c r="G199" s="92"/>
      <c r="H199" s="92"/>
      <c r="I199" s="37"/>
      <c r="S199" s="91" t="str">
        <f ca="1">V199&amp;""&amp;$S$197&amp;""&amp;W199</f>
        <v>102 to 102</v>
      </c>
      <c r="T199" s="91"/>
      <c r="U199" s="37">
        <f t="shared" ref="U199:W199" si="0">U198+1</f>
        <v>2</v>
      </c>
      <c r="V199" s="2">
        <f t="shared" ca="1" si="0"/>
        <v>102</v>
      </c>
      <c r="W199" s="2">
        <f t="shared" ca="1" si="0"/>
        <v>102</v>
      </c>
    </row>
    <row r="200" spans="1:23" s="2" customFormat="1" x14ac:dyDescent="0.25">
      <c r="A200" s="92" t="s">
        <v>255</v>
      </c>
      <c r="B200" s="92"/>
      <c r="C200" s="92"/>
      <c r="D200" s="92"/>
      <c r="E200" s="92"/>
      <c r="F200" s="92"/>
      <c r="G200" s="92"/>
      <c r="H200" s="92"/>
      <c r="I200" s="37"/>
      <c r="U200" s="37"/>
    </row>
    <row r="201" spans="1:23" s="2" customFormat="1" ht="15.75" customHeight="1" x14ac:dyDescent="0.25">
      <c r="A201" s="93" t="s">
        <v>256</v>
      </c>
      <c r="B201" s="93"/>
      <c r="C201" s="93"/>
      <c r="D201" s="93"/>
      <c r="E201" s="93"/>
      <c r="F201" s="93"/>
      <c r="G201" s="93"/>
      <c r="H201" s="93"/>
      <c r="I201" s="37"/>
      <c r="S201" s="91" t="e">
        <f t="shared" ref="S201:S207" si="1">V201&amp;""&amp;$S$197&amp;""&amp;W201</f>
        <v>#REF!</v>
      </c>
      <c r="T201" s="91"/>
      <c r="U201" s="37" t="e">
        <f>#REF!+1</f>
        <v>#REF!</v>
      </c>
      <c r="V201" s="2" t="e">
        <f>#REF!+1</f>
        <v>#REF!</v>
      </c>
      <c r="W201" s="2" t="e">
        <f>#REF!+1</f>
        <v>#REF!</v>
      </c>
    </row>
    <row r="202" spans="1:23" s="2" customFormat="1" ht="15.75" customHeight="1" x14ac:dyDescent="0.25">
      <c r="A202" s="38">
        <v>1</v>
      </c>
      <c r="B202" s="38" t="s">
        <v>263</v>
      </c>
      <c r="C202" s="38" t="s">
        <v>161</v>
      </c>
      <c r="D202" s="38">
        <f>44.98*10.764</f>
        <v>484.16471999999993</v>
      </c>
      <c r="E202" s="38">
        <v>0</v>
      </c>
      <c r="F202" s="38">
        <f>D202*(($F$155)+1)+E202</f>
        <v>774.66355199999998</v>
      </c>
      <c r="G202" s="85" t="str">
        <f>A201</f>
        <v>1st Floor For Residential &amp; Parking</v>
      </c>
      <c r="H202" s="85"/>
      <c r="I202" s="37"/>
      <c r="S202" s="91" t="e">
        <f t="shared" si="1"/>
        <v>#REF!</v>
      </c>
      <c r="T202" s="91"/>
      <c r="U202" s="37" t="e">
        <f t="shared" ref="U202:W207" si="2">U201+1</f>
        <v>#REF!</v>
      </c>
      <c r="V202" s="2" t="e">
        <f t="shared" si="2"/>
        <v>#REF!</v>
      </c>
      <c r="W202" s="2" t="e">
        <f t="shared" si="2"/>
        <v>#REF!</v>
      </c>
    </row>
    <row r="203" spans="1:23" s="2" customFormat="1" ht="15.75" customHeight="1" x14ac:dyDescent="0.25">
      <c r="A203" s="38">
        <v>2</v>
      </c>
      <c r="B203" s="38" t="s">
        <v>263</v>
      </c>
      <c r="C203" s="38" t="s">
        <v>161</v>
      </c>
      <c r="D203" s="38">
        <f>44.98*10.764</f>
        <v>484.16471999999993</v>
      </c>
      <c r="E203" s="38">
        <v>0</v>
      </c>
      <c r="F203" s="38">
        <f>D203*(($F$155)+1)+E203</f>
        <v>774.66355199999998</v>
      </c>
      <c r="G203" s="85"/>
      <c r="H203" s="85"/>
      <c r="I203" s="37"/>
      <c r="S203" s="91" t="e">
        <f t="shared" si="1"/>
        <v>#REF!</v>
      </c>
      <c r="T203" s="91"/>
      <c r="U203" s="37" t="e">
        <f t="shared" si="2"/>
        <v>#REF!</v>
      </c>
      <c r="V203" s="2" t="e">
        <f t="shared" si="2"/>
        <v>#REF!</v>
      </c>
      <c r="W203" s="2" t="e">
        <f t="shared" si="2"/>
        <v>#REF!</v>
      </c>
    </row>
    <row r="204" spans="1:23" s="2" customFormat="1" ht="15.75" customHeight="1" x14ac:dyDescent="0.25">
      <c r="A204" s="38">
        <v>3</v>
      </c>
      <c r="B204" s="38" t="s">
        <v>263</v>
      </c>
      <c r="C204" s="38" t="s">
        <v>161</v>
      </c>
      <c r="D204" s="38">
        <f>36.98*10.764</f>
        <v>398.05271999999997</v>
      </c>
      <c r="E204" s="38">
        <v>0</v>
      </c>
      <c r="F204" s="38">
        <f>D204*(($F$155)+1)+E204</f>
        <v>636.88435200000004</v>
      </c>
      <c r="G204" s="85"/>
      <c r="H204" s="85"/>
      <c r="I204" s="37"/>
      <c r="S204" s="91" t="e">
        <f t="shared" si="1"/>
        <v>#REF!</v>
      </c>
      <c r="T204" s="91"/>
      <c r="U204" s="37" t="e">
        <f t="shared" si="2"/>
        <v>#REF!</v>
      </c>
      <c r="V204" s="2" t="e">
        <f t="shared" si="2"/>
        <v>#REF!</v>
      </c>
      <c r="W204" s="2" t="e">
        <f t="shared" si="2"/>
        <v>#REF!</v>
      </c>
    </row>
    <row r="205" spans="1:23" s="2" customFormat="1" ht="15.75" customHeight="1" x14ac:dyDescent="0.25">
      <c r="A205" s="92" t="s">
        <v>257</v>
      </c>
      <c r="B205" s="92"/>
      <c r="C205" s="92"/>
      <c r="D205" s="92"/>
      <c r="E205" s="92"/>
      <c r="F205" s="92"/>
      <c r="G205" s="92"/>
      <c r="H205" s="92"/>
      <c r="I205" s="37">
        <f>11500000/F206</f>
        <v>14845.154351601663</v>
      </c>
      <c r="S205" s="91" t="e">
        <f t="shared" si="1"/>
        <v>#REF!</v>
      </c>
      <c r="T205" s="91"/>
      <c r="U205" s="37" t="e">
        <f t="shared" si="2"/>
        <v>#REF!</v>
      </c>
      <c r="V205" s="2" t="e">
        <f t="shared" si="2"/>
        <v>#REF!</v>
      </c>
      <c r="W205" s="2" t="e">
        <f t="shared" si="2"/>
        <v>#REF!</v>
      </c>
    </row>
    <row r="206" spans="1:23" s="2" customFormat="1" ht="15.75" customHeight="1" x14ac:dyDescent="0.25">
      <c r="A206" s="38">
        <v>1</v>
      </c>
      <c r="B206" s="38" t="s">
        <v>263</v>
      </c>
      <c r="C206" s="38" t="s">
        <v>161</v>
      </c>
      <c r="D206" s="38">
        <f>44.98*10.764</f>
        <v>484.16471999999993</v>
      </c>
      <c r="E206" s="38">
        <v>0</v>
      </c>
      <c r="F206" s="38">
        <f>D206*(($F$155)+1)+E206</f>
        <v>774.66355199999998</v>
      </c>
      <c r="G206" s="94" t="str">
        <f>A205</f>
        <v>2nd Floor For Residential &amp; Part Society Office, Entrance Lobby &amp; Parking</v>
      </c>
      <c r="H206" s="95"/>
      <c r="I206" s="37"/>
      <c r="S206" s="91" t="e">
        <f t="shared" si="1"/>
        <v>#REF!</v>
      </c>
      <c r="T206" s="91"/>
      <c r="U206" s="37" t="e">
        <f t="shared" si="2"/>
        <v>#REF!</v>
      </c>
      <c r="V206" s="2" t="e">
        <f t="shared" si="2"/>
        <v>#REF!</v>
      </c>
      <c r="W206" s="2" t="e">
        <f t="shared" si="2"/>
        <v>#REF!</v>
      </c>
    </row>
    <row r="207" spans="1:23" s="2" customFormat="1" ht="15.75" customHeight="1" x14ac:dyDescent="0.25">
      <c r="A207" s="38">
        <v>2</v>
      </c>
      <c r="B207" s="38" t="s">
        <v>263</v>
      </c>
      <c r="C207" s="38" t="s">
        <v>161</v>
      </c>
      <c r="D207" s="38">
        <f>44.98*10.764</f>
        <v>484.16471999999993</v>
      </c>
      <c r="E207" s="38">
        <v>0</v>
      </c>
      <c r="F207" s="38">
        <f>D207*(($F$155)+1)+E207</f>
        <v>774.66355199999998</v>
      </c>
      <c r="G207" s="96"/>
      <c r="H207" s="97"/>
      <c r="I207" s="37"/>
      <c r="S207" s="91" t="e">
        <f t="shared" si="1"/>
        <v>#REF!</v>
      </c>
      <c r="T207" s="91"/>
      <c r="U207" s="37" t="e">
        <f t="shared" si="2"/>
        <v>#REF!</v>
      </c>
      <c r="V207" s="2" t="e">
        <f t="shared" si="2"/>
        <v>#REF!</v>
      </c>
      <c r="W207" s="2" t="e">
        <f t="shared" si="2"/>
        <v>#REF!</v>
      </c>
    </row>
    <row r="208" spans="1:23" s="2" customFormat="1" ht="15.75" customHeight="1" x14ac:dyDescent="0.25">
      <c r="A208" s="38">
        <v>3</v>
      </c>
      <c r="B208" s="38" t="s">
        <v>263</v>
      </c>
      <c r="C208" s="38" t="s">
        <v>161</v>
      </c>
      <c r="D208" s="38">
        <f>36.98*10.764</f>
        <v>398.05271999999997</v>
      </c>
      <c r="E208" s="38">
        <v>0</v>
      </c>
      <c r="F208" s="38">
        <f>D208*(($F$155)+1)+E208</f>
        <v>636.88435200000004</v>
      </c>
      <c r="G208" s="96"/>
      <c r="H208" s="97"/>
      <c r="I208" s="37"/>
      <c r="U208" s="37"/>
    </row>
    <row r="209" spans="1:23" s="2" customFormat="1" x14ac:dyDescent="0.25">
      <c r="A209" s="38" t="s">
        <v>259</v>
      </c>
      <c r="B209" s="100" t="s">
        <v>258</v>
      </c>
      <c r="C209" s="101"/>
      <c r="D209" s="101"/>
      <c r="E209" s="101"/>
      <c r="F209" s="102"/>
      <c r="G209" s="98"/>
      <c r="H209" s="99"/>
      <c r="I209" s="37"/>
      <c r="U209" s="37"/>
    </row>
    <row r="210" spans="1:23" s="2" customFormat="1" ht="15.75" customHeight="1" x14ac:dyDescent="0.25">
      <c r="A210" s="92" t="s">
        <v>260</v>
      </c>
      <c r="B210" s="92"/>
      <c r="C210" s="92"/>
      <c r="D210" s="92"/>
      <c r="E210" s="92"/>
      <c r="F210" s="92"/>
      <c r="G210" s="92"/>
      <c r="H210" s="92"/>
      <c r="I210" s="37">
        <f>5*3.05+2.85*2.1+0.2*3.45+1*1.48+3.05*3.45+2.01*1.38*2+0.75*8+0.9*3.75+1*1.48</f>
        <v>50.330099999999995</v>
      </c>
      <c r="U210" s="37"/>
    </row>
    <row r="211" spans="1:23" s="2" customFormat="1" ht="15.75" customHeight="1" x14ac:dyDescent="0.25">
      <c r="A211" s="38">
        <v>1</v>
      </c>
      <c r="B211" s="38" t="s">
        <v>217</v>
      </c>
      <c r="C211" s="38" t="s">
        <v>189</v>
      </c>
      <c r="D211" s="38">
        <f>56.42*10.764</f>
        <v>607.30488000000003</v>
      </c>
      <c r="E211" s="38">
        <v>0</v>
      </c>
      <c r="F211" s="38">
        <f>D211*1.45+E211</f>
        <v>880.59207600000002</v>
      </c>
      <c r="G211" s="85" t="str">
        <f>A210</f>
        <v>3rd to 8th Floor For Residential</v>
      </c>
      <c r="H211" s="85"/>
      <c r="I211" s="37"/>
      <c r="U211" s="37"/>
    </row>
    <row r="212" spans="1:23" s="2" customFormat="1" ht="15.75" customHeight="1" x14ac:dyDescent="0.25">
      <c r="A212" s="38">
        <v>2</v>
      </c>
      <c r="B212" s="38" t="s">
        <v>217</v>
      </c>
      <c r="C212" s="38" t="s">
        <v>189</v>
      </c>
      <c r="D212" s="38">
        <f>56.42*10.764</f>
        <v>607.30488000000003</v>
      </c>
      <c r="E212" s="38">
        <v>0</v>
      </c>
      <c r="F212" s="38">
        <f>D212*1.45+E212</f>
        <v>880.59207600000002</v>
      </c>
      <c r="G212" s="85"/>
      <c r="H212" s="85"/>
      <c r="I212" s="37"/>
      <c r="U212" s="37"/>
    </row>
    <row r="213" spans="1:23" s="2" customFormat="1" ht="15.75" customHeight="1" x14ac:dyDescent="0.25">
      <c r="A213" s="38">
        <v>3</v>
      </c>
      <c r="B213" s="38" t="s">
        <v>217</v>
      </c>
      <c r="C213" s="38" t="s">
        <v>161</v>
      </c>
      <c r="D213" s="38">
        <f>36.98*10.764</f>
        <v>398.05271999999997</v>
      </c>
      <c r="E213" s="38">
        <v>0</v>
      </c>
      <c r="F213" s="38">
        <f>D213*1.45+E213</f>
        <v>577.17644399999995</v>
      </c>
      <c r="G213" s="85"/>
      <c r="H213" s="85"/>
      <c r="I213" s="37">
        <f>11000000/F214</f>
        <v>18286.866040985871</v>
      </c>
      <c r="J213" s="2">
        <f>664/414</f>
        <v>1.6038647342995169</v>
      </c>
      <c r="U213" s="37"/>
    </row>
    <row r="214" spans="1:23" s="2" customFormat="1" ht="15.75" customHeight="1" x14ac:dyDescent="0.25">
      <c r="A214" s="38">
        <v>4</v>
      </c>
      <c r="B214" s="38" t="s">
        <v>217</v>
      </c>
      <c r="C214" s="38" t="s">
        <v>161</v>
      </c>
      <c r="D214" s="38">
        <f>38.54*10.764</f>
        <v>414.84455999999994</v>
      </c>
      <c r="E214" s="38">
        <v>0</v>
      </c>
      <c r="F214" s="38">
        <f>D214*1.45+E214</f>
        <v>601.52461199999993</v>
      </c>
      <c r="G214" s="85"/>
      <c r="H214" s="85"/>
      <c r="I214" s="37"/>
      <c r="U214" s="37"/>
    </row>
    <row r="215" spans="1:23" s="2" customFormat="1" ht="15.75" customHeight="1" x14ac:dyDescent="0.25">
      <c r="A215" s="92" t="s">
        <v>276</v>
      </c>
      <c r="B215" s="92"/>
      <c r="C215" s="92"/>
      <c r="D215" s="92"/>
      <c r="E215" s="92"/>
      <c r="F215" s="92"/>
      <c r="G215" s="92"/>
      <c r="H215" s="92"/>
      <c r="I215" s="37"/>
      <c r="U215" s="37"/>
    </row>
    <row r="216" spans="1:23" s="2" customFormat="1" x14ac:dyDescent="0.25">
      <c r="A216" s="38">
        <v>1</v>
      </c>
      <c r="B216" s="38" t="s">
        <v>217</v>
      </c>
      <c r="C216" s="38" t="s">
        <v>189</v>
      </c>
      <c r="D216" s="38">
        <f>56.42*10.764</f>
        <v>607.30488000000003</v>
      </c>
      <c r="E216" s="38">
        <v>0</v>
      </c>
      <c r="F216" s="38">
        <f>D216*1.45+E216</f>
        <v>880.59207600000002</v>
      </c>
      <c r="G216" s="94" t="str">
        <f>A215</f>
        <v>9th Floor For Part Refuge Area</v>
      </c>
      <c r="H216" s="95"/>
      <c r="I216" s="37"/>
      <c r="U216" s="37"/>
    </row>
    <row r="217" spans="1:23" s="2" customFormat="1" ht="15.75" customHeight="1" x14ac:dyDescent="0.25">
      <c r="A217" s="38">
        <v>2</v>
      </c>
      <c r="B217" s="38" t="s">
        <v>217</v>
      </c>
      <c r="C217" s="38" t="s">
        <v>189</v>
      </c>
      <c r="D217" s="38">
        <f>56.42*10.764</f>
        <v>607.30488000000003</v>
      </c>
      <c r="E217" s="38">
        <v>0</v>
      </c>
      <c r="F217" s="38">
        <f>D217*1.45+E217</f>
        <v>880.59207600000002</v>
      </c>
      <c r="G217" s="96"/>
      <c r="H217" s="97"/>
      <c r="I217" s="37"/>
      <c r="U217" s="37"/>
    </row>
    <row r="218" spans="1:23" s="2" customFormat="1" ht="15.75" customHeight="1" x14ac:dyDescent="0.25">
      <c r="A218" s="38">
        <v>3</v>
      </c>
      <c r="B218" s="38" t="s">
        <v>217</v>
      </c>
      <c r="C218" s="38" t="s">
        <v>161</v>
      </c>
      <c r="D218" s="38">
        <f>36.98*10.764</f>
        <v>398.05271999999997</v>
      </c>
      <c r="E218" s="38">
        <v>0</v>
      </c>
      <c r="F218" s="38">
        <f>D218*1.45+E218</f>
        <v>577.17644399999995</v>
      </c>
      <c r="G218" s="96"/>
      <c r="H218" s="97"/>
      <c r="I218" s="37"/>
      <c r="U218" s="37"/>
    </row>
    <row r="219" spans="1:23" s="2" customFormat="1" x14ac:dyDescent="0.25">
      <c r="A219" s="38">
        <v>4</v>
      </c>
      <c r="B219" s="100" t="s">
        <v>225</v>
      </c>
      <c r="C219" s="101"/>
      <c r="D219" s="101"/>
      <c r="E219" s="101"/>
      <c r="F219" s="102"/>
      <c r="G219" s="98"/>
      <c r="H219" s="99"/>
      <c r="I219" s="37"/>
      <c r="S219" s="91" t="e">
        <f>V219&amp;""&amp;$S$197&amp;""&amp;W219</f>
        <v>#REF!</v>
      </c>
      <c r="T219" s="91"/>
      <c r="U219" s="37" t="e">
        <f>U207+1</f>
        <v>#REF!</v>
      </c>
      <c r="V219" s="2" t="e">
        <f>V207+1</f>
        <v>#REF!</v>
      </c>
      <c r="W219" s="2" t="e">
        <f>W207+1</f>
        <v>#REF!</v>
      </c>
    </row>
    <row r="220" spans="1:23" s="2" customFormat="1" x14ac:dyDescent="0.25">
      <c r="A220" s="92" t="s">
        <v>261</v>
      </c>
      <c r="B220" s="92"/>
      <c r="C220" s="92"/>
      <c r="D220" s="92"/>
      <c r="E220" s="92"/>
      <c r="F220" s="92"/>
      <c r="G220" s="92"/>
      <c r="H220" s="92"/>
      <c r="I220" s="37"/>
      <c r="S220" s="91" t="s">
        <v>152</v>
      </c>
      <c r="T220" s="91"/>
      <c r="V220" s="2" t="e">
        <f>MID(#REF!,1,3)</f>
        <v>#REF!</v>
      </c>
      <c r="W220" s="2" t="e">
        <f ca="1">--TRIM(RIGHT(SUBSTITUTE(LEFT(#REF!,_xlfn.AGGREGATE(14,6,FIND({0,1,2,3,4,5,6,7,8,9},#REF!,ROW(INDIRECT("1:"&amp;LEN(#REF!)))),1))," ",REPT(" ",LEN(#REF!))),LEN(#REF!)))</f>
        <v>#REF!</v>
      </c>
    </row>
    <row r="221" spans="1:23" s="2" customFormat="1" ht="15.75" customHeight="1" x14ac:dyDescent="0.25">
      <c r="A221" s="38">
        <v>1</v>
      </c>
      <c r="B221" s="38" t="s">
        <v>217</v>
      </c>
      <c r="C221" s="38" t="s">
        <v>189</v>
      </c>
      <c r="D221" s="38">
        <f>56.42*10.764</f>
        <v>607.30488000000003</v>
      </c>
      <c r="E221" s="38">
        <v>0</v>
      </c>
      <c r="F221" s="38">
        <f>D221*1.45+E221</f>
        <v>880.59207600000002</v>
      </c>
      <c r="G221" s="85" t="str">
        <f>A220</f>
        <v>10th to 15th Floor</v>
      </c>
      <c r="H221" s="85"/>
      <c r="I221" s="37"/>
      <c r="S221" s="91" t="e">
        <f t="shared" ref="S221:S236" ca="1" si="3">V221&amp;""&amp;$S$220&amp;""&amp;W221</f>
        <v>#REF!</v>
      </c>
      <c r="T221" s="91"/>
      <c r="U221" s="37">
        <v>1</v>
      </c>
      <c r="V221" s="2" t="e">
        <f ca="1">(SUMPRODUCT(MID(0&amp;V220, LARGE(INDEX(ISNUMBER(--MID(V220, ROW(INDIRECT("1:"&amp;LEN(V220))), 1)) * ROW(INDIRECT("1:"&amp;LEN(V220))), 0), ROW(INDIRECT("1:"&amp;LEN(V220))))+1, 1) * 10^ROW(INDIRECT("1:"&amp;LEN(V220)))/10))*U221*100+1</f>
        <v>#REF!</v>
      </c>
      <c r="W221" s="2" t="e">
        <f ca="1">(SUMPRODUCT(MID(0&amp;W220, LARGE(INDEX(ISNUMBER(--MID(W220, ROW(INDIRECT("1:"&amp;LEN(W220))), 1)) * ROW(INDIRECT("1:"&amp;LEN(W220))), 0), ROW(INDIRECT("1:"&amp;LEN(W220))))+1, 1) * 10^ROW(INDIRECT("1:"&amp;LEN(W220)))/10))*U221*100+1</f>
        <v>#REF!</v>
      </c>
    </row>
    <row r="222" spans="1:23" s="2" customFormat="1" x14ac:dyDescent="0.25">
      <c r="A222" s="38">
        <v>2</v>
      </c>
      <c r="B222" s="38" t="s">
        <v>217</v>
      </c>
      <c r="C222" s="38" t="s">
        <v>189</v>
      </c>
      <c r="D222" s="38">
        <f>56.42*10.764</f>
        <v>607.30488000000003</v>
      </c>
      <c r="E222" s="38">
        <v>0</v>
      </c>
      <c r="F222" s="38">
        <f>D222*1.45+E222</f>
        <v>880.59207600000002</v>
      </c>
      <c r="G222" s="85"/>
      <c r="H222" s="85"/>
      <c r="I222" s="37"/>
      <c r="S222" s="91" t="e">
        <f t="shared" si="3"/>
        <v>#REF!</v>
      </c>
      <c r="T222" s="91"/>
      <c r="U222" s="37" t="e">
        <f>#REF!+1</f>
        <v>#REF!</v>
      </c>
      <c r="V222" s="2" t="e">
        <f>#REF!+1</f>
        <v>#REF!</v>
      </c>
      <c r="W222" s="2" t="e">
        <f>#REF!+1</f>
        <v>#REF!</v>
      </c>
    </row>
    <row r="223" spans="1:23" s="2" customFormat="1" ht="15.75" customHeight="1" x14ac:dyDescent="0.25">
      <c r="A223" s="38">
        <v>3</v>
      </c>
      <c r="B223" s="38" t="s">
        <v>217</v>
      </c>
      <c r="C223" s="38" t="s">
        <v>161</v>
      </c>
      <c r="D223" s="38">
        <f>36.98*10.764</f>
        <v>398.05271999999997</v>
      </c>
      <c r="E223" s="38">
        <v>0</v>
      </c>
      <c r="F223" s="38">
        <f>D223*1.45+E223</f>
        <v>577.17644399999995</v>
      </c>
      <c r="G223" s="85"/>
      <c r="H223" s="85"/>
      <c r="I223" s="37"/>
      <c r="S223" s="91" t="e">
        <f t="shared" ref="S223:S225" si="4">V223&amp;""&amp;$S$220&amp;""&amp;W223</f>
        <v>#REF!</v>
      </c>
      <c r="T223" s="91"/>
      <c r="U223" s="37" t="e">
        <f t="shared" ref="U223:W225" si="5">U222+1</f>
        <v>#REF!</v>
      </c>
      <c r="V223" s="2" t="e">
        <f t="shared" si="5"/>
        <v>#REF!</v>
      </c>
      <c r="W223" s="2" t="e">
        <f t="shared" si="5"/>
        <v>#REF!</v>
      </c>
    </row>
    <row r="224" spans="1:23" s="2" customFormat="1" ht="15.75" customHeight="1" x14ac:dyDescent="0.25">
      <c r="A224" s="38">
        <v>4</v>
      </c>
      <c r="B224" s="38" t="s">
        <v>217</v>
      </c>
      <c r="C224" s="38" t="s">
        <v>161</v>
      </c>
      <c r="D224" s="38">
        <f>38.54*10.764</f>
        <v>414.84455999999994</v>
      </c>
      <c r="E224" s="38">
        <v>0</v>
      </c>
      <c r="F224" s="38">
        <f>D224*1.45+E224</f>
        <v>601.52461199999993</v>
      </c>
      <c r="G224" s="85"/>
      <c r="H224" s="85"/>
      <c r="I224" s="37"/>
      <c r="S224" s="91" t="e">
        <f t="shared" si="4"/>
        <v>#REF!</v>
      </c>
      <c r="T224" s="91"/>
      <c r="U224" s="37" t="e">
        <f t="shared" si="5"/>
        <v>#REF!</v>
      </c>
      <c r="V224" s="2" t="e">
        <f t="shared" si="5"/>
        <v>#REF!</v>
      </c>
      <c r="W224" s="2" t="e">
        <f t="shared" si="5"/>
        <v>#REF!</v>
      </c>
    </row>
    <row r="225" spans="1:23" s="2" customFormat="1" ht="15.75" customHeight="1" x14ac:dyDescent="0.25">
      <c r="A225" s="92" t="s">
        <v>165</v>
      </c>
      <c r="B225" s="92"/>
      <c r="C225" s="92"/>
      <c r="D225" s="92"/>
      <c r="E225" s="92"/>
      <c r="F225" s="92"/>
      <c r="G225" s="92"/>
      <c r="H225" s="92"/>
      <c r="I225" s="37"/>
      <c r="S225" s="91" t="e">
        <f t="shared" si="4"/>
        <v>#REF!</v>
      </c>
      <c r="T225" s="91"/>
      <c r="U225" s="37" t="e">
        <f t="shared" si="5"/>
        <v>#REF!</v>
      </c>
      <c r="V225" s="2" t="e">
        <f t="shared" si="5"/>
        <v>#REF!</v>
      </c>
      <c r="W225" s="2" t="e">
        <f t="shared" si="5"/>
        <v>#REF!</v>
      </c>
    </row>
    <row r="226" spans="1:23" s="2" customFormat="1" x14ac:dyDescent="0.25">
      <c r="A226" s="92" t="s">
        <v>160</v>
      </c>
      <c r="B226" s="92"/>
      <c r="C226" s="92"/>
      <c r="D226" s="92"/>
      <c r="E226" s="92"/>
      <c r="F226" s="92"/>
      <c r="G226" s="92"/>
      <c r="H226" s="92"/>
      <c r="I226" s="37"/>
      <c r="S226" s="91" t="e">
        <f t="shared" si="3"/>
        <v>#REF!</v>
      </c>
      <c r="T226" s="91"/>
      <c r="U226" s="37" t="e">
        <f>U222+1</f>
        <v>#REF!</v>
      </c>
      <c r="V226" s="2" t="e">
        <f>V222+1</f>
        <v>#REF!</v>
      </c>
      <c r="W226" s="2" t="e">
        <f>W222+1</f>
        <v>#REF!</v>
      </c>
    </row>
    <row r="227" spans="1:23" s="2" customFormat="1" ht="15.75" customHeight="1" x14ac:dyDescent="0.25">
      <c r="A227" s="92" t="s">
        <v>194</v>
      </c>
      <c r="B227" s="92"/>
      <c r="C227" s="92"/>
      <c r="D227" s="92"/>
      <c r="E227" s="92"/>
      <c r="F227" s="92"/>
      <c r="G227" s="92"/>
      <c r="H227" s="92"/>
      <c r="I227" s="37"/>
      <c r="S227" s="91" t="e">
        <f t="shared" si="3"/>
        <v>#REF!</v>
      </c>
      <c r="T227" s="91"/>
      <c r="U227" s="37" t="e">
        <f t="shared" ref="U227:U236" si="6">U226+1</f>
        <v>#REF!</v>
      </c>
      <c r="V227" s="2" t="e">
        <f t="shared" ref="V227:V236" si="7">V226+1</f>
        <v>#REF!</v>
      </c>
      <c r="W227" s="2" t="e">
        <f t="shared" ref="W227:W236" si="8">W226+1</f>
        <v>#REF!</v>
      </c>
    </row>
    <row r="228" spans="1:23" s="2" customFormat="1" ht="15.75" customHeight="1" x14ac:dyDescent="0.25">
      <c r="A228" s="92" t="s">
        <v>227</v>
      </c>
      <c r="B228" s="92"/>
      <c r="C228" s="92"/>
      <c r="D228" s="92"/>
      <c r="E228" s="92"/>
      <c r="F228" s="92"/>
      <c r="G228" s="92"/>
      <c r="H228" s="92"/>
      <c r="I228" s="37"/>
      <c r="S228" s="91" t="e">
        <f t="shared" si="3"/>
        <v>#REF!</v>
      </c>
      <c r="T228" s="91"/>
      <c r="U228" s="37" t="e">
        <f t="shared" ref="U228:W228" si="9">U227+1</f>
        <v>#REF!</v>
      </c>
      <c r="V228" s="2" t="e">
        <f t="shared" si="9"/>
        <v>#REF!</v>
      </c>
      <c r="W228" s="2" t="e">
        <f t="shared" si="9"/>
        <v>#REF!</v>
      </c>
    </row>
    <row r="229" spans="1:23" s="2" customFormat="1" ht="15.75" customHeight="1" x14ac:dyDescent="0.25">
      <c r="A229" s="85">
        <v>1</v>
      </c>
      <c r="B229" s="85"/>
      <c r="C229" s="85" t="s">
        <v>222</v>
      </c>
      <c r="D229" s="85"/>
      <c r="E229" s="85"/>
      <c r="F229" s="85"/>
      <c r="G229" s="85" t="str">
        <f>A228</f>
        <v>1st Floor for Residential &amp; Parking Area</v>
      </c>
      <c r="H229" s="85"/>
      <c r="I229" s="37"/>
      <c r="S229" s="91" t="e">
        <f t="shared" si="3"/>
        <v>#REF!</v>
      </c>
      <c r="T229" s="91"/>
      <c r="U229" s="37" t="e">
        <f t="shared" ref="U229:W229" si="10">U228+1</f>
        <v>#REF!</v>
      </c>
      <c r="V229" s="2" t="e">
        <f t="shared" si="10"/>
        <v>#REF!</v>
      </c>
      <c r="W229" s="2" t="e">
        <f t="shared" si="10"/>
        <v>#REF!</v>
      </c>
    </row>
    <row r="230" spans="1:23" s="2" customFormat="1" ht="15.75" customHeight="1" x14ac:dyDescent="0.25">
      <c r="A230" s="85">
        <v>2</v>
      </c>
      <c r="B230" s="85"/>
      <c r="C230" s="85"/>
      <c r="D230" s="85"/>
      <c r="E230" s="85"/>
      <c r="F230" s="85"/>
      <c r="G230" s="85"/>
      <c r="H230" s="85"/>
      <c r="I230" s="37"/>
      <c r="S230" s="91" t="e">
        <f t="shared" si="3"/>
        <v>#REF!</v>
      </c>
      <c r="T230" s="91"/>
      <c r="U230" s="37" t="e">
        <f t="shared" ref="U230:W230" si="11">U229+1</f>
        <v>#REF!</v>
      </c>
      <c r="V230" s="2" t="e">
        <f t="shared" si="11"/>
        <v>#REF!</v>
      </c>
      <c r="W230" s="2" t="e">
        <f t="shared" si="11"/>
        <v>#REF!</v>
      </c>
    </row>
    <row r="231" spans="1:23" s="2" customFormat="1" ht="15.75" customHeight="1" x14ac:dyDescent="0.25">
      <c r="A231" s="85">
        <v>3</v>
      </c>
      <c r="B231" s="85"/>
      <c r="C231" s="85"/>
      <c r="D231" s="85"/>
      <c r="E231" s="85"/>
      <c r="F231" s="85"/>
      <c r="G231" s="85"/>
      <c r="H231" s="85"/>
      <c r="I231" s="37"/>
      <c r="S231" s="91" t="e">
        <f t="shared" si="3"/>
        <v>#REF!</v>
      </c>
      <c r="T231" s="91"/>
      <c r="U231" s="37" t="e">
        <f>U227+1</f>
        <v>#REF!</v>
      </c>
      <c r="V231" s="2" t="e">
        <f>V227+1</f>
        <v>#REF!</v>
      </c>
      <c r="W231" s="2" t="e">
        <f>W227+1</f>
        <v>#REF!</v>
      </c>
    </row>
    <row r="232" spans="1:23" s="2" customFormat="1" x14ac:dyDescent="0.25">
      <c r="A232" s="38">
        <v>4</v>
      </c>
      <c r="B232" s="38" t="s">
        <v>218</v>
      </c>
      <c r="C232" s="38" t="s">
        <v>161</v>
      </c>
      <c r="D232" s="38">
        <f>45.52*10.764</f>
        <v>489.97728000000001</v>
      </c>
      <c r="E232" s="38">
        <v>0</v>
      </c>
      <c r="F232" s="38">
        <f>D232*1.45+E232</f>
        <v>710.46705599999996</v>
      </c>
      <c r="G232" s="85"/>
      <c r="H232" s="85"/>
      <c r="I232" s="37"/>
      <c r="S232" s="91" t="e">
        <f t="shared" si="3"/>
        <v>#REF!</v>
      </c>
      <c r="T232" s="91"/>
      <c r="U232" s="37" t="e">
        <f t="shared" si="6"/>
        <v>#REF!</v>
      </c>
      <c r="V232" s="2" t="e">
        <f t="shared" si="7"/>
        <v>#REF!</v>
      </c>
      <c r="W232" s="2" t="e">
        <f t="shared" si="8"/>
        <v>#REF!</v>
      </c>
    </row>
    <row r="233" spans="1:23" s="2" customFormat="1" ht="15.75" customHeight="1" x14ac:dyDescent="0.25">
      <c r="A233" s="92" t="s">
        <v>228</v>
      </c>
      <c r="B233" s="92"/>
      <c r="C233" s="92"/>
      <c r="D233" s="92"/>
      <c r="E233" s="92"/>
      <c r="F233" s="92"/>
      <c r="G233" s="92"/>
      <c r="H233" s="92"/>
      <c r="I233" s="37"/>
      <c r="S233" s="91" t="e">
        <f t="shared" si="3"/>
        <v>#REF!</v>
      </c>
      <c r="T233" s="91"/>
      <c r="U233" s="37" t="e">
        <f t="shared" si="6"/>
        <v>#REF!</v>
      </c>
      <c r="V233" s="2" t="e">
        <f t="shared" si="7"/>
        <v>#REF!</v>
      </c>
      <c r="W233" s="2" t="e">
        <f t="shared" si="8"/>
        <v>#REF!</v>
      </c>
    </row>
    <row r="234" spans="1:23" s="2" customFormat="1" ht="15.75" customHeight="1" x14ac:dyDescent="0.25">
      <c r="A234" s="85">
        <v>1</v>
      </c>
      <c r="B234" s="85"/>
      <c r="C234" s="85" t="s">
        <v>222</v>
      </c>
      <c r="D234" s="85"/>
      <c r="E234" s="85"/>
      <c r="F234" s="85"/>
      <c r="G234" s="85" t="str">
        <f>A233</f>
        <v>2nd Floor for Residential, Entrance Lobby &amp; Parking</v>
      </c>
      <c r="H234" s="85"/>
      <c r="I234" s="37"/>
      <c r="S234" s="91" t="e">
        <f t="shared" si="3"/>
        <v>#REF!</v>
      </c>
      <c r="T234" s="91"/>
      <c r="U234" s="37" t="e">
        <f t="shared" si="6"/>
        <v>#REF!</v>
      </c>
      <c r="V234" s="2" t="e">
        <f t="shared" si="7"/>
        <v>#REF!</v>
      </c>
      <c r="W234" s="2" t="e">
        <f t="shared" si="8"/>
        <v>#REF!</v>
      </c>
    </row>
    <row r="235" spans="1:23" s="2" customFormat="1" ht="15.75" customHeight="1" x14ac:dyDescent="0.25">
      <c r="A235" s="85">
        <v>2</v>
      </c>
      <c r="B235" s="85"/>
      <c r="C235" s="85"/>
      <c r="D235" s="85"/>
      <c r="E235" s="85"/>
      <c r="F235" s="85"/>
      <c r="G235" s="85"/>
      <c r="H235" s="85"/>
      <c r="I235" s="37"/>
      <c r="S235" s="91" t="e">
        <f t="shared" si="3"/>
        <v>#REF!</v>
      </c>
      <c r="T235" s="91"/>
      <c r="U235" s="37" t="e">
        <f t="shared" si="6"/>
        <v>#REF!</v>
      </c>
      <c r="V235" s="2" t="e">
        <f t="shared" si="7"/>
        <v>#REF!</v>
      </c>
      <c r="W235" s="2" t="e">
        <f t="shared" si="8"/>
        <v>#REF!</v>
      </c>
    </row>
    <row r="236" spans="1:23" s="2" customFormat="1" ht="15.75" customHeight="1" x14ac:dyDescent="0.25">
      <c r="A236" s="85">
        <v>3</v>
      </c>
      <c r="B236" s="85"/>
      <c r="C236" s="85"/>
      <c r="D236" s="85"/>
      <c r="E236" s="85"/>
      <c r="F236" s="85"/>
      <c r="G236" s="85"/>
      <c r="H236" s="85"/>
      <c r="I236" s="37"/>
      <c r="S236" s="91" t="e">
        <f t="shared" si="3"/>
        <v>#REF!</v>
      </c>
      <c r="T236" s="91"/>
      <c r="U236" s="37" t="e">
        <f t="shared" si="6"/>
        <v>#REF!</v>
      </c>
      <c r="V236" s="2" t="e">
        <f t="shared" si="7"/>
        <v>#REF!</v>
      </c>
      <c r="W236" s="2" t="e">
        <f t="shared" si="8"/>
        <v>#REF!</v>
      </c>
    </row>
    <row r="237" spans="1:23" s="2" customFormat="1" x14ac:dyDescent="0.25">
      <c r="A237" s="60">
        <v>4</v>
      </c>
      <c r="B237" s="60" t="s">
        <v>218</v>
      </c>
      <c r="C237" s="60" t="s">
        <v>161</v>
      </c>
      <c r="D237" s="60">
        <f>45.52*10.764</f>
        <v>489.97728000000001</v>
      </c>
      <c r="E237" s="60">
        <v>0</v>
      </c>
      <c r="F237" s="60">
        <f>D237*1.45+E237</f>
        <v>710.46705599999996</v>
      </c>
      <c r="G237" s="85"/>
      <c r="H237" s="85"/>
      <c r="I237" s="37"/>
      <c r="S237" s="91" t="e">
        <f>V237&amp;""&amp;#REF!&amp;""&amp;W237</f>
        <v>#REF!</v>
      </c>
      <c r="T237" s="91"/>
      <c r="U237" s="37" t="e">
        <f>#REF!+1</f>
        <v>#REF!</v>
      </c>
      <c r="V237" s="2" t="e">
        <f>#REF!+1</f>
        <v>#REF!</v>
      </c>
      <c r="W237" s="2" t="e">
        <f>#REF!+1</f>
        <v>#REF!</v>
      </c>
    </row>
    <row r="238" spans="1:23" s="2" customFormat="1" ht="15.75" customHeight="1" x14ac:dyDescent="0.25">
      <c r="A238" s="92" t="s">
        <v>219</v>
      </c>
      <c r="B238" s="92"/>
      <c r="C238" s="92"/>
      <c r="D238" s="92"/>
      <c r="E238" s="92"/>
      <c r="F238" s="92"/>
      <c r="G238" s="92"/>
      <c r="H238" s="92"/>
      <c r="I238" s="37"/>
      <c r="S238" s="91" t="e">
        <f>V238&amp;""&amp;#REF!&amp;""&amp;W238</f>
        <v>#REF!</v>
      </c>
      <c r="T238" s="91"/>
      <c r="U238" s="37" t="e">
        <f t="shared" ref="U238:W238" si="12">U237+1</f>
        <v>#REF!</v>
      </c>
      <c r="V238" s="2" t="e">
        <f t="shared" si="12"/>
        <v>#REF!</v>
      </c>
      <c r="W238" s="2" t="e">
        <f t="shared" si="12"/>
        <v>#REF!</v>
      </c>
    </row>
    <row r="239" spans="1:23" s="2" customFormat="1" ht="15.75" customHeight="1" x14ac:dyDescent="0.25">
      <c r="A239" s="60">
        <v>1</v>
      </c>
      <c r="B239" s="60" t="s">
        <v>217</v>
      </c>
      <c r="C239" s="60" t="s">
        <v>189</v>
      </c>
      <c r="D239" s="60">
        <f>56.72*10.764</f>
        <v>610.5340799999999</v>
      </c>
      <c r="E239" s="60">
        <v>0</v>
      </c>
      <c r="F239" s="60">
        <f>D239*1.45+E239</f>
        <v>885.27441599999986</v>
      </c>
      <c r="G239" s="85" t="str">
        <f>A238</f>
        <v>3rd to 8th, 10th &amp; 11th Floor</v>
      </c>
      <c r="H239" s="85"/>
      <c r="I239" s="37"/>
      <c r="S239" s="91" t="e">
        <f>V239&amp;""&amp;#REF!&amp;""&amp;W239</f>
        <v>#REF!</v>
      </c>
      <c r="T239" s="91"/>
      <c r="U239" s="37" t="e">
        <f t="shared" ref="U239:W241" si="13">U238+1</f>
        <v>#REF!</v>
      </c>
      <c r="V239" s="2" t="e">
        <f t="shared" si="13"/>
        <v>#REF!</v>
      </c>
      <c r="W239" s="2" t="e">
        <f t="shared" si="13"/>
        <v>#REF!</v>
      </c>
    </row>
    <row r="240" spans="1:23" s="2" customFormat="1" ht="15.75" customHeight="1" x14ac:dyDescent="0.25">
      <c r="A240" s="60">
        <v>2</v>
      </c>
      <c r="B240" s="60" t="s">
        <v>217</v>
      </c>
      <c r="C240" s="60" t="s">
        <v>189</v>
      </c>
      <c r="D240" s="60">
        <f>56.72*10.764</f>
        <v>610.5340799999999</v>
      </c>
      <c r="E240" s="60">
        <v>0</v>
      </c>
      <c r="F240" s="60">
        <f t="shared" ref="F240:F242" si="14">D240*1.45+E240</f>
        <v>885.27441599999986</v>
      </c>
      <c r="G240" s="85"/>
      <c r="H240" s="85"/>
      <c r="I240" s="37">
        <f>17200000/F246</f>
        <v>19222.276225642676</v>
      </c>
      <c r="J240" s="2">
        <v>618</v>
      </c>
      <c r="S240" s="91" t="e">
        <f>V240&amp;""&amp;#REF!&amp;""&amp;W240</f>
        <v>#REF!</v>
      </c>
      <c r="T240" s="91"/>
      <c r="U240" s="37" t="e">
        <f t="shared" si="13"/>
        <v>#REF!</v>
      </c>
      <c r="V240" s="2" t="e">
        <f t="shared" si="13"/>
        <v>#REF!</v>
      </c>
      <c r="W240" s="2" t="e">
        <f t="shared" si="13"/>
        <v>#REF!</v>
      </c>
    </row>
    <row r="241" spans="1:23" s="2" customFormat="1" ht="15.75" customHeight="1" x14ac:dyDescent="0.25">
      <c r="A241" s="60">
        <v>3</v>
      </c>
      <c r="B241" s="60" t="s">
        <v>217</v>
      </c>
      <c r="C241" s="60" t="s">
        <v>189</v>
      </c>
      <c r="D241" s="60">
        <f>57.33*10.764</f>
        <v>617.10011999999995</v>
      </c>
      <c r="E241" s="60">
        <v>0</v>
      </c>
      <c r="F241" s="60">
        <f t="shared" si="14"/>
        <v>894.79517399999986</v>
      </c>
      <c r="G241" s="85"/>
      <c r="H241" s="85"/>
      <c r="I241" s="37">
        <f>15500000/F247</f>
        <v>16823.533745404846</v>
      </c>
      <c r="J241" s="2">
        <v>639</v>
      </c>
      <c r="S241" s="91" t="e">
        <f>V241&amp;""&amp;#REF!&amp;""&amp;W241</f>
        <v>#REF!</v>
      </c>
      <c r="T241" s="91"/>
      <c r="U241" s="37" t="e">
        <f t="shared" si="13"/>
        <v>#REF!</v>
      </c>
      <c r="V241" s="2" t="e">
        <f t="shared" si="13"/>
        <v>#REF!</v>
      </c>
      <c r="W241" s="2" t="e">
        <f t="shared" si="13"/>
        <v>#REF!</v>
      </c>
    </row>
    <row r="242" spans="1:23" s="2" customFormat="1" x14ac:dyDescent="0.25">
      <c r="A242" s="60">
        <v>4</v>
      </c>
      <c r="B242" s="60" t="s">
        <v>217</v>
      </c>
      <c r="C242" s="60" t="s">
        <v>189</v>
      </c>
      <c r="D242" s="60">
        <f>59.03*10.764</f>
        <v>635.39891999999998</v>
      </c>
      <c r="E242" s="60">
        <v>0</v>
      </c>
      <c r="F242" s="60">
        <f t="shared" si="14"/>
        <v>921.3284339999999</v>
      </c>
      <c r="G242" s="85"/>
      <c r="H242" s="85"/>
      <c r="I242" s="37"/>
      <c r="S242" s="91" t="e">
        <f>V242&amp;""&amp;#REF!&amp;""&amp;W242</f>
        <v>#REF!</v>
      </c>
      <c r="T242" s="91"/>
      <c r="U242" s="37" t="e">
        <f>#REF!+1</f>
        <v>#REF!</v>
      </c>
      <c r="V242" s="2" t="e">
        <f>#REF!+1</f>
        <v>#REF!</v>
      </c>
      <c r="W242" s="2" t="e">
        <f>#REF!+1</f>
        <v>#REF!</v>
      </c>
    </row>
    <row r="243" spans="1:23" s="2" customFormat="1" ht="15.75" customHeight="1" x14ac:dyDescent="0.25">
      <c r="A243" s="92" t="s">
        <v>226</v>
      </c>
      <c r="B243" s="92"/>
      <c r="C243" s="92"/>
      <c r="D243" s="92"/>
      <c r="E243" s="92"/>
      <c r="F243" s="92"/>
      <c r="G243" s="92"/>
      <c r="H243" s="92"/>
      <c r="I243" s="37"/>
      <c r="S243" s="91" t="e">
        <f>V243&amp;""&amp;#REF!&amp;""&amp;W243</f>
        <v>#REF!</v>
      </c>
      <c r="T243" s="91"/>
      <c r="U243" s="37" t="e">
        <f t="shared" ref="U243:W243" si="15">U242+1</f>
        <v>#REF!</v>
      </c>
      <c r="V243" s="2" t="e">
        <f t="shared" si="15"/>
        <v>#REF!</v>
      </c>
      <c r="W243" s="2" t="e">
        <f t="shared" si="15"/>
        <v>#REF!</v>
      </c>
    </row>
    <row r="244" spans="1:23" s="2" customFormat="1" ht="15.75" customHeight="1" x14ac:dyDescent="0.25">
      <c r="A244" s="38">
        <v>1</v>
      </c>
      <c r="B244" s="38" t="s">
        <v>217</v>
      </c>
      <c r="C244" s="85" t="s">
        <v>225</v>
      </c>
      <c r="D244" s="85"/>
      <c r="E244" s="85"/>
      <c r="F244" s="85"/>
      <c r="G244" s="85" t="str">
        <f>A243</f>
        <v>9th Floor (Part Refuge Area )</v>
      </c>
      <c r="H244" s="85"/>
      <c r="I244" s="37"/>
      <c r="S244" s="91" t="e">
        <f>V244&amp;""&amp;#REF!&amp;""&amp;W244</f>
        <v>#REF!</v>
      </c>
      <c r="T244" s="91"/>
      <c r="U244" s="37" t="e">
        <f t="shared" ref="U244:W244" si="16">U243+1</f>
        <v>#REF!</v>
      </c>
      <c r="V244" s="2" t="e">
        <f t="shared" si="16"/>
        <v>#REF!</v>
      </c>
      <c r="W244" s="2" t="e">
        <f t="shared" si="16"/>
        <v>#REF!</v>
      </c>
    </row>
    <row r="245" spans="1:23" s="2" customFormat="1" ht="15.75" customHeight="1" x14ac:dyDescent="0.25">
      <c r="A245" s="38">
        <v>2</v>
      </c>
      <c r="B245" s="38" t="s">
        <v>217</v>
      </c>
      <c r="C245" s="38" t="s">
        <v>189</v>
      </c>
      <c r="D245" s="38">
        <f>56.72*10.764</f>
        <v>610.5340799999999</v>
      </c>
      <c r="E245" s="38">
        <v>0</v>
      </c>
      <c r="F245" s="38">
        <f t="shared" ref="F245:F247" si="17">D245*1.45+E245</f>
        <v>885.27441599999986</v>
      </c>
      <c r="G245" s="85"/>
      <c r="H245" s="85"/>
      <c r="I245" s="37">
        <f>17200000/F251</f>
        <v>19222.276225642676</v>
      </c>
      <c r="J245" s="2">
        <v>618</v>
      </c>
      <c r="S245" s="91" t="e">
        <f>V245&amp;""&amp;#REF!&amp;""&amp;W245</f>
        <v>#REF!</v>
      </c>
      <c r="T245" s="91"/>
      <c r="U245" s="37" t="e">
        <f t="shared" ref="U245:W245" si="18">U244+1</f>
        <v>#REF!</v>
      </c>
      <c r="V245" s="2" t="e">
        <f t="shared" si="18"/>
        <v>#REF!</v>
      </c>
      <c r="W245" s="2" t="e">
        <f t="shared" si="18"/>
        <v>#REF!</v>
      </c>
    </row>
    <row r="246" spans="1:23" s="2" customFormat="1" ht="15.75" customHeight="1" x14ac:dyDescent="0.25">
      <c r="A246" s="38">
        <v>3</v>
      </c>
      <c r="B246" s="38" t="s">
        <v>217</v>
      </c>
      <c r="C246" s="38" t="s">
        <v>189</v>
      </c>
      <c r="D246" s="38">
        <f>57.33*10.764</f>
        <v>617.10011999999995</v>
      </c>
      <c r="E246" s="38">
        <v>0</v>
      </c>
      <c r="F246" s="38">
        <f t="shared" si="17"/>
        <v>894.79517399999986</v>
      </c>
      <c r="G246" s="85"/>
      <c r="H246" s="85"/>
      <c r="I246" s="37">
        <f>15500000/F252</f>
        <v>16823.533745404846</v>
      </c>
      <c r="J246" s="2">
        <v>639</v>
      </c>
      <c r="S246" s="91" t="e">
        <f>V246&amp;""&amp;#REF!&amp;""&amp;W246</f>
        <v>#REF!</v>
      </c>
      <c r="T246" s="91"/>
      <c r="U246" s="37" t="e">
        <f t="shared" ref="U246:W246" si="19">U245+1</f>
        <v>#REF!</v>
      </c>
      <c r="V246" s="2" t="e">
        <f t="shared" si="19"/>
        <v>#REF!</v>
      </c>
      <c r="W246" s="2" t="e">
        <f t="shared" si="19"/>
        <v>#REF!</v>
      </c>
    </row>
    <row r="247" spans="1:23" x14ac:dyDescent="0.25">
      <c r="A247" s="38">
        <v>4</v>
      </c>
      <c r="B247" s="38" t="s">
        <v>217</v>
      </c>
      <c r="C247" s="38" t="s">
        <v>189</v>
      </c>
      <c r="D247" s="38">
        <f>59.03*10.764</f>
        <v>635.39891999999998</v>
      </c>
      <c r="E247" s="38">
        <v>0</v>
      </c>
      <c r="F247" s="38">
        <f t="shared" si="17"/>
        <v>921.3284339999999</v>
      </c>
      <c r="G247" s="85"/>
      <c r="H247" s="85"/>
    </row>
    <row r="248" spans="1:23" x14ac:dyDescent="0.25">
      <c r="A248" s="92" t="s">
        <v>229</v>
      </c>
      <c r="B248" s="92"/>
      <c r="C248" s="92"/>
      <c r="D248" s="92"/>
      <c r="E248" s="92"/>
      <c r="F248" s="92"/>
      <c r="G248" s="92"/>
      <c r="H248" s="92"/>
    </row>
    <row r="249" spans="1:23" x14ac:dyDescent="0.25">
      <c r="A249" s="38">
        <v>1</v>
      </c>
      <c r="B249" s="38" t="s">
        <v>217</v>
      </c>
      <c r="C249" s="85" t="s">
        <v>230</v>
      </c>
      <c r="D249" s="85"/>
      <c r="E249" s="85"/>
      <c r="F249" s="85"/>
      <c r="G249" s="85" t="str">
        <f>A248</f>
        <v>12th Floor (Part Terrace Area )</v>
      </c>
      <c r="H249" s="85"/>
    </row>
    <row r="250" spans="1:23" x14ac:dyDescent="0.25">
      <c r="A250" s="38">
        <v>2</v>
      </c>
      <c r="B250" s="38" t="s">
        <v>217</v>
      </c>
      <c r="C250" s="85"/>
      <c r="D250" s="85"/>
      <c r="E250" s="85"/>
      <c r="F250" s="85"/>
      <c r="G250" s="85"/>
      <c r="H250" s="85"/>
    </row>
    <row r="251" spans="1:23" ht="15" customHeight="1" x14ac:dyDescent="0.25">
      <c r="A251" s="38">
        <v>3</v>
      </c>
      <c r="B251" s="38" t="s">
        <v>217</v>
      </c>
      <c r="C251" s="38" t="s">
        <v>189</v>
      </c>
      <c r="D251" s="38">
        <f>57.33*10.764</f>
        <v>617.10011999999995</v>
      </c>
      <c r="E251" s="38">
        <v>0</v>
      </c>
      <c r="F251" s="38">
        <f t="shared" ref="F251:F252" si="20">D251*1.45+E251</f>
        <v>894.79517399999986</v>
      </c>
      <c r="G251" s="85"/>
      <c r="H251" s="85"/>
    </row>
    <row r="252" spans="1:23" x14ac:dyDescent="0.25">
      <c r="A252" s="38">
        <v>4</v>
      </c>
      <c r="B252" s="38" t="s">
        <v>217</v>
      </c>
      <c r="C252" s="38" t="s">
        <v>189</v>
      </c>
      <c r="D252" s="38">
        <f>59.03*10.764</f>
        <v>635.39891999999998</v>
      </c>
      <c r="E252" s="38">
        <v>0</v>
      </c>
      <c r="F252" s="38">
        <f t="shared" si="20"/>
        <v>921.3284339999999</v>
      </c>
      <c r="G252" s="85"/>
      <c r="H252" s="85"/>
    </row>
    <row r="253" spans="1:23" x14ac:dyDescent="0.25">
      <c r="A253" s="126" t="s">
        <v>73</v>
      </c>
      <c r="B253" s="126"/>
      <c r="C253" s="126"/>
      <c r="D253" s="126"/>
      <c r="E253" s="126"/>
      <c r="F253" s="126"/>
      <c r="G253" s="126"/>
      <c r="H253" s="126"/>
    </row>
    <row r="254" spans="1:23" ht="204" customHeight="1" x14ac:dyDescent="0.25">
      <c r="A254" s="109" t="s">
        <v>289</v>
      </c>
      <c r="B254" s="109"/>
      <c r="C254" s="109"/>
      <c r="D254" s="109"/>
      <c r="E254" s="109"/>
      <c r="F254" s="109"/>
      <c r="G254" s="109"/>
      <c r="H254" s="109"/>
      <c r="I254" s="70" t="s">
        <v>288</v>
      </c>
    </row>
    <row r="255" spans="1:23" x14ac:dyDescent="0.25">
      <c r="A255" s="103" t="s">
        <v>64</v>
      </c>
      <c r="B255" s="103"/>
      <c r="C255" s="103"/>
      <c r="D255" s="103"/>
      <c r="E255" s="103"/>
      <c r="F255" s="103"/>
      <c r="G255" s="103"/>
      <c r="H255" s="103"/>
    </row>
    <row r="256" spans="1:23" x14ac:dyDescent="0.25">
      <c r="A256" s="86" t="s">
        <v>65</v>
      </c>
      <c r="B256" s="86"/>
      <c r="C256" s="86"/>
      <c r="D256" s="86"/>
      <c r="E256" s="86"/>
      <c r="F256" s="86"/>
      <c r="G256" s="86"/>
      <c r="H256" s="86"/>
    </row>
    <row r="257" spans="1:8" x14ac:dyDescent="0.25">
      <c r="A257" s="103" t="s">
        <v>66</v>
      </c>
      <c r="B257" s="103"/>
      <c r="C257" s="103"/>
      <c r="D257" s="103"/>
      <c r="E257" s="103"/>
      <c r="F257" s="103"/>
      <c r="G257" s="103"/>
      <c r="H257" s="103"/>
    </row>
    <row r="258" spans="1:8" x14ac:dyDescent="0.25">
      <c r="A258" s="86" t="s">
        <v>67</v>
      </c>
      <c r="B258" s="86"/>
      <c r="C258" s="86"/>
      <c r="D258" s="86"/>
      <c r="E258" s="86"/>
      <c r="F258" s="86"/>
      <c r="G258" s="86"/>
      <c r="H258" s="86"/>
    </row>
    <row r="259" spans="1:8" x14ac:dyDescent="0.25">
      <c r="A259" s="86" t="s">
        <v>68</v>
      </c>
      <c r="B259" s="86"/>
      <c r="C259" s="86"/>
      <c r="D259" s="86"/>
      <c r="E259" s="86"/>
      <c r="F259" s="86"/>
      <c r="G259" s="86"/>
      <c r="H259" s="86"/>
    </row>
    <row r="260" spans="1:8" x14ac:dyDescent="0.25">
      <c r="A260" s="86" t="s">
        <v>69</v>
      </c>
      <c r="B260" s="86"/>
      <c r="C260" s="86"/>
      <c r="D260" s="86"/>
      <c r="E260" s="86"/>
      <c r="F260" s="86"/>
      <c r="G260" s="86"/>
      <c r="H260" s="86"/>
    </row>
    <row r="261" spans="1:8" x14ac:dyDescent="0.25">
      <c r="A261" s="118" t="s">
        <v>70</v>
      </c>
      <c r="B261" s="118"/>
      <c r="C261" s="118"/>
      <c r="D261" s="118"/>
      <c r="E261" s="118"/>
      <c r="F261" s="118"/>
      <c r="G261" s="118"/>
      <c r="H261" s="118"/>
    </row>
    <row r="262" spans="1:8" x14ac:dyDescent="0.25">
      <c r="A262" s="131" t="s">
        <v>105</v>
      </c>
      <c r="B262" s="131"/>
      <c r="C262" s="131" t="s">
        <v>286</v>
      </c>
      <c r="D262" s="131"/>
      <c r="E262" s="131" t="s">
        <v>138</v>
      </c>
      <c r="F262" s="131"/>
      <c r="G262" s="131" t="s">
        <v>287</v>
      </c>
      <c r="H262" s="131"/>
    </row>
    <row r="263" spans="1:8" x14ac:dyDescent="0.25">
      <c r="A263" s="130" t="s">
        <v>107</v>
      </c>
      <c r="B263" s="130"/>
      <c r="C263" s="130"/>
      <c r="D263" s="130"/>
      <c r="E263" s="130"/>
      <c r="F263" s="130"/>
      <c r="G263" s="130"/>
      <c r="H263" s="130"/>
    </row>
    <row r="264" spans="1:8" x14ac:dyDescent="0.25">
      <c r="A264" s="130"/>
      <c r="B264" s="130"/>
      <c r="C264" s="130"/>
      <c r="D264" s="130"/>
      <c r="E264" s="130"/>
      <c r="F264" s="130"/>
      <c r="G264" s="130"/>
      <c r="H264" s="130"/>
    </row>
    <row r="265" spans="1:8" x14ac:dyDescent="0.25">
      <c r="A265" s="130"/>
      <c r="B265" s="130"/>
      <c r="C265" s="130"/>
      <c r="D265" s="130"/>
      <c r="E265" s="130"/>
      <c r="F265" s="130"/>
      <c r="G265" s="130"/>
      <c r="H265" s="130"/>
    </row>
    <row r="266" spans="1:8" x14ac:dyDescent="0.25">
      <c r="A266" s="130"/>
      <c r="B266" s="130"/>
      <c r="C266" s="130"/>
      <c r="D266" s="130"/>
      <c r="E266" s="130"/>
      <c r="F266" s="130"/>
      <c r="G266" s="130"/>
      <c r="H266" s="130"/>
    </row>
    <row r="267" spans="1:8" x14ac:dyDescent="0.25">
      <c r="A267" s="15" t="s">
        <v>71</v>
      </c>
      <c r="B267" s="16"/>
      <c r="C267" s="16"/>
      <c r="D267" s="15" t="str">
        <f>E8</f>
        <v>VKG Amazon</v>
      </c>
      <c r="F267" s="16"/>
      <c r="G267" s="16"/>
      <c r="H267" s="16"/>
    </row>
    <row r="268" spans="1:8" x14ac:dyDescent="0.25">
      <c r="A268" s="16"/>
      <c r="B268" s="16"/>
      <c r="C268" s="16"/>
      <c r="D268" s="16"/>
      <c r="E268" s="16"/>
      <c r="F268" s="16"/>
      <c r="G268" s="16"/>
      <c r="H268" s="16"/>
    </row>
    <row r="269" spans="1:8" x14ac:dyDescent="0.25">
      <c r="A269" s="16"/>
      <c r="B269" s="16"/>
      <c r="C269" s="16"/>
      <c r="D269" s="16"/>
      <c r="E269" s="16"/>
      <c r="F269" s="16"/>
      <c r="G269" s="16"/>
      <c r="H269" s="16"/>
    </row>
    <row r="295" spans="10:10" x14ac:dyDescent="0.25">
      <c r="J295"/>
    </row>
    <row r="308" spans="1:1" x14ac:dyDescent="0.25">
      <c r="A308" s="18" t="s">
        <v>243</v>
      </c>
    </row>
    <row r="349" spans="1:1" x14ac:dyDescent="0.25">
      <c r="A349" s="18" t="s">
        <v>72</v>
      </c>
    </row>
  </sheetData>
  <mergeCells count="434">
    <mergeCell ref="A48:B48"/>
    <mergeCell ref="C48:E48"/>
    <mergeCell ref="G48:H48"/>
    <mergeCell ref="C104:H104"/>
    <mergeCell ref="A106:B106"/>
    <mergeCell ref="C106:H106"/>
    <mergeCell ref="A107:B107"/>
    <mergeCell ref="E107:F107"/>
    <mergeCell ref="G107:H107"/>
    <mergeCell ref="A104:B104"/>
    <mergeCell ref="A95:B95"/>
    <mergeCell ref="A96:B96"/>
    <mergeCell ref="A97:B97"/>
    <mergeCell ref="A98:B98"/>
    <mergeCell ref="A99:B99"/>
    <mergeCell ref="A100:B100"/>
    <mergeCell ref="A101:B101"/>
    <mergeCell ref="A102:B102"/>
    <mergeCell ref="A103:B103"/>
    <mergeCell ref="C64:H64"/>
    <mergeCell ref="A73:B73"/>
    <mergeCell ref="A74:B74"/>
    <mergeCell ref="A52:B52"/>
    <mergeCell ref="C52:E52"/>
    <mergeCell ref="A108:B108"/>
    <mergeCell ref="E108:F117"/>
    <mergeCell ref="G108:H117"/>
    <mergeCell ref="A109:B109"/>
    <mergeCell ref="A110:B110"/>
    <mergeCell ref="A111:B111"/>
    <mergeCell ref="A112:B112"/>
    <mergeCell ref="A113:B113"/>
    <mergeCell ref="A114:B114"/>
    <mergeCell ref="A115:B115"/>
    <mergeCell ref="A116:B116"/>
    <mergeCell ref="A117:B117"/>
    <mergeCell ref="A205:H205"/>
    <mergeCell ref="A178:H178"/>
    <mergeCell ref="A148:B148"/>
    <mergeCell ref="C148:D148"/>
    <mergeCell ref="E148:F148"/>
    <mergeCell ref="G148:H148"/>
    <mergeCell ref="A149:B149"/>
    <mergeCell ref="C149:D149"/>
    <mergeCell ref="E149:F149"/>
    <mergeCell ref="G149:H149"/>
    <mergeCell ref="A150:B150"/>
    <mergeCell ref="C150:D150"/>
    <mergeCell ref="E150:F150"/>
    <mergeCell ref="G150:H150"/>
    <mergeCell ref="G184:H187"/>
    <mergeCell ref="A184:B184"/>
    <mergeCell ref="B154:B155"/>
    <mergeCell ref="A154:A155"/>
    <mergeCell ref="A176:H176"/>
    <mergeCell ref="A177:H177"/>
    <mergeCell ref="G159:H159"/>
    <mergeCell ref="A166:H166"/>
    <mergeCell ref="G167:H170"/>
    <mergeCell ref="A171:H171"/>
    <mergeCell ref="A248:H248"/>
    <mergeCell ref="S242:T242"/>
    <mergeCell ref="G249:H252"/>
    <mergeCell ref="S243:T243"/>
    <mergeCell ref="S244:T244"/>
    <mergeCell ref="S245:T245"/>
    <mergeCell ref="S246:T246"/>
    <mergeCell ref="C249:F250"/>
    <mergeCell ref="C234:F236"/>
    <mergeCell ref="A235:B235"/>
    <mergeCell ref="G244:H247"/>
    <mergeCell ref="S240:T240"/>
    <mergeCell ref="S241:T241"/>
    <mergeCell ref="S236:T236"/>
    <mergeCell ref="S237:T237"/>
    <mergeCell ref="S238:T238"/>
    <mergeCell ref="S235:T235"/>
    <mergeCell ref="A238:H238"/>
    <mergeCell ref="G141:H141"/>
    <mergeCell ref="A146:B146"/>
    <mergeCell ref="C146:D146"/>
    <mergeCell ref="E146:F146"/>
    <mergeCell ref="G146:H146"/>
    <mergeCell ref="A147:B147"/>
    <mergeCell ref="C147:D147"/>
    <mergeCell ref="E147:F147"/>
    <mergeCell ref="G147:H147"/>
    <mergeCell ref="G144:H144"/>
    <mergeCell ref="A145:H145"/>
    <mergeCell ref="E144:F144"/>
    <mergeCell ref="G137:H137"/>
    <mergeCell ref="G139:H139"/>
    <mergeCell ref="G164:H165"/>
    <mergeCell ref="G202:H204"/>
    <mergeCell ref="A140:B140"/>
    <mergeCell ref="C140:D140"/>
    <mergeCell ref="E140:F140"/>
    <mergeCell ref="G140:H140"/>
    <mergeCell ref="A141:B141"/>
    <mergeCell ref="C141:D141"/>
    <mergeCell ref="E141:F141"/>
    <mergeCell ref="A142:B142"/>
    <mergeCell ref="C142:D142"/>
    <mergeCell ref="E142:F142"/>
    <mergeCell ref="G142:H142"/>
    <mergeCell ref="A143:B143"/>
    <mergeCell ref="C143:D143"/>
    <mergeCell ref="E143:F143"/>
    <mergeCell ref="G143:H143"/>
    <mergeCell ref="G154:H155"/>
    <mergeCell ref="A175:H175"/>
    <mergeCell ref="A156:H156"/>
    <mergeCell ref="A183:H183"/>
    <mergeCell ref="C184:F184"/>
    <mergeCell ref="F131:H131"/>
    <mergeCell ref="A127:E127"/>
    <mergeCell ref="F127:H127"/>
    <mergeCell ref="A128:E128"/>
    <mergeCell ref="F128:H128"/>
    <mergeCell ref="A129:E129"/>
    <mergeCell ref="F129:H129"/>
    <mergeCell ref="A72:B72"/>
    <mergeCell ref="A125:E125"/>
    <mergeCell ref="A126:E126"/>
    <mergeCell ref="F126:H126"/>
    <mergeCell ref="A118:E118"/>
    <mergeCell ref="F118:H118"/>
    <mergeCell ref="A75:B75"/>
    <mergeCell ref="A90:B90"/>
    <mergeCell ref="C90:H90"/>
    <mergeCell ref="A92:B92"/>
    <mergeCell ref="C92:H92"/>
    <mergeCell ref="A93:B93"/>
    <mergeCell ref="E93:F93"/>
    <mergeCell ref="G93:H93"/>
    <mergeCell ref="A94:B94"/>
    <mergeCell ref="E94:F103"/>
    <mergeCell ref="G94:H103"/>
    <mergeCell ref="A62:B62"/>
    <mergeCell ref="C62:H62"/>
    <mergeCell ref="E66:F75"/>
    <mergeCell ref="G66:H75"/>
    <mergeCell ref="A61:C61"/>
    <mergeCell ref="D61:H61"/>
    <mergeCell ref="A60:C60"/>
    <mergeCell ref="D60:H60"/>
    <mergeCell ref="A64:B64"/>
    <mergeCell ref="A53:H53"/>
    <mergeCell ref="A54:C54"/>
    <mergeCell ref="A57:C57"/>
    <mergeCell ref="D57:H57"/>
    <mergeCell ref="A55:C55"/>
    <mergeCell ref="D55:H55"/>
    <mergeCell ref="D54:H54"/>
    <mergeCell ref="D56:H56"/>
    <mergeCell ref="A56:C56"/>
    <mergeCell ref="G52:H52"/>
    <mergeCell ref="C33:E33"/>
    <mergeCell ref="A34:B34"/>
    <mergeCell ref="C34:E34"/>
    <mergeCell ref="C35:E35"/>
    <mergeCell ref="A50:B51"/>
    <mergeCell ref="C51:E51"/>
    <mergeCell ref="A58:C58"/>
    <mergeCell ref="A59:C59"/>
    <mergeCell ref="D58:H58"/>
    <mergeCell ref="D59:H59"/>
    <mergeCell ref="A49:B49"/>
    <mergeCell ref="G51:H51"/>
    <mergeCell ref="G50:H50"/>
    <mergeCell ref="C37:H37"/>
    <mergeCell ref="A38:B38"/>
    <mergeCell ref="C38:H38"/>
    <mergeCell ref="C50:E50"/>
    <mergeCell ref="A47:B47"/>
    <mergeCell ref="C47:E47"/>
    <mergeCell ref="A42:D42"/>
    <mergeCell ref="E42:H42"/>
    <mergeCell ref="E43:H43"/>
    <mergeCell ref="E44:H44"/>
    <mergeCell ref="E45:H45"/>
    <mergeCell ref="A43:D43"/>
    <mergeCell ref="A44:D44"/>
    <mergeCell ref="A45:D45"/>
    <mergeCell ref="A46:H46"/>
    <mergeCell ref="G47:H47"/>
    <mergeCell ref="G49:H49"/>
    <mergeCell ref="C49:E49"/>
    <mergeCell ref="A263:H266"/>
    <mergeCell ref="A262:B262"/>
    <mergeCell ref="E262:F262"/>
    <mergeCell ref="C262:D262"/>
    <mergeCell ref="G262:H262"/>
    <mergeCell ref="A135:H135"/>
    <mergeCell ref="A133:E133"/>
    <mergeCell ref="F133:H133"/>
    <mergeCell ref="A134:E134"/>
    <mergeCell ref="F134:H134"/>
    <mergeCell ref="A163:H163"/>
    <mergeCell ref="A144:B144"/>
    <mergeCell ref="A137:B137"/>
    <mergeCell ref="A258:H258"/>
    <mergeCell ref="A138:H138"/>
    <mergeCell ref="C144:D144"/>
    <mergeCell ref="C136:D136"/>
    <mergeCell ref="E136:F136"/>
    <mergeCell ref="G136:H136"/>
    <mergeCell ref="A261:H261"/>
    <mergeCell ref="A253:H253"/>
    <mergeCell ref="A28:D28"/>
    <mergeCell ref="E28:H28"/>
    <mergeCell ref="A41:D41"/>
    <mergeCell ref="E41:H41"/>
    <mergeCell ref="A29:D29"/>
    <mergeCell ref="E29:H29"/>
    <mergeCell ref="A36:H36"/>
    <mergeCell ref="A35:B35"/>
    <mergeCell ref="A30:D30"/>
    <mergeCell ref="E30:H30"/>
    <mergeCell ref="A39:H39"/>
    <mergeCell ref="A40:D40"/>
    <mergeCell ref="E40:H40"/>
    <mergeCell ref="F32:H32"/>
    <mergeCell ref="F33:H33"/>
    <mergeCell ref="C31:E31"/>
    <mergeCell ref="F34:H34"/>
    <mergeCell ref="F35:H35"/>
    <mergeCell ref="A37:B37"/>
    <mergeCell ref="F31:H31"/>
    <mergeCell ref="A32:B32"/>
    <mergeCell ref="A31:B31"/>
    <mergeCell ref="C32:E32"/>
    <mergeCell ref="A33:B33"/>
    <mergeCell ref="A1:H1"/>
    <mergeCell ref="A2:H2"/>
    <mergeCell ref="A3:D3"/>
    <mergeCell ref="E3:H3"/>
    <mergeCell ref="A4:D4"/>
    <mergeCell ref="A8:D8"/>
    <mergeCell ref="E8:H8"/>
    <mergeCell ref="A10:D10"/>
    <mergeCell ref="E10:H10"/>
    <mergeCell ref="E4:H4"/>
    <mergeCell ref="A12:D12"/>
    <mergeCell ref="E12:H12"/>
    <mergeCell ref="A5:D5"/>
    <mergeCell ref="E5:H5"/>
    <mergeCell ref="A6:D6"/>
    <mergeCell ref="E6:H6"/>
    <mergeCell ref="A7:D7"/>
    <mergeCell ref="E7:H7"/>
    <mergeCell ref="A16:B16"/>
    <mergeCell ref="A13:D13"/>
    <mergeCell ref="E13:H13"/>
    <mergeCell ref="A14:D14"/>
    <mergeCell ref="E14:H14"/>
    <mergeCell ref="A15:B15"/>
    <mergeCell ref="C15:H15"/>
    <mergeCell ref="C16:H16"/>
    <mergeCell ref="A11:D11"/>
    <mergeCell ref="E11:H11"/>
    <mergeCell ref="A17:B17"/>
    <mergeCell ref="C17:D17"/>
    <mergeCell ref="E17:F17"/>
    <mergeCell ref="G17:H17"/>
    <mergeCell ref="A25:D25"/>
    <mergeCell ref="A18:B18"/>
    <mergeCell ref="C18:D18"/>
    <mergeCell ref="E18:F18"/>
    <mergeCell ref="G18:H18"/>
    <mergeCell ref="A26:D26"/>
    <mergeCell ref="E26:H26"/>
    <mergeCell ref="E25:H25"/>
    <mergeCell ref="A27:D27"/>
    <mergeCell ref="E27:H27"/>
    <mergeCell ref="A24:D24"/>
    <mergeCell ref="E24:H24"/>
    <mergeCell ref="A19:B19"/>
    <mergeCell ref="C19:D19"/>
    <mergeCell ref="E19:F19"/>
    <mergeCell ref="G19:H19"/>
    <mergeCell ref="A20:B20"/>
    <mergeCell ref="C20:D20"/>
    <mergeCell ref="E20:F20"/>
    <mergeCell ref="G20:H20"/>
    <mergeCell ref="A21:D22"/>
    <mergeCell ref="E21:H22"/>
    <mergeCell ref="A23:D23"/>
    <mergeCell ref="E23:H23"/>
    <mergeCell ref="A254:H254"/>
    <mergeCell ref="A255:H255"/>
    <mergeCell ref="A256:H256"/>
    <mergeCell ref="A153:H153"/>
    <mergeCell ref="A139:B139"/>
    <mergeCell ref="A66:B66"/>
    <mergeCell ref="A152:H152"/>
    <mergeCell ref="A130:E130"/>
    <mergeCell ref="G65:H65"/>
    <mergeCell ref="A132:E132"/>
    <mergeCell ref="F132:H132"/>
    <mergeCell ref="A67:B67"/>
    <mergeCell ref="F130:H130"/>
    <mergeCell ref="A131:E131"/>
    <mergeCell ref="A68:B68"/>
    <mergeCell ref="E65:F65"/>
    <mergeCell ref="A65:B65"/>
    <mergeCell ref="E137:F137"/>
    <mergeCell ref="G161:H162"/>
    <mergeCell ref="E154:E155"/>
    <mergeCell ref="D154:D155"/>
    <mergeCell ref="C154:C155"/>
    <mergeCell ref="A243:H243"/>
    <mergeCell ref="C244:F244"/>
    <mergeCell ref="A257:H257"/>
    <mergeCell ref="A160:H160"/>
    <mergeCell ref="A158:H158"/>
    <mergeCell ref="A69:B69"/>
    <mergeCell ref="F125:H125"/>
    <mergeCell ref="A259:H259"/>
    <mergeCell ref="A260:H260"/>
    <mergeCell ref="A157:H157"/>
    <mergeCell ref="A136:B136"/>
    <mergeCell ref="A124:E124"/>
    <mergeCell ref="A121:H121"/>
    <mergeCell ref="A122:E122"/>
    <mergeCell ref="F122:H122"/>
    <mergeCell ref="A119:H119"/>
    <mergeCell ref="A120:B120"/>
    <mergeCell ref="C120:H120"/>
    <mergeCell ref="F123:H123"/>
    <mergeCell ref="A123:E123"/>
    <mergeCell ref="F124:H124"/>
    <mergeCell ref="C139:D139"/>
    <mergeCell ref="E139:F139"/>
    <mergeCell ref="A70:B70"/>
    <mergeCell ref="A71:B71"/>
    <mergeCell ref="C137:D137"/>
    <mergeCell ref="S219:T219"/>
    <mergeCell ref="S220:T220"/>
    <mergeCell ref="S221:T221"/>
    <mergeCell ref="A188:H188"/>
    <mergeCell ref="S239:T239"/>
    <mergeCell ref="A228:H228"/>
    <mergeCell ref="G206:H209"/>
    <mergeCell ref="B209:F209"/>
    <mergeCell ref="G216:H219"/>
    <mergeCell ref="B219:F219"/>
    <mergeCell ref="A220:H220"/>
    <mergeCell ref="G221:H224"/>
    <mergeCell ref="G239:H242"/>
    <mergeCell ref="S222:T222"/>
    <mergeCell ref="S226:T226"/>
    <mergeCell ref="G229:H232"/>
    <mergeCell ref="G234:H237"/>
    <mergeCell ref="S227:T227"/>
    <mergeCell ref="A234:B234"/>
    <mergeCell ref="S228:T228"/>
    <mergeCell ref="S229:T229"/>
    <mergeCell ref="S198:T198"/>
    <mergeCell ref="S199:T199"/>
    <mergeCell ref="A225:H225"/>
    <mergeCell ref="S231:T231"/>
    <mergeCell ref="S232:T232"/>
    <mergeCell ref="A236:B236"/>
    <mergeCell ref="S230:T230"/>
    <mergeCell ref="A229:B229"/>
    <mergeCell ref="S223:T223"/>
    <mergeCell ref="A230:B230"/>
    <mergeCell ref="S224:T224"/>
    <mergeCell ref="A231:B231"/>
    <mergeCell ref="S225:T225"/>
    <mergeCell ref="C229:F231"/>
    <mergeCell ref="A226:H226"/>
    <mergeCell ref="A227:H227"/>
    <mergeCell ref="S234:T234"/>
    <mergeCell ref="S178:T178"/>
    <mergeCell ref="S197:T197"/>
    <mergeCell ref="S201:T201"/>
    <mergeCell ref="A193:H193"/>
    <mergeCell ref="C194:F194"/>
    <mergeCell ref="G189:H192"/>
    <mergeCell ref="A201:H201"/>
    <mergeCell ref="A198:H198"/>
    <mergeCell ref="A199:H199"/>
    <mergeCell ref="A200:H200"/>
    <mergeCell ref="S181:T181"/>
    <mergeCell ref="G179:H182"/>
    <mergeCell ref="A179:B179"/>
    <mergeCell ref="S180:T180"/>
    <mergeCell ref="S179:T179"/>
    <mergeCell ref="G194:H197"/>
    <mergeCell ref="G172:H174"/>
    <mergeCell ref="C179:F179"/>
    <mergeCell ref="A9:D9"/>
    <mergeCell ref="E9:H9"/>
    <mergeCell ref="A151:B151"/>
    <mergeCell ref="C151:D151"/>
    <mergeCell ref="E151:F151"/>
    <mergeCell ref="G151:H151"/>
    <mergeCell ref="S233:T233"/>
    <mergeCell ref="S204:T204"/>
    <mergeCell ref="S205:T205"/>
    <mergeCell ref="S206:T206"/>
    <mergeCell ref="A210:H210"/>
    <mergeCell ref="A215:H215"/>
    <mergeCell ref="G211:H214"/>
    <mergeCell ref="S183:T183"/>
    <mergeCell ref="S184:T184"/>
    <mergeCell ref="S185:T185"/>
    <mergeCell ref="S186:T186"/>
    <mergeCell ref="A194:B194"/>
    <mergeCell ref="S202:T202"/>
    <mergeCell ref="S203:T203"/>
    <mergeCell ref="A233:H233"/>
    <mergeCell ref="S207:T207"/>
    <mergeCell ref="A76:B76"/>
    <mergeCell ref="C76:H76"/>
    <mergeCell ref="A78:B78"/>
    <mergeCell ref="C78:H78"/>
    <mergeCell ref="A79:B79"/>
    <mergeCell ref="E79:F79"/>
    <mergeCell ref="G79:H79"/>
    <mergeCell ref="A80:B80"/>
    <mergeCell ref="E80:F89"/>
    <mergeCell ref="G80:H89"/>
    <mergeCell ref="A81:B81"/>
    <mergeCell ref="A82:B82"/>
    <mergeCell ref="A83:B83"/>
    <mergeCell ref="A84:B84"/>
    <mergeCell ref="A85:B85"/>
    <mergeCell ref="A86:B86"/>
    <mergeCell ref="A87:B87"/>
    <mergeCell ref="A88:B88"/>
    <mergeCell ref="A89:B89"/>
  </mergeCells>
  <hyperlinks>
    <hyperlink ref="C38" r:id="rId1"/>
  </hyperlinks>
  <printOptions horizontalCentered="1"/>
  <pageMargins left="0.39370078740157483" right="0.39370078740157483" top="0.78740157480314965" bottom="0.78740157480314965" header="0.19685039370078741" footer="0.19685039370078741"/>
  <pageSetup scale="96" fitToHeight="0" orientation="portrait" r:id="rId2"/>
  <headerFooter>
    <oddHeader>&amp;C&amp;G</oddHeader>
    <oddFooter>&amp;L&amp;"Times New Roman,Bold"&amp;12Ref No: &amp;F&amp;C&amp;G&amp;R&amp;"Times New Roman,Bold"&amp;12                                                      &amp;P</oddFooter>
  </headerFooter>
  <rowBreaks count="5" manualBreakCount="5">
    <brk id="61" max="7" man="1"/>
    <brk id="89" max="16383" man="1"/>
    <brk id="266" max="7" man="1"/>
    <brk id="307" max="7" man="1"/>
    <brk id="348" max="7"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36"/>
  <sheetViews>
    <sheetView workbookViewId="0">
      <selection activeCell="M197" sqref="M197"/>
    </sheetView>
  </sheetViews>
  <sheetFormatPr defaultRowHeight="15" x14ac:dyDescent="0.25"/>
  <cols>
    <col min="2" max="2" width="12.28515625" customWidth="1"/>
  </cols>
  <sheetData>
    <row r="2" spans="1:12" x14ac:dyDescent="0.25">
      <c r="B2" s="3" t="s">
        <v>74</v>
      </c>
      <c r="C2" s="154"/>
      <c r="D2" s="154"/>
    </row>
    <row r="3" spans="1:12" x14ac:dyDescent="0.25">
      <c r="D3" s="4"/>
      <c r="E3" s="4"/>
      <c r="F3" s="4"/>
      <c r="G3" s="4"/>
      <c r="H3" s="4"/>
      <c r="I3" s="4"/>
    </row>
    <row r="4" spans="1:12" x14ac:dyDescent="0.25">
      <c r="A4" s="3" t="s">
        <v>75</v>
      </c>
      <c r="B4" s="5" t="s">
        <v>76</v>
      </c>
      <c r="C4" s="155" t="s">
        <v>77</v>
      </c>
      <c r="D4" s="155"/>
      <c r="E4" s="155"/>
      <c r="F4" s="6"/>
      <c r="G4" s="155" t="s">
        <v>78</v>
      </c>
      <c r="H4" s="155"/>
      <c r="I4" s="155"/>
      <c r="J4" s="155" t="s">
        <v>79</v>
      </c>
      <c r="K4" s="155"/>
      <c r="L4" s="155"/>
    </row>
    <row r="5" spans="1:12" x14ac:dyDescent="0.25">
      <c r="A5" s="3">
        <v>202</v>
      </c>
      <c r="B5" s="5"/>
      <c r="C5" s="5" t="s">
        <v>80</v>
      </c>
      <c r="D5" s="5" t="s">
        <v>81</v>
      </c>
      <c r="E5" s="5" t="s">
        <v>58</v>
      </c>
      <c r="F5" s="5"/>
      <c r="G5" s="5" t="s">
        <v>80</v>
      </c>
      <c r="H5" s="5" t="s">
        <v>81</v>
      </c>
      <c r="I5" s="5" t="s">
        <v>58</v>
      </c>
      <c r="J5" s="5" t="s">
        <v>80</v>
      </c>
      <c r="K5" s="5" t="s">
        <v>81</v>
      </c>
      <c r="L5" s="5" t="s">
        <v>58</v>
      </c>
    </row>
    <row r="6" spans="1:12" x14ac:dyDescent="0.25">
      <c r="B6" s="7" t="s">
        <v>82</v>
      </c>
      <c r="C6" s="7">
        <v>4.5</v>
      </c>
      <c r="D6" s="7">
        <v>2.9</v>
      </c>
      <c r="E6" s="7">
        <f>C6*D6</f>
        <v>13.049999999999999</v>
      </c>
      <c r="F6" s="7" t="s">
        <v>83</v>
      </c>
      <c r="G6" s="7"/>
      <c r="H6" s="7"/>
      <c r="I6" s="7">
        <f>G6*H6</f>
        <v>0</v>
      </c>
      <c r="J6" s="7"/>
      <c r="K6" s="7"/>
      <c r="L6" s="7">
        <f>J6*K6</f>
        <v>0</v>
      </c>
    </row>
    <row r="7" spans="1:12" x14ac:dyDescent="0.25">
      <c r="B7" s="7"/>
      <c r="C7" s="7"/>
      <c r="D7" s="7"/>
      <c r="E7" s="7">
        <f t="shared" ref="E7:E33" si="0">C7*D7</f>
        <v>0</v>
      </c>
      <c r="F7" s="7" t="s">
        <v>84</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85</v>
      </c>
      <c r="C9" s="7">
        <v>1.88</v>
      </c>
      <c r="D9" s="7">
        <v>2.13</v>
      </c>
      <c r="E9" s="7">
        <f t="shared" si="0"/>
        <v>4.0043999999999995</v>
      </c>
      <c r="F9" s="7" t="s">
        <v>83</v>
      </c>
      <c r="G9" s="7"/>
      <c r="H9" s="7"/>
      <c r="I9" s="7">
        <f t="shared" si="1"/>
        <v>0</v>
      </c>
      <c r="J9" s="7"/>
      <c r="K9" s="7"/>
      <c r="L9" s="7">
        <f t="shared" si="2"/>
        <v>0</v>
      </c>
    </row>
    <row r="10" spans="1:12" x14ac:dyDescent="0.25">
      <c r="B10" s="7"/>
      <c r="C10" s="7"/>
      <c r="D10" s="7"/>
      <c r="E10" s="7">
        <f t="shared" si="0"/>
        <v>0</v>
      </c>
      <c r="F10" s="7" t="s">
        <v>84</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86</v>
      </c>
      <c r="C13" s="7"/>
      <c r="D13" s="7"/>
      <c r="E13" s="7">
        <f t="shared" si="0"/>
        <v>0</v>
      </c>
      <c r="F13" s="7" t="s">
        <v>83</v>
      </c>
      <c r="G13" s="7"/>
      <c r="H13" s="7"/>
      <c r="I13" s="7">
        <f t="shared" si="1"/>
        <v>0</v>
      </c>
      <c r="J13" s="7"/>
      <c r="K13" s="7"/>
      <c r="L13" s="7">
        <f t="shared" si="2"/>
        <v>0</v>
      </c>
    </row>
    <row r="14" spans="1:12" x14ac:dyDescent="0.25">
      <c r="B14" s="7"/>
      <c r="C14" s="7"/>
      <c r="D14" s="7"/>
      <c r="E14" s="7">
        <f t="shared" si="0"/>
        <v>0</v>
      </c>
      <c r="F14" s="7" t="s">
        <v>84</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87</v>
      </c>
      <c r="C17" s="7"/>
      <c r="D17" s="7"/>
      <c r="E17" s="7">
        <f t="shared" si="0"/>
        <v>0</v>
      </c>
      <c r="F17" s="7" t="s">
        <v>83</v>
      </c>
      <c r="G17" s="7"/>
      <c r="H17" s="7"/>
      <c r="I17" s="7">
        <f t="shared" si="1"/>
        <v>0</v>
      </c>
      <c r="J17" s="7"/>
      <c r="K17" s="7"/>
      <c r="L17" s="7">
        <f t="shared" si="2"/>
        <v>0</v>
      </c>
    </row>
    <row r="18" spans="2:12" x14ac:dyDescent="0.25">
      <c r="B18" s="7"/>
      <c r="C18" s="7"/>
      <c r="D18" s="7"/>
      <c r="E18" s="7">
        <f t="shared" si="0"/>
        <v>0</v>
      </c>
      <c r="F18" s="7" t="s">
        <v>84</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87</v>
      </c>
      <c r="C20" s="7"/>
      <c r="D20" s="7"/>
      <c r="E20" s="7">
        <f t="shared" si="0"/>
        <v>0</v>
      </c>
      <c r="F20" s="7" t="s">
        <v>83</v>
      </c>
      <c r="G20" s="7"/>
      <c r="H20" s="7"/>
      <c r="I20" s="7">
        <f t="shared" si="1"/>
        <v>0</v>
      </c>
      <c r="J20" s="7"/>
      <c r="K20" s="7"/>
      <c r="L20" s="7">
        <f t="shared" si="2"/>
        <v>0</v>
      </c>
    </row>
    <row r="21" spans="2:12" x14ac:dyDescent="0.25">
      <c r="B21" s="7"/>
      <c r="C21" s="7"/>
      <c r="D21" s="7"/>
      <c r="E21" s="7">
        <f t="shared" si="0"/>
        <v>0</v>
      </c>
      <c r="F21" s="7" t="s">
        <v>84</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88</v>
      </c>
      <c r="C23" s="7">
        <v>1.9</v>
      </c>
      <c r="D23" s="7">
        <v>1.07</v>
      </c>
      <c r="E23" s="7">
        <f t="shared" si="0"/>
        <v>2.0329999999999999</v>
      </c>
      <c r="F23" s="7" t="s">
        <v>89</v>
      </c>
      <c r="G23" s="7"/>
      <c r="H23" s="7"/>
      <c r="I23" s="7">
        <f t="shared" si="1"/>
        <v>0</v>
      </c>
      <c r="J23" s="7"/>
      <c r="K23" s="7"/>
      <c r="L23" s="7">
        <f t="shared" si="2"/>
        <v>0</v>
      </c>
    </row>
    <row r="24" spans="2:12" x14ac:dyDescent="0.25">
      <c r="B24" s="7" t="s">
        <v>90</v>
      </c>
      <c r="C24" s="7"/>
      <c r="D24" s="7"/>
      <c r="E24" s="7">
        <f t="shared" si="0"/>
        <v>0</v>
      </c>
      <c r="F24" s="7" t="s">
        <v>89</v>
      </c>
      <c r="G24" s="7"/>
      <c r="H24" s="7"/>
      <c r="I24" s="7">
        <f t="shared" si="1"/>
        <v>0</v>
      </c>
      <c r="J24" s="7"/>
      <c r="K24" s="7"/>
      <c r="L24" s="7">
        <f t="shared" si="2"/>
        <v>0</v>
      </c>
    </row>
    <row r="25" spans="2:12" x14ac:dyDescent="0.25">
      <c r="B25" s="7" t="s">
        <v>91</v>
      </c>
      <c r="C25" s="7"/>
      <c r="D25" s="7"/>
      <c r="E25" s="7">
        <f t="shared" si="0"/>
        <v>0</v>
      </c>
      <c r="F25" s="7" t="s">
        <v>89</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92</v>
      </c>
      <c r="C27" s="7"/>
      <c r="D27" s="7"/>
      <c r="E27" s="7">
        <f t="shared" si="0"/>
        <v>0</v>
      </c>
      <c r="F27" s="7"/>
      <c r="G27" s="7"/>
      <c r="H27" s="7"/>
      <c r="I27" s="7">
        <f t="shared" si="1"/>
        <v>0</v>
      </c>
      <c r="J27" s="7"/>
      <c r="K27" s="7"/>
      <c r="L27" s="7">
        <f t="shared" si="2"/>
        <v>0</v>
      </c>
    </row>
    <row r="28" spans="2:12" x14ac:dyDescent="0.25">
      <c r="B28" s="7" t="s">
        <v>93</v>
      </c>
      <c r="C28" s="7"/>
      <c r="D28" s="7"/>
      <c r="E28" s="7">
        <f t="shared" si="0"/>
        <v>0</v>
      </c>
      <c r="F28" s="7"/>
      <c r="G28" s="7"/>
      <c r="H28" s="7"/>
      <c r="I28" s="7">
        <f t="shared" si="1"/>
        <v>0</v>
      </c>
      <c r="J28" s="7"/>
      <c r="K28" s="7"/>
      <c r="L28" s="7">
        <f t="shared" si="2"/>
        <v>0</v>
      </c>
    </row>
    <row r="29" spans="2:12" x14ac:dyDescent="0.25">
      <c r="B29" s="7" t="s">
        <v>94</v>
      </c>
      <c r="C29" s="7"/>
      <c r="D29" s="7"/>
      <c r="E29" s="7">
        <f t="shared" si="0"/>
        <v>0</v>
      </c>
      <c r="F29" s="7"/>
      <c r="G29" s="7"/>
      <c r="H29" s="7"/>
      <c r="I29" s="7">
        <f t="shared" si="1"/>
        <v>0</v>
      </c>
      <c r="J29" s="7"/>
      <c r="K29" s="7"/>
      <c r="L29" s="7">
        <f t="shared" si="2"/>
        <v>0</v>
      </c>
    </row>
    <row r="30" spans="2:12" x14ac:dyDescent="0.25">
      <c r="B30" s="7" t="s">
        <v>95</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59</v>
      </c>
      <c r="C34" s="7"/>
      <c r="D34" s="7">
        <f>E34*10.764</f>
        <v>205.45677359999996</v>
      </c>
      <c r="E34" s="7">
        <f>SUM(E6:E33)</f>
        <v>19.087399999999999</v>
      </c>
      <c r="F34" s="7"/>
      <c r="G34" s="7"/>
      <c r="H34" s="7">
        <f>I34*10.764</f>
        <v>0</v>
      </c>
      <c r="I34" s="7">
        <f>SUM(I6:I33)</f>
        <v>0</v>
      </c>
      <c r="J34" s="7"/>
      <c r="K34" s="7">
        <f>L34*10.764</f>
        <v>0</v>
      </c>
      <c r="L34" s="7">
        <f>SUM(L6:L33)</f>
        <v>0</v>
      </c>
    </row>
    <row r="36" spans="2:12" x14ac:dyDescent="0.2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C16" sqref="C16"/>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1"/>
  <sheetViews>
    <sheetView zoomScale="115" zoomScaleNormal="115" workbookViewId="0">
      <selection activeCell="C8" sqref="C8"/>
    </sheetView>
  </sheetViews>
  <sheetFormatPr defaultColWidth="8.7109375" defaultRowHeight="15" x14ac:dyDescent="0.25"/>
  <cols>
    <col min="1" max="1" width="8.7109375" style="27"/>
    <col min="2" max="2" width="22.140625" style="27" customWidth="1"/>
    <col min="3" max="3" width="37" style="27" customWidth="1"/>
    <col min="4" max="5" width="11.42578125" style="27" customWidth="1"/>
    <col min="6" max="6" width="14" style="27" customWidth="1"/>
    <col min="7" max="7" width="20" style="27" customWidth="1"/>
    <col min="8" max="8" width="16.42578125" style="27" customWidth="1"/>
    <col min="9" max="16384" width="8.7109375" style="27"/>
  </cols>
  <sheetData>
    <row r="1" spans="1:9" ht="15" customHeight="1" x14ac:dyDescent="0.25"/>
    <row r="2" spans="1:9" ht="15" customHeight="1" x14ac:dyDescent="0.25">
      <c r="A2" s="28"/>
      <c r="B2" s="28"/>
      <c r="C2" s="28"/>
      <c r="D2" s="28"/>
      <c r="E2" s="28"/>
      <c r="F2" s="28"/>
      <c r="G2" s="28"/>
      <c r="H2" s="28"/>
    </row>
    <row r="3" spans="1:9" ht="15.75" customHeight="1" x14ac:dyDescent="0.25">
      <c r="A3" s="28"/>
      <c r="B3" s="156" t="s">
        <v>139</v>
      </c>
      <c r="C3" s="156"/>
      <c r="D3" s="156"/>
      <c r="E3" s="156"/>
      <c r="F3" s="156"/>
      <c r="G3" s="156"/>
      <c r="H3" s="156"/>
    </row>
    <row r="4" spans="1:9" x14ac:dyDescent="0.25">
      <c r="A4" s="28"/>
      <c r="B4" s="29" t="s">
        <v>140</v>
      </c>
      <c r="C4" s="29" t="s">
        <v>141</v>
      </c>
      <c r="D4" s="29" t="s">
        <v>75</v>
      </c>
      <c r="E4" s="29" t="s">
        <v>142</v>
      </c>
      <c r="F4" s="29" t="s">
        <v>146</v>
      </c>
      <c r="G4" s="29" t="s">
        <v>147</v>
      </c>
      <c r="H4" s="29" t="s">
        <v>143</v>
      </c>
    </row>
    <row r="5" spans="1:9" ht="15" customHeight="1" x14ac:dyDescent="0.25">
      <c r="A5" s="28"/>
      <c r="B5" s="54" t="s">
        <v>213</v>
      </c>
      <c r="C5" s="55" t="s">
        <v>214</v>
      </c>
      <c r="D5" s="54" t="s">
        <v>161</v>
      </c>
      <c r="E5" s="31">
        <v>415</v>
      </c>
      <c r="F5" s="32">
        <f>E5*1.5</f>
        <v>622.5</v>
      </c>
      <c r="G5" s="32">
        <f>H5/F5</f>
        <v>15662.650602409638</v>
      </c>
      <c r="H5" s="33">
        <v>9750000</v>
      </c>
    </row>
    <row r="6" spans="1:9" x14ac:dyDescent="0.25">
      <c r="A6" s="28"/>
      <c r="B6" s="54" t="s">
        <v>213</v>
      </c>
      <c r="C6" s="55" t="s">
        <v>214</v>
      </c>
      <c r="D6" s="54" t="s">
        <v>189</v>
      </c>
      <c r="E6" s="31">
        <v>615</v>
      </c>
      <c r="F6" s="32">
        <f>E6*1.5</f>
        <v>922.5</v>
      </c>
      <c r="G6" s="32">
        <f>H6/F6</f>
        <v>15718.157181571816</v>
      </c>
      <c r="H6" s="33">
        <v>14500000</v>
      </c>
    </row>
    <row r="7" spans="1:9" ht="15" customHeight="1" x14ac:dyDescent="0.25">
      <c r="A7" s="28"/>
      <c r="B7" s="34" t="s">
        <v>144</v>
      </c>
      <c r="C7" s="31"/>
      <c r="D7" s="31"/>
      <c r="E7" s="31"/>
      <c r="F7" s="31"/>
      <c r="G7" s="35">
        <f>AVERAGE(G5:G6)</f>
        <v>15690.403891990727</v>
      </c>
      <c r="H7" s="31"/>
    </row>
    <row r="8" spans="1:9" ht="15" customHeight="1" x14ac:dyDescent="0.25">
      <c r="B8" s="34" t="s">
        <v>145</v>
      </c>
      <c r="C8" s="31"/>
      <c r="D8" s="31"/>
      <c r="E8" s="31"/>
      <c r="F8" s="36"/>
      <c r="G8" s="34">
        <v>15700</v>
      </c>
      <c r="H8" s="34"/>
      <c r="I8" s="30"/>
    </row>
    <row r="9" spans="1:9" ht="15" customHeight="1" x14ac:dyDescent="0.25"/>
    <row r="10" spans="1:9" ht="15" customHeight="1" x14ac:dyDescent="0.25"/>
    <row r="11" spans="1:9" ht="15" customHeight="1" x14ac:dyDescent="0.25"/>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2025-08-18T13:10:34Z</cp:lastPrinted>
  <dcterms:created xsi:type="dcterms:W3CDTF">2019-07-16T09:29:46Z</dcterms:created>
  <dcterms:modified xsi:type="dcterms:W3CDTF">2025-08-19T08:15:18Z</dcterms:modified>
</cp:coreProperties>
</file>