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662"/>
  </bookViews>
  <sheets>
    <sheet name="Report" sheetId="1" r:id="rId1"/>
    <sheet name="valuation" sheetId="5" r:id="rId2"/>
    <sheet name="Research" sheetId="4" r:id="rId3"/>
  </sheets>
  <definedNames>
    <definedName name="_xlnm.Print_Area" localSheetId="0">Report!$A$1:$H$317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1" i="1" l="1"/>
  <c r="E170" i="1"/>
  <c r="I127" i="1"/>
  <c r="E132" i="1" l="1"/>
  <c r="E131" i="1"/>
  <c r="E125" i="1" l="1"/>
  <c r="E120" i="1"/>
  <c r="E118" i="1"/>
  <c r="E117" i="1"/>
  <c r="E116" i="1"/>
  <c r="E115" i="1"/>
  <c r="E114" i="1"/>
  <c r="E113" i="1"/>
  <c r="E112" i="1"/>
  <c r="E111" i="1"/>
  <c r="E110" i="1"/>
  <c r="E109" i="1"/>
  <c r="D171" i="1"/>
  <c r="F171" i="1" s="1"/>
  <c r="D170" i="1"/>
  <c r="D169" i="1"/>
  <c r="F169" i="1" s="1"/>
  <c r="D168" i="1"/>
  <c r="F168" i="1" s="1"/>
  <c r="D167" i="1"/>
  <c r="F167" i="1" s="1"/>
  <c r="D166" i="1"/>
  <c r="F166" i="1" s="1"/>
  <c r="D164" i="1"/>
  <c r="F164" i="1" s="1"/>
  <c r="D163" i="1"/>
  <c r="F163" i="1" s="1"/>
  <c r="D162" i="1"/>
  <c r="F162" i="1" s="1"/>
  <c r="D161" i="1"/>
  <c r="F161" i="1" s="1"/>
  <c r="D160" i="1"/>
  <c r="F160" i="1" s="1"/>
  <c r="D159" i="1"/>
  <c r="F159" i="1" s="1"/>
  <c r="D158" i="1"/>
  <c r="D157" i="1"/>
  <c r="F157" i="1" s="1"/>
  <c r="D155" i="1"/>
  <c r="F155" i="1" s="1"/>
  <c r="D154" i="1"/>
  <c r="F154" i="1" s="1"/>
  <c r="D153" i="1"/>
  <c r="F153" i="1" s="1"/>
  <c r="D152" i="1"/>
  <c r="F152" i="1" s="1"/>
  <c r="D151" i="1"/>
  <c r="F151" i="1" s="1"/>
  <c r="D150" i="1"/>
  <c r="F150" i="1" s="1"/>
  <c r="D149" i="1"/>
  <c r="F149" i="1" s="1"/>
  <c r="D148" i="1"/>
  <c r="F148" i="1" s="1"/>
  <c r="D146" i="1"/>
  <c r="F146" i="1" s="1"/>
  <c r="D145" i="1"/>
  <c r="F145" i="1" s="1"/>
  <c r="D144" i="1"/>
  <c r="F144" i="1" s="1"/>
  <c r="D143" i="1"/>
  <c r="F143" i="1" s="1"/>
  <c r="D142" i="1"/>
  <c r="F142" i="1" s="1"/>
  <c r="D141" i="1"/>
  <c r="F141" i="1" s="1"/>
  <c r="D140" i="1"/>
  <c r="F140" i="1" s="1"/>
  <c r="D139" i="1"/>
  <c r="F139" i="1" s="1"/>
  <c r="D137" i="1"/>
  <c r="D136" i="1"/>
  <c r="D135" i="1"/>
  <c r="D134" i="1"/>
  <c r="F134" i="1" s="1"/>
  <c r="D133" i="1"/>
  <c r="D132" i="1"/>
  <c r="D131" i="1"/>
  <c r="D130" i="1"/>
  <c r="D125" i="1"/>
  <c r="D124" i="1"/>
  <c r="F124" i="1" s="1"/>
  <c r="D123" i="1"/>
  <c r="F123" i="1" s="1"/>
  <c r="D122" i="1"/>
  <c r="F122" i="1" s="1"/>
  <c r="D121" i="1"/>
  <c r="F121" i="1" s="1"/>
  <c r="D120" i="1"/>
  <c r="D118" i="1"/>
  <c r="D117" i="1"/>
  <c r="D116" i="1"/>
  <c r="D115" i="1"/>
  <c r="D114" i="1"/>
  <c r="D113" i="1"/>
  <c r="D112" i="1"/>
  <c r="D111" i="1"/>
  <c r="D110" i="1"/>
  <c r="D109" i="1"/>
  <c r="L132" i="1"/>
  <c r="J170" i="1"/>
  <c r="I170" i="1"/>
  <c r="A167" i="1"/>
  <c r="A168" i="1" s="1"/>
  <c r="A169" i="1" s="1"/>
  <c r="A170" i="1" s="1"/>
  <c r="A171" i="1" s="1"/>
  <c r="G166" i="1"/>
  <c r="F158" i="1"/>
  <c r="A158" i="1"/>
  <c r="A159" i="1" s="1"/>
  <c r="A160" i="1" s="1"/>
  <c r="A161" i="1" s="1"/>
  <c r="A162" i="1" s="1"/>
  <c r="A163" i="1" s="1"/>
  <c r="A164" i="1" s="1"/>
  <c r="G157" i="1"/>
  <c r="A149" i="1"/>
  <c r="A150" i="1" s="1"/>
  <c r="A151" i="1" s="1"/>
  <c r="A152" i="1" s="1"/>
  <c r="A153" i="1" s="1"/>
  <c r="A154" i="1" s="1"/>
  <c r="A155" i="1" s="1"/>
  <c r="G148" i="1"/>
  <c r="A140" i="1"/>
  <c r="A141" i="1" s="1"/>
  <c r="A142" i="1" s="1"/>
  <c r="A143" i="1" s="1"/>
  <c r="G139" i="1"/>
  <c r="K131" i="1"/>
  <c r="K130" i="1"/>
  <c r="J131" i="1"/>
  <c r="J130" i="1"/>
  <c r="I130" i="1"/>
  <c r="I132" i="1"/>
  <c r="I123" i="1"/>
  <c r="I120" i="1"/>
  <c r="A121" i="1"/>
  <c r="A122" i="1" s="1"/>
  <c r="A123" i="1" s="1"/>
  <c r="A124" i="1" s="1"/>
  <c r="A125" i="1" s="1"/>
  <c r="G120" i="1"/>
  <c r="K109" i="1"/>
  <c r="J109" i="1"/>
  <c r="I109" i="1"/>
  <c r="I112" i="1"/>
  <c r="G50" i="1"/>
  <c r="G51" i="1" s="1"/>
  <c r="C97" i="1" l="1"/>
  <c r="E97" i="1"/>
  <c r="E101" i="1"/>
  <c r="E102" i="1" s="1"/>
  <c r="C101" i="1"/>
  <c r="C102" i="1" s="1"/>
  <c r="C96" i="1"/>
  <c r="E96" i="1"/>
  <c r="F170" i="1"/>
  <c r="F114" i="1"/>
  <c r="A144" i="1"/>
  <c r="A145" i="1" s="1"/>
  <c r="A146" i="1" s="1"/>
  <c r="F117" i="1"/>
  <c r="F125" i="1"/>
  <c r="F115" i="1"/>
  <c r="F113" i="1"/>
  <c r="F120" i="1"/>
  <c r="F118" i="1"/>
  <c r="F116" i="1"/>
  <c r="Z12" i="1"/>
  <c r="I14" i="1"/>
  <c r="C98" i="1" l="1"/>
  <c r="E98" i="1"/>
  <c r="F130" i="1"/>
  <c r="F109" i="1"/>
  <c r="E103" i="1" l="1"/>
  <c r="C103" i="1"/>
  <c r="E43" i="1" l="1"/>
  <c r="E44" i="1" s="1"/>
  <c r="C15" i="1" l="1"/>
  <c r="E30" i="1" l="1"/>
  <c r="F131" i="1" l="1"/>
  <c r="F132" i="1"/>
  <c r="F133" i="1"/>
  <c r="A131" i="1"/>
  <c r="A132" i="1" s="1"/>
  <c r="A133" i="1" s="1"/>
  <c r="A134" i="1" s="1"/>
  <c r="A135" i="1" s="1"/>
  <c r="G130" i="1"/>
  <c r="F93" i="1" l="1"/>
  <c r="F110" i="1" l="1"/>
  <c r="F111" i="1"/>
  <c r="F112" i="1"/>
  <c r="G96" i="1" l="1"/>
  <c r="B174" i="1"/>
  <c r="F136" i="1" l="1"/>
  <c r="F135" i="1"/>
  <c r="F137" i="1"/>
  <c r="G101" i="1" l="1"/>
  <c r="G102" i="1" s="1"/>
  <c r="G97" i="1"/>
  <c r="G98" i="1" s="1"/>
  <c r="B175" i="1"/>
  <c r="G103" i="1" l="1"/>
  <c r="F11" i="5"/>
  <c r="G11" i="5" s="1"/>
  <c r="F10" i="5"/>
  <c r="G10" i="5" s="1"/>
  <c r="F9" i="5"/>
  <c r="G9" i="5" s="1"/>
  <c r="F8" i="5"/>
  <c r="G8" i="5" s="1"/>
  <c r="F7" i="5"/>
  <c r="G7" i="5" s="1"/>
  <c r="F6" i="5"/>
  <c r="G6" i="5" s="1"/>
  <c r="F5" i="5"/>
  <c r="G5" i="5" s="1"/>
  <c r="G12" i="5" s="1"/>
  <c r="D195" i="1"/>
  <c r="A136" i="1"/>
  <c r="A137" i="1" s="1"/>
  <c r="A110" i="1"/>
  <c r="A111" i="1" s="1"/>
  <c r="A112" i="1" s="1"/>
  <c r="A113" i="1" s="1"/>
  <c r="A114" i="1" s="1"/>
  <c r="A115" i="1" s="1"/>
  <c r="A116" i="1" s="1"/>
  <c r="A117" i="1" s="1"/>
  <c r="A118" i="1" s="1"/>
  <c r="G109" i="1"/>
  <c r="C66" i="1"/>
  <c r="B67" i="1" s="1"/>
  <c r="D55" i="1"/>
  <c r="C50" i="1"/>
  <c r="C51" i="1" s="1"/>
  <c r="E27" i="1"/>
  <c r="E25" i="1"/>
  <c r="E7" i="1"/>
  <c r="E3" i="1"/>
  <c r="D60" i="1" l="1"/>
  <c r="H67" i="1"/>
  <c r="D79" i="1" l="1"/>
  <c r="D77" i="1"/>
  <c r="D76" i="1"/>
  <c r="D73" i="1"/>
  <c r="D75" i="1"/>
  <c r="J72" i="1"/>
  <c r="J73" i="1" s="1"/>
  <c r="J78" i="1" s="1"/>
  <c r="D78" i="1"/>
  <c r="J66" i="1"/>
  <c r="J68" i="1" s="1"/>
  <c r="D74" i="1"/>
  <c r="J70" i="1"/>
  <c r="J71" i="1"/>
  <c r="C70" i="1" s="1"/>
  <c r="D70" i="1" s="1"/>
  <c r="J69" i="1"/>
  <c r="J74" i="1"/>
  <c r="J75" i="1" s="1"/>
  <c r="J76" i="1" s="1"/>
  <c r="J77" i="1" s="1"/>
  <c r="D72" i="1"/>
  <c r="J79" i="1" l="1"/>
  <c r="C71" i="1" s="1"/>
  <c r="G70" i="1" s="1"/>
  <c r="D64" i="1" s="1"/>
  <c r="D65" i="1" s="1"/>
  <c r="J67" i="1" l="1"/>
  <c r="D71" i="1"/>
  <c r="I67" i="1" s="1"/>
  <c r="I68" i="1" s="1"/>
  <c r="E70" i="1"/>
  <c r="F65" i="1"/>
  <c r="I66" i="1" l="1"/>
  <c r="C68" i="1" s="1"/>
</calcChain>
</file>

<file path=xl/comments1.xml><?xml version="1.0" encoding="utf-8"?>
<comments xmlns="http://schemas.openxmlformats.org/spreadsheetml/2006/main">
  <authors>
    <author>Sachin</author>
  </authors>
  <commentList>
    <comment ref="E11" authorId="0" shapeId="0">
      <text>
        <r>
          <rPr>
            <b/>
            <sz val="9"/>
            <color indexed="81"/>
            <rFont val="Tahoma"/>
            <family val="2"/>
          </rPr>
          <t>Sachin:</t>
        </r>
        <r>
          <rPr>
            <sz val="9"/>
            <color indexed="81"/>
            <rFont val="Tahoma"/>
            <family val="2"/>
          </rPr>
          <t xml:space="preserve">
Building No. 
Tower No.
Wing 
Bunglow No., etc</t>
        </r>
      </text>
    </comment>
    <comment ref="E12" authorId="0" shapeId="0">
      <text>
        <r>
          <rPr>
            <b/>
            <sz val="9"/>
            <color indexed="81"/>
            <rFont val="Tahoma"/>
            <family val="2"/>
          </rPr>
          <t>Sachin:</t>
        </r>
        <r>
          <rPr>
            <sz val="9"/>
            <color indexed="81"/>
            <rFont val="Tahoma"/>
            <family val="2"/>
          </rPr>
          <t xml:space="preserve">
If exisiting Building is provided write it or else
NA</t>
        </r>
      </text>
    </comment>
    <comment ref="D5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<sst xmlns="http://schemas.openxmlformats.org/spreadsheetml/2006/main" count="433" uniqueCount="281">
  <si>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</si>
  <si>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</si>
  <si>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</si>
  <si>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</si>
  <si>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</si>
  <si>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</si>
  <si>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</si>
  <si>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</si>
  <si>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</si>
  <si>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</si>
  <si>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</si>
  <si>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</si>
  <si>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</si>
  <si>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</si>
  <si>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</si>
  <si>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</si>
  <si>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</si>
  <si>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</si>
  <si>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</si>
  <si>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</si>
  <si>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</si>
  <si>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</si>
  <si>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</si>
  <si>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</si>
  <si>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</si>
  <si>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</si>
  <si>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</si>
  <si>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</si>
  <si>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</si>
  <si>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</si>
  <si>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</si>
  <si>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</si>
  <si>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</si>
  <si>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</si>
  <si>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</si>
  <si>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</si>
  <si>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</si>
  <si>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</si>
  <si>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</si>
  <si>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</si>
  <si>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</si>
  <si>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</si>
  <si>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</si>
  <si>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</si>
  <si>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</si>
  <si>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</si>
  <si>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</si>
  <si>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</si>
  <si>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</si>
  <si>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</si>
  <si>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</si>
  <si>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</si>
  <si>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</si>
  <si>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</si>
  <si>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</si>
  <si>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</si>
  <si>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</si>
  <si>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</si>
  <si>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</si>
  <si>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</si>
  <si>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</si>
  <si>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</si>
  <si>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</si>
  <si>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</si>
  <si>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</si>
  <si>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</si>
  <si>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</si>
  <si>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</si>
  <si>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</si>
  <si>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</si>
  <si>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</si>
  <si>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</si>
  <si>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</si>
  <si>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</si>
  <si>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</si>
  <si>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</si>
  <si>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</si>
  <si>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</si>
  <si>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</si>
  <si>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</si>
  <si>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</si>
  <si>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</si>
  <si>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</si>
  <si>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</si>
  <si>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</si>
  <si>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</si>
  <si>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</si>
  <si>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</si>
  <si>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</si>
  <si>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</si>
  <si>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</si>
  <si>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</si>
  <si>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</si>
  <si>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</si>
  <si>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</si>
  <si>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</si>
  <si>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</si>
  <si>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</si>
  <si>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</si>
  <si>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</si>
  <si>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</si>
  <si>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</si>
  <si>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</si>
  <si>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</si>
  <si>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</si>
  <si>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</si>
  <si>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</si>
  <si>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</si>
  <si>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</si>
  <si>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</si>
  <si>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</si>
  <si>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</si>
  <si>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</si>
  <si>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</si>
  <si>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</si>
  <si>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</si>
  <si>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</si>
  <si>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</si>
  <si>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</si>
  <si>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</si>
  <si>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</si>
  <si>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</si>
  <si>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</si>
  <si>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</si>
  <si>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</si>
  <si>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</si>
  <si>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</si>
  <si>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</si>
  <si>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</si>
  <si>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</si>
  <si>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</si>
  <si>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</si>
  <si>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</si>
  <si>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</si>
  <si>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</si>
  <si>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</si>
  <si>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</si>
  <si>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</si>
  <si>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</si>
  <si>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</si>
  <si>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</si>
  <si>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</si>
  <si>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</si>
  <si>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</si>
  <si>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</si>
  <si>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</si>
  <si>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</si>
  <si>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</si>
  <si>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</si>
  <si>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</si>
  <si>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</si>
  <si>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</si>
  <si>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</si>
  <si>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</si>
  <si>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</si>
  <si>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</si>
  <si>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</si>
  <si>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</si>
  <si>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</si>
  <si>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</si>
  <si>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</si>
  <si>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</si>
  <si>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</si>
  <si>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</si>
  <si>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</si>
  <si>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</si>
  <si>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</si>
  <si>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</si>
  <si>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</si>
  <si>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</si>
  <si>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</si>
  <si>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</si>
  <si>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</si>
  <si>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</si>
  <si>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</si>
  <si>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</si>
  <si>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</si>
  <si>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</si>
  <si>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</si>
  <si>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</si>
  <si>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</si>
  <si>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</si>
  <si>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</si>
  <si>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</si>
  <si>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</si>
  <si>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</si>
  <si>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</si>
  <si>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</si>
  <si>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</si>
  <si>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</si>
  <si>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</si>
  <si>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</si>
  <si>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</si>
  <si>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</si>
  <si>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</si>
  <si>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</si>
  <si>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</si>
  <si>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</si>
  <si>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</si>
  <si>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</si>
  <si>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</si>
  <si>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</si>
  <si>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</si>
  <si>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</si>
  <si>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</si>
  <si>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</si>
  <si>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</si>
  <si>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</si>
  <si>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</si>
  <si>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</si>
  <si>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</si>
  <si>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</si>
  <si>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</si>
  <si>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</si>
  <si>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</si>
  <si>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</si>
  <si>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</si>
  <si>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</si>
  <si>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</si>
  <si>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</si>
  <si>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</si>
  <si>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</si>
  <si>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</si>
  <si>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</si>
  <si>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</si>
  <si>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</si>
  <si>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</si>
  <si>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</si>
  <si>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</si>
  <si>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</si>
  <si>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</si>
  <si>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Axis Sanpada</t>
  </si>
  <si>
    <t>Triveni Builders And Developers</t>
  </si>
  <si>
    <t>Triveni Heights</t>
  </si>
  <si>
    <t>Mr. Ravi 9920385025</t>
  </si>
  <si>
    <t>P52000019312</t>
  </si>
  <si>
    <t>Approved Plans, CC, Cost Sheet</t>
  </si>
  <si>
    <t>Plot No</t>
  </si>
  <si>
    <t>Ulwe(New)</t>
  </si>
  <si>
    <t>18.96982,73.01594</t>
  </si>
  <si>
    <t>https://goo.gl/maps/BCp8MQGv3KV8wc9G7</t>
  </si>
  <si>
    <t>1.7 KM from Kharkopar Railway Station</t>
  </si>
  <si>
    <t>Kharkopar West</t>
  </si>
  <si>
    <t>Navi Mumbai</t>
  </si>
  <si>
    <t>Internal Road</t>
  </si>
  <si>
    <t>Radiant Sapphire Housing society</t>
  </si>
  <si>
    <t>Elegant villa</t>
  </si>
  <si>
    <t>Open Plot</t>
  </si>
  <si>
    <t>Internal Road/KharKopar Cricket Ground</t>
  </si>
  <si>
    <t>Plot No.181</t>
  </si>
  <si>
    <t>Plot No. 179</t>
  </si>
  <si>
    <t>Plot No. 141, Plot No.142, Plot No. 143 &amp; Plot No.144</t>
  </si>
  <si>
    <t>30.00 MT.Wide Road</t>
  </si>
  <si>
    <t>CIDCO/BP-15978/TPO(NM &amp; K)/2018/
3321</t>
  </si>
  <si>
    <t xml:space="preserve">Commencement-CC No
Valid Up to: </t>
  </si>
  <si>
    <r>
      <t xml:space="preserve">Proposed Amenities :                                                                                                                                                                                                                         </t>
    </r>
    <r>
      <rPr>
        <b/>
        <sz val="12"/>
        <color theme="1"/>
        <rFont val="Times New Roman"/>
        <family val="1"/>
      </rPr>
      <t xml:space="preserve">                                               </t>
    </r>
  </si>
  <si>
    <t>Paved Compound, Children's Play Area,Sewage Treatment Plant, Club House, Gymnasium, Swimming Pool, Water Conservation, Rain water Harvesting, Car Parking, Lift(s), Rain Water Harvesting, Fire Fighting System, Gated Community, Storm Water Drains, Landscaping &amp; Tree Planting, Meter Room, Closed Car Parking etc.</t>
  </si>
  <si>
    <t>https://housing.com/in/buy/projects/page/133696-triveni-heights-by-triveni-builders-developers-in-ulwe</t>
  </si>
  <si>
    <t>Ground Floor For Commercial, Lobby &amp; Parking</t>
  </si>
  <si>
    <t>Shop</t>
  </si>
  <si>
    <t>1st Floor For Commercial, Fitness Center, Society Office &amp; Lobby</t>
  </si>
  <si>
    <t>Office</t>
  </si>
  <si>
    <t>2nd Floor For Residential</t>
  </si>
  <si>
    <t>Attached Loft &amp; Terrace Area</t>
  </si>
  <si>
    <t>2BHK</t>
  </si>
  <si>
    <t>1BHK</t>
  </si>
  <si>
    <t>4th &amp; 6th Floor</t>
  </si>
  <si>
    <t>8th &amp; 10th Floor (Part Refuge Area)</t>
  </si>
  <si>
    <t>We considered Gross carpet area = Net carpet + Chajja/Cornice Area + Enclosed Balcony Area</t>
  </si>
  <si>
    <t xml:space="preserve">City and Industrial Development Corporation of Maharashtra (CIDCO) </t>
  </si>
  <si>
    <t>180, Sector No.09</t>
  </si>
  <si>
    <t>Gr + 1st to 12th Floor</t>
  </si>
  <si>
    <t>Flats - 86, Shops 10, Offices - 6</t>
  </si>
  <si>
    <t>3rd, 5th, 7th, 9th &amp; 11th Floor</t>
  </si>
  <si>
    <t>12th Floor</t>
  </si>
  <si>
    <t>Mr. Bhalchandra 9987571148</t>
  </si>
  <si>
    <t>As building have received CC on 07/12/2018, still building is under construction.</t>
  </si>
  <si>
    <t>As per RERA - 31/12/2025</t>
  </si>
  <si>
    <t>Shruti Tathare</t>
  </si>
  <si>
    <t>Mayur Ranvare</t>
  </si>
  <si>
    <t>Finishing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</si>
</sst>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18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3"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0" borderId="25" xfId="0" applyFont="1" applyBorder="1"/>
    <xf numFmtId="0" fontId="25"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168" fontId="7" fillId="0" borderId="0" xfId="1" applyNumberFormat="1" applyFont="1" applyAlignment="1">
      <alignment horizontal="center" vertical="center"/>
    </xf>
    <xf numFmtId="164" fontId="7" fillId="0" borderId="0" xfId="1" applyNumberFormat="1" applyFont="1" applyAlignment="1">
      <alignment horizontal="center" vertical="center"/>
    </xf>
    <xf numFmtId="0" fontId="7" fillId="0" borderId="1" xfId="1" applyFont="1" applyBorder="1" applyAlignment="1" applyProtection="1">
      <alignment horizontal="center" vertical="top"/>
      <protection locked="0"/>
    </xf>
    <xf numFmtId="1" fontId="7" fillId="0" borderId="1" xfId="1" applyNumberFormat="1" applyFont="1"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24" fillId="2" borderId="12" xfId="0" applyFont="1" applyFill="1" applyBorder="1"/>
    <xf numFmtId="0" fontId="25" fillId="0" borderId="8" xfId="0" applyFont="1" applyBorder="1"/>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4"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7" fillId="0" borderId="20"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26" fillId="0" borderId="0" xfId="10" applyBorder="1" applyAlignment="1">
      <alignment horizontal="center"/>
    </xf>
    <xf numFmtId="0" fontId="12" fillId="0" borderId="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9" fontId="7" fillId="0" borderId="14"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3" xfId="1" applyFont="1" applyBorder="1" applyAlignment="1" applyProtection="1">
      <alignment horizontal="center" vertical="top"/>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12" fillId="0" borderId="1" xfId="1" applyFont="1" applyBorder="1" applyAlignment="1" applyProtection="1">
      <alignment horizontal="center" vertical="top"/>
      <protection locked="0"/>
    </xf>
    <xf numFmtId="1" fontId="8" fillId="0" borderId="26" xfId="0" applyNumberFormat="1" applyFont="1" applyBorder="1" applyAlignment="1" applyProtection="1">
      <alignment horizontal="center" vertical="center" wrapText="1"/>
      <protection locked="0"/>
    </xf>
    <xf numFmtId="1" fontId="8" fillId="0" borderId="27" xfId="0" applyNumberFormat="1" applyFont="1" applyBorder="1" applyAlignment="1" applyProtection="1">
      <alignment horizontal="center" vertical="center" wrapText="1"/>
      <protection locked="0"/>
    </xf>
    <xf numFmtId="0" fontId="10" fillId="0" borderId="27" xfId="0" applyFont="1" applyBorder="1" applyAlignment="1" applyProtection="1">
      <alignment horizontal="center" vertical="center"/>
      <protection locked="0"/>
    </xf>
    <xf numFmtId="1" fontId="10" fillId="0" borderId="27" xfId="0" applyNumberFormat="1" applyFont="1" applyBorder="1" applyAlignment="1" applyProtection="1">
      <alignment horizontal="center" vertical="top" wrapText="1"/>
      <protection locked="0"/>
    </xf>
    <xf numFmtId="1" fontId="8" fillId="0" borderId="27" xfId="0" applyNumberFormat="1" applyFont="1" applyBorder="1" applyAlignment="1" applyProtection="1">
      <alignment horizontal="center" vertical="top" wrapText="1"/>
      <protection locked="0"/>
    </xf>
    <xf numFmtId="1" fontId="8" fillId="0" borderId="28" xfId="0" applyNumberFormat="1" applyFont="1" applyBorder="1" applyAlignment="1" applyProtection="1">
      <alignment horizontal="center" vertical="top" wrapText="1"/>
      <protection locked="0"/>
    </xf>
    <xf numFmtId="164" fontId="6" fillId="0" borderId="1" xfId="1" applyNumberFormat="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9" fontId="7" fillId="0" borderId="15"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center" wrapText="1"/>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26" fillId="0" borderId="1" xfId="10" applyFill="1" applyBorder="1" applyAlignment="1" applyProtection="1">
      <alignment horizontal="left" vertical="top" wrapText="1"/>
      <protection locked="0"/>
    </xf>
    <xf numFmtId="0" fontId="10" fillId="0" borderId="7" xfId="1" applyFont="1" applyBorder="1" applyAlignment="1" applyProtection="1">
      <alignment horizontal="left" vertical="top"/>
      <protection locked="0"/>
    </xf>
    <xf numFmtId="0" fontId="10" fillId="0" borderId="18"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1" fontId="6" fillId="0" borderId="18"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67236</xdr:colOff>
      <xdr:row>277</xdr:row>
      <xdr:rowOff>0</xdr:rowOff>
    </xdr:from>
    <xdr:to>
      <xdr:col>6</xdr:col>
      <xdr:colOff>695239</xdr:colOff>
      <xdr:row>294</xdr:row>
      <xdr:rowOff>171002</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85265" y="63167559"/>
          <a:ext cx="5099150" cy="3600000"/>
        </a:xfrm>
        <a:prstGeom prst="rect">
          <a:avLst/>
        </a:prstGeom>
        <a:ln w="6350">
          <a:solidFill>
            <a:schemeClr val="tx1"/>
          </a:solidFill>
        </a:ln>
      </xdr:spPr>
    </xdr:pic>
    <xdr:clientData/>
  </xdr:twoCellAnchor>
  <xdr:twoCellAnchor>
    <xdr:from>
      <xdr:col>3</xdr:col>
      <xdr:colOff>343590</xdr:colOff>
      <xdr:row>284</xdr:row>
      <xdr:rowOff>100233</xdr:rowOff>
    </xdr:from>
    <xdr:to>
      <xdr:col>4</xdr:col>
      <xdr:colOff>286797</xdr:colOff>
      <xdr:row>291</xdr:row>
      <xdr:rowOff>93776</xdr:rowOff>
    </xdr:to>
    <xdr:sp macro="" textlink="">
      <xdr:nvSpPr>
        <xdr:cNvPr id="3" name="Rectangle 2">
          <a:extLst>
            <a:ext uri="{FF2B5EF4-FFF2-40B4-BE49-F238E27FC236}">
              <a16:creationId xmlns:a16="http://schemas.microsoft.com/office/drawing/2014/main" xmlns="" id="{00000000-0008-0000-0000-000003000000}"/>
            </a:ext>
          </a:extLst>
        </xdr:cNvPr>
        <xdr:cNvSpPr/>
      </xdr:nvSpPr>
      <xdr:spPr>
        <a:xfrm rot="2029595">
          <a:off x="2943355" y="64679733"/>
          <a:ext cx="951736" cy="1405484"/>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1</xdr:col>
      <xdr:colOff>68354</xdr:colOff>
      <xdr:row>295</xdr:row>
      <xdr:rowOff>101020</xdr:rowOff>
    </xdr:from>
    <xdr:to>
      <xdr:col>6</xdr:col>
      <xdr:colOff>695239</xdr:colOff>
      <xdr:row>313</xdr:row>
      <xdr:rowOff>70314</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86383" y="66899285"/>
          <a:ext cx="5098032" cy="3600000"/>
        </a:xfrm>
        <a:prstGeom prst="rect">
          <a:avLst/>
        </a:prstGeom>
        <a:ln w="6350">
          <a:solidFill>
            <a:schemeClr val="tx1"/>
          </a:solidFill>
        </a:ln>
      </xdr:spPr>
    </xdr:pic>
    <xdr:clientData/>
  </xdr:twoCellAnchor>
  <xdr:twoCellAnchor editAs="oneCell">
    <xdr:from>
      <xdr:col>2</xdr:col>
      <xdr:colOff>0</xdr:colOff>
      <xdr:row>238</xdr:row>
      <xdr:rowOff>0</xdr:rowOff>
    </xdr:from>
    <xdr:to>
      <xdr:col>5</xdr:col>
      <xdr:colOff>611029</xdr:colOff>
      <xdr:row>258</xdr:row>
      <xdr:rowOff>180285</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1" r="5289"/>
        <a:stretch/>
      </xdr:blipFill>
      <xdr:spPr>
        <a:xfrm>
          <a:off x="1680882" y="54920029"/>
          <a:ext cx="3378882" cy="4214400"/>
        </a:xfrm>
        <a:prstGeom prst="rect">
          <a:avLst/>
        </a:prstGeom>
        <a:ln w="6350">
          <a:solidFill>
            <a:schemeClr val="tx1"/>
          </a:solidFill>
        </a:ln>
      </xdr:spPr>
    </xdr:pic>
    <xdr:clientData/>
  </xdr:twoCellAnchor>
  <xdr:twoCellAnchor>
    <xdr:from>
      <xdr:col>0</xdr:col>
      <xdr:colOff>195047</xdr:colOff>
      <xdr:row>195</xdr:row>
      <xdr:rowOff>85725</xdr:rowOff>
    </xdr:from>
    <xdr:to>
      <xdr:col>7</xdr:col>
      <xdr:colOff>548738</xdr:colOff>
      <xdr:row>232</xdr:row>
      <xdr:rowOff>140700</xdr:rowOff>
    </xdr:to>
    <xdr:grpSp>
      <xdr:nvGrpSpPr>
        <xdr:cNvPr id="7" name="Group 6"/>
        <xdr:cNvGrpSpPr/>
      </xdr:nvGrpSpPr>
      <xdr:grpSpPr>
        <a:xfrm>
          <a:off x="195047" y="42071925"/>
          <a:ext cx="6002016" cy="7446375"/>
          <a:chOff x="147422" y="42062400"/>
          <a:chExt cx="6002016" cy="7446375"/>
        </a:xfrm>
      </xdr:grpSpPr>
      <xdr:pic>
        <xdr:nvPicPr>
          <xdr:cNvPr id="17" name="Picture 16" descr="https://vsjcllp.vsjadon.com/upload/insp-243303-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143375" y="47348775"/>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3303-84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176247" y="42062400"/>
            <a:ext cx="1934841" cy="25717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3303-84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214597" y="42062400"/>
            <a:ext cx="1934841" cy="25717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3303-844.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209800" y="44719874"/>
            <a:ext cx="1913342" cy="2543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3303-84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00025" y="44719874"/>
            <a:ext cx="1913342" cy="2543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3303-86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229100" y="44719874"/>
            <a:ext cx="1913342" cy="2543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3303-877.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47422" y="42062400"/>
            <a:ext cx="1934841" cy="25717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3303-9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428875" y="473487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43303-928.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695325" y="47348775"/>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housing.com/in/buy/projects/page/133696-triveni-heights-by-triveni-builders-developers-in-ulwe" TargetMode="External"/><Relationship Id="rId1" Type="http://schemas.openxmlformats.org/officeDocument/2006/relationships/hyperlink" Target="https://goo.gl/maps/BCp8MQGv3KV8wc9G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6"/>
  <sheetViews>
    <sheetView tabSelected="1" view="pageBreakPreview" zoomScaleNormal="100" zoomScaleSheetLayoutView="100" zoomScalePageLayoutView="85" workbookViewId="0">
      <selection activeCell="I14" sqref="I14:P14"/>
    </sheetView>
  </sheetViews>
  <sheetFormatPr defaultColWidth="9.140625" defaultRowHeight="15.75" x14ac:dyDescent="0.25"/>
  <cols>
    <col min="1" max="1" width="11.42578125" style="38" customWidth="1"/>
    <col min="2" max="2" width="12" style="38" customWidth="1"/>
    <col min="3" max="3" width="12.5703125" style="38" customWidth="1"/>
    <col min="4" max="4" width="14.140625" style="38" customWidth="1"/>
    <col min="5" max="6" width="11.5703125" style="38" customWidth="1"/>
    <col min="7" max="7" width="11.42578125" style="38" customWidth="1"/>
    <col min="8" max="8" width="10.5703125" style="38" customWidth="1"/>
    <col min="9" max="9" width="17.42578125" style="19" customWidth="1"/>
    <col min="10" max="10" width="11.42578125" style="19" customWidth="1"/>
    <col min="11" max="11" width="10.5703125" style="19" bestFit="1" customWidth="1"/>
    <col min="12" max="12" width="10.5703125" style="19" customWidth="1"/>
    <col min="13" max="13" width="11.85546875" style="19" customWidth="1"/>
    <col min="14" max="14" width="12.5703125" style="19" customWidth="1"/>
    <col min="15" max="15" width="9.85546875" style="19" customWidth="1"/>
    <col min="16" max="16" width="11.5703125" style="19" customWidth="1"/>
    <col min="17" max="247" width="9.140625" style="19"/>
    <col min="248" max="248" width="8.5703125" style="19" customWidth="1"/>
    <col min="249" max="249" width="9.85546875" style="19" customWidth="1"/>
    <col min="250" max="250" width="14.42578125" style="19" customWidth="1"/>
    <col min="251" max="251" width="7.425781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5703125" style="19" customWidth="1"/>
    <col min="505" max="505" width="9.85546875" style="19" customWidth="1"/>
    <col min="506" max="506" width="14.42578125" style="19" customWidth="1"/>
    <col min="507" max="507" width="7.425781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5703125" style="19" customWidth="1"/>
    <col min="761" max="761" width="9.85546875" style="19" customWidth="1"/>
    <col min="762" max="762" width="14.42578125" style="19" customWidth="1"/>
    <col min="763" max="763" width="7.425781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5703125" style="19" customWidth="1"/>
    <col min="1017" max="1017" width="9.85546875" style="19" customWidth="1"/>
    <col min="1018" max="1018" width="14.42578125" style="19" customWidth="1"/>
    <col min="1019" max="1019" width="7.425781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5703125" style="19" customWidth="1"/>
    <col min="1273" max="1273" width="9.85546875" style="19" customWidth="1"/>
    <col min="1274" max="1274" width="14.42578125" style="19" customWidth="1"/>
    <col min="1275" max="1275" width="7.425781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5703125" style="19" customWidth="1"/>
    <col min="1529" max="1529" width="9.85546875" style="19" customWidth="1"/>
    <col min="1530" max="1530" width="14.42578125" style="19" customWidth="1"/>
    <col min="1531" max="1531" width="7.425781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5703125" style="19" customWidth="1"/>
    <col min="1785" max="1785" width="9.85546875" style="19" customWidth="1"/>
    <col min="1786" max="1786" width="14.42578125" style="19" customWidth="1"/>
    <col min="1787" max="1787" width="7.425781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5703125" style="19" customWidth="1"/>
    <col min="2041" max="2041" width="9.85546875" style="19" customWidth="1"/>
    <col min="2042" max="2042" width="14.42578125" style="19" customWidth="1"/>
    <col min="2043" max="2043" width="7.425781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5703125" style="19" customWidth="1"/>
    <col min="2297" max="2297" width="9.85546875" style="19" customWidth="1"/>
    <col min="2298" max="2298" width="14.42578125" style="19" customWidth="1"/>
    <col min="2299" max="2299" width="7.425781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5703125" style="19" customWidth="1"/>
    <col min="2553" max="2553" width="9.85546875" style="19" customWidth="1"/>
    <col min="2554" max="2554" width="14.42578125" style="19" customWidth="1"/>
    <col min="2555" max="2555" width="7.425781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5703125" style="19" customWidth="1"/>
    <col min="2809" max="2809" width="9.85546875" style="19" customWidth="1"/>
    <col min="2810" max="2810" width="14.42578125" style="19" customWidth="1"/>
    <col min="2811" max="2811" width="7.425781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5703125" style="19" customWidth="1"/>
    <col min="3065" max="3065" width="9.85546875" style="19" customWidth="1"/>
    <col min="3066" max="3066" width="14.42578125" style="19" customWidth="1"/>
    <col min="3067" max="3067" width="7.425781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5703125" style="19" customWidth="1"/>
    <col min="3321" max="3321" width="9.85546875" style="19" customWidth="1"/>
    <col min="3322" max="3322" width="14.42578125" style="19" customWidth="1"/>
    <col min="3323" max="3323" width="7.425781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5703125" style="19" customWidth="1"/>
    <col min="3577" max="3577" width="9.85546875" style="19" customWidth="1"/>
    <col min="3578" max="3578" width="14.42578125" style="19" customWidth="1"/>
    <col min="3579" max="3579" width="7.425781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5703125" style="19" customWidth="1"/>
    <col min="3833" max="3833" width="9.85546875" style="19" customWidth="1"/>
    <col min="3834" max="3834" width="14.42578125" style="19" customWidth="1"/>
    <col min="3835" max="3835" width="7.425781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5703125" style="19" customWidth="1"/>
    <col min="4089" max="4089" width="9.85546875" style="19" customWidth="1"/>
    <col min="4090" max="4090" width="14.42578125" style="19" customWidth="1"/>
    <col min="4091" max="4091" width="7.425781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5703125" style="19" customWidth="1"/>
    <col min="4345" max="4345" width="9.85546875" style="19" customWidth="1"/>
    <col min="4346" max="4346" width="14.42578125" style="19" customWidth="1"/>
    <col min="4347" max="4347" width="7.425781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5703125" style="19" customWidth="1"/>
    <col min="4601" max="4601" width="9.85546875" style="19" customWidth="1"/>
    <col min="4602" max="4602" width="14.42578125" style="19" customWidth="1"/>
    <col min="4603" max="4603" width="7.425781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5703125" style="19" customWidth="1"/>
    <col min="4857" max="4857" width="9.85546875" style="19" customWidth="1"/>
    <col min="4858" max="4858" width="14.42578125" style="19" customWidth="1"/>
    <col min="4859" max="4859" width="7.425781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5703125" style="19" customWidth="1"/>
    <col min="5113" max="5113" width="9.85546875" style="19" customWidth="1"/>
    <col min="5114" max="5114" width="14.42578125" style="19" customWidth="1"/>
    <col min="5115" max="5115" width="7.425781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5703125" style="19" customWidth="1"/>
    <col min="5369" max="5369" width="9.85546875" style="19" customWidth="1"/>
    <col min="5370" max="5370" width="14.42578125" style="19" customWidth="1"/>
    <col min="5371" max="5371" width="7.425781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5703125" style="19" customWidth="1"/>
    <col min="5625" max="5625" width="9.85546875" style="19" customWidth="1"/>
    <col min="5626" max="5626" width="14.42578125" style="19" customWidth="1"/>
    <col min="5627" max="5627" width="7.425781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5703125" style="19" customWidth="1"/>
    <col min="5881" max="5881" width="9.85546875" style="19" customWidth="1"/>
    <col min="5882" max="5882" width="14.42578125" style="19" customWidth="1"/>
    <col min="5883" max="5883" width="7.425781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5703125" style="19" customWidth="1"/>
    <col min="6137" max="6137" width="9.85546875" style="19" customWidth="1"/>
    <col min="6138" max="6138" width="14.42578125" style="19" customWidth="1"/>
    <col min="6139" max="6139" width="7.425781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5703125" style="19" customWidth="1"/>
    <col min="6393" max="6393" width="9.85546875" style="19" customWidth="1"/>
    <col min="6394" max="6394" width="14.42578125" style="19" customWidth="1"/>
    <col min="6395" max="6395" width="7.425781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5703125" style="19" customWidth="1"/>
    <col min="6649" max="6649" width="9.85546875" style="19" customWidth="1"/>
    <col min="6650" max="6650" width="14.42578125" style="19" customWidth="1"/>
    <col min="6651" max="6651" width="7.425781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5703125" style="19" customWidth="1"/>
    <col min="6905" max="6905" width="9.85546875" style="19" customWidth="1"/>
    <col min="6906" max="6906" width="14.42578125" style="19" customWidth="1"/>
    <col min="6907" max="6907" width="7.425781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5703125" style="19" customWidth="1"/>
    <col min="7161" max="7161" width="9.85546875" style="19" customWidth="1"/>
    <col min="7162" max="7162" width="14.42578125" style="19" customWidth="1"/>
    <col min="7163" max="7163" width="7.425781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5703125" style="19" customWidth="1"/>
    <col min="7417" max="7417" width="9.85546875" style="19" customWidth="1"/>
    <col min="7418" max="7418" width="14.42578125" style="19" customWidth="1"/>
    <col min="7419" max="7419" width="7.425781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5703125" style="19" customWidth="1"/>
    <col min="7673" max="7673" width="9.85546875" style="19" customWidth="1"/>
    <col min="7674" max="7674" width="14.42578125" style="19" customWidth="1"/>
    <col min="7675" max="7675" width="7.425781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5703125" style="19" customWidth="1"/>
    <col min="7929" max="7929" width="9.85546875" style="19" customWidth="1"/>
    <col min="7930" max="7930" width="14.42578125" style="19" customWidth="1"/>
    <col min="7931" max="7931" width="7.425781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5703125" style="19" customWidth="1"/>
    <col min="8185" max="8185" width="9.85546875" style="19" customWidth="1"/>
    <col min="8186" max="8186" width="14.42578125" style="19" customWidth="1"/>
    <col min="8187" max="8187" width="7.425781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5703125" style="19" customWidth="1"/>
    <col min="8441" max="8441" width="9.85546875" style="19" customWidth="1"/>
    <col min="8442" max="8442" width="14.42578125" style="19" customWidth="1"/>
    <col min="8443" max="8443" width="7.425781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5703125" style="19" customWidth="1"/>
    <col min="8697" max="8697" width="9.85546875" style="19" customWidth="1"/>
    <col min="8698" max="8698" width="14.42578125" style="19" customWidth="1"/>
    <col min="8699" max="8699" width="7.425781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5703125" style="19" customWidth="1"/>
    <col min="8953" max="8953" width="9.85546875" style="19" customWidth="1"/>
    <col min="8954" max="8954" width="14.42578125" style="19" customWidth="1"/>
    <col min="8955" max="8955" width="7.425781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5703125" style="19" customWidth="1"/>
    <col min="9209" max="9209" width="9.85546875" style="19" customWidth="1"/>
    <col min="9210" max="9210" width="14.42578125" style="19" customWidth="1"/>
    <col min="9211" max="9211" width="7.425781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5703125" style="19" customWidth="1"/>
    <col min="9465" max="9465" width="9.85546875" style="19" customWidth="1"/>
    <col min="9466" max="9466" width="14.42578125" style="19" customWidth="1"/>
    <col min="9467" max="9467" width="7.425781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5703125" style="19" customWidth="1"/>
    <col min="9721" max="9721" width="9.85546875" style="19" customWidth="1"/>
    <col min="9722" max="9722" width="14.42578125" style="19" customWidth="1"/>
    <col min="9723" max="9723" width="7.425781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5703125" style="19" customWidth="1"/>
    <col min="9977" max="9977" width="9.85546875" style="19" customWidth="1"/>
    <col min="9978" max="9978" width="14.42578125" style="19" customWidth="1"/>
    <col min="9979" max="9979" width="7.425781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5703125" style="19" customWidth="1"/>
    <col min="10233" max="10233" width="9.85546875" style="19" customWidth="1"/>
    <col min="10234" max="10234" width="14.42578125" style="19" customWidth="1"/>
    <col min="10235" max="10235" width="7.425781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5703125" style="19" customWidth="1"/>
    <col min="10489" max="10489" width="9.85546875" style="19" customWidth="1"/>
    <col min="10490" max="10490" width="14.42578125" style="19" customWidth="1"/>
    <col min="10491" max="10491" width="7.425781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5703125" style="19" customWidth="1"/>
    <col min="10745" max="10745" width="9.85546875" style="19" customWidth="1"/>
    <col min="10746" max="10746" width="14.42578125" style="19" customWidth="1"/>
    <col min="10747" max="10747" width="7.425781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5703125" style="19" customWidth="1"/>
    <col min="11001" max="11001" width="9.85546875" style="19" customWidth="1"/>
    <col min="11002" max="11002" width="14.42578125" style="19" customWidth="1"/>
    <col min="11003" max="11003" width="7.425781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5703125" style="19" customWidth="1"/>
    <col min="11257" max="11257" width="9.85546875" style="19" customWidth="1"/>
    <col min="11258" max="11258" width="14.42578125" style="19" customWidth="1"/>
    <col min="11259" max="11259" width="7.425781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5703125" style="19" customWidth="1"/>
    <col min="11513" max="11513" width="9.85546875" style="19" customWidth="1"/>
    <col min="11514" max="11514" width="14.42578125" style="19" customWidth="1"/>
    <col min="11515" max="11515" width="7.425781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5703125" style="19" customWidth="1"/>
    <col min="11769" max="11769" width="9.85546875" style="19" customWidth="1"/>
    <col min="11770" max="11770" width="14.42578125" style="19" customWidth="1"/>
    <col min="11771" max="11771" width="7.425781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5703125" style="19" customWidth="1"/>
    <col min="12025" max="12025" width="9.85546875" style="19" customWidth="1"/>
    <col min="12026" max="12026" width="14.42578125" style="19" customWidth="1"/>
    <col min="12027" max="12027" width="7.425781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5703125" style="19" customWidth="1"/>
    <col min="12281" max="12281" width="9.85546875" style="19" customWidth="1"/>
    <col min="12282" max="12282" width="14.42578125" style="19" customWidth="1"/>
    <col min="12283" max="12283" width="7.425781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5703125" style="19" customWidth="1"/>
    <col min="12537" max="12537" width="9.85546875" style="19" customWidth="1"/>
    <col min="12538" max="12538" width="14.42578125" style="19" customWidth="1"/>
    <col min="12539" max="12539" width="7.425781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5703125" style="19" customWidth="1"/>
    <col min="12793" max="12793" width="9.85546875" style="19" customWidth="1"/>
    <col min="12794" max="12794" width="14.42578125" style="19" customWidth="1"/>
    <col min="12795" max="12795" width="7.425781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5703125" style="19" customWidth="1"/>
    <col min="13049" max="13049" width="9.85546875" style="19" customWidth="1"/>
    <col min="13050" max="13050" width="14.42578125" style="19" customWidth="1"/>
    <col min="13051" max="13051" width="7.425781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5703125" style="19" customWidth="1"/>
    <col min="13305" max="13305" width="9.85546875" style="19" customWidth="1"/>
    <col min="13306" max="13306" width="14.42578125" style="19" customWidth="1"/>
    <col min="13307" max="13307" width="7.425781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5703125" style="19" customWidth="1"/>
    <col min="13561" max="13561" width="9.85546875" style="19" customWidth="1"/>
    <col min="13562" max="13562" width="14.42578125" style="19" customWidth="1"/>
    <col min="13563" max="13563" width="7.425781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5703125" style="19" customWidth="1"/>
    <col min="13817" max="13817" width="9.85546875" style="19" customWidth="1"/>
    <col min="13818" max="13818" width="14.42578125" style="19" customWidth="1"/>
    <col min="13819" max="13819" width="7.425781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5703125" style="19" customWidth="1"/>
    <col min="14073" max="14073" width="9.85546875" style="19" customWidth="1"/>
    <col min="14074" max="14074" width="14.42578125" style="19" customWidth="1"/>
    <col min="14075" max="14075" width="7.425781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5703125" style="19" customWidth="1"/>
    <col min="14329" max="14329" width="9.85546875" style="19" customWidth="1"/>
    <col min="14330" max="14330" width="14.42578125" style="19" customWidth="1"/>
    <col min="14331" max="14331" width="7.425781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5703125" style="19" customWidth="1"/>
    <col min="14585" max="14585" width="9.85546875" style="19" customWidth="1"/>
    <col min="14586" max="14586" width="14.42578125" style="19" customWidth="1"/>
    <col min="14587" max="14587" width="7.425781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5703125" style="19" customWidth="1"/>
    <col min="14841" max="14841" width="9.85546875" style="19" customWidth="1"/>
    <col min="14842" max="14842" width="14.42578125" style="19" customWidth="1"/>
    <col min="14843" max="14843" width="7.425781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5703125" style="19" customWidth="1"/>
    <col min="15097" max="15097" width="9.85546875" style="19" customWidth="1"/>
    <col min="15098" max="15098" width="14.42578125" style="19" customWidth="1"/>
    <col min="15099" max="15099" width="7.425781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5703125" style="19" customWidth="1"/>
    <col min="15353" max="15353" width="9.85546875" style="19" customWidth="1"/>
    <col min="15354" max="15354" width="14.42578125" style="19" customWidth="1"/>
    <col min="15355" max="15355" width="7.425781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5703125" style="19" customWidth="1"/>
    <col min="15609" max="15609" width="9.85546875" style="19" customWidth="1"/>
    <col min="15610" max="15610" width="14.42578125" style="19" customWidth="1"/>
    <col min="15611" max="15611" width="7.425781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5703125" style="19" customWidth="1"/>
    <col min="15865" max="15865" width="9.85546875" style="19" customWidth="1"/>
    <col min="15866" max="15866" width="14.42578125" style="19" customWidth="1"/>
    <col min="15867" max="15867" width="7.425781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5703125" style="19" customWidth="1"/>
    <col min="16121" max="16121" width="9.85546875" style="19" customWidth="1"/>
    <col min="16122" max="16122" width="14.42578125" style="19" customWidth="1"/>
    <col min="16123" max="16123" width="7.425781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26" ht="46.5" customHeight="1" x14ac:dyDescent="0.25">
      <c r="A1" s="158" t="s">
        <v>165</v>
      </c>
      <c r="B1" s="158"/>
      <c r="C1" s="158"/>
      <c r="D1" s="158"/>
      <c r="E1" s="158"/>
      <c r="F1" s="158"/>
      <c r="G1" s="158"/>
      <c r="H1" s="158"/>
    </row>
    <row r="2" spans="1:26" ht="16.5" customHeight="1" x14ac:dyDescent="0.25">
      <c r="A2" s="84" t="s">
        <v>0</v>
      </c>
      <c r="B2" s="84"/>
      <c r="C2" s="84"/>
      <c r="D2" s="84"/>
      <c r="E2" s="84"/>
      <c r="F2" s="84"/>
      <c r="G2" s="84"/>
      <c r="H2" s="84"/>
    </row>
    <row r="3" spans="1:26" x14ac:dyDescent="0.25">
      <c r="A3" s="137" t="s">
        <v>1</v>
      </c>
      <c r="B3" s="137"/>
      <c r="C3" s="137"/>
      <c r="D3" s="137"/>
      <c r="E3" s="137" t="str">
        <f ca="1">TEXT(TODAY(),"DD/MM/YYYY")</f>
        <v>18/08/2025</v>
      </c>
      <c r="F3" s="137"/>
      <c r="G3" s="137"/>
      <c r="H3" s="137"/>
    </row>
    <row r="4" spans="1:26" ht="15" customHeight="1" x14ac:dyDescent="0.25">
      <c r="A4" s="137" t="s">
        <v>2</v>
      </c>
      <c r="B4" s="137"/>
      <c r="C4" s="137"/>
      <c r="D4" s="137"/>
      <c r="E4" s="80" t="s">
        <v>231</v>
      </c>
      <c r="F4" s="80"/>
      <c r="G4" s="80"/>
      <c r="H4" s="80"/>
    </row>
    <row r="5" spans="1:26" x14ac:dyDescent="0.25">
      <c r="A5" s="137" t="s">
        <v>3</v>
      </c>
      <c r="B5" s="137"/>
      <c r="C5" s="137"/>
      <c r="D5" s="137"/>
      <c r="E5" s="159">
        <v>45880</v>
      </c>
      <c r="F5" s="137"/>
      <c r="G5" s="137"/>
      <c r="H5" s="137"/>
    </row>
    <row r="6" spans="1:26" ht="16.5" customHeight="1" x14ac:dyDescent="0.25">
      <c r="A6" s="137" t="s">
        <v>4</v>
      </c>
      <c r="B6" s="137"/>
      <c r="C6" s="137"/>
      <c r="D6" s="137"/>
      <c r="E6" s="137" t="s">
        <v>232</v>
      </c>
      <c r="F6" s="137"/>
      <c r="G6" s="137"/>
      <c r="H6" s="137"/>
    </row>
    <row r="7" spans="1:26" ht="15" customHeight="1" x14ac:dyDescent="0.25">
      <c r="A7" s="137" t="s">
        <v>5</v>
      </c>
      <c r="B7" s="137"/>
      <c r="C7" s="137"/>
      <c r="D7" s="137"/>
      <c r="E7" s="137" t="str">
        <f>E6</f>
        <v>Triveni Builders And Developers</v>
      </c>
      <c r="F7" s="137"/>
      <c r="G7" s="137"/>
      <c r="H7" s="137"/>
    </row>
    <row r="8" spans="1:26" x14ac:dyDescent="0.25">
      <c r="A8" s="137" t="s">
        <v>6</v>
      </c>
      <c r="B8" s="137"/>
      <c r="C8" s="137"/>
      <c r="D8" s="137"/>
      <c r="E8" s="151" t="s">
        <v>233</v>
      </c>
      <c r="F8" s="151"/>
      <c r="G8" s="151"/>
      <c r="H8" s="151"/>
    </row>
    <row r="9" spans="1:26" x14ac:dyDescent="0.25">
      <c r="A9" s="137" t="s">
        <v>168</v>
      </c>
      <c r="B9" s="137"/>
      <c r="C9" s="137"/>
      <c r="D9" s="137"/>
      <c r="E9" s="137" t="s">
        <v>234</v>
      </c>
      <c r="F9" s="137"/>
      <c r="G9" s="137"/>
      <c r="H9" s="137"/>
    </row>
    <row r="10" spans="1:26" x14ac:dyDescent="0.25">
      <c r="A10" s="137" t="s">
        <v>169</v>
      </c>
      <c r="B10" s="137"/>
      <c r="C10" s="137"/>
      <c r="D10" s="137"/>
      <c r="E10" s="137" t="s">
        <v>29</v>
      </c>
      <c r="F10" s="137"/>
      <c r="G10" s="137"/>
      <c r="H10" s="137"/>
      <c r="I10" s="137" t="s">
        <v>275</v>
      </c>
      <c r="J10" s="137"/>
      <c r="K10" s="137"/>
      <c r="L10" s="137"/>
    </row>
    <row r="11" spans="1:26" x14ac:dyDescent="0.25">
      <c r="A11" s="137" t="s">
        <v>7</v>
      </c>
      <c r="B11" s="137"/>
      <c r="C11" s="137"/>
      <c r="D11" s="137"/>
      <c r="E11" s="137" t="s">
        <v>122</v>
      </c>
      <c r="F11" s="137"/>
      <c r="G11" s="137"/>
      <c r="H11" s="137"/>
    </row>
    <row r="12" spans="1:26" x14ac:dyDescent="0.25">
      <c r="A12" s="137" t="s">
        <v>171</v>
      </c>
      <c r="B12" s="137"/>
      <c r="C12" s="137"/>
      <c r="D12" s="137"/>
      <c r="E12" s="137" t="s">
        <v>29</v>
      </c>
      <c r="F12" s="137"/>
      <c r="G12" s="137"/>
      <c r="H12" s="137"/>
      <c r="S12" s="51" t="s">
        <v>178</v>
      </c>
      <c r="T12" s="51" t="s">
        <v>188</v>
      </c>
      <c r="U12" s="51" t="s">
        <v>172</v>
      </c>
      <c r="V12" s="51" t="s">
        <v>193</v>
      </c>
      <c r="W12" s="51" t="s">
        <v>211</v>
      </c>
      <c r="X12"/>
      <c r="Y12" t="s">
        <v>193</v>
      </c>
      <c r="Z12" t="e">
        <f ca="1">OFFSET($S$12,1,MATCH($G19,$S$12:$W$12,0)-1,15,1)</f>
        <v>#VALUE!</v>
      </c>
    </row>
    <row r="13" spans="1:26" x14ac:dyDescent="0.25">
      <c r="A13" s="86" t="s">
        <v>8</v>
      </c>
      <c r="B13" s="86"/>
      <c r="C13" s="86"/>
      <c r="D13" s="86"/>
      <c r="E13" s="160" t="s">
        <v>236</v>
      </c>
      <c r="F13" s="160"/>
      <c r="G13" s="160"/>
      <c r="H13" s="160"/>
      <c r="S13" s="51" t="s">
        <v>179</v>
      </c>
      <c r="T13" s="51" t="s">
        <v>186</v>
      </c>
      <c r="U13" s="51" t="s">
        <v>208</v>
      </c>
      <c r="V13" s="51" t="s">
        <v>194</v>
      </c>
      <c r="W13" s="51" t="s">
        <v>212</v>
      </c>
      <c r="X13"/>
      <c r="Y13"/>
      <c r="Z13"/>
    </row>
    <row r="14" spans="1:26" x14ac:dyDescent="0.25">
      <c r="A14" s="86" t="s">
        <v>9</v>
      </c>
      <c r="B14" s="86"/>
      <c r="C14" s="86"/>
      <c r="D14" s="86"/>
      <c r="E14" s="160" t="s">
        <v>235</v>
      </c>
      <c r="F14" s="80"/>
      <c r="G14" s="80"/>
      <c r="H14" s="80"/>
      <c r="I14" s="81" t="e">
        <f ca="1">OFFSET($D$4,1,MATCH($J12,$D$4:$H$4,0)-1,15,1)</f>
        <v>#N/A</v>
      </c>
      <c r="J14" s="82"/>
      <c r="K14" s="82"/>
      <c r="L14" s="82"/>
      <c r="M14" s="82"/>
      <c r="N14" s="82"/>
      <c r="O14" s="82"/>
      <c r="P14" s="82"/>
      <c r="S14" s="51" t="s">
        <v>180</v>
      </c>
      <c r="T14" s="51" t="s">
        <v>187</v>
      </c>
      <c r="U14" s="51" t="s">
        <v>209</v>
      </c>
      <c r="V14" s="51" t="s">
        <v>195</v>
      </c>
      <c r="W14" s="51" t="s">
        <v>225</v>
      </c>
      <c r="X14"/>
      <c r="Y14"/>
      <c r="Z14"/>
    </row>
    <row r="15" spans="1:26" ht="48.75" customHeight="1" x14ac:dyDescent="0.25">
      <c r="A15" s="93" t="s">
        <v>10</v>
      </c>
      <c r="B15" s="93"/>
      <c r="C15" s="93" t="str">
        <f>CONCATENATE((IF(OR(E8="",E8="NA"),"",E8)),", ",(IF(OR(A16="",A16="NA"),"",A16)),".",(IF(OR(C16="",C16="NA"),"",C16)),", near ",(IF(OR(C21="",C21="NA"),"",C21)),", ",(IF(OR(C18="",C18="NA"),"",C18)),", ",(IF(OR(C17="",C17="NA"),"",C17)),", ",(IF(OR(G18="",G18="NA"),"",G18)),", ",(IF(OR(C19="",C19="NA"),"",C19)),", ",(IF(OR(C20="",C20="NA"),"",C20)),", ",(IF(OR(G19="",G19="NA"),"",G19))," - ",(IF(OR(G20="",G20="NA"),"",G20)),".")</f>
        <v>Triveni Heights, Plot No.180, Sector No.09, near Radiant Sapphire Housing society, Internal Road, Navi Mumbai, Ulwe(New), Kharkopar West, Panvel, Raigad - 410206.</v>
      </c>
      <c r="D15" s="93"/>
      <c r="E15" s="93"/>
      <c r="F15" s="93"/>
      <c r="G15" s="93"/>
      <c r="H15" s="93"/>
      <c r="S15" s="51" t="s">
        <v>181</v>
      </c>
      <c r="T15" s="51" t="s">
        <v>189</v>
      </c>
      <c r="U15" s="51" t="s">
        <v>210</v>
      </c>
      <c r="V15" s="51" t="s">
        <v>196</v>
      </c>
      <c r="W15" s="51" t="s">
        <v>213</v>
      </c>
      <c r="X15"/>
      <c r="Y15"/>
      <c r="Z15"/>
    </row>
    <row r="16" spans="1:26" x14ac:dyDescent="0.25">
      <c r="A16" s="160" t="s">
        <v>237</v>
      </c>
      <c r="B16" s="160"/>
      <c r="C16" s="160" t="s">
        <v>270</v>
      </c>
      <c r="D16" s="160"/>
      <c r="E16" s="160"/>
      <c r="F16" s="160"/>
      <c r="G16" s="160"/>
      <c r="H16" s="160"/>
      <c r="S16" s="51" t="s">
        <v>182</v>
      </c>
      <c r="T16" s="51" t="s">
        <v>190</v>
      </c>
      <c r="U16" s="51"/>
      <c r="V16" s="51" t="s">
        <v>197</v>
      </c>
      <c r="W16" s="51" t="s">
        <v>214</v>
      </c>
      <c r="X16"/>
      <c r="Y16"/>
      <c r="Z16"/>
    </row>
    <row r="17" spans="1:26" ht="15.75" customHeight="1" x14ac:dyDescent="0.25">
      <c r="A17" s="136" t="s">
        <v>163</v>
      </c>
      <c r="B17" s="136"/>
      <c r="C17" s="136" t="s">
        <v>243</v>
      </c>
      <c r="D17" s="136"/>
      <c r="E17" s="136"/>
      <c r="F17" s="136"/>
      <c r="G17" s="136"/>
      <c r="H17" s="136"/>
      <c r="S17" s="51" t="s">
        <v>183</v>
      </c>
      <c r="T17" s="51" t="s">
        <v>188</v>
      </c>
      <c r="U17" s="51"/>
      <c r="V17" s="51" t="s">
        <v>198</v>
      </c>
      <c r="W17" s="51" t="s">
        <v>215</v>
      </c>
      <c r="X17"/>
      <c r="Y17"/>
      <c r="Z17"/>
    </row>
    <row r="18" spans="1:26" ht="15.75" customHeight="1" x14ac:dyDescent="0.25">
      <c r="A18" s="93" t="s">
        <v>11</v>
      </c>
      <c r="B18" s="93"/>
      <c r="C18" s="137" t="s">
        <v>244</v>
      </c>
      <c r="D18" s="137"/>
      <c r="E18" s="93" t="s">
        <v>73</v>
      </c>
      <c r="F18" s="93"/>
      <c r="G18" s="136" t="s">
        <v>238</v>
      </c>
      <c r="H18" s="136"/>
      <c r="S18" s="51" t="s">
        <v>184</v>
      </c>
      <c r="T18" s="51" t="s">
        <v>191</v>
      </c>
      <c r="U18" s="51"/>
      <c r="V18" s="51" t="s">
        <v>199</v>
      </c>
      <c r="W18" s="51" t="s">
        <v>216</v>
      </c>
      <c r="X18"/>
      <c r="Y18"/>
      <c r="Z18"/>
    </row>
    <row r="19" spans="1:26" x14ac:dyDescent="0.25">
      <c r="A19" s="86" t="s">
        <v>13</v>
      </c>
      <c r="B19" s="86"/>
      <c r="C19" s="160" t="s">
        <v>242</v>
      </c>
      <c r="D19" s="160"/>
      <c r="E19" s="160" t="s">
        <v>12</v>
      </c>
      <c r="F19" s="160"/>
      <c r="G19" s="161" t="s">
        <v>193</v>
      </c>
      <c r="H19" s="161"/>
      <c r="S19" s="51" t="s">
        <v>185</v>
      </c>
      <c r="T19" s="51" t="s">
        <v>192</v>
      </c>
      <c r="U19" s="51"/>
      <c r="V19" s="51" t="s">
        <v>200</v>
      </c>
      <c r="W19" s="51" t="s">
        <v>217</v>
      </c>
      <c r="X19"/>
      <c r="Y19"/>
      <c r="Z19"/>
    </row>
    <row r="20" spans="1:26" x14ac:dyDescent="0.25">
      <c r="A20" s="86" t="s">
        <v>74</v>
      </c>
      <c r="B20" s="86"/>
      <c r="C20" s="160" t="s">
        <v>195</v>
      </c>
      <c r="D20" s="160"/>
      <c r="E20" s="160" t="s">
        <v>14</v>
      </c>
      <c r="F20" s="160"/>
      <c r="G20" s="160">
        <v>410206</v>
      </c>
      <c r="H20" s="160"/>
      <c r="S20" s="51"/>
      <c r="T20" s="51"/>
      <c r="U20" s="51"/>
      <c r="V20" s="51" t="s">
        <v>201</v>
      </c>
      <c r="W20" s="51" t="s">
        <v>218</v>
      </c>
      <c r="X20"/>
      <c r="Y20"/>
      <c r="Z20"/>
    </row>
    <row r="21" spans="1:26" ht="52.5" customHeight="1" x14ac:dyDescent="0.25">
      <c r="A21" s="86" t="s">
        <v>123</v>
      </c>
      <c r="B21" s="86"/>
      <c r="C21" s="160" t="s">
        <v>245</v>
      </c>
      <c r="D21" s="160"/>
      <c r="E21" s="160" t="s">
        <v>15</v>
      </c>
      <c r="F21" s="160"/>
      <c r="G21" s="160" t="s">
        <v>241</v>
      </c>
      <c r="H21" s="160"/>
      <c r="S21" s="51"/>
      <c r="T21" s="51"/>
      <c r="U21" s="51"/>
      <c r="V21" s="51" t="s">
        <v>202</v>
      </c>
      <c r="W21" s="51" t="s">
        <v>219</v>
      </c>
      <c r="X21"/>
      <c r="Y21"/>
      <c r="Z21"/>
    </row>
    <row r="22" spans="1:26" ht="15" customHeight="1" x14ac:dyDescent="0.25">
      <c r="A22" s="93" t="s">
        <v>76</v>
      </c>
      <c r="B22" s="93"/>
      <c r="C22" s="93"/>
      <c r="D22" s="93"/>
      <c r="E22" s="137" t="s">
        <v>16</v>
      </c>
      <c r="F22" s="137"/>
      <c r="G22" s="137"/>
      <c r="H22" s="137"/>
      <c r="S22" s="51"/>
      <c r="T22" s="51"/>
      <c r="U22" s="51"/>
      <c r="V22" s="51" t="s">
        <v>203</v>
      </c>
      <c r="W22" s="51" t="s">
        <v>220</v>
      </c>
      <c r="X22"/>
      <c r="Y22"/>
      <c r="Z22"/>
    </row>
    <row r="23" spans="1:26" ht="18.75" customHeight="1" x14ac:dyDescent="0.25">
      <c r="A23" s="93"/>
      <c r="B23" s="93"/>
      <c r="C23" s="93"/>
      <c r="D23" s="93"/>
      <c r="E23" s="137"/>
      <c r="F23" s="137"/>
      <c r="G23" s="137"/>
      <c r="H23" s="137"/>
      <c r="S23" s="51"/>
      <c r="T23" s="51"/>
      <c r="U23" s="51"/>
      <c r="V23" s="51" t="s">
        <v>204</v>
      </c>
      <c r="W23" s="51" t="s">
        <v>221</v>
      </c>
      <c r="X23"/>
      <c r="Y23"/>
      <c r="Z23"/>
    </row>
    <row r="24" spans="1:26" ht="15" customHeight="1" x14ac:dyDescent="0.25">
      <c r="A24" s="93" t="s">
        <v>17</v>
      </c>
      <c r="B24" s="93"/>
      <c r="C24" s="93"/>
      <c r="D24" s="93"/>
      <c r="E24" s="136" t="s">
        <v>18</v>
      </c>
      <c r="F24" s="136"/>
      <c r="G24" s="136"/>
      <c r="H24" s="136"/>
      <c r="S24" s="51"/>
      <c r="T24" s="51"/>
      <c r="U24" s="51"/>
      <c r="V24" s="51" t="s">
        <v>205</v>
      </c>
      <c r="W24" s="51" t="s">
        <v>222</v>
      </c>
      <c r="X24"/>
      <c r="Y24"/>
      <c r="Z24"/>
    </row>
    <row r="25" spans="1:26" ht="15" customHeight="1" x14ac:dyDescent="0.25">
      <c r="A25" s="86" t="s">
        <v>19</v>
      </c>
      <c r="B25" s="86"/>
      <c r="C25" s="86"/>
      <c r="D25" s="86"/>
      <c r="E25" s="136" t="str">
        <f>IF(AND(G19="Mumbai"),"Upper Class","Middle Class")</f>
        <v>Middle Class</v>
      </c>
      <c r="F25" s="136"/>
      <c r="G25" s="136"/>
      <c r="H25" s="136"/>
      <c r="S25" s="51"/>
      <c r="T25" s="51"/>
      <c r="U25" s="51"/>
      <c r="V25" s="51" t="s">
        <v>206</v>
      </c>
      <c r="W25" s="51" t="s">
        <v>223</v>
      </c>
      <c r="X25"/>
      <c r="Y25"/>
      <c r="Z25"/>
    </row>
    <row r="26" spans="1:26" x14ac:dyDescent="0.25">
      <c r="A26" s="86" t="s">
        <v>20</v>
      </c>
      <c r="B26" s="86"/>
      <c r="C26" s="86"/>
      <c r="D26" s="86"/>
      <c r="E26" s="136" t="s">
        <v>21</v>
      </c>
      <c r="F26" s="136"/>
      <c r="G26" s="136"/>
      <c r="H26" s="136"/>
      <c r="S26" s="51"/>
      <c r="T26" s="51"/>
      <c r="U26" s="51"/>
      <c r="V26" s="51" t="s">
        <v>207</v>
      </c>
      <c r="W26" s="51" t="s">
        <v>224</v>
      </c>
      <c r="X26"/>
      <c r="Y26"/>
      <c r="Z26"/>
    </row>
    <row r="27" spans="1:26" ht="15.75" customHeight="1" x14ac:dyDescent="0.25">
      <c r="A27" s="86" t="s">
        <v>22</v>
      </c>
      <c r="B27" s="86"/>
      <c r="C27" s="86"/>
      <c r="D27" s="86"/>
      <c r="E27" s="136" t="str">
        <f>IF(AND(G19="Mumbai"),"Developed","Developing")</f>
        <v>Developing</v>
      </c>
      <c r="F27" s="136"/>
      <c r="G27" s="136"/>
      <c r="H27" s="136"/>
    </row>
    <row r="28" spans="1:26" x14ac:dyDescent="0.25">
      <c r="A28" s="86" t="s">
        <v>23</v>
      </c>
      <c r="B28" s="86"/>
      <c r="C28" s="86"/>
      <c r="D28" s="86"/>
      <c r="E28" s="136" t="s">
        <v>24</v>
      </c>
      <c r="F28" s="136"/>
      <c r="G28" s="136"/>
      <c r="H28" s="136"/>
    </row>
    <row r="29" spans="1:26" ht="15.75" customHeight="1" x14ac:dyDescent="0.25">
      <c r="A29" s="86" t="s">
        <v>81</v>
      </c>
      <c r="B29" s="86"/>
      <c r="C29" s="86"/>
      <c r="D29" s="86"/>
      <c r="E29" s="136" t="s">
        <v>82</v>
      </c>
      <c r="F29" s="136"/>
      <c r="G29" s="136"/>
      <c r="H29" s="136"/>
    </row>
    <row r="30" spans="1:26" ht="15" customHeight="1" x14ac:dyDescent="0.25">
      <c r="A30" s="86" t="s">
        <v>32</v>
      </c>
      <c r="B30" s="86"/>
      <c r="C30" s="86"/>
      <c r="D30" s="86"/>
      <c r="E30" s="136"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 + Commercial</v>
      </c>
      <c r="F30" s="136"/>
      <c r="G30" s="136"/>
      <c r="H30" s="136"/>
    </row>
    <row r="31" spans="1:26" ht="15.75" customHeight="1" x14ac:dyDescent="0.25">
      <c r="A31" s="86" t="s">
        <v>93</v>
      </c>
      <c r="B31" s="86"/>
      <c r="C31" s="86"/>
      <c r="D31" s="86"/>
      <c r="E31" s="136" t="s">
        <v>33</v>
      </c>
      <c r="F31" s="136"/>
      <c r="G31" s="136"/>
      <c r="H31" s="136"/>
    </row>
    <row r="32" spans="1:26" s="20" customFormat="1" x14ac:dyDescent="0.25">
      <c r="A32" s="165" t="s">
        <v>94</v>
      </c>
      <c r="B32" s="165"/>
      <c r="C32" s="164" t="s">
        <v>173</v>
      </c>
      <c r="D32" s="164"/>
      <c r="E32" s="164"/>
      <c r="F32" s="164" t="s">
        <v>30</v>
      </c>
      <c r="G32" s="164"/>
      <c r="H32" s="164"/>
    </row>
    <row r="33" spans="1:8" s="20" customFormat="1" x14ac:dyDescent="0.25">
      <c r="A33" s="162" t="s">
        <v>25</v>
      </c>
      <c r="B33" s="162" t="s">
        <v>29</v>
      </c>
      <c r="C33" s="124" t="s">
        <v>249</v>
      </c>
      <c r="D33" s="124"/>
      <c r="E33" s="124"/>
      <c r="F33" s="124" t="s">
        <v>247</v>
      </c>
      <c r="G33" s="124"/>
      <c r="H33" s="124"/>
    </row>
    <row r="34" spans="1:8" x14ac:dyDescent="0.25">
      <c r="A34" s="162" t="s">
        <v>26</v>
      </c>
      <c r="B34" s="162" t="s">
        <v>29</v>
      </c>
      <c r="C34" s="124" t="s">
        <v>250</v>
      </c>
      <c r="D34" s="124"/>
      <c r="E34" s="124"/>
      <c r="F34" s="124" t="s">
        <v>245</v>
      </c>
      <c r="G34" s="124"/>
      <c r="H34" s="124"/>
    </row>
    <row r="35" spans="1:8" s="20" customFormat="1" ht="30.75" customHeight="1" x14ac:dyDescent="0.25">
      <c r="A35" s="162" t="s">
        <v>28</v>
      </c>
      <c r="B35" s="162" t="s">
        <v>29</v>
      </c>
      <c r="C35" s="163" t="s">
        <v>251</v>
      </c>
      <c r="D35" s="163"/>
      <c r="E35" s="163"/>
      <c r="F35" s="124" t="s">
        <v>246</v>
      </c>
      <c r="G35" s="124"/>
      <c r="H35" s="124"/>
    </row>
    <row r="36" spans="1:8" ht="30.75" customHeight="1" x14ac:dyDescent="0.25">
      <c r="A36" s="166" t="s">
        <v>27</v>
      </c>
      <c r="B36" s="166" t="s">
        <v>29</v>
      </c>
      <c r="C36" s="166" t="s">
        <v>252</v>
      </c>
      <c r="D36" s="166"/>
      <c r="E36" s="166"/>
      <c r="F36" s="171" t="s">
        <v>248</v>
      </c>
      <c r="G36" s="171"/>
      <c r="H36" s="171"/>
    </row>
    <row r="37" spans="1:8" x14ac:dyDescent="0.25">
      <c r="A37" s="86" t="s">
        <v>31</v>
      </c>
      <c r="B37" s="86"/>
      <c r="C37" s="86"/>
      <c r="D37" s="86"/>
      <c r="E37" s="86"/>
      <c r="F37" s="86"/>
      <c r="G37" s="86"/>
      <c r="H37" s="86"/>
    </row>
    <row r="38" spans="1:8" ht="15.75" customHeight="1" x14ac:dyDescent="0.25">
      <c r="A38" s="86" t="s">
        <v>166</v>
      </c>
      <c r="B38" s="86"/>
      <c r="C38" s="168" t="s">
        <v>239</v>
      </c>
      <c r="D38" s="168"/>
      <c r="E38" s="168"/>
      <c r="F38" s="168"/>
      <c r="G38" s="168"/>
      <c r="H38" s="168"/>
    </row>
    <row r="39" spans="1:8" x14ac:dyDescent="0.25">
      <c r="A39" s="86" t="s">
        <v>162</v>
      </c>
      <c r="B39" s="86"/>
      <c r="C39" s="183" t="s">
        <v>240</v>
      </c>
      <c r="D39" s="136"/>
      <c r="E39" s="136"/>
      <c r="F39" s="136"/>
      <c r="G39" s="136"/>
      <c r="H39" s="136"/>
    </row>
    <row r="40" spans="1:8" x14ac:dyDescent="0.25">
      <c r="A40" s="168" t="s">
        <v>34</v>
      </c>
      <c r="B40" s="168"/>
      <c r="C40" s="168"/>
      <c r="D40" s="168"/>
      <c r="E40" s="168"/>
      <c r="F40" s="168"/>
      <c r="G40" s="168"/>
      <c r="H40" s="168"/>
    </row>
    <row r="41" spans="1:8" x14ac:dyDescent="0.25">
      <c r="A41" s="86" t="s">
        <v>35</v>
      </c>
      <c r="B41" s="86"/>
      <c r="C41" s="86"/>
      <c r="D41" s="86"/>
      <c r="E41" s="167">
        <v>2599.9499999999998</v>
      </c>
      <c r="F41" s="167"/>
      <c r="G41" s="167"/>
      <c r="H41" s="167"/>
    </row>
    <row r="42" spans="1:8" x14ac:dyDescent="0.25">
      <c r="A42" s="86" t="s">
        <v>36</v>
      </c>
      <c r="B42" s="86"/>
      <c r="C42" s="86"/>
      <c r="D42" s="86"/>
      <c r="E42" s="131">
        <v>1.5</v>
      </c>
      <c r="F42" s="131"/>
      <c r="G42" s="131"/>
      <c r="H42" s="131"/>
    </row>
    <row r="43" spans="1:8" x14ac:dyDescent="0.25">
      <c r="A43" s="86" t="s">
        <v>37</v>
      </c>
      <c r="B43" s="86"/>
      <c r="C43" s="86"/>
      <c r="D43" s="86"/>
      <c r="E43" s="131">
        <f>E45/E41-E42</f>
        <v>-5.2116386853584551E-4</v>
      </c>
      <c r="F43" s="131"/>
      <c r="G43" s="131"/>
      <c r="H43" s="131"/>
    </row>
    <row r="44" spans="1:8" x14ac:dyDescent="0.25">
      <c r="A44" s="86" t="s">
        <v>38</v>
      </c>
      <c r="B44" s="86"/>
      <c r="C44" s="86"/>
      <c r="D44" s="86"/>
      <c r="E44" s="131">
        <f>E42+E43</f>
        <v>1.4994788361314642</v>
      </c>
      <c r="F44" s="131"/>
      <c r="G44" s="131"/>
      <c r="H44" s="131"/>
    </row>
    <row r="45" spans="1:8" x14ac:dyDescent="0.25">
      <c r="A45" s="86" t="s">
        <v>92</v>
      </c>
      <c r="B45" s="86"/>
      <c r="C45" s="86"/>
      <c r="D45" s="86"/>
      <c r="E45" s="170">
        <v>3898.57</v>
      </c>
      <c r="F45" s="170"/>
      <c r="G45" s="170"/>
      <c r="H45" s="170"/>
    </row>
    <row r="46" spans="1:8" x14ac:dyDescent="0.25">
      <c r="A46" s="137" t="s">
        <v>39</v>
      </c>
      <c r="B46" s="137"/>
      <c r="C46" s="137"/>
      <c r="D46" s="137"/>
      <c r="E46" s="80" t="s">
        <v>122</v>
      </c>
      <c r="F46" s="80"/>
      <c r="G46" s="80"/>
      <c r="H46" s="80"/>
    </row>
    <row r="47" spans="1:8" x14ac:dyDescent="0.25">
      <c r="A47" s="168" t="s">
        <v>40</v>
      </c>
      <c r="B47" s="168"/>
      <c r="C47" s="168"/>
      <c r="D47" s="168"/>
      <c r="E47" s="168"/>
      <c r="F47" s="168"/>
      <c r="G47" s="168"/>
      <c r="H47" s="168"/>
    </row>
    <row r="48" spans="1:8" ht="33.75" customHeight="1" x14ac:dyDescent="0.25">
      <c r="A48" s="75" t="s">
        <v>152</v>
      </c>
      <c r="B48" s="77"/>
      <c r="C48" s="184" t="s">
        <v>269</v>
      </c>
      <c r="D48" s="185"/>
      <c r="E48" s="185"/>
      <c r="F48" s="185"/>
      <c r="G48" s="185"/>
      <c r="H48" s="186"/>
    </row>
    <row r="49" spans="1:14" ht="31.5" customHeight="1" x14ac:dyDescent="0.25">
      <c r="A49" s="75" t="s">
        <v>41</v>
      </c>
      <c r="B49" s="77"/>
      <c r="C49" s="75" t="s">
        <v>253</v>
      </c>
      <c r="D49" s="132"/>
      <c r="E49" s="133"/>
      <c r="F49" s="16" t="s">
        <v>42</v>
      </c>
      <c r="G49" s="134">
        <v>43441</v>
      </c>
      <c r="H49" s="77"/>
    </row>
    <row r="50" spans="1:14" ht="30" customHeight="1" x14ac:dyDescent="0.25">
      <c r="A50" s="75" t="s">
        <v>43</v>
      </c>
      <c r="B50" s="77"/>
      <c r="C50" s="75" t="str">
        <f>C49</f>
        <v>CIDCO/BP-15978/TPO(NM &amp; K)/2018/
3321</v>
      </c>
      <c r="D50" s="76"/>
      <c r="E50" s="77"/>
      <c r="F50" s="16" t="s">
        <v>42</v>
      </c>
      <c r="G50" s="134">
        <f>G49</f>
        <v>43441</v>
      </c>
      <c r="H50" s="77"/>
    </row>
    <row r="51" spans="1:14" s="21" customFormat="1" ht="30" customHeight="1" x14ac:dyDescent="0.25">
      <c r="A51" s="147" t="s">
        <v>254</v>
      </c>
      <c r="B51" s="148"/>
      <c r="C51" s="75" t="str">
        <f>C50</f>
        <v>CIDCO/BP-15978/TPO(NM &amp; K)/2018/
3321</v>
      </c>
      <c r="D51" s="76"/>
      <c r="E51" s="77"/>
      <c r="F51" s="16" t="s">
        <v>42</v>
      </c>
      <c r="G51" s="134">
        <f>G50</f>
        <v>43441</v>
      </c>
      <c r="H51" s="77"/>
    </row>
    <row r="52" spans="1:14" s="21" customFormat="1" x14ac:dyDescent="0.25">
      <c r="A52" s="149"/>
      <c r="B52" s="150"/>
      <c r="C52" s="95" t="s">
        <v>271</v>
      </c>
      <c r="D52" s="96"/>
      <c r="E52" s="96"/>
      <c r="F52" s="96"/>
      <c r="G52" s="96"/>
      <c r="H52" s="97"/>
    </row>
    <row r="53" spans="1:14" x14ac:dyDescent="0.25">
      <c r="A53" s="87" t="s">
        <v>44</v>
      </c>
      <c r="B53" s="88"/>
      <c r="C53" s="87" t="s">
        <v>106</v>
      </c>
      <c r="D53" s="89"/>
      <c r="E53" s="88"/>
      <c r="F53" s="44" t="s">
        <v>42</v>
      </c>
      <c r="G53" s="138" t="s">
        <v>29</v>
      </c>
      <c r="H53" s="139"/>
    </row>
    <row r="54" spans="1:14" x14ac:dyDescent="0.25">
      <c r="A54" s="135" t="s">
        <v>46</v>
      </c>
      <c r="B54" s="135"/>
      <c r="C54" s="135"/>
      <c r="D54" s="135"/>
      <c r="E54" s="135"/>
      <c r="F54" s="135"/>
      <c r="G54" s="135"/>
      <c r="H54" s="135"/>
    </row>
    <row r="55" spans="1:14" x14ac:dyDescent="0.25">
      <c r="A55" s="93" t="s">
        <v>91</v>
      </c>
      <c r="B55" s="93"/>
      <c r="C55" s="93"/>
      <c r="D55" s="86">
        <f>E45</f>
        <v>3898.57</v>
      </c>
      <c r="E55" s="86"/>
      <c r="F55" s="86"/>
      <c r="G55" s="86"/>
      <c r="H55" s="86"/>
    </row>
    <row r="56" spans="1:14" x14ac:dyDescent="0.25">
      <c r="A56" s="136" t="s">
        <v>47</v>
      </c>
      <c r="B56" s="137"/>
      <c r="C56" s="137"/>
      <c r="D56" s="137" t="s">
        <v>272</v>
      </c>
      <c r="E56" s="137"/>
      <c r="F56" s="137"/>
      <c r="G56" s="137"/>
      <c r="H56" s="137"/>
      <c r="I56" s="22"/>
    </row>
    <row r="57" spans="1:14" x14ac:dyDescent="0.25">
      <c r="A57" s="78" t="s">
        <v>48</v>
      </c>
      <c r="B57" s="79"/>
      <c r="C57" s="174"/>
      <c r="D57" s="172" t="s">
        <v>271</v>
      </c>
      <c r="E57" s="173"/>
      <c r="F57" s="173"/>
      <c r="G57" s="173"/>
      <c r="H57" s="173"/>
    </row>
    <row r="58" spans="1:14" ht="15.75" customHeight="1" x14ac:dyDescent="0.25">
      <c r="A58" s="78" t="s">
        <v>89</v>
      </c>
      <c r="B58" s="79"/>
      <c r="C58" s="79"/>
      <c r="D58" s="80" t="s">
        <v>271</v>
      </c>
      <c r="E58" s="80"/>
      <c r="F58" s="80"/>
      <c r="G58" s="80"/>
      <c r="H58" s="80"/>
    </row>
    <row r="59" spans="1:14" ht="15.75" customHeight="1" x14ac:dyDescent="0.25">
      <c r="A59" s="86" t="s">
        <v>45</v>
      </c>
      <c r="B59" s="86"/>
      <c r="C59" s="86"/>
      <c r="D59" s="93" t="s">
        <v>277</v>
      </c>
      <c r="E59" s="93"/>
      <c r="F59" s="93"/>
      <c r="G59" s="93"/>
      <c r="H59" s="93"/>
      <c r="J59" s="23"/>
      <c r="K59" s="22"/>
      <c r="N59" s="22"/>
    </row>
    <row r="60" spans="1:14" ht="15.75" customHeight="1" x14ac:dyDescent="0.25">
      <c r="A60" s="86" t="s">
        <v>87</v>
      </c>
      <c r="B60" s="86"/>
      <c r="C60" s="86"/>
      <c r="D60" s="169" t="str">
        <f>(IF(G53="NA","60 Years After Completion",IF(G53&lt;&gt;"NA",""&amp;60-ROUNDDOWN((E3-G53)/360,0)&amp;" Years"," ")))</f>
        <v>60 Years After Completion</v>
      </c>
      <c r="E60" s="169"/>
      <c r="F60" s="169"/>
      <c r="G60" s="169"/>
      <c r="H60" s="169"/>
      <c r="N60" s="22"/>
    </row>
    <row r="61" spans="1:14" ht="15.75" customHeight="1" x14ac:dyDescent="0.25">
      <c r="A61" s="86" t="s">
        <v>88</v>
      </c>
      <c r="B61" s="86"/>
      <c r="C61" s="86"/>
      <c r="D61" s="93" t="s">
        <v>24</v>
      </c>
      <c r="E61" s="93"/>
      <c r="F61" s="93"/>
      <c r="G61" s="93"/>
      <c r="H61" s="93"/>
      <c r="J61" s="24"/>
      <c r="K61" s="24"/>
    </row>
    <row r="62" spans="1:14" ht="80.099999999999994" customHeight="1" x14ac:dyDescent="0.25">
      <c r="A62" s="80" t="s">
        <v>255</v>
      </c>
      <c r="B62" s="80"/>
      <c r="C62" s="80"/>
      <c r="D62" s="136" t="s">
        <v>256</v>
      </c>
      <c r="E62" s="93"/>
      <c r="F62" s="93"/>
      <c r="G62" s="93"/>
      <c r="H62" s="93"/>
      <c r="I62" s="94" t="s">
        <v>257</v>
      </c>
      <c r="J62" s="82"/>
      <c r="K62" s="82"/>
    </row>
    <row r="63" spans="1:14" x14ac:dyDescent="0.25">
      <c r="A63" s="93" t="s">
        <v>149</v>
      </c>
      <c r="B63" s="93"/>
      <c r="C63" s="93"/>
      <c r="D63" s="93" t="s">
        <v>29</v>
      </c>
      <c r="E63" s="93"/>
      <c r="F63" s="93"/>
      <c r="G63" s="93"/>
      <c r="H63" s="93"/>
      <c r="I63" s="25"/>
      <c r="J63" s="25"/>
      <c r="K63" s="25"/>
      <c r="L63" s="25"/>
      <c r="M63" s="25"/>
      <c r="N63" s="25"/>
    </row>
    <row r="64" spans="1:14" ht="15.75" customHeight="1" x14ac:dyDescent="0.25">
      <c r="A64" s="86" t="s">
        <v>86</v>
      </c>
      <c r="B64" s="86"/>
      <c r="C64" s="86"/>
      <c r="D64" s="136" t="str">
        <f ca="1">(IF(G70&gt;95%,"Nothing",IF(G70&gt;0%,"Cement, Aggregate, Steel, etc",IF(G70=0%,"Work not yet Started"))))</f>
        <v>Cement, Aggregate, Steel, etc</v>
      </c>
      <c r="E64" s="136"/>
      <c r="F64" s="136"/>
      <c r="G64" s="136"/>
      <c r="H64" s="136"/>
      <c r="J64" s="24"/>
    </row>
    <row r="65" spans="1:10" ht="33.75" customHeight="1" thickBot="1" x14ac:dyDescent="0.3">
      <c r="A65" s="93" t="s">
        <v>119</v>
      </c>
      <c r="B65" s="93"/>
      <c r="C65" s="93"/>
      <c r="D65" s="136" t="str">
        <f ca="1">(IF(D64="Nothing","Yes",IF(D64="Cement, Aggregate, Steel, etc","Under Construction",IF(D64="Work not yet Started","Work not yet Started"))))</f>
        <v>Under Construction</v>
      </c>
      <c r="E65" s="136"/>
      <c r="F65" s="136" t="str">
        <f ca="1">(IF(D64="Nothing","Yes",IF(D64="Cement, Aggregate, Steel, etc","Under Construction",IF(D64="Work not yet Started","Work not yet Started"))))</f>
        <v>Under Construction</v>
      </c>
      <c r="G65" s="136"/>
      <c r="H65" s="136"/>
    </row>
    <row r="66" spans="1:10" ht="15.75" customHeight="1" x14ac:dyDescent="0.25">
      <c r="A66" s="152" t="s">
        <v>141</v>
      </c>
      <c r="B66" s="152"/>
      <c r="C66" s="152" t="str">
        <f>D58</f>
        <v>Gr + 1st to 12th Floor</v>
      </c>
      <c r="D66" s="152"/>
      <c r="E66" s="152"/>
      <c r="F66" s="152"/>
      <c r="G66" s="152"/>
      <c r="H66" s="152"/>
      <c r="I66" s="57" t="str">
        <f ca="1">IF(D79=100%,"All work Completed. Possession granted to the Building.",IF(D78=100%,"All work Completed, Waiting for OC",I67&amp;""&amp;I68&amp;""&amp;J67&amp;""&amp;J66&amp;" "&amp;J68))</f>
        <v>Excavation, Plinth, RCC Slab, Brickwork, Internal Plaster, External Plaster, Flooring, Painting Completed, Finishing upto 5 Floor Completed</v>
      </c>
      <c r="J66" s="48" t="str">
        <f ca="1">(IF(C72=(D67+F67+H67),"",IF(C72&gt;0,", RCC upto "&amp;C72&amp;" Slab","")))&amp;(IF(C73=H67,"",IF(C73&gt;0,", Brickwork upto "&amp;C73&amp;" Floor","")))&amp;(IF(C74=H67,"",IF(C74&gt;0,", Internal Plaster upto "&amp;C74&amp;" Floor","")))&amp;(IF(C75=H67,"",IF(C75&gt;0,", External Plaster upto "&amp;C75&amp;" Floor","")))&amp;(IF(C76=H67,"",IF(C76&gt;0,", Flooring upto "&amp;C76&amp;" Floor","")))&amp;(IF(C77=H67,"",IF(C77&gt;0,", Painting upto "&amp;C77&amp;" Floor","")))&amp;(IF(C78=H67,"",IF(C78&gt;0,", Finishing upto "&amp;C78&amp;" Floor","")))&amp;(IF(C79=H67,"",IF(C79&gt;0,", Possession upto "&amp;C79&amp;" Floor","")))</f>
        <v>, Finishing upto 5 Floor</v>
      </c>
    </row>
    <row r="67" spans="1:10" x14ac:dyDescent="0.25">
      <c r="A67" s="46" t="s">
        <v>143</v>
      </c>
      <c r="B67" s="46">
        <f>IF(AND(ISNUMBER(SEARCH("1B",C66))),1,IF(AND(ISNUMBER(SEARCH("2B",C66))),2,IF(AND(ISNUMBER(SEARCH("3B",C66))),3,IF(AND(ISNUMBER(SEARCH("4B",C66))),4,IF(ISNUMBER(SEARCH("5B",C66)),5,0)))))</f>
        <v>0</v>
      </c>
      <c r="C67" s="46" t="s">
        <v>72</v>
      </c>
      <c r="D67" s="46">
        <v>1</v>
      </c>
      <c r="E67" s="46" t="s">
        <v>71</v>
      </c>
      <c r="F67" s="54">
        <v>0</v>
      </c>
      <c r="G67" s="47" t="s">
        <v>80</v>
      </c>
      <c r="H67" s="46">
        <f ca="1">--TRIM(RIGHT(SUBSTITUTE(LEFT(C66,_xlfn.AGGREGATE(16,6,FIND({0,1,2,3,4,5,6,7,8,9},C66,ROW(INDIRECT("1:"&amp;LEN(C66)))),1))," ",REPT(" ",LEN(C66))),LEN(C66)))</f>
        <v>12</v>
      </c>
      <c r="I67" s="58" t="str">
        <f ca="1">IF(D70=100%,"Excavation","")&amp;IF(D71=100%,", Plinth","")&amp;IF(D72=100%,", RCC Slab","")&amp;IF(D73=100%,", Brickwork","")&amp;IF(D74=100%,", Internal Plaster","")&amp;IF(D75=100%,", External Plaster","")&amp;IF(D76=100%,", Flooring","")&amp;IF(D77=100%,", Painting","")&amp;IF(D78=100%,", Building common Amenities","")</f>
        <v>Excavation, Plinth, RCC Slab, Brickwork, Internal Plaster, External Plaster, Flooring, Painting</v>
      </c>
      <c r="J67" s="49" t="str">
        <f ca="1">(IF(C70=0,"Work not yet Started.",IF(D70=25%,"Piling work in process",IF(D70=50%,"Excavation work in process",IF(D70=100%,"","0")))))&amp;(IF(C71=0%,"",IF(C71=J72,", Footing work is process",IF(C71=J73,", Footing work Completed",IF(C71=J74,", 1st Basement Completed",IF(C71=J75,", 1st &amp; 2nd Basement Completed",IF(C71=J76,", 1st to 3rd Basement Completed",IF(C71=J77,", 1st to 4th Basement Completed",IF(C71=J78,", Plinth work is process",IF(C71=J79,"","0"))))))))))</f>
        <v/>
      </c>
    </row>
    <row r="68" spans="1:10" ht="33" customHeight="1" x14ac:dyDescent="0.25">
      <c r="A68" s="151" t="s">
        <v>90</v>
      </c>
      <c r="B68" s="151"/>
      <c r="C68" s="153" t="str">
        <f ca="1">I66</f>
        <v>Excavation, Plinth, RCC Slab, Brickwork, Internal Plaster, External Plaster, Flooring, Painting Completed, Finishing upto 5 Floor Completed</v>
      </c>
      <c r="D68" s="153"/>
      <c r="E68" s="153"/>
      <c r="F68" s="153"/>
      <c r="G68" s="153"/>
      <c r="H68" s="153"/>
      <c r="I68" s="58" t="str">
        <f ca="1">IF(I67&lt;&gt;""," Completed","")</f>
        <v xml:space="preserve"> Completed</v>
      </c>
      <c r="J68" s="49" t="str">
        <f ca="1">IF(J66&lt;&gt;"","Completed","")</f>
        <v>Completed</v>
      </c>
    </row>
    <row r="69" spans="1:10" ht="15.75" customHeight="1" x14ac:dyDescent="0.25">
      <c r="A69" s="104" t="s">
        <v>49</v>
      </c>
      <c r="B69" s="105"/>
      <c r="C69" s="42" t="s">
        <v>140</v>
      </c>
      <c r="D69" s="42" t="s">
        <v>83</v>
      </c>
      <c r="E69" s="105" t="s">
        <v>85</v>
      </c>
      <c r="F69" s="105"/>
      <c r="G69" s="105" t="s">
        <v>84</v>
      </c>
      <c r="H69" s="154"/>
      <c r="I69" s="14" t="s">
        <v>142</v>
      </c>
      <c r="J69" s="26">
        <f ca="1">H67*25%</f>
        <v>3</v>
      </c>
    </row>
    <row r="70" spans="1:10" x14ac:dyDescent="0.25">
      <c r="A70" s="104" t="s">
        <v>129</v>
      </c>
      <c r="B70" s="105"/>
      <c r="C70" s="42">
        <f ca="1">J71</f>
        <v>12</v>
      </c>
      <c r="D70" s="17">
        <f ca="1">((100/H67)*C70)/100</f>
        <v>1</v>
      </c>
      <c r="E70" s="98">
        <f ca="1">(((C71/H67*10)+(40/(D67+F67+H67)*C72)+(7.5/(H67)*C73)+(7.5/(H67)*C74)+(10/H67*C75)+(10/H67*C76)+(5/H67*C77)+(5/H67*C78)+(5/H67*C79))/100)</f>
        <v>0.92083333333333328</v>
      </c>
      <c r="F70" s="155"/>
      <c r="G70" s="98">
        <f ca="1">((((C70/H67)*20)+((C71/H67)*25)+(30/(H67+F67+D67)*C72)+(5/H67*C73)+(5/H67*C74)+(5/H67*C75)+(5/H67*C76)+(0/H67*C77)+(0/H67*C78)+(5/H67*C79))/100)</f>
        <v>0.95</v>
      </c>
      <c r="H70" s="99"/>
      <c r="I70" s="14" t="s">
        <v>101</v>
      </c>
      <c r="J70" s="27">
        <f ca="1">H67*50%</f>
        <v>6</v>
      </c>
    </row>
    <row r="71" spans="1:10" x14ac:dyDescent="0.25">
      <c r="A71" s="104" t="s">
        <v>50</v>
      </c>
      <c r="B71" s="105"/>
      <c r="C71" s="42">
        <f ca="1">J79</f>
        <v>12</v>
      </c>
      <c r="D71" s="17">
        <f ca="1">((100/H67)*C71)/100</f>
        <v>1</v>
      </c>
      <c r="E71" s="100"/>
      <c r="F71" s="156"/>
      <c r="G71" s="100"/>
      <c r="H71" s="101"/>
      <c r="I71" s="14" t="s">
        <v>102</v>
      </c>
      <c r="J71" s="27">
        <f ca="1">H67</f>
        <v>12</v>
      </c>
    </row>
    <row r="72" spans="1:10" ht="15.75" customHeight="1" x14ac:dyDescent="0.25">
      <c r="A72" s="104" t="s">
        <v>130</v>
      </c>
      <c r="B72" s="105"/>
      <c r="C72" s="42">
        <v>13</v>
      </c>
      <c r="D72" s="17">
        <f ca="1">((100/(D67+F67+H67))*C72)/100</f>
        <v>1</v>
      </c>
      <c r="E72" s="100"/>
      <c r="F72" s="156"/>
      <c r="G72" s="100"/>
      <c r="H72" s="101"/>
      <c r="I72" s="14" t="s">
        <v>103</v>
      </c>
      <c r="J72" s="28">
        <f ca="1">(IF(B67&gt;1,(H67/(B67+2)),H67/4))</f>
        <v>3</v>
      </c>
    </row>
    <row r="73" spans="1:10" ht="15.75" customHeight="1" x14ac:dyDescent="0.25">
      <c r="A73" s="104" t="s">
        <v>137</v>
      </c>
      <c r="B73" s="105" t="s">
        <v>131</v>
      </c>
      <c r="C73" s="42">
        <v>12</v>
      </c>
      <c r="D73" s="17">
        <f ca="1">((100/H67)*C73)/100</f>
        <v>1</v>
      </c>
      <c r="E73" s="100"/>
      <c r="F73" s="156"/>
      <c r="G73" s="100"/>
      <c r="H73" s="101"/>
      <c r="I73" s="14" t="s">
        <v>104</v>
      </c>
      <c r="J73" s="28">
        <f ca="1">(IF(B67&gt;1,(H67/(B67+2)+J72),H67/4+J72))</f>
        <v>6</v>
      </c>
    </row>
    <row r="74" spans="1:10" ht="15.75" customHeight="1" x14ac:dyDescent="0.25">
      <c r="A74" s="104" t="s">
        <v>138</v>
      </c>
      <c r="B74" s="105" t="s">
        <v>131</v>
      </c>
      <c r="C74" s="42">
        <v>12</v>
      </c>
      <c r="D74" s="17">
        <f ca="1">((100/H67)*C74)/100</f>
        <v>1</v>
      </c>
      <c r="E74" s="100"/>
      <c r="F74" s="156"/>
      <c r="G74" s="100"/>
      <c r="H74" s="101"/>
      <c r="I74" s="14" t="s">
        <v>147</v>
      </c>
      <c r="J74" s="28">
        <f>(IF(B67&gt;1,(H67/(B67+2)+J73),0))</f>
        <v>0</v>
      </c>
    </row>
    <row r="75" spans="1:10" ht="15" customHeight="1" x14ac:dyDescent="0.25">
      <c r="A75" s="104" t="s">
        <v>136</v>
      </c>
      <c r="B75" s="105" t="s">
        <v>133</v>
      </c>
      <c r="C75" s="42">
        <v>12</v>
      </c>
      <c r="D75" s="17">
        <f ca="1">((100/(H67))*C75)/100</f>
        <v>1</v>
      </c>
      <c r="E75" s="100"/>
      <c r="F75" s="156"/>
      <c r="G75" s="100"/>
      <c r="H75" s="101"/>
      <c r="I75" s="14" t="s">
        <v>144</v>
      </c>
      <c r="J75" s="28">
        <f>(IF(B67&gt;2,(H67/(B67+2)+J74),0))</f>
        <v>0</v>
      </c>
    </row>
    <row r="76" spans="1:10" ht="15.75" customHeight="1" x14ac:dyDescent="0.25">
      <c r="A76" s="104" t="s">
        <v>132</v>
      </c>
      <c r="B76" s="105" t="s">
        <v>132</v>
      </c>
      <c r="C76" s="42">
        <v>12</v>
      </c>
      <c r="D76" s="17">
        <f ca="1">((100/H67)*C76)/100</f>
        <v>1</v>
      </c>
      <c r="E76" s="100"/>
      <c r="F76" s="156"/>
      <c r="G76" s="100"/>
      <c r="H76" s="101"/>
      <c r="I76" s="14" t="s">
        <v>145</v>
      </c>
      <c r="J76" s="29">
        <f>(IF(B67&gt;3,(H67/(B67+2)+J75),0))</f>
        <v>0</v>
      </c>
    </row>
    <row r="77" spans="1:10" ht="15.75" customHeight="1" x14ac:dyDescent="0.25">
      <c r="A77" s="104" t="s">
        <v>139</v>
      </c>
      <c r="B77" s="105"/>
      <c r="C77" s="42">
        <v>12</v>
      </c>
      <c r="D77" s="17">
        <f ca="1">((100/H67)*C77)/100</f>
        <v>1</v>
      </c>
      <c r="E77" s="100"/>
      <c r="F77" s="156"/>
      <c r="G77" s="100"/>
      <c r="H77" s="101"/>
      <c r="I77" s="14" t="s">
        <v>146</v>
      </c>
      <c r="J77" s="28">
        <f>(IF(B67&gt;4,(H67/(B67+2)+J76),0))</f>
        <v>0</v>
      </c>
    </row>
    <row r="78" spans="1:10" ht="15.75" customHeight="1" x14ac:dyDescent="0.25">
      <c r="A78" s="104" t="s">
        <v>134</v>
      </c>
      <c r="B78" s="105" t="s">
        <v>134</v>
      </c>
      <c r="C78" s="42">
        <v>5</v>
      </c>
      <c r="D78" s="17">
        <f ca="1">((100/(H67))*C78)/100</f>
        <v>0.41666666666666674</v>
      </c>
      <c r="E78" s="100"/>
      <c r="F78" s="156"/>
      <c r="G78" s="100"/>
      <c r="H78" s="101"/>
      <c r="I78" s="14" t="s">
        <v>148</v>
      </c>
      <c r="J78" s="28">
        <f ca="1">(IF(B67=1,(H67/(B67+3)+J73),IF(B67=0,(H67/4+J73),IF(B67&gt;1,0))))</f>
        <v>9</v>
      </c>
    </row>
    <row r="79" spans="1:10" ht="16.5" thickBot="1" x14ac:dyDescent="0.3">
      <c r="A79" s="106" t="s">
        <v>135</v>
      </c>
      <c r="B79" s="107"/>
      <c r="C79" s="43">
        <v>0</v>
      </c>
      <c r="D79" s="18">
        <f ca="1">((100/(H67))*C79)/100</f>
        <v>0</v>
      </c>
      <c r="E79" s="102"/>
      <c r="F79" s="157"/>
      <c r="G79" s="102"/>
      <c r="H79" s="103"/>
      <c r="I79" s="15" t="s">
        <v>105</v>
      </c>
      <c r="J79" s="30">
        <f ca="1">(IF(B67&gt;1.5,(H67/(B67+2)+J73+MAX(0,J74-J73)+MAX(0,J75-J74)+MAX(0,J76-J75)+MAX(0,J77-J76)+MAX(0,J78-J77)),IF(B67=1,(H67/(B67+3)+J78),IF(B67=0,H67/4+J78))))</f>
        <v>12</v>
      </c>
    </row>
    <row r="80" spans="1:10" x14ac:dyDescent="0.25">
      <c r="A80" s="175" t="s">
        <v>156</v>
      </c>
      <c r="B80" s="175"/>
      <c r="C80" s="175"/>
      <c r="D80" s="175"/>
      <c r="E80" s="175"/>
      <c r="F80" s="108" t="s">
        <v>160</v>
      </c>
      <c r="G80" s="108"/>
      <c r="H80" s="108"/>
    </row>
    <row r="81" spans="1:8" x14ac:dyDescent="0.25">
      <c r="A81" s="86" t="s">
        <v>158</v>
      </c>
      <c r="B81" s="86"/>
      <c r="C81" s="86"/>
      <c r="D81" s="86"/>
      <c r="E81" s="86"/>
      <c r="F81" s="83">
        <v>9300</v>
      </c>
      <c r="G81" s="83"/>
      <c r="H81" s="83"/>
    </row>
    <row r="82" spans="1:8" x14ac:dyDescent="0.25">
      <c r="A82" s="86" t="s">
        <v>157</v>
      </c>
      <c r="B82" s="86"/>
      <c r="C82" s="86"/>
      <c r="D82" s="86"/>
      <c r="E82" s="86"/>
      <c r="F82" s="83">
        <v>13500</v>
      </c>
      <c r="G82" s="83"/>
      <c r="H82" s="83"/>
    </row>
    <row r="83" spans="1:8" x14ac:dyDescent="0.25">
      <c r="A83" s="86" t="s">
        <v>159</v>
      </c>
      <c r="B83" s="86"/>
      <c r="C83" s="86"/>
      <c r="D83" s="86"/>
      <c r="E83" s="86"/>
      <c r="F83" s="83">
        <v>11000</v>
      </c>
      <c r="G83" s="83"/>
      <c r="H83" s="83"/>
    </row>
    <row r="84" spans="1:8" s="31" customFormat="1" hidden="1" x14ac:dyDescent="0.25">
      <c r="A84" s="86" t="s">
        <v>175</v>
      </c>
      <c r="B84" s="86"/>
      <c r="C84" s="86"/>
      <c r="D84" s="86"/>
      <c r="E84" s="86"/>
      <c r="F84" s="83"/>
      <c r="G84" s="83"/>
      <c r="H84" s="83"/>
    </row>
    <row r="85" spans="1:8" s="31" customFormat="1" hidden="1" x14ac:dyDescent="0.25">
      <c r="A85" s="86" t="s">
        <v>95</v>
      </c>
      <c r="B85" s="86"/>
      <c r="C85" s="86"/>
      <c r="D85" s="86"/>
      <c r="E85" s="86"/>
      <c r="F85" s="83"/>
      <c r="G85" s="83"/>
      <c r="H85" s="83"/>
    </row>
    <row r="86" spans="1:8" s="31" customFormat="1" hidden="1" x14ac:dyDescent="0.25">
      <c r="A86" s="86" t="s">
        <v>96</v>
      </c>
      <c r="B86" s="86"/>
      <c r="C86" s="86"/>
      <c r="D86" s="86"/>
      <c r="E86" s="86"/>
      <c r="F86" s="83"/>
      <c r="G86" s="83"/>
      <c r="H86" s="83"/>
    </row>
    <row r="87" spans="1:8" s="31" customFormat="1" hidden="1" x14ac:dyDescent="0.25">
      <c r="A87" s="86" t="s">
        <v>161</v>
      </c>
      <c r="B87" s="86"/>
      <c r="C87" s="86"/>
      <c r="D87" s="86"/>
      <c r="E87" s="86"/>
      <c r="F87" s="83"/>
      <c r="G87" s="83"/>
      <c r="H87" s="83"/>
    </row>
    <row r="88" spans="1:8" s="31" customFormat="1" hidden="1" x14ac:dyDescent="0.25">
      <c r="A88" s="86" t="s">
        <v>97</v>
      </c>
      <c r="B88" s="86"/>
      <c r="C88" s="86"/>
      <c r="D88" s="86"/>
      <c r="E88" s="86"/>
      <c r="F88" s="83"/>
      <c r="G88" s="83"/>
      <c r="H88" s="83"/>
    </row>
    <row r="89" spans="1:8" s="31" customFormat="1" hidden="1" x14ac:dyDescent="0.25">
      <c r="A89" s="86" t="s">
        <v>98</v>
      </c>
      <c r="B89" s="86"/>
      <c r="C89" s="86"/>
      <c r="D89" s="86"/>
      <c r="E89" s="86"/>
      <c r="F89" s="83"/>
      <c r="G89" s="83"/>
      <c r="H89" s="83"/>
    </row>
    <row r="90" spans="1:8" s="31" customFormat="1" hidden="1" x14ac:dyDescent="0.25">
      <c r="A90" s="86" t="s">
        <v>99</v>
      </c>
      <c r="B90" s="86"/>
      <c r="C90" s="86"/>
      <c r="D90" s="86"/>
      <c r="E90" s="86"/>
      <c r="F90" s="83"/>
      <c r="G90" s="83"/>
      <c r="H90" s="83"/>
    </row>
    <row r="91" spans="1:8" s="31" customFormat="1" hidden="1" x14ac:dyDescent="0.25">
      <c r="A91" s="86" t="s">
        <v>100</v>
      </c>
      <c r="B91" s="86"/>
      <c r="C91" s="86"/>
      <c r="D91" s="86"/>
      <c r="E91" s="86"/>
      <c r="F91" s="83"/>
      <c r="G91" s="83"/>
      <c r="H91" s="83"/>
    </row>
    <row r="92" spans="1:8" x14ac:dyDescent="0.25">
      <c r="A92" s="86" t="s">
        <v>51</v>
      </c>
      <c r="B92" s="86"/>
      <c r="C92" s="86"/>
      <c r="D92" s="86"/>
      <c r="E92" s="86"/>
      <c r="F92" s="83">
        <v>400000</v>
      </c>
      <c r="G92" s="83"/>
      <c r="H92" s="83"/>
    </row>
    <row r="93" spans="1:8" s="32" customFormat="1" x14ac:dyDescent="0.25">
      <c r="A93" s="168" t="s">
        <v>52</v>
      </c>
      <c r="B93" s="168"/>
      <c r="C93" s="168"/>
      <c r="D93" s="168"/>
      <c r="E93" s="168"/>
      <c r="F93" s="83">
        <f>F81*0.8</f>
        <v>7440</v>
      </c>
      <c r="G93" s="83"/>
      <c r="H93" s="83"/>
    </row>
    <row r="94" spans="1:8" s="33" customFormat="1" ht="15.75" customHeight="1" x14ac:dyDescent="0.25">
      <c r="A94" s="142" t="s">
        <v>75</v>
      </c>
      <c r="B94" s="142"/>
      <c r="C94" s="142"/>
      <c r="D94" s="142"/>
      <c r="E94" s="142"/>
      <c r="F94" s="142"/>
      <c r="G94" s="142"/>
      <c r="H94" s="142"/>
    </row>
    <row r="95" spans="1:8" s="33" customFormat="1" ht="15.75" customHeight="1" x14ac:dyDescent="0.25">
      <c r="A95" s="85" t="s">
        <v>53</v>
      </c>
      <c r="B95" s="85"/>
      <c r="C95" s="92" t="s">
        <v>78</v>
      </c>
      <c r="D95" s="92"/>
      <c r="E95" s="90" t="s">
        <v>54</v>
      </c>
      <c r="F95" s="90"/>
      <c r="G95" s="85" t="s">
        <v>55</v>
      </c>
      <c r="H95" s="85"/>
    </row>
    <row r="96" spans="1:8" s="33" customFormat="1" x14ac:dyDescent="0.25">
      <c r="A96" s="91" t="s">
        <v>259</v>
      </c>
      <c r="B96" s="91"/>
      <c r="C96" s="112">
        <f>COUNT(D109:D118)</f>
        <v>10</v>
      </c>
      <c r="D96" s="180"/>
      <c r="E96" s="113">
        <f>SUM(D109:D118)</f>
        <v>3506.9111999999991</v>
      </c>
      <c r="F96" s="120"/>
      <c r="G96" s="113">
        <f>SUM(F109:F118)</f>
        <v>6629.0497649999998</v>
      </c>
      <c r="H96" s="120"/>
    </row>
    <row r="97" spans="1:14" s="33" customFormat="1" x14ac:dyDescent="0.25">
      <c r="A97" s="91" t="s">
        <v>261</v>
      </c>
      <c r="B97" s="91"/>
      <c r="C97" s="112">
        <f>COUNT(D120:D125)</f>
        <v>6</v>
      </c>
      <c r="D97" s="180"/>
      <c r="E97" s="113">
        <f>SUM(D120:D125)</f>
        <v>1957.0028399999999</v>
      </c>
      <c r="F97" s="120"/>
      <c r="G97" s="113">
        <f>SUM(F130:F137)</f>
        <v>6379.0962299999992</v>
      </c>
      <c r="H97" s="120"/>
    </row>
    <row r="98" spans="1:14" s="33" customFormat="1" x14ac:dyDescent="0.25">
      <c r="A98" s="142" t="s">
        <v>151</v>
      </c>
      <c r="B98" s="142"/>
      <c r="C98" s="181">
        <f t="shared" ref="C98:G98" si="0">SUM(C96:D97)</f>
        <v>16</v>
      </c>
      <c r="D98" s="92"/>
      <c r="E98" s="182">
        <f t="shared" si="0"/>
        <v>5463.9140399999987</v>
      </c>
      <c r="F98" s="90"/>
      <c r="G98" s="85">
        <f t="shared" si="0"/>
        <v>13008.145994999999</v>
      </c>
      <c r="H98" s="85"/>
    </row>
    <row r="99" spans="1:14" s="33" customFormat="1" x14ac:dyDescent="0.25">
      <c r="A99" s="142" t="s">
        <v>70</v>
      </c>
      <c r="B99" s="142"/>
      <c r="C99" s="142"/>
      <c r="D99" s="142"/>
      <c r="E99" s="142"/>
      <c r="F99" s="142"/>
      <c r="G99" s="142"/>
      <c r="H99" s="142"/>
    </row>
    <row r="100" spans="1:14" s="33" customFormat="1" ht="15.75" customHeight="1" x14ac:dyDescent="0.25">
      <c r="A100" s="85" t="s">
        <v>53</v>
      </c>
      <c r="B100" s="85"/>
      <c r="C100" s="92" t="s">
        <v>78</v>
      </c>
      <c r="D100" s="92"/>
      <c r="E100" s="90" t="s">
        <v>54</v>
      </c>
      <c r="F100" s="90"/>
      <c r="G100" s="85" t="s">
        <v>55</v>
      </c>
      <c r="H100" s="85"/>
    </row>
    <row r="101" spans="1:14" s="33" customFormat="1" x14ac:dyDescent="0.25">
      <c r="A101" s="91" t="s">
        <v>69</v>
      </c>
      <c r="B101" s="91"/>
      <c r="C101" s="112">
        <f>COUNT(D130:D137)+COUNT(D139:D146)*5+COUNT(D148:D155)*2+COUNT(D157:D164)*2+COUNT(D166:D171)</f>
        <v>86</v>
      </c>
      <c r="D101" s="112"/>
      <c r="E101" s="113">
        <f>SUM(D130:D137)+SUM(D139:D146)*5+SUM(D148:D155)*2+SUM(D157:D164)*2+SUM(D166:D171)</f>
        <v>43927.507259999998</v>
      </c>
      <c r="F101" s="113"/>
      <c r="G101" s="113">
        <f>SUM(F130:F137)+SUM(F139:F146)*5+SUM(F148:F155)*2+SUM(F157:F164)*2+SUM(F166:F171)</f>
        <v>66496.305330000003</v>
      </c>
      <c r="H101" s="113"/>
    </row>
    <row r="102" spans="1:14" s="33" customFormat="1" ht="16.5" thickBot="1" x14ac:dyDescent="0.3">
      <c r="A102" s="176" t="s">
        <v>151</v>
      </c>
      <c r="B102" s="176"/>
      <c r="C102" s="145">
        <f t="shared" ref="C102:G102" si="1">SUM(C101)</f>
        <v>86</v>
      </c>
      <c r="D102" s="146"/>
      <c r="E102" s="177">
        <f>SUM(E101)</f>
        <v>43927.507259999998</v>
      </c>
      <c r="F102" s="178"/>
      <c r="G102" s="179">
        <f t="shared" si="1"/>
        <v>66496.305330000003</v>
      </c>
      <c r="H102" s="179"/>
    </row>
    <row r="103" spans="1:14" s="33" customFormat="1" ht="16.5" thickBot="1" x14ac:dyDescent="0.3">
      <c r="A103" s="125" t="s">
        <v>167</v>
      </c>
      <c r="B103" s="126"/>
      <c r="C103" s="127">
        <f>C98+C102</f>
        <v>102</v>
      </c>
      <c r="D103" s="127"/>
      <c r="E103" s="128">
        <f>E98+E102</f>
        <v>49391.421299999995</v>
      </c>
      <c r="F103" s="128"/>
      <c r="G103" s="129">
        <f>G98+G102</f>
        <v>79504.451325000002</v>
      </c>
      <c r="H103" s="130"/>
    </row>
    <row r="104" spans="1:14" s="32" customFormat="1" x14ac:dyDescent="0.25">
      <c r="A104" s="108" t="s">
        <v>56</v>
      </c>
      <c r="B104" s="108"/>
      <c r="C104" s="108"/>
      <c r="D104" s="108"/>
      <c r="E104" s="108"/>
      <c r="F104" s="108"/>
      <c r="G104" s="108"/>
      <c r="H104" s="108"/>
    </row>
    <row r="105" spans="1:14" x14ac:dyDescent="0.25">
      <c r="A105" s="84" t="s">
        <v>174</v>
      </c>
      <c r="B105" s="84"/>
      <c r="C105" s="84"/>
      <c r="D105" s="84"/>
      <c r="E105" s="84"/>
      <c r="F105" s="84"/>
      <c r="G105" s="84"/>
      <c r="H105" s="84"/>
    </row>
    <row r="106" spans="1:14" ht="47.25" customHeight="1" x14ac:dyDescent="0.25">
      <c r="A106" s="73" t="s">
        <v>120</v>
      </c>
      <c r="B106" s="73" t="s">
        <v>176</v>
      </c>
      <c r="C106" s="73" t="s">
        <v>57</v>
      </c>
      <c r="D106" s="73" t="s">
        <v>58</v>
      </c>
      <c r="E106" s="114" t="s">
        <v>263</v>
      </c>
      <c r="F106" s="41" t="s">
        <v>150</v>
      </c>
      <c r="G106" s="116" t="s">
        <v>60</v>
      </c>
      <c r="H106" s="117"/>
      <c r="I106" s="55">
        <v>10.763999999999999</v>
      </c>
    </row>
    <row r="107" spans="1:14" s="35" customFormat="1" x14ac:dyDescent="0.25">
      <c r="A107" s="74"/>
      <c r="B107" s="74"/>
      <c r="C107" s="74"/>
      <c r="D107" s="74"/>
      <c r="E107" s="115"/>
      <c r="F107" s="13">
        <v>0.55000000000000004</v>
      </c>
      <c r="G107" s="118"/>
      <c r="H107" s="119"/>
    </row>
    <row r="108" spans="1:14" s="35" customFormat="1" x14ac:dyDescent="0.25">
      <c r="A108" s="66" t="s">
        <v>258</v>
      </c>
      <c r="B108" s="66"/>
      <c r="C108" s="66"/>
      <c r="D108" s="66"/>
      <c r="E108" s="66"/>
      <c r="F108" s="66"/>
      <c r="G108" s="66"/>
      <c r="H108" s="66"/>
      <c r="J108" s="34"/>
    </row>
    <row r="109" spans="1:14" s="35" customFormat="1" ht="15.75" customHeight="1" x14ac:dyDescent="0.25">
      <c r="A109" s="62">
        <v>1</v>
      </c>
      <c r="B109" s="62"/>
      <c r="C109" s="56" t="s">
        <v>259</v>
      </c>
      <c r="D109" s="55">
        <f>(30.43)*10.764</f>
        <v>327.54852</v>
      </c>
      <c r="E109" s="55">
        <f>(3.18*2.5)*10.764</f>
        <v>85.573799999999991</v>
      </c>
      <c r="F109" s="56">
        <f>(D109+E109)*(($F$107)+1)</f>
        <v>640.33959600000003</v>
      </c>
      <c r="G109" s="62" t="str">
        <f>A108</f>
        <v>Ground Floor For Commercial, Lobby &amp; Parking</v>
      </c>
      <c r="H109" s="62"/>
      <c r="I109" s="34">
        <f>3.05*9.5</f>
        <v>28.974999999999998</v>
      </c>
      <c r="J109" s="53">
        <f>8.15*3.05</f>
        <v>24.857499999999998</v>
      </c>
      <c r="K109" s="35">
        <f>3.38*1.4</f>
        <v>4.7319999999999993</v>
      </c>
      <c r="L109" s="61"/>
      <c r="M109" s="61"/>
      <c r="N109" s="34"/>
    </row>
    <row r="110" spans="1:14" s="35" customFormat="1" ht="15.75" customHeight="1" x14ac:dyDescent="0.25">
      <c r="A110" s="62">
        <f t="shared" ref="A110:A118" si="2">A109+1</f>
        <v>2</v>
      </c>
      <c r="B110" s="62"/>
      <c r="C110" s="56" t="s">
        <v>259</v>
      </c>
      <c r="D110" s="55">
        <f>(29.28)*10.764</f>
        <v>315.16991999999999</v>
      </c>
      <c r="E110" s="55">
        <f>(3.05*2.5)*10.764</f>
        <v>82.075499999999991</v>
      </c>
      <c r="F110" s="56">
        <f t="shared" ref="F110:F112" si="3">(D110+E110)*(($F$107)+1)</f>
        <v>615.73040099999992</v>
      </c>
      <c r="G110" s="62"/>
      <c r="H110" s="62"/>
      <c r="I110" s="34"/>
      <c r="L110" s="61"/>
      <c r="M110" s="61"/>
      <c r="N110" s="34"/>
    </row>
    <row r="111" spans="1:14" s="35" customFormat="1" ht="15.75" customHeight="1" x14ac:dyDescent="0.25">
      <c r="A111" s="62">
        <f t="shared" si="2"/>
        <v>3</v>
      </c>
      <c r="B111" s="62"/>
      <c r="C111" s="56" t="s">
        <v>259</v>
      </c>
      <c r="D111" s="55">
        <f>(32.71)*10.764</f>
        <v>352.09044</v>
      </c>
      <c r="E111" s="55">
        <f>(1.8*2.5+1.2*0.5)*10.764</f>
        <v>54.896399999999993</v>
      </c>
      <c r="F111" s="56">
        <f t="shared" si="3"/>
        <v>630.82960200000002</v>
      </c>
      <c r="G111" s="62"/>
      <c r="H111" s="62"/>
      <c r="I111" s="34"/>
      <c r="L111" s="61"/>
      <c r="M111" s="61"/>
      <c r="N111" s="34"/>
    </row>
    <row r="112" spans="1:14" s="35" customFormat="1" ht="15.75" customHeight="1" x14ac:dyDescent="0.25">
      <c r="A112" s="62">
        <f t="shared" si="2"/>
        <v>4</v>
      </c>
      <c r="B112" s="62"/>
      <c r="C112" s="56" t="s">
        <v>259</v>
      </c>
      <c r="D112" s="55">
        <f>(35.24)*10.764</f>
        <v>379.32335999999998</v>
      </c>
      <c r="E112" s="55">
        <f>(3.05*2.5)*10.764</f>
        <v>82.075499999999991</v>
      </c>
      <c r="F112" s="56">
        <f t="shared" si="3"/>
        <v>715.16823299999999</v>
      </c>
      <c r="G112" s="62"/>
      <c r="H112" s="62"/>
      <c r="I112" s="34">
        <f>3.05*10.55+1.75*1+1.2*0.9</f>
        <v>35.0075</v>
      </c>
      <c r="L112" s="61"/>
      <c r="M112" s="61"/>
      <c r="N112" s="34"/>
    </row>
    <row r="113" spans="1:14" s="35" customFormat="1" ht="15.75" customHeight="1" x14ac:dyDescent="0.25">
      <c r="A113" s="62">
        <f t="shared" si="2"/>
        <v>5</v>
      </c>
      <c r="B113" s="62"/>
      <c r="C113" s="56" t="s">
        <v>259</v>
      </c>
      <c r="D113" s="55">
        <f>(35.24)*10.764</f>
        <v>379.32335999999998</v>
      </c>
      <c r="E113" s="55">
        <f>(3.05*2.5)*10.764</f>
        <v>82.075499999999991</v>
      </c>
      <c r="F113" s="56">
        <f t="shared" ref="F113:F118" si="4">(D113+E113)*(($F$107)+1)</f>
        <v>715.16823299999999</v>
      </c>
      <c r="G113" s="62"/>
      <c r="H113" s="62"/>
      <c r="I113" s="34"/>
      <c r="L113" s="61"/>
      <c r="M113" s="61"/>
      <c r="N113" s="34"/>
    </row>
    <row r="114" spans="1:14" s="35" customFormat="1" ht="15.75" customHeight="1" x14ac:dyDescent="0.25">
      <c r="A114" s="62">
        <f t="shared" si="2"/>
        <v>6</v>
      </c>
      <c r="B114" s="62"/>
      <c r="C114" s="56" t="s">
        <v>259</v>
      </c>
      <c r="D114" s="55">
        <f>(35.24)*10.764</f>
        <v>379.32335999999998</v>
      </c>
      <c r="E114" s="55">
        <f>(3.05*2.5)*10.764</f>
        <v>82.075499999999991</v>
      </c>
      <c r="F114" s="56">
        <f t="shared" si="4"/>
        <v>715.16823299999999</v>
      </c>
      <c r="G114" s="62"/>
      <c r="H114" s="62"/>
      <c r="I114" s="34"/>
      <c r="L114" s="61"/>
      <c r="M114" s="61"/>
      <c r="N114" s="34"/>
    </row>
    <row r="115" spans="1:14" s="35" customFormat="1" ht="15.75" customHeight="1" x14ac:dyDescent="0.25">
      <c r="A115" s="62">
        <f t="shared" si="2"/>
        <v>7</v>
      </c>
      <c r="B115" s="62"/>
      <c r="C115" s="56" t="s">
        <v>259</v>
      </c>
      <c r="D115" s="55">
        <f>(35.24)*10.764</f>
        <v>379.32335999999998</v>
      </c>
      <c r="E115" s="55">
        <f>(3.05*2.5)*10.764</f>
        <v>82.075499999999991</v>
      </c>
      <c r="F115" s="56">
        <f t="shared" si="4"/>
        <v>715.16823299999999</v>
      </c>
      <c r="G115" s="62"/>
      <c r="H115" s="62"/>
      <c r="I115" s="34"/>
      <c r="L115" s="61"/>
      <c r="M115" s="61"/>
      <c r="N115" s="34"/>
    </row>
    <row r="116" spans="1:14" s="35" customFormat="1" ht="15.75" customHeight="1" x14ac:dyDescent="0.25">
      <c r="A116" s="62">
        <f t="shared" si="2"/>
        <v>8</v>
      </c>
      <c r="B116" s="62"/>
      <c r="C116" s="56" t="s">
        <v>259</v>
      </c>
      <c r="D116" s="55">
        <f>(32.71)*10.764</f>
        <v>352.09044</v>
      </c>
      <c r="E116" s="55">
        <f>(1.8*2.5+1.2*0.5)*10.764</f>
        <v>54.896399999999993</v>
      </c>
      <c r="F116" s="56">
        <f t="shared" si="4"/>
        <v>630.82960200000002</v>
      </c>
      <c r="G116" s="62"/>
      <c r="H116" s="62"/>
      <c r="I116" s="34"/>
      <c r="L116" s="61"/>
      <c r="M116" s="61"/>
      <c r="N116" s="34"/>
    </row>
    <row r="117" spans="1:14" s="35" customFormat="1" ht="15.75" customHeight="1" x14ac:dyDescent="0.25">
      <c r="A117" s="62">
        <f t="shared" si="2"/>
        <v>9</v>
      </c>
      <c r="B117" s="62"/>
      <c r="C117" s="56" t="s">
        <v>259</v>
      </c>
      <c r="D117" s="55">
        <f>(29.28)*10.764</f>
        <v>315.16991999999999</v>
      </c>
      <c r="E117" s="55">
        <f>(3.05*2.5)*10.764</f>
        <v>82.075499999999991</v>
      </c>
      <c r="F117" s="56">
        <f t="shared" si="4"/>
        <v>615.73040099999992</v>
      </c>
      <c r="G117" s="62"/>
      <c r="H117" s="62"/>
      <c r="I117" s="34"/>
      <c r="L117" s="61"/>
      <c r="M117" s="61"/>
      <c r="N117" s="34"/>
    </row>
    <row r="118" spans="1:14" s="35" customFormat="1" ht="15.75" customHeight="1" x14ac:dyDescent="0.25">
      <c r="A118" s="62">
        <f t="shared" si="2"/>
        <v>10</v>
      </c>
      <c r="B118" s="62"/>
      <c r="C118" s="56" t="s">
        <v>259</v>
      </c>
      <c r="D118" s="55">
        <f>(30.43)*10.764</f>
        <v>327.54852</v>
      </c>
      <c r="E118" s="55">
        <f>(3.05*2.5)*10.764</f>
        <v>82.075499999999991</v>
      </c>
      <c r="F118" s="56">
        <f t="shared" si="4"/>
        <v>634.91723100000002</v>
      </c>
      <c r="G118" s="62"/>
      <c r="H118" s="62"/>
      <c r="I118" s="34"/>
      <c r="L118" s="61"/>
      <c r="M118" s="61"/>
      <c r="N118" s="34"/>
    </row>
    <row r="119" spans="1:14" s="35" customFormat="1" x14ac:dyDescent="0.25">
      <c r="A119" s="63" t="s">
        <v>260</v>
      </c>
      <c r="B119" s="64"/>
      <c r="C119" s="64"/>
      <c r="D119" s="64"/>
      <c r="E119" s="64"/>
      <c r="F119" s="64"/>
      <c r="G119" s="64"/>
      <c r="H119" s="65"/>
      <c r="I119" s="34"/>
      <c r="N119" s="34"/>
    </row>
    <row r="120" spans="1:14" s="35" customFormat="1" ht="15.75" customHeight="1" x14ac:dyDescent="0.25">
      <c r="A120" s="59">
        <v>1</v>
      </c>
      <c r="B120" s="60"/>
      <c r="C120" s="40" t="s">
        <v>261</v>
      </c>
      <c r="D120" s="55">
        <f>(32.9)*10.764</f>
        <v>354.13559999999995</v>
      </c>
      <c r="E120" s="55">
        <f>(9.59*6)*10.764</f>
        <v>619.36055999999996</v>
      </c>
      <c r="F120" s="40">
        <f>(D120+E120)*(($F$107)+1)</f>
        <v>1508.919048</v>
      </c>
      <c r="G120" s="67" t="str">
        <f>A119</f>
        <v>1st Floor For Commercial, Fitness Center, Society Office &amp; Lobby</v>
      </c>
      <c r="H120" s="68"/>
      <c r="I120" s="34">
        <f>9.48*3.45</f>
        <v>32.706000000000003</v>
      </c>
      <c r="J120" s="53"/>
      <c r="L120" s="61"/>
      <c r="M120" s="61"/>
      <c r="N120" s="34"/>
    </row>
    <row r="121" spans="1:14" s="35" customFormat="1" ht="15.75" customHeight="1" x14ac:dyDescent="0.25">
      <c r="A121" s="59">
        <f t="shared" ref="A121:A125" si="5">A120+1</f>
        <v>2</v>
      </c>
      <c r="B121" s="60"/>
      <c r="C121" s="40" t="s">
        <v>261</v>
      </c>
      <c r="D121" s="55">
        <f>(29)*10.764</f>
        <v>312.15600000000001</v>
      </c>
      <c r="E121" s="55">
        <v>0</v>
      </c>
      <c r="F121" s="40">
        <f t="shared" ref="F121:F125" si="6">(D121+E121)*(($F$107)+1)</f>
        <v>483.84180000000003</v>
      </c>
      <c r="G121" s="69"/>
      <c r="H121" s="70"/>
      <c r="I121" s="34"/>
      <c r="L121" s="61"/>
      <c r="M121" s="61"/>
      <c r="N121" s="34"/>
    </row>
    <row r="122" spans="1:14" s="35" customFormat="1" ht="15.75" customHeight="1" x14ac:dyDescent="0.25">
      <c r="A122" s="59">
        <f t="shared" si="5"/>
        <v>3</v>
      </c>
      <c r="B122" s="60"/>
      <c r="C122" s="40" t="s">
        <v>261</v>
      </c>
      <c r="D122" s="55">
        <f>(29)*10.764</f>
        <v>312.15600000000001</v>
      </c>
      <c r="E122" s="55">
        <v>0</v>
      </c>
      <c r="F122" s="40">
        <f t="shared" si="6"/>
        <v>483.84180000000003</v>
      </c>
      <c r="G122" s="69"/>
      <c r="H122" s="70"/>
      <c r="I122" s="34"/>
      <c r="L122" s="61"/>
      <c r="M122" s="61"/>
      <c r="N122" s="34"/>
    </row>
    <row r="123" spans="1:14" s="35" customFormat="1" ht="15.75" customHeight="1" x14ac:dyDescent="0.25">
      <c r="A123" s="59">
        <f t="shared" si="5"/>
        <v>4</v>
      </c>
      <c r="B123" s="60"/>
      <c r="C123" s="40" t="s">
        <v>261</v>
      </c>
      <c r="D123" s="55">
        <f>(29)*10.764</f>
        <v>312.15600000000001</v>
      </c>
      <c r="E123" s="55">
        <v>0</v>
      </c>
      <c r="F123" s="40">
        <f t="shared" si="6"/>
        <v>483.84180000000003</v>
      </c>
      <c r="G123" s="69"/>
      <c r="H123" s="70"/>
      <c r="I123" s="34">
        <f>3.05*9.45</f>
        <v>28.822499999999994</v>
      </c>
      <c r="L123" s="61"/>
      <c r="M123" s="61"/>
      <c r="N123" s="34"/>
    </row>
    <row r="124" spans="1:14" s="35" customFormat="1" ht="15.75" customHeight="1" x14ac:dyDescent="0.25">
      <c r="A124" s="59">
        <f t="shared" si="5"/>
        <v>5</v>
      </c>
      <c r="B124" s="60"/>
      <c r="C124" s="40" t="s">
        <v>261</v>
      </c>
      <c r="D124" s="55">
        <f>(29)*10.764</f>
        <v>312.15600000000001</v>
      </c>
      <c r="E124" s="55">
        <v>0</v>
      </c>
      <c r="F124" s="40">
        <f t="shared" si="6"/>
        <v>483.84180000000003</v>
      </c>
      <c r="G124" s="69"/>
      <c r="H124" s="70"/>
      <c r="I124" s="34"/>
      <c r="L124" s="61"/>
      <c r="M124" s="61"/>
      <c r="N124" s="34"/>
    </row>
    <row r="125" spans="1:14" s="35" customFormat="1" ht="15.75" customHeight="1" x14ac:dyDescent="0.25">
      <c r="A125" s="59">
        <f t="shared" si="5"/>
        <v>6</v>
      </c>
      <c r="B125" s="60"/>
      <c r="C125" s="40" t="s">
        <v>261</v>
      </c>
      <c r="D125" s="55">
        <f>(32.91)*10.764</f>
        <v>354.24323999999996</v>
      </c>
      <c r="E125" s="55">
        <f>(9.59*6)*10.764</f>
        <v>619.36055999999996</v>
      </c>
      <c r="F125" s="40">
        <f t="shared" si="6"/>
        <v>1509.0858899999998</v>
      </c>
      <c r="G125" s="71"/>
      <c r="H125" s="72"/>
      <c r="I125" s="34"/>
      <c r="L125" s="61"/>
      <c r="M125" s="61"/>
      <c r="N125" s="34"/>
    </row>
    <row r="126" spans="1:14" s="35" customFormat="1" x14ac:dyDescent="0.25">
      <c r="A126" s="59"/>
      <c r="B126" s="187"/>
      <c r="C126" s="187"/>
      <c r="D126" s="187"/>
      <c r="E126" s="187"/>
      <c r="F126" s="187"/>
      <c r="G126" s="187"/>
      <c r="H126" s="60"/>
      <c r="I126" s="34"/>
      <c r="N126" s="34"/>
    </row>
    <row r="127" spans="1:14" ht="47.25" customHeight="1" x14ac:dyDescent="0.25">
      <c r="A127" s="116" t="s">
        <v>121</v>
      </c>
      <c r="B127" s="73" t="s">
        <v>177</v>
      </c>
      <c r="C127" s="73" t="s">
        <v>57</v>
      </c>
      <c r="D127" s="73" t="s">
        <v>58</v>
      </c>
      <c r="E127" s="114" t="s">
        <v>59</v>
      </c>
      <c r="F127" s="41" t="s">
        <v>150</v>
      </c>
      <c r="G127" s="116" t="s">
        <v>60</v>
      </c>
      <c r="H127" s="117"/>
      <c r="I127" s="55">
        <f>10.764</f>
        <v>10.763999999999999</v>
      </c>
    </row>
    <row r="128" spans="1:14" s="35" customFormat="1" x14ac:dyDescent="0.25">
      <c r="A128" s="118"/>
      <c r="B128" s="74"/>
      <c r="C128" s="74"/>
      <c r="D128" s="74"/>
      <c r="E128" s="115"/>
      <c r="F128" s="13">
        <v>0.5</v>
      </c>
      <c r="G128" s="118"/>
      <c r="H128" s="119"/>
      <c r="I128" s="34"/>
    </row>
    <row r="129" spans="1:14" s="35" customFormat="1" x14ac:dyDescent="0.25">
      <c r="A129" s="63" t="s">
        <v>262</v>
      </c>
      <c r="B129" s="64"/>
      <c r="C129" s="64"/>
      <c r="D129" s="64"/>
      <c r="E129" s="64"/>
      <c r="F129" s="64"/>
      <c r="G129" s="64"/>
      <c r="H129" s="65"/>
      <c r="J129" s="34"/>
    </row>
    <row r="130" spans="1:14" s="35" customFormat="1" ht="15.75" customHeight="1" x14ac:dyDescent="0.25">
      <c r="A130" s="59">
        <v>1</v>
      </c>
      <c r="B130" s="60"/>
      <c r="C130" s="40" t="s">
        <v>264</v>
      </c>
      <c r="D130" s="55">
        <f>(51.78+2.5*0.75+2.7*0.75)*10.764</f>
        <v>599.33951999999999</v>
      </c>
      <c r="E130" s="40">
        <v>0</v>
      </c>
      <c r="F130" s="40">
        <f>D130*(($F$128)+1)+(IF(E130&lt;101,E130,IF(E130&lt;201,E130/2,IF(E130&lt;=301,E130/3,E130/4))))</f>
        <v>899.00927999999999</v>
      </c>
      <c r="G130" s="67" t="str">
        <f>A129</f>
        <v>2nd Floor For Residential</v>
      </c>
      <c r="H130" s="68"/>
      <c r="I130" s="34">
        <f>5.55*3.1+2.7*2.75+2.75*3.05+3.05*3.65+1.25*2.1+1.53*2.1+0.91*1.2</f>
        <v>51.08</v>
      </c>
      <c r="J130" s="35">
        <f>8.73*5.75</f>
        <v>50.197500000000005</v>
      </c>
      <c r="K130" s="35">
        <f>5.55*5.57+3.35*5.8</f>
        <v>50.343499999999999</v>
      </c>
      <c r="L130" s="61"/>
      <c r="M130" s="61"/>
      <c r="N130" s="34"/>
    </row>
    <row r="131" spans="1:14" s="35" customFormat="1" ht="15.75" customHeight="1" x14ac:dyDescent="0.25">
      <c r="A131" s="59">
        <f t="shared" ref="A131:A135" si="7">A130+1</f>
        <v>2</v>
      </c>
      <c r="B131" s="60"/>
      <c r="C131" s="40" t="s">
        <v>265</v>
      </c>
      <c r="D131" s="55">
        <f>(31.45+2*0.75+2.2*0.75+2.75*0.75)*10.764</f>
        <v>394.63515000000001</v>
      </c>
      <c r="E131" s="55">
        <f>(5.25*12.3+2*5.75)*10.764</f>
        <v>818.87130000000002</v>
      </c>
      <c r="F131" s="40">
        <f>D131*(($F$128)+1)+(IF(E131&lt;101,E131,IF(E131&lt;201,E131/2,IF(E131&lt;=301,E131/3,E131/4))))</f>
        <v>796.67055000000005</v>
      </c>
      <c r="G131" s="69"/>
      <c r="H131" s="70"/>
      <c r="I131" s="34"/>
      <c r="J131" s="35">
        <f>7.25*11.75</f>
        <v>85.1875</v>
      </c>
      <c r="K131" s="35">
        <f>7.25*5.75+6.3*6</f>
        <v>79.487499999999997</v>
      </c>
      <c r="L131" s="61"/>
      <c r="M131" s="61"/>
      <c r="N131" s="34"/>
    </row>
    <row r="132" spans="1:14" s="35" customFormat="1" ht="15.75" customHeight="1" x14ac:dyDescent="0.25">
      <c r="A132" s="59">
        <f t="shared" si="7"/>
        <v>3</v>
      </c>
      <c r="B132" s="60"/>
      <c r="C132" s="40" t="s">
        <v>265</v>
      </c>
      <c r="D132" s="55">
        <f>(31.45+2*0.75+2.2*0.75+2.75*0.75)*10.764</f>
        <v>394.63515000000001</v>
      </c>
      <c r="E132" s="55">
        <f>(5.25*12.3+2*5.75)*10.764</f>
        <v>818.87130000000002</v>
      </c>
      <c r="F132" s="40">
        <f>D132*(($F$128)+1)+(IF(E132&lt;101,E132,IF(E132&lt;201,E132/2,IF(E132&lt;=301,E132/3,E132/4))))</f>
        <v>796.67055000000005</v>
      </c>
      <c r="G132" s="69"/>
      <c r="H132" s="70"/>
      <c r="I132" s="34">
        <f>4.3*3.1+2.2*2.2+2.75*3.05+1.45*1.2+1.2*1.25+1.2*0.9</f>
        <v>30.877499999999998</v>
      </c>
      <c r="L132" s="61">
        <f>12.6*9.5</f>
        <v>119.7</v>
      </c>
      <c r="M132" s="61"/>
      <c r="N132" s="34"/>
    </row>
    <row r="133" spans="1:14" s="35" customFormat="1" ht="15.75" customHeight="1" x14ac:dyDescent="0.25">
      <c r="A133" s="59">
        <f t="shared" si="7"/>
        <v>4</v>
      </c>
      <c r="B133" s="60"/>
      <c r="C133" s="40" t="s">
        <v>264</v>
      </c>
      <c r="D133" s="55">
        <f>(51.78+2.5*0.75+2.7*0.75)*10.764</f>
        <v>599.33951999999999</v>
      </c>
      <c r="E133" s="40">
        <v>0</v>
      </c>
      <c r="F133" s="40">
        <f>D133*(($F$128)+1)+(IF(E133&lt;101,E133,IF(E133&lt;201,E133/2,IF(E133&lt;=301,E133/3,E133/4))))</f>
        <v>899.00927999999999</v>
      </c>
      <c r="G133" s="69"/>
      <c r="H133" s="70"/>
      <c r="I133" s="34"/>
      <c r="L133" s="61"/>
      <c r="M133" s="61"/>
      <c r="N133" s="34"/>
    </row>
    <row r="134" spans="1:14" s="35" customFormat="1" x14ac:dyDescent="0.25">
      <c r="A134" s="59">
        <f t="shared" si="7"/>
        <v>5</v>
      </c>
      <c r="B134" s="60"/>
      <c r="C134" s="40" t="s">
        <v>264</v>
      </c>
      <c r="D134" s="55">
        <f>(47.55+3.48*0.75+2.75*0.75+2.1*0.75+2.75*0.75)*10.764</f>
        <v>601.27703999999994</v>
      </c>
      <c r="E134" s="40">
        <v>0</v>
      </c>
      <c r="F134" s="40">
        <f>D134*(($F$128)+1)+(IF(E134&lt;101,E134,IF(E134&lt;201,E134/2,IF(E134&lt;=301,E134/3,E134/4))))</f>
        <v>901.91555999999991</v>
      </c>
      <c r="G134" s="69"/>
      <c r="H134" s="70"/>
      <c r="I134" s="34"/>
      <c r="L134" s="61"/>
      <c r="M134" s="61"/>
    </row>
    <row r="135" spans="1:14" s="35" customFormat="1" x14ac:dyDescent="0.25">
      <c r="A135" s="59">
        <f t="shared" si="7"/>
        <v>6</v>
      </c>
      <c r="B135" s="60"/>
      <c r="C135" s="40" t="s">
        <v>265</v>
      </c>
      <c r="D135" s="55">
        <f>(31.45+2*0.75+2.2*0.75+2.75*0.75)*10.764</f>
        <v>394.63515000000001</v>
      </c>
      <c r="E135" s="40">
        <v>0</v>
      </c>
      <c r="F135" s="40">
        <f t="shared" ref="F135:F136" si="8">D135*(($F$128)+1)+(IF(E135&lt;101,E135,IF(E135&lt;201,E135/2,IF(E135&lt;=301,E135/3,E135/4))))</f>
        <v>591.95272499999999</v>
      </c>
      <c r="G135" s="69"/>
      <c r="H135" s="70"/>
      <c r="I135" s="34"/>
      <c r="N135" s="34"/>
    </row>
    <row r="136" spans="1:14" s="35" customFormat="1" x14ac:dyDescent="0.25">
      <c r="A136" s="62">
        <f>A135+1</f>
        <v>7</v>
      </c>
      <c r="B136" s="62"/>
      <c r="C136" s="40" t="s">
        <v>265</v>
      </c>
      <c r="D136" s="55">
        <f>(31.45+2*0.75+2.2*0.75+2.75*0.75)*10.764</f>
        <v>394.63515000000001</v>
      </c>
      <c r="E136" s="40">
        <v>0</v>
      </c>
      <c r="F136" s="40">
        <f t="shared" si="8"/>
        <v>591.95272499999999</v>
      </c>
      <c r="G136" s="69"/>
      <c r="H136" s="70"/>
      <c r="I136" s="34"/>
      <c r="N136" s="34"/>
    </row>
    <row r="137" spans="1:14" s="35" customFormat="1" x14ac:dyDescent="0.25">
      <c r="A137" s="62">
        <f>A136+1</f>
        <v>8</v>
      </c>
      <c r="B137" s="62"/>
      <c r="C137" s="40" t="s">
        <v>264</v>
      </c>
      <c r="D137" s="55">
        <f>(47.55+3.48*0.75+2.75*0.75+2.1*0.75+2.75*0.75)*10.764</f>
        <v>601.27703999999994</v>
      </c>
      <c r="E137" s="40">
        <v>0</v>
      </c>
      <c r="F137" s="40">
        <f>D137*(($F$128)+1)+(IF(E137&lt;101,E137,IF(E137&lt;201,E137/2,IF(E137&lt;=301,E137/3,E137/4))))</f>
        <v>901.91555999999991</v>
      </c>
      <c r="G137" s="71"/>
      <c r="H137" s="72"/>
      <c r="I137" s="34"/>
      <c r="N137" s="34"/>
    </row>
    <row r="138" spans="1:14" s="35" customFormat="1" ht="15.75" customHeight="1" x14ac:dyDescent="0.25">
      <c r="A138" s="63" t="s">
        <v>273</v>
      </c>
      <c r="B138" s="64"/>
      <c r="C138" s="64"/>
      <c r="D138" s="64"/>
      <c r="E138" s="64"/>
      <c r="F138" s="64"/>
      <c r="G138" s="64"/>
      <c r="H138" s="65"/>
      <c r="I138" s="34"/>
    </row>
    <row r="139" spans="1:14" s="35" customFormat="1" ht="15.75" customHeight="1" x14ac:dyDescent="0.25">
      <c r="A139" s="59">
        <v>1</v>
      </c>
      <c r="B139" s="60"/>
      <c r="C139" s="40" t="s">
        <v>264</v>
      </c>
      <c r="D139" s="55">
        <f>(51.78+2.5*0.75+2.7*0.75+2.75*0.75+3.05*0.75)*10.764</f>
        <v>646.16291999999999</v>
      </c>
      <c r="E139" s="40">
        <v>0</v>
      </c>
      <c r="F139" s="40">
        <f>D139*(($F$128)+1)+(IF(E139&lt;101,E139,IF(E139&lt;201,E139/2,IF(E139&lt;=301,E139/3,E139/4))))</f>
        <v>969.24437999999998</v>
      </c>
      <c r="G139" s="67" t="str">
        <f>A138</f>
        <v>3rd, 5th, 7th, 9th &amp; 11th Floor</v>
      </c>
      <c r="H139" s="68"/>
      <c r="I139" s="34"/>
      <c r="L139" s="61"/>
      <c r="M139" s="61"/>
      <c r="N139" s="34"/>
    </row>
    <row r="140" spans="1:14" s="35" customFormat="1" ht="15.75" customHeight="1" x14ac:dyDescent="0.25">
      <c r="A140" s="59">
        <f t="shared" ref="A140:A144" si="9">A139+1</f>
        <v>2</v>
      </c>
      <c r="B140" s="60"/>
      <c r="C140" s="40" t="s">
        <v>265</v>
      </c>
      <c r="D140" s="55">
        <f>(31.45+2*0.75+2.2*0.75+2.75*0.75)*10.764</f>
        <v>394.63515000000001</v>
      </c>
      <c r="E140" s="40">
        <v>0</v>
      </c>
      <c r="F140" s="40">
        <f>D140*(($F$128)+1)+(IF(E140&lt;101,E140,IF(E140&lt;201,E140/2,IF(E140&lt;=301,E140/3,E140/4))))</f>
        <v>591.95272499999999</v>
      </c>
      <c r="G140" s="69"/>
      <c r="H140" s="70"/>
      <c r="I140" s="34"/>
      <c r="L140" s="61"/>
      <c r="M140" s="61"/>
      <c r="N140" s="34"/>
    </row>
    <row r="141" spans="1:14" s="35" customFormat="1" ht="15.75" customHeight="1" x14ac:dyDescent="0.25">
      <c r="A141" s="59">
        <f t="shared" si="9"/>
        <v>3</v>
      </c>
      <c r="B141" s="60"/>
      <c r="C141" s="40" t="s">
        <v>265</v>
      </c>
      <c r="D141" s="55">
        <f>(31.45+2*0.75+2.2*0.75+2.75*0.75)*10.764</f>
        <v>394.63515000000001</v>
      </c>
      <c r="E141" s="40">
        <v>0</v>
      </c>
      <c r="F141" s="40">
        <f>D141*(($F$128)+1)+(IF(E141&lt;101,E141,IF(E141&lt;201,E141/2,IF(E141&lt;=301,E141/3,E141/4))))</f>
        <v>591.95272499999999</v>
      </c>
      <c r="G141" s="69"/>
      <c r="H141" s="70"/>
      <c r="I141" s="34"/>
      <c r="L141" s="61"/>
      <c r="M141" s="61"/>
      <c r="N141" s="34"/>
    </row>
    <row r="142" spans="1:14" s="35" customFormat="1" ht="15.75" customHeight="1" x14ac:dyDescent="0.25">
      <c r="A142" s="59">
        <f t="shared" si="9"/>
        <v>4</v>
      </c>
      <c r="B142" s="60"/>
      <c r="C142" s="40" t="s">
        <v>264</v>
      </c>
      <c r="D142" s="55">
        <f>(51.78+2.5*0.75+2.7*0.75+2.75*0.75+3.05*0.75)*10.764</f>
        <v>646.16291999999999</v>
      </c>
      <c r="E142" s="40">
        <v>0</v>
      </c>
      <c r="F142" s="40">
        <f>D142*(($F$128)+1)+(IF(E142&lt;101,E142,IF(E142&lt;201,E142/2,IF(E142&lt;=301,E142/3,E142/4))))</f>
        <v>969.24437999999998</v>
      </c>
      <c r="G142" s="69"/>
      <c r="H142" s="70"/>
      <c r="I142" s="34"/>
      <c r="L142" s="61"/>
      <c r="M142" s="61"/>
      <c r="N142" s="34"/>
    </row>
    <row r="143" spans="1:14" s="35" customFormat="1" x14ac:dyDescent="0.25">
      <c r="A143" s="59">
        <f t="shared" si="9"/>
        <v>5</v>
      </c>
      <c r="B143" s="60"/>
      <c r="C143" s="40" t="s">
        <v>264</v>
      </c>
      <c r="D143" s="55">
        <f>(47.55+3.48*0.75+2.75*0.75+2.1*0.75+2.75*0.75)*10.764</f>
        <v>601.27703999999994</v>
      </c>
      <c r="E143" s="40">
        <v>0</v>
      </c>
      <c r="F143" s="40">
        <f>D143*(($F$128)+1)+(IF(E143&lt;101,E143,IF(E143&lt;201,E143/2,IF(E143&lt;=301,E143/3,E143/4))))</f>
        <v>901.91555999999991</v>
      </c>
      <c r="G143" s="69"/>
      <c r="H143" s="70"/>
      <c r="I143" s="34"/>
      <c r="L143" s="61"/>
      <c r="M143" s="61"/>
    </row>
    <row r="144" spans="1:14" s="35" customFormat="1" x14ac:dyDescent="0.25">
      <c r="A144" s="59">
        <f t="shared" si="9"/>
        <v>6</v>
      </c>
      <c r="B144" s="60"/>
      <c r="C144" s="40" t="s">
        <v>265</v>
      </c>
      <c r="D144" s="55">
        <f>(31.45+2*0.75+2.2*0.75+2.75*0.75)*10.764</f>
        <v>394.63515000000001</v>
      </c>
      <c r="E144" s="40">
        <v>0</v>
      </c>
      <c r="F144" s="40">
        <f t="shared" ref="F144:F145" si="10">D144*(($F$128)+1)+(IF(E144&lt;101,E144,IF(E144&lt;201,E144/2,IF(E144&lt;=301,E144/3,E144/4))))</f>
        <v>591.95272499999999</v>
      </c>
      <c r="G144" s="69"/>
      <c r="H144" s="70"/>
      <c r="I144" s="34"/>
      <c r="N144" s="34"/>
    </row>
    <row r="145" spans="1:14" s="35" customFormat="1" x14ac:dyDescent="0.25">
      <c r="A145" s="62">
        <f>A144+1</f>
        <v>7</v>
      </c>
      <c r="B145" s="62"/>
      <c r="C145" s="40" t="s">
        <v>265</v>
      </c>
      <c r="D145" s="55">
        <f>(31.45+2*0.75+2.2*0.75+2.75*0.75)*10.764</f>
        <v>394.63515000000001</v>
      </c>
      <c r="E145" s="40">
        <v>0</v>
      </c>
      <c r="F145" s="40">
        <f t="shared" si="10"/>
        <v>591.95272499999999</v>
      </c>
      <c r="G145" s="69"/>
      <c r="H145" s="70"/>
      <c r="I145" s="34"/>
      <c r="N145" s="34"/>
    </row>
    <row r="146" spans="1:14" s="35" customFormat="1" x14ac:dyDescent="0.25">
      <c r="A146" s="62">
        <f>A145+1</f>
        <v>8</v>
      </c>
      <c r="B146" s="62"/>
      <c r="C146" s="40" t="s">
        <v>264</v>
      </c>
      <c r="D146" s="55">
        <f>(47.55+3.48*0.75+2.75*0.75+2.1*0.75+2.75*0.75)*10.764</f>
        <v>601.27703999999994</v>
      </c>
      <c r="E146" s="40">
        <v>0</v>
      </c>
      <c r="F146" s="40">
        <f>D146*(($F$128)+1)+(IF(E146&lt;101,E146,IF(E146&lt;201,E146/2,IF(E146&lt;=301,E146/3,E146/4))))</f>
        <v>901.91555999999991</v>
      </c>
      <c r="G146" s="71"/>
      <c r="H146" s="72"/>
      <c r="I146" s="34"/>
      <c r="N146" s="34"/>
    </row>
    <row r="147" spans="1:14" s="35" customFormat="1" x14ac:dyDescent="0.25">
      <c r="A147" s="66" t="s">
        <v>266</v>
      </c>
      <c r="B147" s="66"/>
      <c r="C147" s="66"/>
      <c r="D147" s="66"/>
      <c r="E147" s="66"/>
      <c r="F147" s="66"/>
      <c r="G147" s="66"/>
      <c r="H147" s="66"/>
      <c r="I147" s="34"/>
    </row>
    <row r="148" spans="1:14" s="35" customFormat="1" ht="15.75" customHeight="1" x14ac:dyDescent="0.25">
      <c r="A148" s="62">
        <v>1</v>
      </c>
      <c r="B148" s="62"/>
      <c r="C148" s="56" t="s">
        <v>264</v>
      </c>
      <c r="D148" s="55">
        <f>(51.78+2.5*0.75+2.7*0.75+2.75*0.75+3.05*0.75)*10.764</f>
        <v>646.16291999999999</v>
      </c>
      <c r="E148" s="56">
        <v>0</v>
      </c>
      <c r="F148" s="56">
        <f>D148*(($F$128)+1)+(IF(E148&lt;101,E148,IF(E148&lt;201,E148/2,IF(E148&lt;=301,E148/3,E148/4))))</f>
        <v>969.24437999999998</v>
      </c>
      <c r="G148" s="62" t="str">
        <f>A147</f>
        <v>4th &amp; 6th Floor</v>
      </c>
      <c r="H148" s="62"/>
      <c r="I148" s="34"/>
      <c r="L148" s="61"/>
      <c r="M148" s="61"/>
      <c r="N148" s="34"/>
    </row>
    <row r="149" spans="1:14" s="35" customFormat="1" ht="15.75" customHeight="1" x14ac:dyDescent="0.25">
      <c r="A149" s="62">
        <f t="shared" ref="A149:A153" si="11">A148+1</f>
        <v>2</v>
      </c>
      <c r="B149" s="62"/>
      <c r="C149" s="56" t="s">
        <v>265</v>
      </c>
      <c r="D149" s="55">
        <f>(31.45+2*0.75+2.2*0.75+2.75*0.75)*10.764</f>
        <v>394.63515000000001</v>
      </c>
      <c r="E149" s="56">
        <v>0</v>
      </c>
      <c r="F149" s="56">
        <f>D149*(($F$128)+1)+(IF(E149&lt;101,E149,IF(E149&lt;201,E149/2,IF(E149&lt;=301,E149/3,E149/4))))</f>
        <v>591.95272499999999</v>
      </c>
      <c r="G149" s="62"/>
      <c r="H149" s="62"/>
      <c r="I149" s="34"/>
      <c r="L149" s="61"/>
      <c r="M149" s="61"/>
      <c r="N149" s="34"/>
    </row>
    <row r="150" spans="1:14" s="35" customFormat="1" ht="15.75" customHeight="1" x14ac:dyDescent="0.25">
      <c r="A150" s="62">
        <f t="shared" si="11"/>
        <v>3</v>
      </c>
      <c r="B150" s="62"/>
      <c r="C150" s="56" t="s">
        <v>265</v>
      </c>
      <c r="D150" s="55">
        <f>(31.45+2*0.75+2.2*0.75+2.75*0.75)*10.764</f>
        <v>394.63515000000001</v>
      </c>
      <c r="E150" s="56">
        <v>0</v>
      </c>
      <c r="F150" s="56">
        <f>D150*(($F$128)+1)+(IF(E150&lt;101,E150,IF(E150&lt;201,E150/2,IF(E150&lt;=301,E150/3,E150/4))))</f>
        <v>591.95272499999999</v>
      </c>
      <c r="G150" s="62"/>
      <c r="H150" s="62"/>
      <c r="I150" s="34"/>
      <c r="L150" s="61"/>
      <c r="M150" s="61"/>
      <c r="N150" s="34"/>
    </row>
    <row r="151" spans="1:14" s="35" customFormat="1" ht="15.75" customHeight="1" x14ac:dyDescent="0.25">
      <c r="A151" s="62">
        <f t="shared" si="11"/>
        <v>4</v>
      </c>
      <c r="B151" s="62"/>
      <c r="C151" s="56" t="s">
        <v>264</v>
      </c>
      <c r="D151" s="55">
        <f>(51.78+2.5*0.75+2.7*0.75+2.75*0.75+3.05*0.75)*10.764</f>
        <v>646.16291999999999</v>
      </c>
      <c r="E151" s="56">
        <v>0</v>
      </c>
      <c r="F151" s="56">
        <f>D151*(($F$128)+1)+(IF(E151&lt;101,E151,IF(E151&lt;201,E151/2,IF(E151&lt;=301,E151/3,E151/4))))</f>
        <v>969.24437999999998</v>
      </c>
      <c r="G151" s="62"/>
      <c r="H151" s="62"/>
      <c r="I151" s="34"/>
      <c r="L151" s="61"/>
      <c r="M151" s="61"/>
      <c r="N151" s="34"/>
    </row>
    <row r="152" spans="1:14" s="35" customFormat="1" x14ac:dyDescent="0.25">
      <c r="A152" s="62">
        <f t="shared" si="11"/>
        <v>5</v>
      </c>
      <c r="B152" s="62"/>
      <c r="C152" s="56" t="s">
        <v>264</v>
      </c>
      <c r="D152" s="55">
        <f>(47.55+3.48*0.75+2.75*0.75+2.1*0.75+2.75*0.75)*10.764</f>
        <v>601.27703999999994</v>
      </c>
      <c r="E152" s="56">
        <v>0</v>
      </c>
      <c r="F152" s="56">
        <f>D152*(($F$128)+1)+(IF(E152&lt;101,E152,IF(E152&lt;201,E152/2,IF(E152&lt;=301,E152/3,E152/4))))</f>
        <v>901.91555999999991</v>
      </c>
      <c r="G152" s="62"/>
      <c r="H152" s="62"/>
      <c r="I152" s="34"/>
      <c r="L152" s="61"/>
      <c r="M152" s="61"/>
    </row>
    <row r="153" spans="1:14" s="35" customFormat="1" x14ac:dyDescent="0.25">
      <c r="A153" s="62">
        <f t="shared" si="11"/>
        <v>6</v>
      </c>
      <c r="B153" s="62"/>
      <c r="C153" s="56" t="s">
        <v>265</v>
      </c>
      <c r="D153" s="55">
        <f>(31.45+2*0.75+2.2*0.75+2.75*0.75)*10.764</f>
        <v>394.63515000000001</v>
      </c>
      <c r="E153" s="56">
        <v>0</v>
      </c>
      <c r="F153" s="56">
        <f t="shared" ref="F153:F154" si="12">D153*(($F$128)+1)+(IF(E153&lt;101,E153,IF(E153&lt;201,E153/2,IF(E153&lt;=301,E153/3,E153/4))))</f>
        <v>591.95272499999999</v>
      </c>
      <c r="G153" s="62"/>
      <c r="H153" s="62"/>
      <c r="I153" s="34"/>
      <c r="N153" s="34"/>
    </row>
    <row r="154" spans="1:14" s="35" customFormat="1" x14ac:dyDescent="0.25">
      <c r="A154" s="62">
        <f>A153+1</f>
        <v>7</v>
      </c>
      <c r="B154" s="62"/>
      <c r="C154" s="56" t="s">
        <v>265</v>
      </c>
      <c r="D154" s="55">
        <f>(31.45+2*0.75+2.2*0.75+2.75*0.75)*10.764</f>
        <v>394.63515000000001</v>
      </c>
      <c r="E154" s="56">
        <v>0</v>
      </c>
      <c r="F154" s="56">
        <f t="shared" si="12"/>
        <v>591.95272499999999</v>
      </c>
      <c r="G154" s="62"/>
      <c r="H154" s="62"/>
      <c r="I154" s="34"/>
      <c r="N154" s="34"/>
    </row>
    <row r="155" spans="1:14" s="35" customFormat="1" x14ac:dyDescent="0.25">
      <c r="A155" s="62">
        <f>A154+1</f>
        <v>8</v>
      </c>
      <c r="B155" s="62"/>
      <c r="C155" s="56" t="s">
        <v>264</v>
      </c>
      <c r="D155" s="55">
        <f>(47.55+3.48*0.75+2.75*0.75+2.1*0.75+2.75*0.75)*10.764</f>
        <v>601.27703999999994</v>
      </c>
      <c r="E155" s="56">
        <v>0</v>
      </c>
      <c r="F155" s="56">
        <f>D155*(($F$128)+1)+(IF(E155&lt;101,E155,IF(E155&lt;201,E155/2,IF(E155&lt;=301,E155/3,E155/4))))</f>
        <v>901.91555999999991</v>
      </c>
      <c r="G155" s="62"/>
      <c r="H155" s="62"/>
      <c r="I155" s="34"/>
      <c r="N155" s="34"/>
    </row>
    <row r="156" spans="1:14" s="35" customFormat="1" x14ac:dyDescent="0.25">
      <c r="A156" s="63" t="s">
        <v>267</v>
      </c>
      <c r="B156" s="64"/>
      <c r="C156" s="64"/>
      <c r="D156" s="64"/>
      <c r="E156" s="64"/>
      <c r="F156" s="64"/>
      <c r="G156" s="64"/>
      <c r="H156" s="65"/>
      <c r="I156" s="34"/>
      <c r="N156" s="34"/>
    </row>
    <row r="157" spans="1:14" s="35" customFormat="1" ht="15.75" customHeight="1" x14ac:dyDescent="0.25">
      <c r="A157" s="59">
        <v>1</v>
      </c>
      <c r="B157" s="60"/>
      <c r="C157" s="40" t="s">
        <v>264</v>
      </c>
      <c r="D157" s="55">
        <f>(51.78+2.5*0.75+2.7*0.75+2.75*0.75+3.05*0.75)*10.764</f>
        <v>646.16291999999999</v>
      </c>
      <c r="E157" s="40">
        <v>0</v>
      </c>
      <c r="F157" s="40">
        <f>D157*(($F$128)+1)+(IF(E157&lt;101,E157,IF(E157&lt;201,E157/2,IF(E157&lt;=301,E157/3,E157/4))))</f>
        <v>969.24437999999998</v>
      </c>
      <c r="G157" s="67" t="str">
        <f>A156</f>
        <v>8th &amp; 10th Floor (Part Refuge Area)</v>
      </c>
      <c r="H157" s="68"/>
      <c r="I157" s="34"/>
      <c r="L157" s="61"/>
      <c r="M157" s="61"/>
      <c r="N157" s="34"/>
    </row>
    <row r="158" spans="1:14" s="35" customFormat="1" ht="15.75" customHeight="1" x14ac:dyDescent="0.25">
      <c r="A158" s="59">
        <f t="shared" ref="A158:A162" si="13">A157+1</f>
        <v>2</v>
      </c>
      <c r="B158" s="60"/>
      <c r="C158" s="40" t="s">
        <v>265</v>
      </c>
      <c r="D158" s="55">
        <f>(31.45+2*0.75+2.2*0.75+2.75*0.75)*10.764</f>
        <v>394.63515000000001</v>
      </c>
      <c r="E158" s="40">
        <v>0</v>
      </c>
      <c r="F158" s="40">
        <f>D158*(($F$128)+1)+(IF(E158&lt;101,E158,IF(E158&lt;201,E158/2,IF(E158&lt;=301,E158/3,E158/4))))</f>
        <v>591.95272499999999</v>
      </c>
      <c r="G158" s="69"/>
      <c r="H158" s="70"/>
      <c r="I158" s="34"/>
      <c r="L158" s="61"/>
      <c r="M158" s="61"/>
      <c r="N158" s="34"/>
    </row>
    <row r="159" spans="1:14" s="35" customFormat="1" ht="15.75" customHeight="1" x14ac:dyDescent="0.25">
      <c r="A159" s="59">
        <f t="shared" si="13"/>
        <v>3</v>
      </c>
      <c r="B159" s="60"/>
      <c r="C159" s="40" t="s">
        <v>265</v>
      </c>
      <c r="D159" s="55">
        <f>(31.45+2*0.75+2.2*0.75+2.75*0.75)*10.764</f>
        <v>394.63515000000001</v>
      </c>
      <c r="E159" s="40">
        <v>0</v>
      </c>
      <c r="F159" s="40">
        <f>D159*(($F$128)+1)+(IF(E159&lt;101,E159,IF(E159&lt;201,E159/2,IF(E159&lt;=301,E159/3,E159/4))))</f>
        <v>591.95272499999999</v>
      </c>
      <c r="G159" s="69"/>
      <c r="H159" s="70"/>
      <c r="I159" s="34"/>
      <c r="L159" s="61"/>
      <c r="M159" s="61"/>
      <c r="N159" s="34"/>
    </row>
    <row r="160" spans="1:14" s="35" customFormat="1" ht="15.75" customHeight="1" x14ac:dyDescent="0.25">
      <c r="A160" s="59">
        <f t="shared" si="13"/>
        <v>4</v>
      </c>
      <c r="B160" s="60"/>
      <c r="C160" s="40" t="s">
        <v>264</v>
      </c>
      <c r="D160" s="55">
        <f>(51.78+2.5*0.75+2.7*0.75+2.75*0.75+3.05*0.75)*10.764</f>
        <v>646.16291999999999</v>
      </c>
      <c r="E160" s="40">
        <v>0</v>
      </c>
      <c r="F160" s="40">
        <f>D160*(($F$128)+1)+(IF(E160&lt;101,E160,IF(E160&lt;201,E160/2,IF(E160&lt;=301,E160/3,E160/4))))</f>
        <v>969.24437999999998</v>
      </c>
      <c r="G160" s="69"/>
      <c r="H160" s="70"/>
      <c r="I160" s="34"/>
      <c r="L160" s="61"/>
      <c r="M160" s="61"/>
      <c r="N160" s="34"/>
    </row>
    <row r="161" spans="1:14" s="35" customFormat="1" x14ac:dyDescent="0.25">
      <c r="A161" s="59">
        <f t="shared" si="13"/>
        <v>5</v>
      </c>
      <c r="B161" s="60"/>
      <c r="C161" s="40" t="s">
        <v>264</v>
      </c>
      <c r="D161" s="55">
        <f>(47.55+3.48*0.75+2.75*0.75+2.1*0.75+2.75*0.75)*10.764</f>
        <v>601.27703999999994</v>
      </c>
      <c r="E161" s="40">
        <v>0</v>
      </c>
      <c r="F161" s="40">
        <f>D161*(($F$128)+1)+(IF(E161&lt;101,E161,IF(E161&lt;201,E161/2,IF(E161&lt;=301,E161/3,E161/4))))</f>
        <v>901.91555999999991</v>
      </c>
      <c r="G161" s="69"/>
      <c r="H161" s="70"/>
      <c r="I161" s="34"/>
      <c r="L161" s="61"/>
      <c r="M161" s="61"/>
    </row>
    <row r="162" spans="1:14" s="35" customFormat="1" x14ac:dyDescent="0.25">
      <c r="A162" s="59">
        <f t="shared" si="13"/>
        <v>6</v>
      </c>
      <c r="B162" s="60"/>
      <c r="C162" s="40" t="s">
        <v>265</v>
      </c>
      <c r="D162" s="55">
        <f>(31.45+2*0.75+2.2*0.75+2.75*0.75)*10.764</f>
        <v>394.63515000000001</v>
      </c>
      <c r="E162" s="40">
        <v>0</v>
      </c>
      <c r="F162" s="40">
        <f t="shared" ref="F162:F163" si="14">D162*(($F$128)+1)+(IF(E162&lt;101,E162,IF(E162&lt;201,E162/2,IF(E162&lt;=301,E162/3,E162/4))))</f>
        <v>591.95272499999999</v>
      </c>
      <c r="G162" s="69"/>
      <c r="H162" s="70"/>
      <c r="I162" s="34"/>
      <c r="N162" s="34"/>
    </row>
    <row r="163" spans="1:14" s="35" customFormat="1" x14ac:dyDescent="0.25">
      <c r="A163" s="62">
        <f>A162+1</f>
        <v>7</v>
      </c>
      <c r="B163" s="62"/>
      <c r="C163" s="40" t="s">
        <v>265</v>
      </c>
      <c r="D163" s="55">
        <f>(31.45+2*0.75+2.2*0.75+2.75*0.75)*10.764</f>
        <v>394.63515000000001</v>
      </c>
      <c r="E163" s="40">
        <v>0</v>
      </c>
      <c r="F163" s="40">
        <f t="shared" si="14"/>
        <v>591.95272499999999</v>
      </c>
      <c r="G163" s="69"/>
      <c r="H163" s="70"/>
      <c r="I163" s="34"/>
      <c r="N163" s="34"/>
    </row>
    <row r="164" spans="1:14" s="35" customFormat="1" x14ac:dyDescent="0.25">
      <c r="A164" s="62">
        <f>A163+1</f>
        <v>8</v>
      </c>
      <c r="B164" s="62"/>
      <c r="C164" s="40" t="s">
        <v>264</v>
      </c>
      <c r="D164" s="55">
        <f>(47.55+3.48*0.75+2.75*0.75+2.1*0.75+2.75*0.75)*10.764</f>
        <v>601.27703999999994</v>
      </c>
      <c r="E164" s="40">
        <v>0</v>
      </c>
      <c r="F164" s="40">
        <f>D164*(($F$128)+1)+(IF(E164&lt;101,E164,IF(E164&lt;201,E164/2,IF(E164&lt;=301,E164/3,E164/4))))</f>
        <v>901.91555999999991</v>
      </c>
      <c r="G164" s="71"/>
      <c r="H164" s="72"/>
      <c r="I164" s="34"/>
      <c r="N164" s="34"/>
    </row>
    <row r="165" spans="1:14" s="35" customFormat="1" x14ac:dyDescent="0.25">
      <c r="A165" s="63" t="s">
        <v>274</v>
      </c>
      <c r="B165" s="64"/>
      <c r="C165" s="64"/>
      <c r="D165" s="64"/>
      <c r="E165" s="64"/>
      <c r="F165" s="64"/>
      <c r="G165" s="64"/>
      <c r="H165" s="65"/>
      <c r="I165" s="34"/>
      <c r="N165" s="34"/>
    </row>
    <row r="166" spans="1:14" s="35" customFormat="1" ht="15.75" customHeight="1" x14ac:dyDescent="0.25">
      <c r="A166" s="59">
        <v>1</v>
      </c>
      <c r="B166" s="60"/>
      <c r="C166" s="40" t="s">
        <v>264</v>
      </c>
      <c r="D166" s="55">
        <f>(51.78+2.5*0.75+2.7*0.75+2.75*0.75+3.05*0.75)*10.764</f>
        <v>646.16291999999999</v>
      </c>
      <c r="E166" s="40">
        <v>0</v>
      </c>
      <c r="F166" s="40">
        <f>D166*(($F$128)+1)+(IF(E166&lt;101,E166,IF(E166&lt;201,E166/2,IF(E166&lt;=301,E166/3,E166/4))))</f>
        <v>969.24437999999998</v>
      </c>
      <c r="G166" s="67" t="str">
        <f>A165</f>
        <v>12th Floor</v>
      </c>
      <c r="H166" s="68"/>
      <c r="I166" s="34"/>
      <c r="L166" s="61"/>
      <c r="M166" s="61"/>
      <c r="N166" s="34"/>
    </row>
    <row r="167" spans="1:14" s="35" customFormat="1" ht="15.75" customHeight="1" x14ac:dyDescent="0.25">
      <c r="A167" s="59">
        <f t="shared" ref="A167:A171" si="15">A166+1</f>
        <v>2</v>
      </c>
      <c r="B167" s="60"/>
      <c r="C167" s="40" t="s">
        <v>265</v>
      </c>
      <c r="D167" s="55">
        <f>(31.45+2*0.75+2.2*0.75+2.75*0.75)*10.764</f>
        <v>394.63515000000001</v>
      </c>
      <c r="E167" s="40">
        <v>0</v>
      </c>
      <c r="F167" s="40">
        <f>D167*(($F$128)+1)+(IF(E167&lt;101,E167,IF(E167&lt;201,E167/2,IF(E167&lt;=301,E167/3,E167/4))))</f>
        <v>591.95272499999999</v>
      </c>
      <c r="G167" s="69"/>
      <c r="H167" s="70"/>
      <c r="I167" s="34"/>
      <c r="L167" s="61"/>
      <c r="M167" s="61"/>
      <c r="N167" s="34"/>
    </row>
    <row r="168" spans="1:14" s="35" customFormat="1" ht="15.75" customHeight="1" x14ac:dyDescent="0.25">
      <c r="A168" s="59">
        <f t="shared" si="15"/>
        <v>3</v>
      </c>
      <c r="B168" s="60"/>
      <c r="C168" s="40" t="s">
        <v>265</v>
      </c>
      <c r="D168" s="55">
        <f>(31.45+2*0.75+2.2*0.75+2.75*0.75)*10.764</f>
        <v>394.63515000000001</v>
      </c>
      <c r="E168" s="40">
        <v>0</v>
      </c>
      <c r="F168" s="40">
        <f>D168*(($F$128)+1)+(IF(E168&lt;101,E168,IF(E168&lt;201,E168/2,IF(E168&lt;=301,E168/3,E168/4))))</f>
        <v>591.95272499999999</v>
      </c>
      <c r="G168" s="69"/>
      <c r="H168" s="70"/>
      <c r="I168" s="34"/>
      <c r="L168" s="61"/>
      <c r="M168" s="61"/>
      <c r="N168" s="34"/>
    </row>
    <row r="169" spans="1:14" s="35" customFormat="1" ht="15.75" customHeight="1" x14ac:dyDescent="0.25">
      <c r="A169" s="59">
        <f t="shared" si="15"/>
        <v>4</v>
      </c>
      <c r="B169" s="60"/>
      <c r="C169" s="40" t="s">
        <v>264</v>
      </c>
      <c r="D169" s="55">
        <f>(51.78+2.5*0.75+2.7*0.75+2.75*0.75+3.05*0.75)*10.764</f>
        <v>646.16291999999999</v>
      </c>
      <c r="E169" s="40">
        <v>0</v>
      </c>
      <c r="F169" s="40">
        <f>D169*(($F$128)+1)+(IF(E169&lt;101,E169,IF(E169&lt;201,E169/2,IF(E169&lt;=301,E169/3,E169/4))))</f>
        <v>969.24437999999998</v>
      </c>
      <c r="G169" s="69"/>
      <c r="H169" s="70"/>
      <c r="I169" s="34"/>
      <c r="L169" s="61"/>
      <c r="M169" s="61"/>
      <c r="N169" s="34"/>
    </row>
    <row r="170" spans="1:14" s="35" customFormat="1" x14ac:dyDescent="0.25">
      <c r="A170" s="59">
        <f t="shared" si="15"/>
        <v>5</v>
      </c>
      <c r="B170" s="60"/>
      <c r="C170" s="40" t="s">
        <v>264</v>
      </c>
      <c r="D170" s="55">
        <f>(47.68+3.48*0.75+2.75*0.75+2.1*0.75+2.75*0.75)*10.764</f>
        <v>602.67635999999993</v>
      </c>
      <c r="E170" s="55">
        <f>(5.25*4.6+2.05*3.9+4*1.05)*(10.764)</f>
        <v>391.21757999999994</v>
      </c>
      <c r="F170" s="40">
        <f>D170*(($F$128)+1)+(IF(E170&lt;101,E170,IF(E170&lt;201,E170/2,IF(E170&lt;=301,E170/3,E170/4))))</f>
        <v>1001.8189349999999</v>
      </c>
      <c r="G170" s="69"/>
      <c r="H170" s="70"/>
      <c r="I170" s="34">
        <f>7.15*5.7</f>
        <v>40.755000000000003</v>
      </c>
      <c r="J170" s="52">
        <f>5.25*4.6+2.05*3.9+4*1.05</f>
        <v>36.344999999999999</v>
      </c>
      <c r="L170" s="61"/>
      <c r="M170" s="61"/>
    </row>
    <row r="171" spans="1:14" s="35" customFormat="1" x14ac:dyDescent="0.25">
      <c r="A171" s="59">
        <f t="shared" si="15"/>
        <v>6</v>
      </c>
      <c r="B171" s="60"/>
      <c r="C171" s="40" t="s">
        <v>264</v>
      </c>
      <c r="D171" s="55">
        <f>(47.68+3.48*0.75+2.75*0.75+2.1*0.75+2.75*0.75)*10.764</f>
        <v>602.67635999999993</v>
      </c>
      <c r="E171" s="55">
        <f>(5.25*4.6+2.05*3.9+4*1.05)*(10.764)</f>
        <v>391.21757999999994</v>
      </c>
      <c r="F171" s="40">
        <f t="shared" ref="F171" si="16">D171*(($F$128)+1)+(IF(E171&lt;101,E171,IF(E171&lt;201,E171/2,IF(E171&lt;=301,E171/3,E171/4))))</f>
        <v>1001.8189349999999</v>
      </c>
      <c r="G171" s="71"/>
      <c r="H171" s="72"/>
      <c r="I171" s="34"/>
      <c r="N171" s="34"/>
    </row>
    <row r="172" spans="1:14" s="33" customFormat="1" x14ac:dyDescent="0.25">
      <c r="A172" s="144" t="s">
        <v>68</v>
      </c>
      <c r="B172" s="144"/>
      <c r="C172" s="144"/>
      <c r="D172" s="144"/>
      <c r="E172" s="144"/>
      <c r="F172" s="144"/>
      <c r="G172" s="144"/>
      <c r="H172" s="144"/>
    </row>
    <row r="173" spans="1:14" s="33" customFormat="1" x14ac:dyDescent="0.25">
      <c r="A173" s="45" t="s">
        <v>154</v>
      </c>
      <c r="B173" s="109" t="s">
        <v>280</v>
      </c>
      <c r="C173" s="110"/>
      <c r="D173" s="110"/>
      <c r="E173" s="110"/>
      <c r="F173" s="110"/>
      <c r="G173" s="110"/>
      <c r="H173" s="111"/>
    </row>
    <row r="174" spans="1:14" s="33" customFormat="1" x14ac:dyDescent="0.25">
      <c r="A174" s="45" t="s">
        <v>154</v>
      </c>
      <c r="B174" s="109" t="str">
        <f>(IF(F127="Saleable area Loading :","We have considered Saleable area of Flats as per our Calculation.","We considered Saleable area of Flat as per Builder area Sheet."))</f>
        <v>We have considered Saleable area of Flats as per our Calculation.</v>
      </c>
      <c r="C174" s="110"/>
      <c r="D174" s="110"/>
      <c r="E174" s="110"/>
      <c r="F174" s="110"/>
      <c r="G174" s="110"/>
      <c r="H174" s="111"/>
    </row>
    <row r="175" spans="1:14" s="33" customFormat="1" x14ac:dyDescent="0.25">
      <c r="A175" s="45" t="s">
        <v>154</v>
      </c>
      <c r="B175" s="109" t="str">
        <f>(IF(F106="Saleable area Loading :","We have considered Saleable area of Commercial as per our Calculation.","We considered Saleable area of Commercial as per Builder area Sheet."))</f>
        <v>We have considered Saleable area of Commercial as per our Calculation.</v>
      </c>
      <c r="C175" s="110"/>
      <c r="D175" s="110"/>
      <c r="E175" s="110"/>
      <c r="F175" s="110"/>
      <c r="G175" s="110"/>
      <c r="H175" s="111"/>
    </row>
    <row r="176" spans="1:14" s="33" customFormat="1" x14ac:dyDescent="0.25">
      <c r="A176" s="45" t="s">
        <v>154</v>
      </c>
      <c r="B176" s="121" t="s">
        <v>124</v>
      </c>
      <c r="C176" s="122"/>
      <c r="D176" s="122"/>
      <c r="E176" s="122"/>
      <c r="F176" s="122"/>
      <c r="G176" s="122"/>
      <c r="H176" s="123"/>
    </row>
    <row r="177" spans="1:8" s="33" customFormat="1" ht="33" customHeight="1" x14ac:dyDescent="0.25">
      <c r="A177" s="45" t="s">
        <v>154</v>
      </c>
      <c r="B177" s="121" t="s">
        <v>268</v>
      </c>
      <c r="C177" s="122"/>
      <c r="D177" s="122"/>
      <c r="E177" s="122"/>
      <c r="F177" s="122"/>
      <c r="G177" s="122"/>
      <c r="H177" s="123"/>
    </row>
    <row r="178" spans="1:8" s="33" customFormat="1" x14ac:dyDescent="0.25">
      <c r="A178" s="45" t="s">
        <v>154</v>
      </c>
      <c r="B178" s="121" t="s">
        <v>153</v>
      </c>
      <c r="C178" s="122"/>
      <c r="D178" s="122"/>
      <c r="E178" s="122"/>
      <c r="F178" s="122"/>
      <c r="G178" s="122"/>
      <c r="H178" s="123"/>
    </row>
    <row r="179" spans="1:8" s="33" customFormat="1" x14ac:dyDescent="0.25">
      <c r="A179" s="45" t="s">
        <v>154</v>
      </c>
      <c r="B179" s="121" t="s">
        <v>125</v>
      </c>
      <c r="C179" s="122"/>
      <c r="D179" s="122"/>
      <c r="E179" s="122"/>
      <c r="F179" s="122"/>
      <c r="G179" s="122"/>
      <c r="H179" s="123"/>
    </row>
    <row r="180" spans="1:8" s="33" customFormat="1" ht="34.5" customHeight="1" x14ac:dyDescent="0.25">
      <c r="A180" s="45" t="s">
        <v>154</v>
      </c>
      <c r="B180" s="121" t="s">
        <v>155</v>
      </c>
      <c r="C180" s="122"/>
      <c r="D180" s="122"/>
      <c r="E180" s="122"/>
      <c r="F180" s="122"/>
      <c r="G180" s="122"/>
      <c r="H180" s="123"/>
    </row>
    <row r="181" spans="1:8" s="33" customFormat="1" x14ac:dyDescent="0.25">
      <c r="A181" s="45" t="s">
        <v>154</v>
      </c>
      <c r="B181" s="121" t="s">
        <v>126</v>
      </c>
      <c r="C181" s="122"/>
      <c r="D181" s="122"/>
      <c r="E181" s="122"/>
      <c r="F181" s="122"/>
      <c r="G181" s="122"/>
      <c r="H181" s="123"/>
    </row>
    <row r="182" spans="1:8" s="33" customFormat="1" x14ac:dyDescent="0.25">
      <c r="A182" s="45" t="s">
        <v>154</v>
      </c>
      <c r="B182" s="121" t="s">
        <v>276</v>
      </c>
      <c r="C182" s="122"/>
      <c r="D182" s="122"/>
      <c r="E182" s="122"/>
      <c r="F182" s="122"/>
      <c r="G182" s="122"/>
      <c r="H182" s="123"/>
    </row>
    <row r="183" spans="1:8" x14ac:dyDescent="0.25">
      <c r="A183" s="135" t="s">
        <v>61</v>
      </c>
      <c r="B183" s="135"/>
      <c r="C183" s="135"/>
      <c r="D183" s="135"/>
      <c r="E183" s="135"/>
      <c r="F183" s="135"/>
      <c r="G183" s="135"/>
      <c r="H183" s="135"/>
    </row>
    <row r="184" spans="1:8" x14ac:dyDescent="0.25">
      <c r="A184" s="86" t="s">
        <v>62</v>
      </c>
      <c r="B184" s="86"/>
      <c r="C184" s="86"/>
      <c r="D184" s="86"/>
      <c r="E184" s="86"/>
      <c r="F184" s="86"/>
      <c r="G184" s="86"/>
      <c r="H184" s="86"/>
    </row>
    <row r="185" spans="1:8" ht="15.75" customHeight="1" x14ac:dyDescent="0.25">
      <c r="A185" s="143" t="s">
        <v>63</v>
      </c>
      <c r="B185" s="143"/>
      <c r="C185" s="143"/>
      <c r="D185" s="143"/>
      <c r="E185" s="143"/>
      <c r="F185" s="143"/>
      <c r="G185" s="143"/>
      <c r="H185" s="143"/>
    </row>
    <row r="186" spans="1:8" x14ac:dyDescent="0.25">
      <c r="A186" s="86" t="s">
        <v>64</v>
      </c>
      <c r="B186" s="86"/>
      <c r="C186" s="86"/>
      <c r="D186" s="86"/>
      <c r="E186" s="86"/>
      <c r="F186" s="86"/>
      <c r="G186" s="86"/>
      <c r="H186" s="86"/>
    </row>
    <row r="187" spans="1:8" x14ac:dyDescent="0.25">
      <c r="A187" s="86" t="s">
        <v>65</v>
      </c>
      <c r="B187" s="86"/>
      <c r="C187" s="86"/>
      <c r="D187" s="86"/>
      <c r="E187" s="86"/>
      <c r="F187" s="86"/>
      <c r="G187" s="86"/>
      <c r="H187" s="86"/>
    </row>
    <row r="188" spans="1:8" hidden="1" x14ac:dyDescent="0.25">
      <c r="A188" s="86" t="s">
        <v>127</v>
      </c>
      <c r="B188" s="86"/>
      <c r="C188" s="86"/>
      <c r="D188" s="86"/>
      <c r="E188" s="86"/>
      <c r="F188" s="86"/>
      <c r="G188" s="86"/>
      <c r="H188" s="86"/>
    </row>
    <row r="189" spans="1:8" ht="33.950000000000003" hidden="1" customHeight="1" x14ac:dyDescent="0.25">
      <c r="A189" s="93" t="s">
        <v>128</v>
      </c>
      <c r="B189" s="93"/>
      <c r="C189" s="93"/>
      <c r="D189" s="93"/>
      <c r="E189" s="93"/>
      <c r="F189" s="93"/>
      <c r="G189" s="93"/>
      <c r="H189" s="93"/>
    </row>
    <row r="190" spans="1:8" x14ac:dyDescent="0.25">
      <c r="A190" s="141" t="s">
        <v>77</v>
      </c>
      <c r="B190" s="141"/>
      <c r="C190" s="141" t="s">
        <v>279</v>
      </c>
      <c r="D190" s="141"/>
      <c r="E190" s="141" t="s">
        <v>107</v>
      </c>
      <c r="F190" s="141"/>
      <c r="G190" s="141" t="s">
        <v>278</v>
      </c>
      <c r="H190" s="141"/>
    </row>
    <row r="191" spans="1:8" x14ac:dyDescent="0.25">
      <c r="A191" s="140" t="s">
        <v>79</v>
      </c>
      <c r="B191" s="140"/>
      <c r="C191" s="140"/>
      <c r="D191" s="140"/>
      <c r="E191" s="140"/>
      <c r="F191" s="140"/>
      <c r="G191" s="140"/>
      <c r="H191" s="140"/>
    </row>
    <row r="192" spans="1:8" x14ac:dyDescent="0.25">
      <c r="A192" s="140"/>
      <c r="B192" s="140"/>
      <c r="C192" s="140"/>
      <c r="D192" s="140"/>
      <c r="E192" s="140"/>
      <c r="F192" s="140"/>
      <c r="G192" s="140"/>
      <c r="H192" s="140"/>
    </row>
    <row r="193" spans="1:8" x14ac:dyDescent="0.25">
      <c r="A193" s="140"/>
      <c r="B193" s="140"/>
      <c r="C193" s="140"/>
      <c r="D193" s="140"/>
      <c r="E193" s="140"/>
      <c r="F193" s="140"/>
      <c r="G193" s="140"/>
      <c r="H193" s="140"/>
    </row>
    <row r="194" spans="1:8" x14ac:dyDescent="0.25">
      <c r="A194" s="140"/>
      <c r="B194" s="140"/>
      <c r="C194" s="140"/>
      <c r="D194" s="140"/>
      <c r="E194" s="140"/>
      <c r="F194" s="140"/>
      <c r="G194" s="140"/>
      <c r="H194" s="140"/>
    </row>
    <row r="195" spans="1:8" x14ac:dyDescent="0.25">
      <c r="A195" s="36" t="s">
        <v>66</v>
      </c>
      <c r="B195" s="37"/>
      <c r="C195" s="37"/>
      <c r="D195" s="36" t="str">
        <f>E8</f>
        <v>Triveni Heights</v>
      </c>
      <c r="F195" s="37"/>
      <c r="G195" s="37"/>
      <c r="H195" s="37"/>
    </row>
    <row r="196" spans="1:8" x14ac:dyDescent="0.25">
      <c r="A196" s="37"/>
      <c r="B196" s="37"/>
      <c r="C196" s="37"/>
      <c r="D196" s="37"/>
      <c r="E196" s="37"/>
      <c r="F196" s="37"/>
      <c r="G196" s="37"/>
      <c r="H196" s="37"/>
    </row>
    <row r="197" spans="1:8" x14ac:dyDescent="0.25">
      <c r="A197" s="37"/>
      <c r="B197" s="37"/>
      <c r="C197" s="37"/>
      <c r="D197" s="37"/>
      <c r="E197" s="37"/>
      <c r="F197" s="37"/>
      <c r="G197" s="37"/>
      <c r="H197" s="37"/>
    </row>
    <row r="198" spans="1:8" ht="15" customHeight="1" x14ac:dyDescent="0.25"/>
    <row r="237" spans="1:1" x14ac:dyDescent="0.25">
      <c r="A237" s="39" t="s">
        <v>164</v>
      </c>
    </row>
    <row r="276" spans="1:1" x14ac:dyDescent="0.25">
      <c r="A276" s="39" t="s">
        <v>67</v>
      </c>
    </row>
  </sheetData>
  <mergeCells count="369">
    <mergeCell ref="I10:L10"/>
    <mergeCell ref="A39:B39"/>
    <mergeCell ref="C39:H39"/>
    <mergeCell ref="B180:H180"/>
    <mergeCell ref="A48:B48"/>
    <mergeCell ref="C48:H48"/>
    <mergeCell ref="B178:H178"/>
    <mergeCell ref="F82:H82"/>
    <mergeCell ref="A82:E82"/>
    <mergeCell ref="D106:D107"/>
    <mergeCell ref="A84:E84"/>
    <mergeCell ref="G130:H137"/>
    <mergeCell ref="G139:H146"/>
    <mergeCell ref="G148:H155"/>
    <mergeCell ref="G166:H171"/>
    <mergeCell ref="G109:H118"/>
    <mergeCell ref="G120:H125"/>
    <mergeCell ref="B176:H176"/>
    <mergeCell ref="B177:H177"/>
    <mergeCell ref="A125:B125"/>
    <mergeCell ref="A126:H126"/>
    <mergeCell ref="A129:H129"/>
    <mergeCell ref="A142:B142"/>
    <mergeCell ref="A139:B139"/>
    <mergeCell ref="A94:H94"/>
    <mergeCell ref="A101:B101"/>
    <mergeCell ref="C98:D98"/>
    <mergeCell ref="E98:F98"/>
    <mergeCell ref="G98:H98"/>
    <mergeCell ref="C96:D96"/>
    <mergeCell ref="E96:F96"/>
    <mergeCell ref="A96:B96"/>
    <mergeCell ref="G97:H97"/>
    <mergeCell ref="A98:B98"/>
    <mergeCell ref="A83:E83"/>
    <mergeCell ref="A80:E80"/>
    <mergeCell ref="F84:H84"/>
    <mergeCell ref="A85:E85"/>
    <mergeCell ref="A102:B102"/>
    <mergeCell ref="E102:F102"/>
    <mergeCell ref="L116:M116"/>
    <mergeCell ref="L117:M117"/>
    <mergeCell ref="L118:M118"/>
    <mergeCell ref="F81:H81"/>
    <mergeCell ref="C95:D95"/>
    <mergeCell ref="A88:E88"/>
    <mergeCell ref="A104:H104"/>
    <mergeCell ref="A117:B117"/>
    <mergeCell ref="A118:B118"/>
    <mergeCell ref="A92:E92"/>
    <mergeCell ref="F92:H92"/>
    <mergeCell ref="A93:E93"/>
    <mergeCell ref="F93:H93"/>
    <mergeCell ref="A91:E91"/>
    <mergeCell ref="G102:H102"/>
    <mergeCell ref="C97:D97"/>
    <mergeCell ref="E97:F97"/>
    <mergeCell ref="E100:F100"/>
    <mergeCell ref="A37:H37"/>
    <mergeCell ref="A36:B36"/>
    <mergeCell ref="C36:E36"/>
    <mergeCell ref="A41:D41"/>
    <mergeCell ref="E41:H41"/>
    <mergeCell ref="A40:H40"/>
    <mergeCell ref="A59:C59"/>
    <mergeCell ref="A60:C60"/>
    <mergeCell ref="D59:H59"/>
    <mergeCell ref="D60:H60"/>
    <mergeCell ref="A43:D43"/>
    <mergeCell ref="E43:H43"/>
    <mergeCell ref="E44:H44"/>
    <mergeCell ref="E45:H45"/>
    <mergeCell ref="E46:H46"/>
    <mergeCell ref="A44:D44"/>
    <mergeCell ref="A38:B38"/>
    <mergeCell ref="C38:H38"/>
    <mergeCell ref="A45:D45"/>
    <mergeCell ref="F36:H36"/>
    <mergeCell ref="A46:D46"/>
    <mergeCell ref="A47:H47"/>
    <mergeCell ref="D57:H57"/>
    <mergeCell ref="A57:C57"/>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F33:H33"/>
    <mergeCell ref="E26:H26"/>
    <mergeCell ref="A28:D28"/>
    <mergeCell ref="E28:H28"/>
    <mergeCell ref="A25:D25"/>
    <mergeCell ref="E25:H25"/>
    <mergeCell ref="A24:D24"/>
    <mergeCell ref="E24:H24"/>
    <mergeCell ref="A29:D29"/>
    <mergeCell ref="E29:H29"/>
    <mergeCell ref="A26:D26"/>
    <mergeCell ref="E19:F19"/>
    <mergeCell ref="G19:H19"/>
    <mergeCell ref="A20:B20"/>
    <mergeCell ref="C20:D20"/>
    <mergeCell ref="E20:F20"/>
    <mergeCell ref="G20:H20"/>
    <mergeCell ref="A21:B21"/>
    <mergeCell ref="C21:D21"/>
    <mergeCell ref="E21:F21"/>
    <mergeCell ref="G21:H21"/>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A18:B18"/>
    <mergeCell ref="C18:D18"/>
    <mergeCell ref="E18:F18"/>
    <mergeCell ref="G18:H18"/>
    <mergeCell ref="A19:B19"/>
    <mergeCell ref="C19:D19"/>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G50:H50"/>
    <mergeCell ref="A51:B52"/>
    <mergeCell ref="A76:B76"/>
    <mergeCell ref="A69:B69"/>
    <mergeCell ref="A72:B72"/>
    <mergeCell ref="A68:B68"/>
    <mergeCell ref="A66:B66"/>
    <mergeCell ref="C66:H66"/>
    <mergeCell ref="A74:B74"/>
    <mergeCell ref="A61:C61"/>
    <mergeCell ref="D61:H61"/>
    <mergeCell ref="C68:H68"/>
    <mergeCell ref="A71:B71"/>
    <mergeCell ref="A73:B73"/>
    <mergeCell ref="E69:F69"/>
    <mergeCell ref="A62:C62"/>
    <mergeCell ref="D62:H62"/>
    <mergeCell ref="A65:C65"/>
    <mergeCell ref="D65:H65"/>
    <mergeCell ref="A63:C63"/>
    <mergeCell ref="D64:H64"/>
    <mergeCell ref="A70:B70"/>
    <mergeCell ref="G69:H69"/>
    <mergeCell ref="E70:F79"/>
    <mergeCell ref="A186:H186"/>
    <mergeCell ref="A99:H99"/>
    <mergeCell ref="A189:H189"/>
    <mergeCell ref="A187:H187"/>
    <mergeCell ref="A183:H183"/>
    <mergeCell ref="G100:H100"/>
    <mergeCell ref="A143:B143"/>
    <mergeCell ref="C106:C107"/>
    <mergeCell ref="B127:B128"/>
    <mergeCell ref="B173:H173"/>
    <mergeCell ref="B174:H174"/>
    <mergeCell ref="A132:B132"/>
    <mergeCell ref="A188:H188"/>
    <mergeCell ref="A185:H185"/>
    <mergeCell ref="A135:B135"/>
    <mergeCell ref="A172:H172"/>
    <mergeCell ref="A148:B148"/>
    <mergeCell ref="A149:B149"/>
    <mergeCell ref="A138:H138"/>
    <mergeCell ref="A133:B133"/>
    <mergeCell ref="E127:E128"/>
    <mergeCell ref="B182:H182"/>
    <mergeCell ref="C102:D102"/>
    <mergeCell ref="A109:B109"/>
    <mergeCell ref="A191:H194"/>
    <mergeCell ref="A190:B190"/>
    <mergeCell ref="E190:F190"/>
    <mergeCell ref="C190:D190"/>
    <mergeCell ref="G190:H190"/>
    <mergeCell ref="A146:B146"/>
    <mergeCell ref="B106:B107"/>
    <mergeCell ref="A106:A107"/>
    <mergeCell ref="C127:C128"/>
    <mergeCell ref="A116:B116"/>
    <mergeCell ref="A145:B145"/>
    <mergeCell ref="A134:B134"/>
    <mergeCell ref="A169:B169"/>
    <mergeCell ref="A165:H165"/>
    <mergeCell ref="A159:B159"/>
    <mergeCell ref="A127:A128"/>
    <mergeCell ref="A124:B124"/>
    <mergeCell ref="G127:H128"/>
    <mergeCell ref="A119:H119"/>
    <mergeCell ref="A120:B120"/>
    <mergeCell ref="A121:B121"/>
    <mergeCell ref="A122:B122"/>
    <mergeCell ref="A123:B123"/>
    <mergeCell ref="A184:H184"/>
    <mergeCell ref="B181:H181"/>
    <mergeCell ref="B179:H179"/>
    <mergeCell ref="F85:H85"/>
    <mergeCell ref="A130:B130"/>
    <mergeCell ref="A112:B112"/>
    <mergeCell ref="A111:B111"/>
    <mergeCell ref="F34:H34"/>
    <mergeCell ref="A103:B103"/>
    <mergeCell ref="C103:D103"/>
    <mergeCell ref="E103:F103"/>
    <mergeCell ref="G103:H103"/>
    <mergeCell ref="E42:H42"/>
    <mergeCell ref="A42:D42"/>
    <mergeCell ref="A75:B75"/>
    <mergeCell ref="A49:B49"/>
    <mergeCell ref="C49:E49"/>
    <mergeCell ref="G49:H49"/>
    <mergeCell ref="G51:H51"/>
    <mergeCell ref="A50:B50"/>
    <mergeCell ref="A54:H54"/>
    <mergeCell ref="A55:C55"/>
    <mergeCell ref="A56:C56"/>
    <mergeCell ref="D56:H56"/>
    <mergeCell ref="G53:H53"/>
    <mergeCell ref="C52:H52"/>
    <mergeCell ref="G70:H79"/>
    <mergeCell ref="A78:B78"/>
    <mergeCell ref="A79:B79"/>
    <mergeCell ref="F80:H80"/>
    <mergeCell ref="A86:E86"/>
    <mergeCell ref="B175:H175"/>
    <mergeCell ref="A153:B153"/>
    <mergeCell ref="A77:B77"/>
    <mergeCell ref="C101:D101"/>
    <mergeCell ref="E101:F101"/>
    <mergeCell ref="G101:H101"/>
    <mergeCell ref="F87:H87"/>
    <mergeCell ref="A81:E81"/>
    <mergeCell ref="A108:H108"/>
    <mergeCell ref="E106:E107"/>
    <mergeCell ref="G106:H107"/>
    <mergeCell ref="F86:H86"/>
    <mergeCell ref="A87:E87"/>
    <mergeCell ref="A89:E89"/>
    <mergeCell ref="F83:H83"/>
    <mergeCell ref="A100:B100"/>
    <mergeCell ref="G96:H96"/>
    <mergeCell ref="F88:H88"/>
    <mergeCell ref="C51:E51"/>
    <mergeCell ref="A58:C58"/>
    <mergeCell ref="D58:H58"/>
    <mergeCell ref="C50:E50"/>
    <mergeCell ref="I14:P14"/>
    <mergeCell ref="F91:H91"/>
    <mergeCell ref="F89:H89"/>
    <mergeCell ref="A140:B140"/>
    <mergeCell ref="A105:H105"/>
    <mergeCell ref="G95:H95"/>
    <mergeCell ref="A90:E90"/>
    <mergeCell ref="A110:B110"/>
    <mergeCell ref="A53:B53"/>
    <mergeCell ref="C53:E53"/>
    <mergeCell ref="D55:H55"/>
    <mergeCell ref="F90:H90"/>
    <mergeCell ref="E95:F95"/>
    <mergeCell ref="A95:B95"/>
    <mergeCell ref="A97:B97"/>
    <mergeCell ref="C100:D100"/>
    <mergeCell ref="D63:H63"/>
    <mergeCell ref="A64:C64"/>
    <mergeCell ref="I62:K62"/>
    <mergeCell ref="A113:B113"/>
    <mergeCell ref="L110:M110"/>
    <mergeCell ref="L109:M109"/>
    <mergeCell ref="L139:M139"/>
    <mergeCell ref="L133:M133"/>
    <mergeCell ref="L130:M130"/>
    <mergeCell ref="A136:B136"/>
    <mergeCell ref="A137:B137"/>
    <mergeCell ref="L134:M134"/>
    <mergeCell ref="A150:B150"/>
    <mergeCell ref="L150:M150"/>
    <mergeCell ref="D127:D128"/>
    <mergeCell ref="L120:M120"/>
    <mergeCell ref="L121:M121"/>
    <mergeCell ref="L122:M122"/>
    <mergeCell ref="L123:M123"/>
    <mergeCell ref="L124:M124"/>
    <mergeCell ref="L125:M125"/>
    <mergeCell ref="L113:M113"/>
    <mergeCell ref="A114:B114"/>
    <mergeCell ref="L114:M114"/>
    <mergeCell ref="A115:B115"/>
    <mergeCell ref="L115:M115"/>
    <mergeCell ref="L112:M112"/>
    <mergeCell ref="L111:M111"/>
    <mergeCell ref="L151:M151"/>
    <mergeCell ref="A131:B131"/>
    <mergeCell ref="L131:M131"/>
    <mergeCell ref="L132:M132"/>
    <mergeCell ref="A141:B141"/>
    <mergeCell ref="L152:M152"/>
    <mergeCell ref="A156:H156"/>
    <mergeCell ref="A157:B157"/>
    <mergeCell ref="L157:M157"/>
    <mergeCell ref="L140:M140"/>
    <mergeCell ref="L141:M141"/>
    <mergeCell ref="L142:M142"/>
    <mergeCell ref="L143:M143"/>
    <mergeCell ref="A144:B144"/>
    <mergeCell ref="A147:H147"/>
    <mergeCell ref="L148:M148"/>
    <mergeCell ref="L149:M149"/>
    <mergeCell ref="A151:B151"/>
    <mergeCell ref="A152:B152"/>
    <mergeCell ref="A155:B155"/>
    <mergeCell ref="A154:B154"/>
    <mergeCell ref="G157:H164"/>
    <mergeCell ref="A161:B161"/>
    <mergeCell ref="L161:M161"/>
    <mergeCell ref="A162:B162"/>
    <mergeCell ref="A163:B163"/>
    <mergeCell ref="A164:B164"/>
    <mergeCell ref="A158:B158"/>
    <mergeCell ref="L158:M158"/>
    <mergeCell ref="L159:M159"/>
    <mergeCell ref="A160:B160"/>
    <mergeCell ref="L160:M160"/>
    <mergeCell ref="L169:M169"/>
    <mergeCell ref="A170:B170"/>
    <mergeCell ref="L170:M170"/>
    <mergeCell ref="A171:B171"/>
    <mergeCell ref="A166:B166"/>
    <mergeCell ref="L166:M166"/>
    <mergeCell ref="A167:B167"/>
    <mergeCell ref="L167:M167"/>
    <mergeCell ref="A168:B168"/>
    <mergeCell ref="L168:M168"/>
  </mergeCells>
  <dataValidations count="13">
    <dataValidation type="list" allowBlank="1" showInputMessage="1" showErrorMessage="1" sqref="E4:H4">
      <formula1>"Axis Goregaon,Axis Thane,Axis Badlapur,Axis Sanpada, PNB Thane"</formula1>
    </dataValidation>
    <dataValidation type="list" allowBlank="1" showInputMessage="1" showErrorMessage="1" sqref="A16:B16">
      <formula1>"CTS No,Survey No,Plot No,Gut No,FP No,"</formula1>
    </dataValidation>
    <dataValidation type="list" allowBlank="1" showInputMessage="1" showErrorMessage="1" sqref="G19:H19">
      <formula1>$S$12:$W$12</formula1>
    </dataValidation>
    <dataValidation type="list" allowBlank="1" showInputMessage="1" showErrorMessage="1" sqref="E106:E107">
      <formula1>"Attached Loft area,Attached Terrace area,Attached Mezzanine area,Attached Loft &amp; Terrace Area"</formula1>
    </dataValidation>
    <dataValidation type="list" allowBlank="1" showInputMessage="1" showErrorMessage="1" sqref="F107 F128">
      <formula1>"45%,50%,55%,60%"</formula1>
    </dataValidation>
    <dataValidation type="list" allowBlank="1" showInputMessage="1" showErrorMessage="1" sqref="G190:H190">
      <formula1>"Shruti Tathare,Kunal Kadam,Pranita Mhatre,Shruti Fule,Pooja Kawale,Mansee Mohite,Anjali Kamble, Hitakshi Mhatre, Sachin Sawant"</formula1>
    </dataValidation>
    <dataValidation type="list" allowBlank="1" showInputMessage="1" showErrorMessage="1" sqref="F80:H80">
      <formula1>"On Saleable Area,On Builtup Area,On Carpet Area,On Plot Area"</formula1>
    </dataValidation>
    <dataValidation type="list" allowBlank="1" showInputMessage="1" showErrorMessage="1" sqref="F92:H92">
      <formula1>"100000,150000,200000,250000,300000,350000,400000,500000,600000,700000,800000,900000,1000000,1200000,1400000,1500000"</formula1>
    </dataValidation>
    <dataValidation type="list" allowBlank="1" showInputMessage="1" showErrorMessage="1" sqref="F106 F127">
      <formula1>"Saleable area Loading :,Builder Saleable area"</formula1>
    </dataValidation>
    <dataValidation type="list" allowBlank="1" showInputMessage="1" showErrorMessage="1" sqref="B106:B107">
      <formula1>"Shop No. (Sale Plan),Sale / Rehab,Sale / Mhada"</formula1>
    </dataValidation>
    <dataValidation type="list" allowBlank="1" showInputMessage="1" showErrorMessage="1" sqref="B127:B128">
      <formula1>"Flat No. (Sale Plan),Sale / Rehab,Sale / Mhada"</formula1>
    </dataValidation>
    <dataValidation type="list" allowBlank="1" showInputMessage="1" showErrorMessage="1" sqref="C20:D20">
      <formula1>OFFSET($S$12,1,MATCH($G19,$S$12:$W$12,0)-1,15,1)</formula1>
    </dataValidation>
    <dataValidation type="list" allowBlank="1" showInputMessage="1" showErrorMessage="1" sqref="Y12">
      <formula1>$D$4:$H$4</formula1>
    </dataValidation>
  </dataValidations>
  <hyperlinks>
    <hyperlink ref="C39" r:id="rId1"/>
    <hyperlink ref="I62"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65" max="16383" man="1"/>
    <brk id="194" max="16383" man="1"/>
    <brk id="236" max="16383" man="1"/>
    <brk id="275"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5703125" defaultRowHeight="15" x14ac:dyDescent="0.25"/>
  <cols>
    <col min="1" max="1" width="8.570312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5703125" style="1"/>
  </cols>
  <sheetData>
    <row r="1" spans="1:9" ht="15" customHeight="1" x14ac:dyDescent="0.25"/>
    <row r="2" spans="1:9" ht="15" customHeight="1" x14ac:dyDescent="0.25">
      <c r="A2" s="2"/>
      <c r="B2" s="2"/>
      <c r="C2" s="2"/>
      <c r="D2" s="2"/>
      <c r="E2" s="2"/>
      <c r="F2" s="2"/>
      <c r="G2" s="2"/>
      <c r="H2" s="2"/>
    </row>
    <row r="3" spans="1:9" ht="15.75" customHeight="1" x14ac:dyDescent="0.25">
      <c r="A3" s="2"/>
      <c r="B3" s="188" t="s">
        <v>108</v>
      </c>
      <c r="C3" s="188"/>
      <c r="D3" s="188"/>
      <c r="E3" s="188"/>
      <c r="F3" s="188"/>
      <c r="G3" s="188"/>
      <c r="H3" s="188"/>
    </row>
    <row r="4" spans="1:9" x14ac:dyDescent="0.25">
      <c r="A4" s="2"/>
      <c r="B4" s="3" t="s">
        <v>109</v>
      </c>
      <c r="C4" s="3" t="s">
        <v>110</v>
      </c>
      <c r="D4" s="3" t="s">
        <v>69</v>
      </c>
      <c r="E4" s="3" t="s">
        <v>111</v>
      </c>
      <c r="F4" s="3" t="s">
        <v>117</v>
      </c>
      <c r="G4" s="3" t="s">
        <v>118</v>
      </c>
      <c r="H4" s="3" t="s">
        <v>112</v>
      </c>
    </row>
    <row r="5" spans="1:9" ht="15" customHeight="1" x14ac:dyDescent="0.25">
      <c r="A5" s="2"/>
      <c r="B5" s="5" t="s">
        <v>113</v>
      </c>
      <c r="C5" s="6"/>
      <c r="D5" s="5"/>
      <c r="E5" s="5"/>
      <c r="F5" s="7">
        <f>E5*1.6</f>
        <v>0</v>
      </c>
      <c r="G5" s="7" t="e">
        <f>H5/F5</f>
        <v>#DIV/0!</v>
      </c>
      <c r="H5" s="8"/>
    </row>
    <row r="6" spans="1:9" x14ac:dyDescent="0.25">
      <c r="A6" s="2"/>
      <c r="B6" s="5" t="s">
        <v>113</v>
      </c>
      <c r="C6" s="9"/>
      <c r="D6" s="5"/>
      <c r="E6" s="5"/>
      <c r="F6" s="7">
        <f t="shared" ref="F6:F11" si="0">E6*1.6</f>
        <v>0</v>
      </c>
      <c r="G6" s="7" t="e">
        <f t="shared" ref="G6:G11" si="1">H6/F6</f>
        <v>#DIV/0!</v>
      </c>
      <c r="H6" s="8"/>
    </row>
    <row r="7" spans="1:9" ht="15" customHeight="1" x14ac:dyDescent="0.25">
      <c r="A7" s="2"/>
      <c r="B7" s="5" t="s">
        <v>113</v>
      </c>
      <c r="C7" s="6"/>
      <c r="D7" s="5"/>
      <c r="E7" s="5"/>
      <c r="F7" s="7">
        <f t="shared" si="0"/>
        <v>0</v>
      </c>
      <c r="G7" s="7" t="e">
        <f t="shared" si="1"/>
        <v>#DIV/0!</v>
      </c>
      <c r="H7" s="8"/>
    </row>
    <row r="8" spans="1:9" x14ac:dyDescent="0.25">
      <c r="A8" s="2"/>
      <c r="B8" s="5" t="s">
        <v>113</v>
      </c>
      <c r="C8" s="9"/>
      <c r="D8" s="5"/>
      <c r="E8" s="5"/>
      <c r="F8" s="7">
        <f t="shared" si="0"/>
        <v>0</v>
      </c>
      <c r="G8" s="7" t="e">
        <f t="shared" si="1"/>
        <v>#DIV/0!</v>
      </c>
      <c r="H8" s="8"/>
    </row>
    <row r="9" spans="1:9" ht="15" customHeight="1" x14ac:dyDescent="0.25">
      <c r="A9" s="2"/>
      <c r="B9" s="5" t="s">
        <v>113</v>
      </c>
      <c r="C9" s="9"/>
      <c r="D9" s="5"/>
      <c r="E9" s="5"/>
      <c r="F9" s="7">
        <f t="shared" si="0"/>
        <v>0</v>
      </c>
      <c r="G9" s="7" t="e">
        <f t="shared" si="1"/>
        <v>#DIV/0!</v>
      </c>
      <c r="H9" s="8"/>
    </row>
    <row r="10" spans="1:9" ht="15" customHeight="1" x14ac:dyDescent="0.25">
      <c r="A10" s="2"/>
      <c r="B10" s="5" t="s">
        <v>114</v>
      </c>
      <c r="C10" s="6"/>
      <c r="D10" s="5"/>
      <c r="E10" s="5"/>
      <c r="F10" s="7">
        <f t="shared" si="0"/>
        <v>0</v>
      </c>
      <c r="G10" s="7" t="e">
        <f t="shared" si="1"/>
        <v>#DIV/0!</v>
      </c>
      <c r="H10" s="8"/>
    </row>
    <row r="11" spans="1:9" ht="15" customHeight="1" x14ac:dyDescent="0.25">
      <c r="A11" s="2"/>
      <c r="B11" s="5" t="s">
        <v>114</v>
      </c>
      <c r="C11" s="6"/>
      <c r="D11" s="5"/>
      <c r="E11" s="5"/>
      <c r="F11" s="7">
        <f t="shared" si="0"/>
        <v>0</v>
      </c>
      <c r="G11" s="7" t="e">
        <f t="shared" si="1"/>
        <v>#DIV/0!</v>
      </c>
      <c r="H11" s="8"/>
    </row>
    <row r="12" spans="1:9" ht="15" customHeight="1" x14ac:dyDescent="0.25">
      <c r="A12" s="2"/>
      <c r="B12" s="10" t="s">
        <v>115</v>
      </c>
      <c r="C12" s="5"/>
      <c r="D12" s="5"/>
      <c r="E12" s="5"/>
      <c r="F12" s="5"/>
      <c r="G12" s="11" t="e">
        <f>AVERAGE(G5:G11)</f>
        <v>#DIV/0!</v>
      </c>
      <c r="H12" s="5"/>
    </row>
    <row r="13" spans="1:9" ht="15" customHeight="1" x14ac:dyDescent="0.25">
      <c r="B13" s="10" t="s">
        <v>116</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30"/>
  <sheetViews>
    <sheetView topLeftCell="A16" zoomScale="130" zoomScaleNormal="130" workbookViewId="0">
      <selection activeCell="C30" sqref="C30"/>
    </sheetView>
  </sheetViews>
  <sheetFormatPr defaultRowHeight="15" x14ac:dyDescent="0.25"/>
  <cols>
    <col min="4" max="4" width="11" bestFit="1" customWidth="1"/>
    <col min="5" max="5" width="10.42578125" bestFit="1" customWidth="1"/>
    <col min="8" max="8" width="10.5703125" bestFit="1" customWidth="1"/>
  </cols>
  <sheetData>
    <row r="3" spans="2:11" x14ac:dyDescent="0.25">
      <c r="J3">
        <v>1</v>
      </c>
      <c r="K3">
        <v>2</v>
      </c>
    </row>
    <row r="4" spans="2:11" x14ac:dyDescent="0.25">
      <c r="B4" s="50"/>
      <c r="C4" s="50" t="s">
        <v>12</v>
      </c>
      <c r="D4" s="51" t="s">
        <v>178</v>
      </c>
      <c r="E4" s="51" t="s">
        <v>188</v>
      </c>
      <c r="F4" s="51" t="s">
        <v>172</v>
      </c>
      <c r="G4" s="51" t="s">
        <v>193</v>
      </c>
      <c r="H4" s="51" t="s">
        <v>211</v>
      </c>
      <c r="J4" t="s">
        <v>193</v>
      </c>
      <c r="K4" t="s">
        <v>209</v>
      </c>
    </row>
    <row r="5" spans="2:11" x14ac:dyDescent="0.25">
      <c r="B5" s="50"/>
      <c r="C5" s="50"/>
      <c r="D5" s="51" t="s">
        <v>179</v>
      </c>
      <c r="E5" s="51" t="s">
        <v>186</v>
      </c>
      <c r="F5" s="51" t="s">
        <v>208</v>
      </c>
      <c r="G5" s="51" t="s">
        <v>194</v>
      </c>
      <c r="H5" s="51" t="s">
        <v>212</v>
      </c>
    </row>
    <row r="6" spans="2:11" x14ac:dyDescent="0.25">
      <c r="B6" s="50"/>
      <c r="C6" s="50"/>
      <c r="D6" s="51" t="s">
        <v>180</v>
      </c>
      <c r="E6" s="51" t="s">
        <v>187</v>
      </c>
      <c r="F6" s="51" t="s">
        <v>209</v>
      </c>
      <c r="G6" s="51" t="s">
        <v>195</v>
      </c>
      <c r="H6" s="51" t="s">
        <v>225</v>
      </c>
    </row>
    <row r="7" spans="2:11" x14ac:dyDescent="0.25">
      <c r="B7" s="50"/>
      <c r="C7" s="50"/>
      <c r="D7" s="51" t="s">
        <v>181</v>
      </c>
      <c r="E7" s="51" t="s">
        <v>189</v>
      </c>
      <c r="F7" s="51" t="s">
        <v>210</v>
      </c>
      <c r="G7" s="51" t="s">
        <v>196</v>
      </c>
      <c r="H7" s="51" t="s">
        <v>213</v>
      </c>
    </row>
    <row r="8" spans="2:11" x14ac:dyDescent="0.25">
      <c r="B8" s="50"/>
      <c r="C8" s="50"/>
      <c r="D8" s="51" t="s">
        <v>182</v>
      </c>
      <c r="E8" s="51" t="s">
        <v>190</v>
      </c>
      <c r="F8" s="51"/>
      <c r="G8" s="51" t="s">
        <v>197</v>
      </c>
      <c r="H8" s="51" t="s">
        <v>214</v>
      </c>
    </row>
    <row r="9" spans="2:11" x14ac:dyDescent="0.25">
      <c r="B9" s="50"/>
      <c r="C9" s="50"/>
      <c r="D9" s="51" t="s">
        <v>183</v>
      </c>
      <c r="E9" s="51" t="s">
        <v>188</v>
      </c>
      <c r="F9" s="51"/>
      <c r="G9" s="51" t="s">
        <v>198</v>
      </c>
      <c r="H9" s="51" t="s">
        <v>215</v>
      </c>
    </row>
    <row r="10" spans="2:11" x14ac:dyDescent="0.25">
      <c r="B10" s="50"/>
      <c r="C10" s="50"/>
      <c r="D10" s="51" t="s">
        <v>184</v>
      </c>
      <c r="E10" s="51" t="s">
        <v>191</v>
      </c>
      <c r="F10" s="51"/>
      <c r="G10" s="51" t="s">
        <v>199</v>
      </c>
      <c r="H10" s="51" t="s">
        <v>216</v>
      </c>
    </row>
    <row r="11" spans="2:11" x14ac:dyDescent="0.25">
      <c r="B11" s="50"/>
      <c r="C11" s="50"/>
      <c r="D11" s="51" t="s">
        <v>185</v>
      </c>
      <c r="E11" s="51" t="s">
        <v>192</v>
      </c>
      <c r="F11" s="51"/>
      <c r="G11" s="51" t="s">
        <v>200</v>
      </c>
      <c r="H11" s="51" t="s">
        <v>217</v>
      </c>
    </row>
    <row r="12" spans="2:11" x14ac:dyDescent="0.25">
      <c r="B12" s="50"/>
      <c r="C12" s="50"/>
      <c r="D12" s="51"/>
      <c r="E12" s="51"/>
      <c r="F12" s="51"/>
      <c r="G12" s="51" t="s">
        <v>201</v>
      </c>
      <c r="H12" s="51" t="s">
        <v>218</v>
      </c>
    </row>
    <row r="13" spans="2:11" x14ac:dyDescent="0.25">
      <c r="B13" s="50"/>
      <c r="C13" s="50"/>
      <c r="D13" s="51"/>
      <c r="E13" s="51"/>
      <c r="F13" s="51"/>
      <c r="G13" s="51" t="s">
        <v>202</v>
      </c>
      <c r="H13" s="51" t="s">
        <v>219</v>
      </c>
    </row>
    <row r="14" spans="2:11" x14ac:dyDescent="0.25">
      <c r="B14" s="50"/>
      <c r="C14" s="50"/>
      <c r="D14" s="51"/>
      <c r="E14" s="51"/>
      <c r="F14" s="51"/>
      <c r="G14" s="51" t="s">
        <v>203</v>
      </c>
      <c r="H14" s="51" t="s">
        <v>220</v>
      </c>
    </row>
    <row r="15" spans="2:11" x14ac:dyDescent="0.25">
      <c r="B15" s="50"/>
      <c r="C15" s="50"/>
      <c r="D15" s="51"/>
      <c r="E15" s="51"/>
      <c r="F15" s="51"/>
      <c r="G15" s="51" t="s">
        <v>204</v>
      </c>
      <c r="H15" s="51" t="s">
        <v>221</v>
      </c>
    </row>
    <row r="16" spans="2:11" x14ac:dyDescent="0.25">
      <c r="B16" s="50"/>
      <c r="C16" s="50"/>
      <c r="D16" s="51"/>
      <c r="E16" s="51"/>
      <c r="F16" s="51"/>
      <c r="G16" s="51" t="s">
        <v>205</v>
      </c>
      <c r="H16" s="51" t="s">
        <v>222</v>
      </c>
    </row>
    <row r="17" spans="2:8" x14ac:dyDescent="0.25">
      <c r="B17" s="50"/>
      <c r="C17" s="50"/>
      <c r="D17" s="51"/>
      <c r="E17" s="51"/>
      <c r="F17" s="51"/>
      <c r="G17" s="51" t="s">
        <v>206</v>
      </c>
      <c r="H17" s="51" t="s">
        <v>223</v>
      </c>
    </row>
    <row r="18" spans="2:8" x14ac:dyDescent="0.25">
      <c r="B18" s="50"/>
      <c r="C18" s="50"/>
      <c r="D18" s="51"/>
      <c r="E18" s="51"/>
      <c r="F18" s="51"/>
      <c r="G18" s="51" t="s">
        <v>207</v>
      </c>
      <c r="H18" s="51" t="s">
        <v>224</v>
      </c>
    </row>
    <row r="24" spans="2:8" x14ac:dyDescent="0.25">
      <c r="C24" t="s">
        <v>170</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170</v>
      </c>
    </row>
  </sheetData>
  <dataValidations count="2">
    <dataValidation type="list" allowBlank="1" showInputMessage="1" showErrorMessage="1" sqref="J4">
      <formula1>$D$4:$H$4</formula1>
    </dataValidation>
    <dataValidation type="list" allowBlank="1" showInputMessage="1" showErrorMessage="1" sqref="K4">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2025-02-06T13:14:09Z</cp:lastPrinted>
  <dcterms:created xsi:type="dcterms:W3CDTF">2019-07-16T09:29:46Z</dcterms:created>
  <dcterms:modified xsi:type="dcterms:W3CDTF">2025-08-18T10:32:05Z</dcterms:modified>
</cp:coreProperties>
</file>