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</sheets>
  <definedNames>
    <definedName name="_xlnm.Print_Area" localSheetId="0">Report!$A$1:$H$620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90" i="1" s="1"/>
  <c r="C74" i="1"/>
  <c r="C76" i="1" s="1"/>
  <c r="C89" i="1" l="1"/>
  <c r="C75" i="1"/>
  <c r="M132" i="1"/>
  <c r="J49" i="1"/>
  <c r="J134" i="1"/>
  <c r="D444" i="1"/>
  <c r="F444" i="1" s="1"/>
  <c r="D443" i="1"/>
  <c r="F443" i="1" s="1"/>
  <c r="D442" i="1"/>
  <c r="F442" i="1" s="1"/>
  <c r="D441" i="1"/>
  <c r="D440" i="1"/>
  <c r="F440" i="1" s="1"/>
  <c r="D439" i="1"/>
  <c r="F439" i="1" s="1"/>
  <c r="D438" i="1"/>
  <c r="F438" i="1" s="1"/>
  <c r="D437" i="1"/>
  <c r="F437" i="1" s="1"/>
  <c r="D436" i="1"/>
  <c r="F436" i="1" s="1"/>
  <c r="D434" i="1"/>
  <c r="F434" i="1" s="1"/>
  <c r="D433" i="1"/>
  <c r="F433" i="1" s="1"/>
  <c r="D432" i="1"/>
  <c r="D431" i="1"/>
  <c r="F431" i="1" s="1"/>
  <c r="D430" i="1"/>
  <c r="F430" i="1" s="1"/>
  <c r="D429" i="1"/>
  <c r="D428" i="1"/>
  <c r="F428" i="1" s="1"/>
  <c r="D426" i="1"/>
  <c r="F426" i="1" s="1"/>
  <c r="D424" i="1"/>
  <c r="F424" i="1" s="1"/>
  <c r="D423" i="1"/>
  <c r="F423" i="1" s="1"/>
  <c r="D422" i="1"/>
  <c r="D421" i="1"/>
  <c r="F421" i="1" s="1"/>
  <c r="D420" i="1"/>
  <c r="D419" i="1"/>
  <c r="D418" i="1"/>
  <c r="F418" i="1" s="1"/>
  <c r="D417" i="1"/>
  <c r="F417" i="1" s="1"/>
  <c r="D416" i="1"/>
  <c r="F416" i="1" s="1"/>
  <c r="D414" i="1"/>
  <c r="F414" i="1" s="1"/>
  <c r="D413" i="1"/>
  <c r="D412" i="1"/>
  <c r="F412" i="1" s="1"/>
  <c r="D411" i="1"/>
  <c r="F411" i="1" s="1"/>
  <c r="D410" i="1"/>
  <c r="D409" i="1"/>
  <c r="F409" i="1" s="1"/>
  <c r="D408" i="1"/>
  <c r="F408" i="1" s="1"/>
  <c r="D406" i="1"/>
  <c r="F406" i="1" s="1"/>
  <c r="D404" i="1"/>
  <c r="F404" i="1" s="1"/>
  <c r="D403" i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D396" i="1"/>
  <c r="F396" i="1" s="1"/>
  <c r="D394" i="1"/>
  <c r="D393" i="1"/>
  <c r="F393" i="1" s="1"/>
  <c r="D392" i="1"/>
  <c r="F392" i="1" s="1"/>
  <c r="D391" i="1"/>
  <c r="D390" i="1"/>
  <c r="F390" i="1" s="1"/>
  <c r="D389" i="1"/>
  <c r="F389" i="1" s="1"/>
  <c r="D388" i="1"/>
  <c r="F388" i="1" s="1"/>
  <c r="D387" i="1"/>
  <c r="F387" i="1" s="1"/>
  <c r="D386" i="1"/>
  <c r="D384" i="1"/>
  <c r="F384" i="1" s="1"/>
  <c r="D383" i="1"/>
  <c r="F383" i="1" s="1"/>
  <c r="D382" i="1"/>
  <c r="F382" i="1" s="1"/>
  <c r="D381" i="1"/>
  <c r="F381" i="1" s="1"/>
  <c r="D380" i="1"/>
  <c r="F380" i="1" s="1"/>
  <c r="D379" i="1"/>
  <c r="F379" i="1" s="1"/>
  <c r="D378" i="1"/>
  <c r="F378" i="1" s="1"/>
  <c r="D376" i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D366" i="1"/>
  <c r="F366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D357" i="1"/>
  <c r="F357" i="1" s="1"/>
  <c r="D355" i="1"/>
  <c r="F355" i="1" s="1"/>
  <c r="D353" i="1"/>
  <c r="F353" i="1" s="1"/>
  <c r="D352" i="1"/>
  <c r="F352" i="1" s="1"/>
  <c r="D351" i="1"/>
  <c r="F351" i="1" s="1"/>
  <c r="D350" i="1"/>
  <c r="F350" i="1" s="1"/>
  <c r="D349" i="1"/>
  <c r="F349" i="1" s="1"/>
  <c r="D348" i="1"/>
  <c r="D347" i="1"/>
  <c r="F347" i="1" s="1"/>
  <c r="D346" i="1"/>
  <c r="F346" i="1" s="1"/>
  <c r="D345" i="1"/>
  <c r="D344" i="1"/>
  <c r="F344" i="1" s="1"/>
  <c r="D342" i="1"/>
  <c r="F342" i="1" s="1"/>
  <c r="D341" i="1"/>
  <c r="F341" i="1" s="1"/>
  <c r="D340" i="1"/>
  <c r="D339" i="1"/>
  <c r="D338" i="1"/>
  <c r="D337" i="1"/>
  <c r="F337" i="1" s="1"/>
  <c r="D336" i="1"/>
  <c r="F336" i="1" s="1"/>
  <c r="D335" i="1"/>
  <c r="F335" i="1" s="1"/>
  <c r="D334" i="1"/>
  <c r="F334" i="1" s="1"/>
  <c r="D333" i="1"/>
  <c r="D331" i="1"/>
  <c r="F331" i="1" s="1"/>
  <c r="D330" i="1"/>
  <c r="D329" i="1"/>
  <c r="F329" i="1" s="1"/>
  <c r="D328" i="1"/>
  <c r="F328" i="1" s="1"/>
  <c r="D327" i="1"/>
  <c r="D326" i="1"/>
  <c r="F326" i="1" s="1"/>
  <c r="D325" i="1"/>
  <c r="F325" i="1" s="1"/>
  <c r="D324" i="1"/>
  <c r="F324" i="1" s="1"/>
  <c r="D323" i="1"/>
  <c r="F323" i="1" s="1"/>
  <c r="D322" i="1"/>
  <c r="D315" i="1"/>
  <c r="F315" i="1" s="1"/>
  <c r="D314" i="1"/>
  <c r="F314" i="1" s="1"/>
  <c r="D313" i="1"/>
  <c r="D312" i="1"/>
  <c r="F312" i="1" s="1"/>
  <c r="D311" i="1"/>
  <c r="F311" i="1" s="1"/>
  <c r="D304" i="1"/>
  <c r="F304" i="1" s="1"/>
  <c r="D303" i="1"/>
  <c r="F303" i="1" s="1"/>
  <c r="D302" i="1"/>
  <c r="D301" i="1"/>
  <c r="F301" i="1" s="1"/>
  <c r="D300" i="1"/>
  <c r="F300" i="1" s="1"/>
  <c r="E290" i="1"/>
  <c r="E289" i="1"/>
  <c r="D292" i="1"/>
  <c r="F292" i="1" s="1"/>
  <c r="D291" i="1"/>
  <c r="F291" i="1" s="1"/>
  <c r="D290" i="1"/>
  <c r="D289" i="1"/>
  <c r="D279" i="1"/>
  <c r="D273" i="1"/>
  <c r="F273" i="1" s="1"/>
  <c r="D272" i="1"/>
  <c r="D271" i="1"/>
  <c r="F271" i="1" s="1"/>
  <c r="D270" i="1"/>
  <c r="F270" i="1" s="1"/>
  <c r="D268" i="1"/>
  <c r="F268" i="1" s="1"/>
  <c r="D266" i="1"/>
  <c r="F266" i="1" s="1"/>
  <c r="D265" i="1"/>
  <c r="D264" i="1"/>
  <c r="F264" i="1" s="1"/>
  <c r="D263" i="1"/>
  <c r="F263" i="1" s="1"/>
  <c r="D262" i="1"/>
  <c r="D261" i="1"/>
  <c r="F261" i="1" s="1"/>
  <c r="D260" i="1"/>
  <c r="F260" i="1" s="1"/>
  <c r="D259" i="1"/>
  <c r="F259" i="1" s="1"/>
  <c r="D257" i="1"/>
  <c r="F257" i="1" s="1"/>
  <c r="D256" i="1"/>
  <c r="D255" i="1"/>
  <c r="F255" i="1" s="1"/>
  <c r="D254" i="1"/>
  <c r="F254" i="1" s="1"/>
  <c r="D253" i="1"/>
  <c r="D252" i="1"/>
  <c r="F252" i="1" s="1"/>
  <c r="D251" i="1"/>
  <c r="F251" i="1" s="1"/>
  <c r="D250" i="1"/>
  <c r="F250" i="1" s="1"/>
  <c r="D249" i="1"/>
  <c r="F249" i="1" s="1"/>
  <c r="D248" i="1"/>
  <c r="D246" i="1"/>
  <c r="F246" i="1" s="1"/>
  <c r="D244" i="1"/>
  <c r="F244" i="1" s="1"/>
  <c r="D243" i="1"/>
  <c r="D242" i="1"/>
  <c r="F242" i="1" s="1"/>
  <c r="D241" i="1"/>
  <c r="F241" i="1" s="1"/>
  <c r="D240" i="1"/>
  <c r="F240" i="1" s="1"/>
  <c r="D239" i="1"/>
  <c r="F239" i="1" s="1"/>
  <c r="D238" i="1"/>
  <c r="D237" i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D228" i="1"/>
  <c r="F228" i="1" s="1"/>
  <c r="D227" i="1"/>
  <c r="F227" i="1" s="1"/>
  <c r="D226" i="1"/>
  <c r="F226" i="1" s="1"/>
  <c r="D224" i="1"/>
  <c r="F224" i="1" s="1"/>
  <c r="D222" i="1"/>
  <c r="F222" i="1" s="1"/>
  <c r="D221" i="1"/>
  <c r="F221" i="1" s="1"/>
  <c r="D220" i="1"/>
  <c r="F220" i="1" s="1"/>
  <c r="D219" i="1"/>
  <c r="D218" i="1"/>
  <c r="F218" i="1" s="1"/>
  <c r="D217" i="1"/>
  <c r="F217" i="1" s="1"/>
  <c r="D216" i="1"/>
  <c r="D215" i="1"/>
  <c r="F215" i="1" s="1"/>
  <c r="D213" i="1"/>
  <c r="F213" i="1" s="1"/>
  <c r="D212" i="1"/>
  <c r="F212" i="1" s="1"/>
  <c r="D211" i="1"/>
  <c r="F211" i="1" s="1"/>
  <c r="D210" i="1"/>
  <c r="D209" i="1"/>
  <c r="F209" i="1" s="1"/>
  <c r="D208" i="1"/>
  <c r="F208" i="1" s="1"/>
  <c r="D207" i="1"/>
  <c r="D206" i="1"/>
  <c r="F206" i="1" s="1"/>
  <c r="D205" i="1"/>
  <c r="F205" i="1" s="1"/>
  <c r="D204" i="1"/>
  <c r="F204" i="1" s="1"/>
  <c r="D202" i="1"/>
  <c r="F202" i="1" s="1"/>
  <c r="D200" i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D191" i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D182" i="1"/>
  <c r="F182" i="1" s="1"/>
  <c r="D180" i="1"/>
  <c r="F180" i="1" s="1"/>
  <c r="D179" i="1"/>
  <c r="F179" i="1" s="1"/>
  <c r="D178" i="1"/>
  <c r="F178" i="1" s="1"/>
  <c r="D177" i="1"/>
  <c r="F177" i="1" s="1"/>
  <c r="D176" i="1"/>
  <c r="E159" i="1"/>
  <c r="D159" i="1"/>
  <c r="E158" i="1"/>
  <c r="D158" i="1"/>
  <c r="F158" i="1" s="1"/>
  <c r="E157" i="1"/>
  <c r="D157" i="1"/>
  <c r="E156" i="1"/>
  <c r="D156" i="1"/>
  <c r="F156" i="1" s="1"/>
  <c r="E155" i="1"/>
  <c r="D155" i="1"/>
  <c r="E154" i="1"/>
  <c r="D154" i="1"/>
  <c r="F154" i="1" s="1"/>
  <c r="E153" i="1"/>
  <c r="D153" i="1"/>
  <c r="E152" i="1"/>
  <c r="D152" i="1"/>
  <c r="F152" i="1" s="1"/>
  <c r="E151" i="1"/>
  <c r="D151" i="1"/>
  <c r="E150" i="1"/>
  <c r="D150" i="1"/>
  <c r="F150" i="1" s="1"/>
  <c r="E149" i="1"/>
  <c r="D149" i="1"/>
  <c r="E148" i="1"/>
  <c r="D148" i="1"/>
  <c r="F148" i="1" s="1"/>
  <c r="E147" i="1"/>
  <c r="D147" i="1"/>
  <c r="E146" i="1"/>
  <c r="D146" i="1"/>
  <c r="J144" i="1"/>
  <c r="F441" i="1"/>
  <c r="A440" i="1"/>
  <c r="A441" i="1" s="1"/>
  <c r="A442" i="1" s="1"/>
  <c r="A443" i="1" s="1"/>
  <c r="A444" i="1" s="1"/>
  <c r="G439" i="1"/>
  <c r="G440" i="1" s="1"/>
  <c r="G441" i="1" s="1"/>
  <c r="G442" i="1" s="1"/>
  <c r="G443" i="1" s="1"/>
  <c r="G444" i="1" s="1"/>
  <c r="A437" i="1"/>
  <c r="A438" i="1" s="1"/>
  <c r="G436" i="1"/>
  <c r="G437" i="1" s="1"/>
  <c r="G438" i="1" s="1"/>
  <c r="F432" i="1"/>
  <c r="A430" i="1"/>
  <c r="A431" i="1" s="1"/>
  <c r="A432" i="1" s="1"/>
  <c r="A433" i="1" s="1"/>
  <c r="A434" i="1" s="1"/>
  <c r="G429" i="1"/>
  <c r="G430" i="1" s="1"/>
  <c r="G431" i="1" s="1"/>
  <c r="G432" i="1" s="1"/>
  <c r="G433" i="1" s="1"/>
  <c r="G434" i="1" s="1"/>
  <c r="F429" i="1"/>
  <c r="A427" i="1"/>
  <c r="A428" i="1" s="1"/>
  <c r="G426" i="1"/>
  <c r="G427" i="1" s="1"/>
  <c r="G428" i="1" s="1"/>
  <c r="F422" i="1"/>
  <c r="F420" i="1"/>
  <c r="A420" i="1"/>
  <c r="A421" i="1" s="1"/>
  <c r="A422" i="1" s="1"/>
  <c r="A423" i="1" s="1"/>
  <c r="A424" i="1" s="1"/>
  <c r="G419" i="1"/>
  <c r="G420" i="1" s="1"/>
  <c r="G421" i="1" s="1"/>
  <c r="G422" i="1" s="1"/>
  <c r="G423" i="1" s="1"/>
  <c r="G424" i="1" s="1"/>
  <c r="F419" i="1"/>
  <c r="A417" i="1"/>
  <c r="A418" i="1" s="1"/>
  <c r="G416" i="1"/>
  <c r="G417" i="1" s="1"/>
  <c r="G418" i="1" s="1"/>
  <c r="F413" i="1"/>
  <c r="F410" i="1"/>
  <c r="A410" i="1"/>
  <c r="A411" i="1" s="1"/>
  <c r="A412" i="1" s="1"/>
  <c r="A413" i="1" s="1"/>
  <c r="A414" i="1" s="1"/>
  <c r="G409" i="1"/>
  <c r="G410" i="1" s="1"/>
  <c r="G411" i="1" s="1"/>
  <c r="G412" i="1" s="1"/>
  <c r="G413" i="1" s="1"/>
  <c r="G414" i="1" s="1"/>
  <c r="A407" i="1"/>
  <c r="A408" i="1" s="1"/>
  <c r="G406" i="1"/>
  <c r="G407" i="1" s="1"/>
  <c r="G408" i="1" s="1"/>
  <c r="F403" i="1"/>
  <c r="A400" i="1"/>
  <c r="A401" i="1" s="1"/>
  <c r="A402" i="1" s="1"/>
  <c r="A403" i="1" s="1"/>
  <c r="A404" i="1" s="1"/>
  <c r="G399" i="1"/>
  <c r="G400" i="1" s="1"/>
  <c r="G401" i="1" s="1"/>
  <c r="G402" i="1" s="1"/>
  <c r="G403" i="1" s="1"/>
  <c r="G404" i="1" s="1"/>
  <c r="F397" i="1"/>
  <c r="A397" i="1"/>
  <c r="A398" i="1" s="1"/>
  <c r="G396" i="1"/>
  <c r="G397" i="1" s="1"/>
  <c r="G398" i="1" s="1"/>
  <c r="F394" i="1"/>
  <c r="F391" i="1"/>
  <c r="A390" i="1"/>
  <c r="A391" i="1" s="1"/>
  <c r="A392" i="1" s="1"/>
  <c r="A393" i="1" s="1"/>
  <c r="A394" i="1" s="1"/>
  <c r="G389" i="1"/>
  <c r="G390" i="1" s="1"/>
  <c r="G391" i="1" s="1"/>
  <c r="G392" i="1" s="1"/>
  <c r="G393" i="1" s="1"/>
  <c r="G394" i="1" s="1"/>
  <c r="A387" i="1"/>
  <c r="A388" i="1" s="1"/>
  <c r="G386" i="1"/>
  <c r="G387" i="1" s="1"/>
  <c r="G388" i="1" s="1"/>
  <c r="F386" i="1"/>
  <c r="A380" i="1"/>
  <c r="A381" i="1" s="1"/>
  <c r="A382" i="1" s="1"/>
  <c r="A383" i="1" s="1"/>
  <c r="A384" i="1" s="1"/>
  <c r="G379" i="1"/>
  <c r="G380" i="1" s="1"/>
  <c r="G381" i="1" s="1"/>
  <c r="G382" i="1" s="1"/>
  <c r="G383" i="1" s="1"/>
  <c r="G384" i="1" s="1"/>
  <c r="A377" i="1"/>
  <c r="A378" i="1" s="1"/>
  <c r="G376" i="1"/>
  <c r="G377" i="1" s="1"/>
  <c r="G378" i="1" s="1"/>
  <c r="F376" i="1"/>
  <c r="F367" i="1"/>
  <c r="A367" i="1"/>
  <c r="A368" i="1" s="1"/>
  <c r="A370" i="1" s="1"/>
  <c r="A371" i="1" s="1"/>
  <c r="A372" i="1" s="1"/>
  <c r="A373" i="1" s="1"/>
  <c r="A374" i="1" s="1"/>
  <c r="G366" i="1"/>
  <c r="G367" i="1" s="1"/>
  <c r="G368" i="1" s="1"/>
  <c r="G369" i="1" s="1"/>
  <c r="G370" i="1" s="1"/>
  <c r="G371" i="1" s="1"/>
  <c r="G372" i="1" s="1"/>
  <c r="G373" i="1" s="1"/>
  <c r="G374" i="1" s="1"/>
  <c r="F358" i="1"/>
  <c r="A356" i="1"/>
  <c r="A357" i="1" s="1"/>
  <c r="A358" i="1" s="1"/>
  <c r="A359" i="1" s="1"/>
  <c r="A360" i="1" s="1"/>
  <c r="A361" i="1" s="1"/>
  <c r="A362" i="1" s="1"/>
  <c r="A363" i="1" s="1"/>
  <c r="A364" i="1" s="1"/>
  <c r="G355" i="1"/>
  <c r="G356" i="1" s="1"/>
  <c r="G357" i="1" s="1"/>
  <c r="G358" i="1" s="1"/>
  <c r="G359" i="1" s="1"/>
  <c r="G360" i="1" s="1"/>
  <c r="G361" i="1" s="1"/>
  <c r="G362" i="1" s="1"/>
  <c r="G363" i="1" s="1"/>
  <c r="G364" i="1" s="1"/>
  <c r="F348" i="1"/>
  <c r="F345" i="1"/>
  <c r="A345" i="1"/>
  <c r="A346" i="1" s="1"/>
  <c r="A347" i="1" s="1"/>
  <c r="A348" i="1" s="1"/>
  <c r="A349" i="1" s="1"/>
  <c r="A350" i="1" s="1"/>
  <c r="A351" i="1" s="1"/>
  <c r="A352" i="1" s="1"/>
  <c r="A353" i="1" s="1"/>
  <c r="G344" i="1"/>
  <c r="G345" i="1" s="1"/>
  <c r="G346" i="1" s="1"/>
  <c r="G347" i="1" s="1"/>
  <c r="G348" i="1" s="1"/>
  <c r="G349" i="1" s="1"/>
  <c r="G350" i="1" s="1"/>
  <c r="G351" i="1" s="1"/>
  <c r="G352" i="1" s="1"/>
  <c r="G353" i="1" s="1"/>
  <c r="F333" i="1"/>
  <c r="F340" i="1"/>
  <c r="F339" i="1"/>
  <c r="A334" i="1"/>
  <c r="A335" i="1" s="1"/>
  <c r="A336" i="1" s="1"/>
  <c r="A337" i="1" s="1"/>
  <c r="A338" i="1" s="1"/>
  <c r="A339" i="1" s="1"/>
  <c r="A340" i="1" s="1"/>
  <c r="A341" i="1" s="1"/>
  <c r="A342" i="1" s="1"/>
  <c r="G333" i="1"/>
  <c r="G334" i="1" s="1"/>
  <c r="G335" i="1" s="1"/>
  <c r="G336" i="1" s="1"/>
  <c r="G337" i="1" s="1"/>
  <c r="G338" i="1" s="1"/>
  <c r="G339" i="1" s="1"/>
  <c r="G340" i="1" s="1"/>
  <c r="G341" i="1" s="1"/>
  <c r="G342" i="1" s="1"/>
  <c r="G322" i="1"/>
  <c r="G323" i="1" s="1"/>
  <c r="G324" i="1" s="1"/>
  <c r="G325" i="1" s="1"/>
  <c r="G326" i="1" s="1"/>
  <c r="G327" i="1" s="1"/>
  <c r="G328" i="1" s="1"/>
  <c r="G329" i="1" s="1"/>
  <c r="G330" i="1" s="1"/>
  <c r="G331" i="1" s="1"/>
  <c r="F322" i="1"/>
  <c r="F330" i="1"/>
  <c r="F327" i="1"/>
  <c r="A323" i="1"/>
  <c r="A324" i="1" s="1"/>
  <c r="A325" i="1" s="1"/>
  <c r="A326" i="1" s="1"/>
  <c r="A327" i="1" s="1"/>
  <c r="A328" i="1" s="1"/>
  <c r="A329" i="1" s="1"/>
  <c r="A330" i="1" s="1"/>
  <c r="A331" i="1" s="1"/>
  <c r="F302" i="1"/>
  <c r="A301" i="1"/>
  <c r="A302" i="1" s="1"/>
  <c r="A303" i="1" s="1"/>
  <c r="A304" i="1" s="1"/>
  <c r="A305" i="1" s="1"/>
  <c r="A306" i="1" s="1"/>
  <c r="A307" i="1" s="1"/>
  <c r="A308" i="1" s="1"/>
  <c r="A309" i="1" s="1"/>
  <c r="G300" i="1"/>
  <c r="A290" i="1"/>
  <c r="A291" i="1" s="1"/>
  <c r="A292" i="1" s="1"/>
  <c r="A293" i="1" s="1"/>
  <c r="A294" i="1" s="1"/>
  <c r="A295" i="1" s="1"/>
  <c r="A296" i="1" s="1"/>
  <c r="A297" i="1" s="1"/>
  <c r="A298" i="1" s="1"/>
  <c r="G289" i="1"/>
  <c r="F279" i="1"/>
  <c r="F272" i="1"/>
  <c r="A271" i="1"/>
  <c r="A272" i="1" s="1"/>
  <c r="A273" i="1" s="1"/>
  <c r="A274" i="1" s="1"/>
  <c r="A275" i="1" s="1"/>
  <c r="A276" i="1" s="1"/>
  <c r="A277" i="1" s="1"/>
  <c r="A278" i="1" s="1"/>
  <c r="A279" i="1" s="1"/>
  <c r="G270" i="1"/>
  <c r="G271" i="1" s="1"/>
  <c r="G272" i="1" s="1"/>
  <c r="G273" i="1" s="1"/>
  <c r="G274" i="1" s="1"/>
  <c r="G275" i="1" s="1"/>
  <c r="G276" i="1" s="1"/>
  <c r="G277" i="1" s="1"/>
  <c r="G278" i="1" s="1"/>
  <c r="G279" i="1" s="1"/>
  <c r="G182" i="1"/>
  <c r="G183" i="1" s="1"/>
  <c r="G184" i="1" s="1"/>
  <c r="G185" i="1" s="1"/>
  <c r="G186" i="1" s="1"/>
  <c r="G187" i="1" s="1"/>
  <c r="G188" i="1" s="1"/>
  <c r="G189" i="1" s="1"/>
  <c r="G190" i="1" s="1"/>
  <c r="G191" i="1" s="1"/>
  <c r="G193" i="1"/>
  <c r="G194" i="1" s="1"/>
  <c r="G195" i="1" s="1"/>
  <c r="G196" i="1" s="1"/>
  <c r="G197" i="1" s="1"/>
  <c r="G198" i="1" s="1"/>
  <c r="G199" i="1" s="1"/>
  <c r="G200" i="1" s="1"/>
  <c r="G201" i="1" s="1"/>
  <c r="G202" i="1" s="1"/>
  <c r="G204" i="1"/>
  <c r="G205" i="1" s="1"/>
  <c r="G206" i="1" s="1"/>
  <c r="G207" i="1" s="1"/>
  <c r="G208" i="1" s="1"/>
  <c r="G209" i="1" s="1"/>
  <c r="G210" i="1" s="1"/>
  <c r="G211" i="1" s="1"/>
  <c r="G212" i="1" s="1"/>
  <c r="G213" i="1" s="1"/>
  <c r="G215" i="1"/>
  <c r="G216" i="1" s="1"/>
  <c r="G217" i="1" s="1"/>
  <c r="G218" i="1" s="1"/>
  <c r="G219" i="1" s="1"/>
  <c r="G220" i="1" s="1"/>
  <c r="G221" i="1" s="1"/>
  <c r="G222" i="1" s="1"/>
  <c r="G223" i="1" s="1"/>
  <c r="G224" i="1" s="1"/>
  <c r="F265" i="1"/>
  <c r="F262" i="1"/>
  <c r="A260" i="1"/>
  <c r="A261" i="1" s="1"/>
  <c r="A262" i="1" s="1"/>
  <c r="A263" i="1" s="1"/>
  <c r="A264" i="1" s="1"/>
  <c r="A265" i="1" s="1"/>
  <c r="A266" i="1" s="1"/>
  <c r="A267" i="1" s="1"/>
  <c r="A268" i="1" s="1"/>
  <c r="G259" i="1"/>
  <c r="F256" i="1"/>
  <c r="F253" i="1"/>
  <c r="A249" i="1"/>
  <c r="A250" i="1" s="1"/>
  <c r="A251" i="1" s="1"/>
  <c r="A252" i="1" s="1"/>
  <c r="A253" i="1" s="1"/>
  <c r="A254" i="1" s="1"/>
  <c r="A255" i="1" s="1"/>
  <c r="A256" i="1" s="1"/>
  <c r="A257" i="1" s="1"/>
  <c r="G248" i="1"/>
  <c r="G249" i="1" s="1"/>
  <c r="G250" i="1" s="1"/>
  <c r="G251" i="1" s="1"/>
  <c r="G252" i="1" s="1"/>
  <c r="G253" i="1" s="1"/>
  <c r="G254" i="1" s="1"/>
  <c r="G255" i="1" s="1"/>
  <c r="G256" i="1" s="1"/>
  <c r="G257" i="1" s="1"/>
  <c r="F248" i="1"/>
  <c r="F243" i="1"/>
  <c r="F238" i="1"/>
  <c r="A238" i="1"/>
  <c r="A239" i="1" s="1"/>
  <c r="A240" i="1" s="1"/>
  <c r="A241" i="1" s="1"/>
  <c r="A242" i="1" s="1"/>
  <c r="A243" i="1" s="1"/>
  <c r="A244" i="1" s="1"/>
  <c r="A245" i="1" s="1"/>
  <c r="A246" i="1" s="1"/>
  <c r="G237" i="1"/>
  <c r="G238" i="1" s="1"/>
  <c r="G239" i="1" s="1"/>
  <c r="G240" i="1" s="1"/>
  <c r="G241" i="1" s="1"/>
  <c r="G242" i="1" s="1"/>
  <c r="G243" i="1" s="1"/>
  <c r="G244" i="1" s="1"/>
  <c r="G245" i="1" s="1"/>
  <c r="G246" i="1" s="1"/>
  <c r="F237" i="1"/>
  <c r="F229" i="1"/>
  <c r="A227" i="1"/>
  <c r="A228" i="1" s="1"/>
  <c r="A229" i="1" s="1"/>
  <c r="A230" i="1" s="1"/>
  <c r="A231" i="1" s="1"/>
  <c r="A232" i="1" s="1"/>
  <c r="A233" i="1" s="1"/>
  <c r="A234" i="1" s="1"/>
  <c r="A235" i="1" s="1"/>
  <c r="G226" i="1"/>
  <c r="G227" i="1" s="1"/>
  <c r="G228" i="1" s="1"/>
  <c r="G229" i="1" s="1"/>
  <c r="G230" i="1" s="1"/>
  <c r="G231" i="1" s="1"/>
  <c r="G232" i="1" s="1"/>
  <c r="G233" i="1" s="1"/>
  <c r="G234" i="1" s="1"/>
  <c r="G235" i="1" s="1"/>
  <c r="F219" i="1"/>
  <c r="F216" i="1"/>
  <c r="F207" i="1"/>
  <c r="A216" i="1"/>
  <c r="A217" i="1" s="1"/>
  <c r="A218" i="1" s="1"/>
  <c r="A219" i="1" s="1"/>
  <c r="A220" i="1" s="1"/>
  <c r="A221" i="1" s="1"/>
  <c r="A222" i="1" s="1"/>
  <c r="A223" i="1" s="1"/>
  <c r="A224" i="1" s="1"/>
  <c r="F210" i="1"/>
  <c r="A205" i="1"/>
  <c r="A206" i="1" s="1"/>
  <c r="A207" i="1" s="1"/>
  <c r="A208" i="1" s="1"/>
  <c r="A209" i="1" s="1"/>
  <c r="A210" i="1" s="1"/>
  <c r="A211" i="1" s="1"/>
  <c r="A212" i="1" s="1"/>
  <c r="A213" i="1" s="1"/>
  <c r="F200" i="1"/>
  <c r="A194" i="1"/>
  <c r="A195" i="1" s="1"/>
  <c r="A196" i="1" s="1"/>
  <c r="A197" i="1" s="1"/>
  <c r="A198" i="1" s="1"/>
  <c r="A199" i="1" s="1"/>
  <c r="A200" i="1" s="1"/>
  <c r="A201" i="1" s="1"/>
  <c r="A202" i="1" s="1"/>
  <c r="F193" i="1"/>
  <c r="F191" i="1"/>
  <c r="F183" i="1"/>
  <c r="A183" i="1"/>
  <c r="A184" i="1" s="1"/>
  <c r="A185" i="1" s="1"/>
  <c r="A186" i="1" s="1"/>
  <c r="A187" i="1" s="1"/>
  <c r="A188" i="1" s="1"/>
  <c r="A189" i="1" s="1"/>
  <c r="A190" i="1" s="1"/>
  <c r="A191" i="1" s="1"/>
  <c r="F313" i="1"/>
  <c r="A312" i="1"/>
  <c r="A313" i="1" s="1"/>
  <c r="A314" i="1" s="1"/>
  <c r="A315" i="1" s="1"/>
  <c r="A316" i="1" s="1"/>
  <c r="A317" i="1" s="1"/>
  <c r="A318" i="1" s="1"/>
  <c r="A319" i="1" s="1"/>
  <c r="A320" i="1" s="1"/>
  <c r="G311" i="1"/>
  <c r="G312" i="1" s="1"/>
  <c r="G313" i="1" s="1"/>
  <c r="G314" i="1" s="1"/>
  <c r="G315" i="1" s="1"/>
  <c r="G316" i="1" s="1"/>
  <c r="G317" i="1" s="1"/>
  <c r="G318" i="1" s="1"/>
  <c r="G319" i="1" s="1"/>
  <c r="G320" i="1" s="1"/>
  <c r="F449" i="1"/>
  <c r="F448" i="1"/>
  <c r="F447" i="1"/>
  <c r="A447" i="1"/>
  <c r="A448" i="1" s="1"/>
  <c r="A449" i="1" s="1"/>
  <c r="G446" i="1"/>
  <c r="G447" i="1" s="1"/>
  <c r="G448" i="1" s="1"/>
  <c r="G449" i="1" s="1"/>
  <c r="F446" i="1"/>
  <c r="L175" i="1"/>
  <c r="L176" i="1"/>
  <c r="K176" i="1"/>
  <c r="J176" i="1"/>
  <c r="J177" i="1"/>
  <c r="A172" i="1"/>
  <c r="A173" i="1" s="1"/>
  <c r="A174" i="1" s="1"/>
  <c r="A175" i="1" s="1"/>
  <c r="A176" i="1" s="1"/>
  <c r="A177" i="1" s="1"/>
  <c r="A178" i="1" s="1"/>
  <c r="A179" i="1" s="1"/>
  <c r="A180" i="1" s="1"/>
  <c r="G171" i="1"/>
  <c r="A147" i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G146" i="1"/>
  <c r="F149" i="1" l="1"/>
  <c r="F153" i="1"/>
  <c r="F157" i="1"/>
  <c r="C130" i="1"/>
  <c r="C129" i="1"/>
  <c r="C131" i="1" s="1"/>
  <c r="E129" i="1"/>
  <c r="E130" i="1"/>
  <c r="F147" i="1"/>
  <c r="F151" i="1"/>
  <c r="F155" i="1"/>
  <c r="F159" i="1"/>
  <c r="F176" i="1"/>
  <c r="G129" i="1" s="1"/>
  <c r="C125" i="1"/>
  <c r="C126" i="1" s="1"/>
  <c r="F146" i="1"/>
  <c r="G134" i="1"/>
  <c r="C135" i="1"/>
  <c r="G136" i="1"/>
  <c r="E136" i="1"/>
  <c r="C136" i="1"/>
  <c r="F338" i="1"/>
  <c r="G130" i="1" s="1"/>
  <c r="C134" i="1"/>
  <c r="E134" i="1"/>
  <c r="E125" i="1"/>
  <c r="E126" i="1" s="1"/>
  <c r="E135" i="1"/>
  <c r="F290" i="1"/>
  <c r="M176" i="1"/>
  <c r="F289" i="1"/>
  <c r="E131" i="1" l="1"/>
  <c r="E137" i="1"/>
  <c r="E138" i="1" s="1"/>
  <c r="C137" i="1"/>
  <c r="C138" i="1"/>
  <c r="G131" i="1"/>
  <c r="G125" i="1"/>
  <c r="G126" i="1" s="1"/>
  <c r="G135" i="1"/>
  <c r="G137" i="1" s="1"/>
  <c r="E43" i="1"/>
  <c r="E44" i="1" s="1"/>
  <c r="G138" i="1" l="1"/>
  <c r="C15" i="1"/>
  <c r="E30" i="1" l="1"/>
  <c r="F282" i="1" l="1"/>
  <c r="F283" i="1"/>
  <c r="F284" i="1"/>
  <c r="F281" i="1"/>
  <c r="A282" i="1"/>
  <c r="A283" i="1" s="1"/>
  <c r="A284" i="1" s="1"/>
  <c r="G281" i="1"/>
  <c r="G282" i="1" s="1"/>
  <c r="G283" i="1" s="1"/>
  <c r="G284" i="1" s="1"/>
  <c r="F122" i="1" l="1"/>
  <c r="F162" i="1" l="1"/>
  <c r="F163" i="1"/>
  <c r="F164" i="1"/>
  <c r="F161" i="1"/>
  <c r="B476" i="1" l="1"/>
  <c r="A457" i="1"/>
  <c r="A463" i="1"/>
  <c r="A469" i="1"/>
  <c r="F473" i="1" l="1"/>
  <c r="F472" i="1"/>
  <c r="F471" i="1"/>
  <c r="F470" i="1"/>
  <c r="F469" i="1"/>
  <c r="F467" i="1"/>
  <c r="F466" i="1"/>
  <c r="F465" i="1"/>
  <c r="F464" i="1"/>
  <c r="F463" i="1"/>
  <c r="F461" i="1"/>
  <c r="F460" i="1"/>
  <c r="F459" i="1"/>
  <c r="F458" i="1"/>
  <c r="F457" i="1"/>
  <c r="F455" i="1"/>
  <c r="F454" i="1"/>
  <c r="F452" i="1"/>
  <c r="F451" i="1"/>
  <c r="F453" i="1"/>
  <c r="A464" i="1"/>
  <c r="A470" i="1"/>
  <c r="A458" i="1"/>
  <c r="B477" i="1" l="1"/>
  <c r="A459" i="1"/>
  <c r="A465" i="1"/>
  <c r="A47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98" i="1"/>
  <c r="G469" i="1"/>
  <c r="G470" i="1" s="1"/>
  <c r="G471" i="1" s="1"/>
  <c r="G472" i="1" s="1"/>
  <c r="G473" i="1" s="1"/>
  <c r="G463" i="1"/>
  <c r="G464" i="1" s="1"/>
  <c r="G465" i="1" s="1"/>
  <c r="G466" i="1" s="1"/>
  <c r="G467" i="1" s="1"/>
  <c r="G457" i="1"/>
  <c r="G458" i="1" s="1"/>
  <c r="G459" i="1" s="1"/>
  <c r="G460" i="1" s="1"/>
  <c r="G461" i="1" s="1"/>
  <c r="G451" i="1"/>
  <c r="G452" i="1" s="1"/>
  <c r="G453" i="1" s="1"/>
  <c r="G454" i="1" s="1"/>
  <c r="G455" i="1" s="1"/>
  <c r="A451" i="1"/>
  <c r="A452" i="1" s="1"/>
  <c r="A453" i="1" s="1"/>
  <c r="A454" i="1" s="1"/>
  <c r="A455" i="1" s="1"/>
  <c r="A162" i="1"/>
  <c r="A163" i="1" s="1"/>
  <c r="A164" i="1" s="1"/>
  <c r="G161" i="1"/>
  <c r="G162" i="1" s="1"/>
  <c r="G163" i="1" s="1"/>
  <c r="G164" i="1" s="1"/>
  <c r="C95" i="1"/>
  <c r="B96" i="1" s="1"/>
  <c r="C81" i="1"/>
  <c r="C67" i="1"/>
  <c r="D55" i="1"/>
  <c r="G50" i="1"/>
  <c r="G51" i="1" s="1"/>
  <c r="C50" i="1"/>
  <c r="E27" i="1"/>
  <c r="E25" i="1"/>
  <c r="E7" i="1"/>
  <c r="E3" i="1"/>
  <c r="A472" i="1"/>
  <c r="H68" i="1"/>
  <c r="H96" i="1"/>
  <c r="H82" i="1"/>
  <c r="A466" i="1"/>
  <c r="A460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D107" i="1"/>
  <c r="D105" i="1"/>
  <c r="D103" i="1"/>
  <c r="J87" i="1"/>
  <c r="J88" i="1" s="1"/>
  <c r="J93" i="1" s="1"/>
  <c r="J85" i="1"/>
  <c r="J86" i="1"/>
  <c r="C85" i="1" s="1"/>
  <c r="J84" i="1"/>
  <c r="A467" i="1"/>
  <c r="A461" i="1"/>
  <c r="A473" i="1"/>
  <c r="J74" i="1" l="1"/>
  <c r="J79" i="1" s="1"/>
  <c r="J103" i="1"/>
  <c r="J104" i="1" s="1"/>
  <c r="J105" i="1" s="1"/>
  <c r="J106" i="1" s="1"/>
  <c r="J108" i="1" s="1"/>
  <c r="C100" i="1" s="1"/>
  <c r="J89" i="1"/>
  <c r="J90" i="1" s="1"/>
  <c r="J91" i="1" s="1"/>
  <c r="J92" i="1" s="1"/>
  <c r="J75" i="1"/>
  <c r="J76" i="1" s="1"/>
  <c r="J77" i="1" s="1"/>
  <c r="J78" i="1" s="1"/>
  <c r="D101" i="1"/>
  <c r="D99" i="1"/>
  <c r="D87" i="1"/>
  <c r="D73" i="1"/>
  <c r="J69" i="1"/>
  <c r="D71" i="1"/>
  <c r="D85" i="1"/>
  <c r="J80" i="1" l="1"/>
  <c r="E99" i="1"/>
  <c r="G99" i="1"/>
  <c r="D100" i="1"/>
  <c r="I96" i="1" s="1"/>
  <c r="J94" i="1"/>
  <c r="C86" i="1" s="1"/>
  <c r="J96" i="1"/>
  <c r="C72" i="1" l="1"/>
  <c r="G71" i="1" s="1"/>
  <c r="D65" i="1" s="1"/>
  <c r="D66" i="1" s="1"/>
  <c r="E85" i="1"/>
  <c r="G85" i="1"/>
  <c r="D86" i="1"/>
  <c r="I82" i="1" s="1"/>
  <c r="I83" i="1" s="1"/>
  <c r="J82" i="1"/>
  <c r="I97" i="1"/>
  <c r="I95" i="1" s="1"/>
  <c r="C97" i="1" s="1"/>
  <c r="J68" i="1" l="1"/>
  <c r="E71" i="1"/>
  <c r="D72" i="1"/>
  <c r="I68" i="1" s="1"/>
  <c r="I69" i="1" s="1"/>
  <c r="F66" i="1"/>
  <c r="I81" i="1"/>
  <c r="C83" i="1" s="1"/>
  <c r="I67" i="1" l="1"/>
  <c r="C69" i="1" s="1"/>
</calcChain>
</file>

<file path=xl/sharedStrings.xml><?xml version="1.0" encoding="utf-8"?>
<sst xmlns="http://schemas.openxmlformats.org/spreadsheetml/2006/main" count="631" uniqueCount="262">
  <si>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</si>
  <si>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</si>
  <si>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</si>
  <si>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</si>
  <si>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</si>
  <si>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</si>
  <si>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</si>
  <si>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</si>
  <si>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</si>
  <si>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</si>
  <si>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</si>
  <si>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</si>
  <si>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</si>
  <si>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</si>
  <si>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</si>
  <si>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</si>
  <si>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</si>
  <si>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</si>
  <si>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</si>
  <si>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</si>
  <si>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</si>
  <si>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</si>
  <si>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</si>
  <si>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</si>
  <si>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</si>
  <si>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</si>
  <si>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</si>
  <si>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</si>
  <si>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</si>
  <si>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</si>
  <si>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</si>
  <si>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</si>
  <si>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</si>
  <si>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</si>
  <si>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</si>
  <si>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</si>
  <si>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</si>
  <si>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</si>
  <si>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</si>
  <si>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</si>
  <si>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</si>
  <si>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</si>
  <si>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</si>
  <si>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</si>
  <si>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</si>
  <si>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</si>
  <si>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</si>
  <si>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</si>
  <si>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</si>
  <si>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</si>
  <si>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</si>
  <si>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</si>
  <si>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</si>
  <si>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</si>
  <si>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</si>
  <si>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</si>
  <si>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</si>
  <si>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</si>
  <si>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</si>
  <si>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</si>
  <si>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</si>
  <si>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</si>
  <si>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</si>
  <si>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</si>
  <si>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</si>
  <si>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</si>
  <si>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</si>
  <si>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</si>
  <si>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</si>
  <si>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</si>
  <si>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</si>
  <si>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</si>
  <si>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</si>
  <si>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</si>
  <si>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</si>
  <si>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</si>
  <si>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</si>
  <si>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</si>
  <si>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</si>
  <si>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</si>
  <si>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</si>
  <si>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</si>
  <si>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</si>
  <si>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</si>
  <si>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</si>
  <si>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</si>
  <si>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</si>
  <si>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</si>
  <si>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</si>
  <si>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</si>
  <si>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</si>
  <si>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</si>
  <si>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</si>
  <si>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</si>
  <si>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</si>
  <si>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</si>
  <si>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</si>
  <si>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</si>
  <si>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</si>
  <si>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</si>
  <si>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</si>
  <si>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</si>
  <si>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</si>
  <si>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</si>
  <si>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</si>
  <si>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</si>
  <si>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</si>
  <si>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</si>
  <si>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</si>
  <si>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</si>
  <si>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</si>
  <si>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</si>
  <si>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</si>
  <si>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</si>
  <si>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</si>
  <si>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</si>
  <si>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</si>
  <si>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</si>
  <si>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</si>
  <si>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</si>
  <si>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</si>
  <si>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</si>
  <si>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</si>
  <si>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</si>
  <si>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</si>
  <si>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</si>
  <si>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</si>
  <si>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</si>
  <si>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</si>
  <si>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</si>
  <si>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</si>
  <si>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</si>
  <si>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</si>
  <si>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</si>
  <si>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</si>
  <si>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</si>
  <si>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</si>
  <si>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</si>
  <si>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</si>
  <si>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</si>
  <si>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</si>
  <si>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</si>
  <si>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</si>
  <si>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</si>
  <si>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</si>
  <si>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</si>
  <si>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</si>
  <si>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</si>
  <si>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</si>
  <si>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</si>
  <si>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</si>
  <si>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</si>
  <si>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</si>
  <si>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</si>
  <si>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</si>
  <si>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</si>
  <si>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</si>
  <si>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</si>
  <si>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</si>
  <si>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</si>
  <si>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</si>
  <si>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</si>
  <si>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</si>
  <si>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</si>
  <si>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</si>
  <si>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</si>
  <si>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</si>
  <si>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</si>
  <si>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</si>
  <si>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</si>
  <si>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</si>
  <si>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</si>
  <si>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</si>
  <si>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</si>
  <si>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</si>
  <si>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</si>
  <si>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</si>
  <si>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</si>
  <si>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</si>
  <si>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Sanpada</t>
  </si>
  <si>
    <t>Maithili Builders Private Limited</t>
  </si>
  <si>
    <t>The Trellis</t>
  </si>
  <si>
    <t>Wing A &amp; B</t>
  </si>
  <si>
    <t>P51700050980</t>
  </si>
  <si>
    <t>Condominium No</t>
  </si>
  <si>
    <t>8 &amp; Sector No.10 , Redevlopement of " Sagar CHSL "</t>
  </si>
  <si>
    <t>Name / No of the Existing Building</t>
  </si>
  <si>
    <t>Sagar CHSL</t>
  </si>
  <si>
    <t>2 Wings</t>
  </si>
  <si>
    <t>Navi Mumbai Municipal Corporation (NMMC)</t>
  </si>
  <si>
    <t>NRV/A/16939</t>
  </si>
  <si>
    <t>https://goo.gl/maps/YS5nbqJs131UfviC9</t>
  </si>
  <si>
    <t>19.097908, 73.005933</t>
  </si>
  <si>
    <t>As per RERA - 31/03/2029</t>
  </si>
  <si>
    <t>3.4KM from Koparkhairane Railway Station</t>
  </si>
  <si>
    <t>Wing A</t>
  </si>
  <si>
    <t>Shop Duplex With 1st Floor</t>
  </si>
  <si>
    <t>Basement Floor For Parking &amp; Tanks</t>
  </si>
  <si>
    <t>Ground Floor + 1st Floor For Commercial, Meter Room &amp; Parking</t>
  </si>
  <si>
    <t>Drivers Room</t>
  </si>
  <si>
    <t>Creche &amp; Society Office</t>
  </si>
  <si>
    <t>2nd &amp; 3rd Floor For Parking</t>
  </si>
  <si>
    <t>4th Floor For Part Residential</t>
  </si>
  <si>
    <t>Wing B</t>
  </si>
  <si>
    <t>Sale</t>
  </si>
  <si>
    <t>Rehab</t>
  </si>
  <si>
    <t>CIDCO/ NMMC</t>
  </si>
  <si>
    <t>Hall</t>
  </si>
  <si>
    <t>Gymnasium</t>
  </si>
  <si>
    <t>5th, 6th &amp; 7th Floor</t>
  </si>
  <si>
    <t>Refuge Area</t>
  </si>
  <si>
    <t>9th to 12th Floor</t>
  </si>
  <si>
    <t>13th Floor (Part Refuge Area)</t>
  </si>
  <si>
    <t>8th Floor (Part Refuge Area)</t>
  </si>
  <si>
    <t>14th to 17th Floor</t>
  </si>
  <si>
    <t>18th Floor (Part Refuge Area)</t>
  </si>
  <si>
    <t>19th to 22nd &amp; 24th Floor</t>
  </si>
  <si>
    <t>23rd Floor (Part Refuge Area)</t>
  </si>
  <si>
    <t>25th Floor (Part Terrace Area)</t>
  </si>
  <si>
    <t>Terrace Area</t>
  </si>
  <si>
    <t>2nd Floor For Part Residential &amp; Part Podium</t>
  </si>
  <si>
    <t>3rd Floor For Part Residential &amp; Part Podium</t>
  </si>
  <si>
    <t>5th Floor</t>
  </si>
  <si>
    <t>6th Floor</t>
  </si>
  <si>
    <t>7th, 9th, 10th &amp; 11th Floor</t>
  </si>
  <si>
    <t>12th &amp; 14th Floor</t>
  </si>
  <si>
    <t>15th &amp; 16th Floor</t>
  </si>
  <si>
    <t>17th Floor</t>
  </si>
  <si>
    <t>4.5BHK</t>
  </si>
  <si>
    <t>19th to 22nd Floor</t>
  </si>
  <si>
    <t>24th to 25th Floor</t>
  </si>
  <si>
    <t xml:space="preserve"> </t>
  </si>
  <si>
    <t>Ground Floor &amp; 1st Floor For Amenity &amp; Parking</t>
  </si>
  <si>
    <t>Basement Floor For Parking &amp; Electric Substation</t>
  </si>
  <si>
    <t>NMMC/
CIDCO</t>
  </si>
  <si>
    <t>B Wing = B + G + 1st to 25th Floor</t>
  </si>
  <si>
    <t>A &amp; B Wing = B + G + 1st to 25th Floor</t>
  </si>
  <si>
    <t>5th Condominium Road</t>
  </si>
  <si>
    <t>5th Condominium Road / Nalla</t>
  </si>
  <si>
    <t>Bonkode Road</t>
  </si>
  <si>
    <t>Vashi Kopar Khairane Road</t>
  </si>
  <si>
    <t>Thane</t>
  </si>
  <si>
    <t>Marina Pranjee</t>
  </si>
  <si>
    <t>Koparkhairane West</t>
  </si>
  <si>
    <t>Koparkhairane</t>
  </si>
  <si>
    <t>Water, Electricity Connection &amp; Development Charges</t>
  </si>
  <si>
    <t>NMMC/TPO/BP/16939/2023</t>
  </si>
  <si>
    <t>A &amp; B Wing = B + Gr + 4P + 5th to 25th Floor</t>
  </si>
  <si>
    <t>In Wing B, Flat No. 3 &amp; 4 is merged &amp; mentioned as Flat No.3 from 12th Floor to 25th Floor.</t>
  </si>
  <si>
    <t>We considered Gross carpet area = Net carpet + Enclose balcony + Balcony Area.</t>
  </si>
  <si>
    <t>Approved Plans, CC, Cost Sheet</t>
  </si>
  <si>
    <t>Swimming Pool, Jogging Track, Garden Area, Gymnasium, Terrace Area. Creche, Senior Citizen Area, Kids play area</t>
  </si>
  <si>
    <t>Mr. Hansoti 9867184952</t>
  </si>
  <si>
    <t xml:space="preserve">South-West corner of the subject plot admeasuring 50.00sq.mt. falls under CRZ-II.
As per CC conditions Point No.47, It states that in the affected part has not been used &amp; no construction has been proposed in the affected area. In future if development is proposed in the said CRZ-II affected area, it will be necessary to submit the clearance from MCZMA. </t>
  </si>
  <si>
    <t>Residential Area Details (Sale Flats):</t>
  </si>
  <si>
    <t>Residential Area Details (Rehab) :</t>
  </si>
  <si>
    <t>Rehab Flats - 188, Sale Flats - 200, NMMC/ CIDCO Flats - 24, Shops - 14</t>
  </si>
  <si>
    <t>A Wing = B + G + 1st to 25th Floor</t>
  </si>
  <si>
    <t>Mr. Rahul 8422924225</t>
  </si>
  <si>
    <t>Shruti Tathare</t>
  </si>
  <si>
    <t>Tushar Mohite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</si>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</sst>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36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7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F73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microsoft.com/office/2007/relationships/hdphoto" Target="../media/hdphoto1.wdp"/><Relationship Id="rId9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380996</xdr:colOff>
      <xdr:row>578</xdr:row>
      <xdr:rowOff>190500</xdr:rowOff>
    </xdr:from>
    <xdr:to>
      <xdr:col>7</xdr:col>
      <xdr:colOff>451973</xdr:colOff>
      <xdr:row>597</xdr:row>
      <xdr:rowOff>71933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0996" y="58197750"/>
          <a:ext cx="5760000" cy="36654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380996</xdr:colOff>
      <xdr:row>598</xdr:row>
      <xdr:rowOff>63326</xdr:rowOff>
    </xdr:from>
    <xdr:to>
      <xdr:col>7</xdr:col>
      <xdr:colOff>451973</xdr:colOff>
      <xdr:row>618</xdr:row>
      <xdr:rowOff>178335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0996" y="62053758"/>
          <a:ext cx="5760000" cy="40981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247647</xdr:colOff>
      <xdr:row>540</xdr:row>
      <xdr:rowOff>190500</xdr:rowOff>
    </xdr:from>
    <xdr:to>
      <xdr:col>6</xdr:col>
      <xdr:colOff>426298</xdr:colOff>
      <xdr:row>573</xdr:row>
      <xdr:rowOff>54699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88" t="659" b="-1"/>
        <a:stretch/>
      </xdr:blipFill>
      <xdr:spPr>
        <a:xfrm>
          <a:off x="1009647" y="111271050"/>
          <a:ext cx="4331551" cy="64650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475485</xdr:colOff>
      <xdr:row>599</xdr:row>
      <xdr:rowOff>191856</xdr:rowOff>
    </xdr:from>
    <xdr:to>
      <xdr:col>4</xdr:col>
      <xdr:colOff>522903</xdr:colOff>
      <xdr:row>607</xdr:row>
      <xdr:rowOff>91678</xdr:rowOff>
    </xdr:to>
    <xdr:sp macro="" textlink="">
      <xdr:nvSpPr>
        <xdr:cNvPr id="13" name="Rectangle 12"/>
        <xdr:cNvSpPr/>
      </xdr:nvSpPr>
      <xdr:spPr>
        <a:xfrm rot="20564838">
          <a:off x="2882712" y="117886220"/>
          <a:ext cx="991259" cy="149309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554183</xdr:colOff>
      <xdr:row>605</xdr:row>
      <xdr:rowOff>121228</xdr:rowOff>
    </xdr:from>
    <xdr:to>
      <xdr:col>4</xdr:col>
      <xdr:colOff>222713</xdr:colOff>
      <xdr:row>607</xdr:row>
      <xdr:rowOff>75406</xdr:rowOff>
    </xdr:to>
    <xdr:cxnSp macro="">
      <xdr:nvCxnSpPr>
        <xdr:cNvPr id="15" name="Straight Connector 14"/>
        <xdr:cNvCxnSpPr/>
      </xdr:nvCxnSpPr>
      <xdr:spPr>
        <a:xfrm>
          <a:off x="2961410" y="119010546"/>
          <a:ext cx="612371" cy="352496"/>
        </a:xfrm>
        <a:prstGeom prst="line">
          <a:avLst/>
        </a:prstGeom>
        <a:ln w="762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545523</xdr:colOff>
      <xdr:row>604</xdr:row>
      <xdr:rowOff>34636</xdr:rowOff>
    </xdr:from>
    <xdr:to>
      <xdr:col>3</xdr:col>
      <xdr:colOff>493568</xdr:colOff>
      <xdr:row>605</xdr:row>
      <xdr:rowOff>155865</xdr:rowOff>
    </xdr:to>
    <xdr:cxnSp macro="">
      <xdr:nvCxnSpPr>
        <xdr:cNvPr id="21" name="Straight Arrow Connector 20"/>
        <xdr:cNvCxnSpPr/>
      </xdr:nvCxnSpPr>
      <xdr:spPr>
        <a:xfrm>
          <a:off x="2104159" y="118724795"/>
          <a:ext cx="796636" cy="320388"/>
        </a:xfrm>
        <a:prstGeom prst="straightConnector1">
          <a:avLst/>
        </a:prstGeom>
        <a:ln w="571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458931</xdr:colOff>
      <xdr:row>603</xdr:row>
      <xdr:rowOff>43294</xdr:rowOff>
    </xdr:from>
    <xdr:ext cx="867482" cy="342786"/>
    <xdr:sp macro="" textlink="">
      <xdr:nvSpPr>
        <xdr:cNvPr id="24" name="TextBox 23"/>
        <xdr:cNvSpPr txBox="1"/>
      </xdr:nvSpPr>
      <xdr:spPr>
        <a:xfrm>
          <a:off x="1220931" y="118534294"/>
          <a:ext cx="867482" cy="3427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CRZ</a:t>
          </a:r>
          <a:r>
            <a:rPr lang="en-IN" sz="1600" b="1" baseline="0"/>
            <a:t> line</a:t>
          </a:r>
          <a:endParaRPr lang="en-IN" sz="1600" b="1"/>
        </a:p>
      </xdr:txBody>
    </xdr:sp>
    <xdr:clientData/>
  </xdr:oneCellAnchor>
  <xdr:twoCellAnchor>
    <xdr:from>
      <xdr:col>0</xdr:col>
      <xdr:colOff>441614</xdr:colOff>
      <xdr:row>609</xdr:row>
      <xdr:rowOff>69272</xdr:rowOff>
    </xdr:from>
    <xdr:to>
      <xdr:col>3</xdr:col>
      <xdr:colOff>121228</xdr:colOff>
      <xdr:row>618</xdr:row>
      <xdr:rowOff>43296</xdr:rowOff>
    </xdr:to>
    <xdr:cxnSp macro="">
      <xdr:nvCxnSpPr>
        <xdr:cNvPr id="28" name="Straight Connector 27"/>
        <xdr:cNvCxnSpPr/>
      </xdr:nvCxnSpPr>
      <xdr:spPr>
        <a:xfrm flipV="1">
          <a:off x="441614" y="119755227"/>
          <a:ext cx="2086841" cy="1766455"/>
        </a:xfrm>
        <a:prstGeom prst="line">
          <a:avLst/>
        </a:prstGeom>
        <a:ln w="762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603</xdr:row>
      <xdr:rowOff>164523</xdr:rowOff>
    </xdr:from>
    <xdr:to>
      <xdr:col>7</xdr:col>
      <xdr:colOff>406977</xdr:colOff>
      <xdr:row>609</xdr:row>
      <xdr:rowOff>77931</xdr:rowOff>
    </xdr:to>
    <xdr:cxnSp macro="">
      <xdr:nvCxnSpPr>
        <xdr:cNvPr id="33" name="Straight Connector 32"/>
        <xdr:cNvCxnSpPr/>
      </xdr:nvCxnSpPr>
      <xdr:spPr>
        <a:xfrm flipV="1">
          <a:off x="2502477" y="118655523"/>
          <a:ext cx="3593523" cy="1108363"/>
        </a:xfrm>
        <a:prstGeom prst="line">
          <a:avLst/>
        </a:prstGeom>
        <a:ln w="762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490104</xdr:colOff>
      <xdr:row>613</xdr:row>
      <xdr:rowOff>152398</xdr:rowOff>
    </xdr:from>
    <xdr:ext cx="648767" cy="342786"/>
    <xdr:sp macro="" textlink="">
      <xdr:nvSpPr>
        <xdr:cNvPr id="40" name="TextBox 39"/>
        <xdr:cNvSpPr txBox="1"/>
      </xdr:nvSpPr>
      <xdr:spPr>
        <a:xfrm>
          <a:off x="2048740" y="120634989"/>
          <a:ext cx="648767" cy="3427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Drain</a:t>
          </a:r>
        </a:p>
      </xdr:txBody>
    </xdr:sp>
    <xdr:clientData/>
  </xdr:oneCellAnchor>
  <xdr:twoCellAnchor>
    <xdr:from>
      <xdr:col>3</xdr:col>
      <xdr:colOff>155864</xdr:colOff>
      <xdr:row>609</xdr:row>
      <xdr:rowOff>77931</xdr:rowOff>
    </xdr:from>
    <xdr:to>
      <xdr:col>3</xdr:col>
      <xdr:colOff>406978</xdr:colOff>
      <xdr:row>613</xdr:row>
      <xdr:rowOff>121227</xdr:rowOff>
    </xdr:to>
    <xdr:cxnSp macro="">
      <xdr:nvCxnSpPr>
        <xdr:cNvPr id="42" name="Straight Arrow Connector 41"/>
        <xdr:cNvCxnSpPr/>
      </xdr:nvCxnSpPr>
      <xdr:spPr>
        <a:xfrm flipV="1">
          <a:off x="2563091" y="119763886"/>
          <a:ext cx="251114" cy="839932"/>
        </a:xfrm>
        <a:prstGeom prst="straightConnector1">
          <a:avLst/>
        </a:prstGeom>
        <a:ln w="381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498</xdr:row>
      <xdr:rowOff>104773</xdr:rowOff>
    </xdr:from>
    <xdr:to>
      <xdr:col>7</xdr:col>
      <xdr:colOff>790575</xdr:colOff>
      <xdr:row>536</xdr:row>
      <xdr:rowOff>193087</xdr:rowOff>
    </xdr:to>
    <xdr:grpSp>
      <xdr:nvGrpSpPr>
        <xdr:cNvPr id="6" name="Group 5"/>
        <xdr:cNvGrpSpPr/>
      </xdr:nvGrpSpPr>
      <xdr:grpSpPr>
        <a:xfrm>
          <a:off x="104775" y="102812848"/>
          <a:ext cx="6381750" cy="7679739"/>
          <a:chOff x="104775" y="102793798"/>
          <a:chExt cx="6381750" cy="7679739"/>
        </a:xfrm>
      </xdr:grpSpPr>
      <xdr:grpSp>
        <xdr:nvGrpSpPr>
          <xdr:cNvPr id="4" name="Group 3"/>
          <xdr:cNvGrpSpPr/>
        </xdr:nvGrpSpPr>
        <xdr:grpSpPr>
          <a:xfrm>
            <a:off x="104775" y="102793798"/>
            <a:ext cx="6381750" cy="7679739"/>
            <a:chOff x="38101" y="102279448"/>
            <a:chExt cx="6381750" cy="7679739"/>
          </a:xfrm>
        </xdr:grpSpPr>
        <xdr:pic>
          <xdr:nvPicPr>
            <xdr:cNvPr id="32" name="Picture 31" descr="https://vsjcllp.vsjadon.com/upload/insp-24330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29076" y="108118275"/>
              <a:ext cx="2390775" cy="18409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3307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48125" y="106230090"/>
              <a:ext cx="2314575" cy="182151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4330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1" y="108118275"/>
              <a:ext cx="2452276" cy="18409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43307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4126" y="102279448"/>
              <a:ext cx="2890207" cy="385762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43307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62100" y="106235751"/>
              <a:ext cx="2406201" cy="180632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43307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71751" y="108113513"/>
              <a:ext cx="1379246" cy="18409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3307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726" y="106234853"/>
              <a:ext cx="1393314" cy="180722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43307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2629" y="102279449"/>
              <a:ext cx="2895625" cy="386485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5" name="TextBox 44"/>
          <xdr:cNvSpPr txBox="1"/>
        </xdr:nvSpPr>
        <xdr:spPr>
          <a:xfrm>
            <a:off x="2257425" y="102850948"/>
            <a:ext cx="8382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S5nbqJs131UfviC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8"/>
  <sheetViews>
    <sheetView tabSelected="1" view="pageBreakPreview" topLeftCell="A474" zoomScaleNormal="100" zoomScaleSheetLayoutView="100" workbookViewId="0">
      <selection activeCell="J481" sqref="J481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57" t="s">
        <v>176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8" x14ac:dyDescent="0.25">
      <c r="A3" s="108" t="s">
        <v>1</v>
      </c>
      <c r="B3" s="108"/>
      <c r="C3" s="108"/>
      <c r="D3" s="108"/>
      <c r="E3" s="108" t="str">
        <f ca="1">TEXT(TODAY(),"DD/MM/YYYY")</f>
        <v>16/08/2025</v>
      </c>
      <c r="F3" s="108"/>
      <c r="G3" s="108"/>
      <c r="H3" s="108"/>
    </row>
    <row r="4" spans="1:8" ht="15" customHeight="1" x14ac:dyDescent="0.25">
      <c r="A4" s="108" t="s">
        <v>2</v>
      </c>
      <c r="B4" s="108"/>
      <c r="C4" s="108"/>
      <c r="D4" s="108"/>
      <c r="E4" s="108" t="s">
        <v>179</v>
      </c>
      <c r="F4" s="108"/>
      <c r="G4" s="108"/>
      <c r="H4" s="108"/>
    </row>
    <row r="5" spans="1:8" x14ac:dyDescent="0.25">
      <c r="A5" s="108" t="s">
        <v>3</v>
      </c>
      <c r="B5" s="108"/>
      <c r="C5" s="108"/>
      <c r="D5" s="108"/>
      <c r="E5" s="158">
        <v>45882</v>
      </c>
      <c r="F5" s="108"/>
      <c r="G5" s="108"/>
      <c r="H5" s="108"/>
    </row>
    <row r="6" spans="1:8" ht="16.5" customHeight="1" x14ac:dyDescent="0.25">
      <c r="A6" s="108" t="s">
        <v>4</v>
      </c>
      <c r="B6" s="108"/>
      <c r="C6" s="108"/>
      <c r="D6" s="108"/>
      <c r="E6" s="108" t="s">
        <v>180</v>
      </c>
      <c r="F6" s="108"/>
      <c r="G6" s="108"/>
      <c r="H6" s="108"/>
    </row>
    <row r="7" spans="1:8" ht="15" customHeight="1" x14ac:dyDescent="0.25">
      <c r="A7" s="108" t="s">
        <v>5</v>
      </c>
      <c r="B7" s="108"/>
      <c r="C7" s="108"/>
      <c r="D7" s="108"/>
      <c r="E7" s="108" t="str">
        <f>E6</f>
        <v>Maithili Builders Private Limited</v>
      </c>
      <c r="F7" s="108"/>
      <c r="G7" s="108"/>
      <c r="H7" s="108"/>
    </row>
    <row r="8" spans="1:8" x14ac:dyDescent="0.25">
      <c r="A8" s="108" t="s">
        <v>6</v>
      </c>
      <c r="B8" s="108"/>
      <c r="C8" s="108"/>
      <c r="D8" s="108"/>
      <c r="E8" s="147" t="s">
        <v>181</v>
      </c>
      <c r="F8" s="147"/>
      <c r="G8" s="147"/>
      <c r="H8" s="147"/>
    </row>
    <row r="9" spans="1:8" x14ac:dyDescent="0.25">
      <c r="A9" s="108" t="s">
        <v>173</v>
      </c>
      <c r="B9" s="108"/>
      <c r="C9" s="108"/>
      <c r="D9" s="108"/>
      <c r="E9" s="108" t="s">
        <v>252</v>
      </c>
      <c r="F9" s="108"/>
      <c r="G9" s="108"/>
      <c r="H9" s="108"/>
    </row>
    <row r="10" spans="1:8" x14ac:dyDescent="0.25">
      <c r="A10" s="108" t="s">
        <v>174</v>
      </c>
      <c r="B10" s="108"/>
      <c r="C10" s="108"/>
      <c r="D10" s="108"/>
      <c r="E10" s="108" t="s">
        <v>258</v>
      </c>
      <c r="F10" s="108"/>
      <c r="G10" s="108"/>
      <c r="H10" s="108"/>
    </row>
    <row r="11" spans="1:8" x14ac:dyDescent="0.25">
      <c r="A11" s="108" t="s">
        <v>7</v>
      </c>
      <c r="B11" s="108"/>
      <c r="C11" s="108"/>
      <c r="D11" s="108"/>
      <c r="E11" s="108" t="s">
        <v>182</v>
      </c>
      <c r="F11" s="108"/>
      <c r="G11" s="108"/>
      <c r="H11" s="108"/>
    </row>
    <row r="12" spans="1:8" x14ac:dyDescent="0.25">
      <c r="A12" s="108" t="s">
        <v>186</v>
      </c>
      <c r="B12" s="108"/>
      <c r="C12" s="108"/>
      <c r="D12" s="108"/>
      <c r="E12" s="108" t="s">
        <v>187</v>
      </c>
      <c r="F12" s="108"/>
      <c r="G12" s="108"/>
      <c r="H12" s="108"/>
    </row>
    <row r="13" spans="1:8" x14ac:dyDescent="0.25">
      <c r="A13" s="72" t="s">
        <v>8</v>
      </c>
      <c r="B13" s="72"/>
      <c r="C13" s="72"/>
      <c r="D13" s="72"/>
      <c r="E13" s="107" t="s">
        <v>250</v>
      </c>
      <c r="F13" s="107"/>
      <c r="G13" s="107"/>
      <c r="H13" s="107"/>
    </row>
    <row r="14" spans="1:8" x14ac:dyDescent="0.25">
      <c r="A14" s="72" t="s">
        <v>9</v>
      </c>
      <c r="B14" s="72"/>
      <c r="C14" s="72"/>
      <c r="D14" s="72"/>
      <c r="E14" s="107" t="s">
        <v>183</v>
      </c>
      <c r="F14" s="108"/>
      <c r="G14" s="108"/>
      <c r="H14" s="108"/>
    </row>
    <row r="15" spans="1:8" ht="48.75" customHeight="1" x14ac:dyDescent="0.25">
      <c r="A15" s="116" t="s">
        <v>10</v>
      </c>
      <c r="B15" s="116"/>
      <c r="C15" s="11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The Trellis, Condominium No.8 &amp; Sector No.10 , Redevlopement of " Sagar CHSL ", near Marina Pranjee, 5th Condominium Road, Koparkhairane, Koparkhairane, Koparkhairane West, Thane, Thane - 400709.</v>
      </c>
      <c r="D15" s="116"/>
      <c r="E15" s="116"/>
      <c r="F15" s="116"/>
      <c r="G15" s="116"/>
      <c r="H15" s="116"/>
    </row>
    <row r="16" spans="1:8" x14ac:dyDescent="0.25">
      <c r="A16" s="107" t="s">
        <v>184</v>
      </c>
      <c r="B16" s="107"/>
      <c r="C16" s="107" t="s">
        <v>185</v>
      </c>
      <c r="D16" s="107"/>
      <c r="E16" s="107"/>
      <c r="F16" s="107"/>
      <c r="G16" s="107"/>
      <c r="H16" s="107"/>
    </row>
    <row r="17" spans="1:8" ht="15.75" customHeight="1" x14ac:dyDescent="0.25">
      <c r="A17" s="107" t="s">
        <v>172</v>
      </c>
      <c r="B17" s="107"/>
      <c r="C17" s="107" t="s">
        <v>244</v>
      </c>
      <c r="D17" s="107"/>
      <c r="E17" s="107"/>
      <c r="F17" s="107"/>
      <c r="G17" s="107"/>
      <c r="H17" s="107"/>
    </row>
    <row r="18" spans="1:8" ht="15.75" customHeight="1" x14ac:dyDescent="0.25">
      <c r="A18" s="116" t="s">
        <v>11</v>
      </c>
      <c r="B18" s="116"/>
      <c r="C18" s="108" t="s">
        <v>237</v>
      </c>
      <c r="D18" s="108"/>
      <c r="E18" s="116" t="s">
        <v>74</v>
      </c>
      <c r="F18" s="116"/>
      <c r="G18" s="107" t="s">
        <v>244</v>
      </c>
      <c r="H18" s="107"/>
    </row>
    <row r="19" spans="1:8" x14ac:dyDescent="0.25">
      <c r="A19" s="72" t="s">
        <v>13</v>
      </c>
      <c r="B19" s="72"/>
      <c r="C19" s="107" t="s">
        <v>243</v>
      </c>
      <c r="D19" s="107"/>
      <c r="E19" s="116" t="s">
        <v>12</v>
      </c>
      <c r="F19" s="116"/>
      <c r="G19" s="159" t="s">
        <v>241</v>
      </c>
      <c r="H19" s="159"/>
    </row>
    <row r="20" spans="1:8" x14ac:dyDescent="0.25">
      <c r="A20" s="72" t="s">
        <v>75</v>
      </c>
      <c r="B20" s="72"/>
      <c r="C20" s="107" t="s">
        <v>241</v>
      </c>
      <c r="D20" s="107"/>
      <c r="E20" s="116" t="s">
        <v>14</v>
      </c>
      <c r="F20" s="116"/>
      <c r="G20" s="107">
        <v>400709</v>
      </c>
      <c r="H20" s="107"/>
    </row>
    <row r="21" spans="1:8" ht="51" customHeight="1" x14ac:dyDescent="0.25">
      <c r="A21" s="72" t="s">
        <v>127</v>
      </c>
      <c r="B21" s="72"/>
      <c r="C21" s="107" t="s">
        <v>242</v>
      </c>
      <c r="D21" s="107"/>
      <c r="E21" s="116" t="s">
        <v>15</v>
      </c>
      <c r="F21" s="116"/>
      <c r="G21" s="107" t="s">
        <v>194</v>
      </c>
      <c r="H21" s="107"/>
    </row>
    <row r="22" spans="1:8" ht="15" customHeight="1" x14ac:dyDescent="0.25">
      <c r="A22" s="116" t="s">
        <v>78</v>
      </c>
      <c r="B22" s="116"/>
      <c r="C22" s="116"/>
      <c r="D22" s="116"/>
      <c r="E22" s="108" t="s">
        <v>16</v>
      </c>
      <c r="F22" s="108"/>
      <c r="G22" s="108"/>
      <c r="H22" s="108"/>
    </row>
    <row r="23" spans="1:8" ht="18.75" customHeight="1" x14ac:dyDescent="0.25">
      <c r="A23" s="116"/>
      <c r="B23" s="116"/>
      <c r="C23" s="116"/>
      <c r="D23" s="116"/>
      <c r="E23" s="108"/>
      <c r="F23" s="108"/>
      <c r="G23" s="108"/>
      <c r="H23" s="108"/>
    </row>
    <row r="24" spans="1:8" ht="15" customHeight="1" x14ac:dyDescent="0.25">
      <c r="A24" s="116" t="s">
        <v>17</v>
      </c>
      <c r="B24" s="116"/>
      <c r="C24" s="116"/>
      <c r="D24" s="116"/>
      <c r="E24" s="107" t="s">
        <v>18</v>
      </c>
      <c r="F24" s="107"/>
      <c r="G24" s="107"/>
      <c r="H24" s="107"/>
    </row>
    <row r="25" spans="1:8" ht="15" customHeight="1" x14ac:dyDescent="0.25">
      <c r="A25" s="72" t="s">
        <v>19</v>
      </c>
      <c r="B25" s="72"/>
      <c r="C25" s="72"/>
      <c r="D25" s="72"/>
      <c r="E25" s="107" t="str">
        <f>IF(AND(G19="Mumbai"),"Upper Class","Middle Class")</f>
        <v>Middle Class</v>
      </c>
      <c r="F25" s="107"/>
      <c r="G25" s="107"/>
      <c r="H25" s="107"/>
    </row>
    <row r="26" spans="1:8" x14ac:dyDescent="0.25">
      <c r="A26" s="72" t="s">
        <v>20</v>
      </c>
      <c r="B26" s="72"/>
      <c r="C26" s="72"/>
      <c r="D26" s="72"/>
      <c r="E26" s="107" t="s">
        <v>21</v>
      </c>
      <c r="F26" s="107"/>
      <c r="G26" s="107"/>
      <c r="H26" s="107"/>
    </row>
    <row r="27" spans="1:8" ht="15.75" customHeight="1" x14ac:dyDescent="0.25">
      <c r="A27" s="72" t="s">
        <v>22</v>
      </c>
      <c r="B27" s="72"/>
      <c r="C27" s="72"/>
      <c r="D27" s="72"/>
      <c r="E27" s="107" t="str">
        <f>IF(AND(G19="Mumbai"),"Developed","Developing")</f>
        <v>Developing</v>
      </c>
      <c r="F27" s="107"/>
      <c r="G27" s="107"/>
      <c r="H27" s="107"/>
    </row>
    <row r="28" spans="1:8" x14ac:dyDescent="0.25">
      <c r="A28" s="72" t="s">
        <v>23</v>
      </c>
      <c r="B28" s="72"/>
      <c r="C28" s="72"/>
      <c r="D28" s="72"/>
      <c r="E28" s="107" t="s">
        <v>24</v>
      </c>
      <c r="F28" s="107"/>
      <c r="G28" s="107"/>
      <c r="H28" s="107"/>
    </row>
    <row r="29" spans="1:8" ht="15.75" customHeight="1" x14ac:dyDescent="0.25">
      <c r="A29" s="72" t="s">
        <v>83</v>
      </c>
      <c r="B29" s="72"/>
      <c r="C29" s="72"/>
      <c r="D29" s="72"/>
      <c r="E29" s="107" t="s">
        <v>84</v>
      </c>
      <c r="F29" s="107"/>
      <c r="G29" s="107"/>
      <c r="H29" s="107"/>
    </row>
    <row r="30" spans="1:8" ht="15" customHeight="1" x14ac:dyDescent="0.25">
      <c r="A30" s="72" t="s">
        <v>33</v>
      </c>
      <c r="B30" s="72"/>
      <c r="C30" s="72"/>
      <c r="D30" s="72"/>
      <c r="E30" s="10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07"/>
      <c r="G30" s="107"/>
      <c r="H30" s="107"/>
    </row>
    <row r="31" spans="1:8" ht="15.75" customHeight="1" x14ac:dyDescent="0.25">
      <c r="A31" s="72" t="s">
        <v>95</v>
      </c>
      <c r="B31" s="72"/>
      <c r="C31" s="72"/>
      <c r="D31" s="72"/>
      <c r="E31" s="107" t="s">
        <v>34</v>
      </c>
      <c r="F31" s="107"/>
      <c r="G31" s="107"/>
      <c r="H31" s="107"/>
    </row>
    <row r="32" spans="1:8" s="23" customFormat="1" x14ac:dyDescent="0.25">
      <c r="A32" s="163" t="s">
        <v>96</v>
      </c>
      <c r="B32" s="163"/>
      <c r="C32" s="162" t="s">
        <v>29</v>
      </c>
      <c r="D32" s="162"/>
      <c r="E32" s="162"/>
      <c r="F32" s="162" t="s">
        <v>31</v>
      </c>
      <c r="G32" s="162"/>
      <c r="H32" s="162"/>
    </row>
    <row r="33" spans="1:8" s="23" customFormat="1" x14ac:dyDescent="0.25">
      <c r="A33" s="160" t="s">
        <v>25</v>
      </c>
      <c r="B33" s="160" t="s">
        <v>30</v>
      </c>
      <c r="C33" s="161" t="s">
        <v>30</v>
      </c>
      <c r="D33" s="161"/>
      <c r="E33" s="161"/>
      <c r="F33" s="161" t="s">
        <v>237</v>
      </c>
      <c r="G33" s="161"/>
      <c r="H33" s="161"/>
    </row>
    <row r="34" spans="1:8" x14ac:dyDescent="0.25">
      <c r="A34" s="160" t="s">
        <v>26</v>
      </c>
      <c r="B34" s="160" t="s">
        <v>30</v>
      </c>
      <c r="C34" s="161" t="s">
        <v>30</v>
      </c>
      <c r="D34" s="161"/>
      <c r="E34" s="161"/>
      <c r="F34" s="161" t="s">
        <v>238</v>
      </c>
      <c r="G34" s="161"/>
      <c r="H34" s="161"/>
    </row>
    <row r="35" spans="1:8" s="23" customFormat="1" x14ac:dyDescent="0.25">
      <c r="A35" s="160" t="s">
        <v>28</v>
      </c>
      <c r="B35" s="160" t="s">
        <v>30</v>
      </c>
      <c r="C35" s="161" t="s">
        <v>30</v>
      </c>
      <c r="D35" s="161"/>
      <c r="E35" s="161"/>
      <c r="F35" s="161" t="s">
        <v>239</v>
      </c>
      <c r="G35" s="161"/>
      <c r="H35" s="161"/>
    </row>
    <row r="36" spans="1:8" x14ac:dyDescent="0.25">
      <c r="A36" s="160" t="s">
        <v>27</v>
      </c>
      <c r="B36" s="160" t="s">
        <v>30</v>
      </c>
      <c r="C36" s="161" t="s">
        <v>30</v>
      </c>
      <c r="D36" s="161"/>
      <c r="E36" s="161"/>
      <c r="F36" s="161" t="s">
        <v>240</v>
      </c>
      <c r="G36" s="161"/>
      <c r="H36" s="161"/>
    </row>
    <row r="37" spans="1:8" x14ac:dyDescent="0.25">
      <c r="A37" s="72" t="s">
        <v>32</v>
      </c>
      <c r="B37" s="72"/>
      <c r="C37" s="72"/>
      <c r="D37" s="72"/>
      <c r="E37" s="72"/>
      <c r="F37" s="72"/>
      <c r="G37" s="72"/>
      <c r="H37" s="72"/>
    </row>
    <row r="38" spans="1:8" ht="15.75" customHeight="1" x14ac:dyDescent="0.25">
      <c r="A38" s="143" t="s">
        <v>177</v>
      </c>
      <c r="B38" s="143"/>
      <c r="C38" s="72" t="s">
        <v>192</v>
      </c>
      <c r="D38" s="72"/>
      <c r="E38" s="72"/>
      <c r="F38" s="72"/>
      <c r="G38" s="72"/>
      <c r="H38" s="72"/>
    </row>
    <row r="39" spans="1:8" x14ac:dyDescent="0.25">
      <c r="A39" s="143" t="s">
        <v>171</v>
      </c>
      <c r="B39" s="143"/>
      <c r="C39" s="198" t="s">
        <v>191</v>
      </c>
      <c r="D39" s="107"/>
      <c r="E39" s="107"/>
      <c r="F39" s="107"/>
      <c r="G39" s="107"/>
      <c r="H39" s="107"/>
    </row>
    <row r="40" spans="1:8" x14ac:dyDescent="0.25">
      <c r="A40" s="143" t="s">
        <v>35</v>
      </c>
      <c r="B40" s="143"/>
      <c r="C40" s="143"/>
      <c r="D40" s="143"/>
      <c r="E40" s="143"/>
      <c r="F40" s="143"/>
      <c r="G40" s="143"/>
      <c r="H40" s="143"/>
    </row>
    <row r="41" spans="1:8" x14ac:dyDescent="0.25">
      <c r="A41" s="72" t="s">
        <v>36</v>
      </c>
      <c r="B41" s="72"/>
      <c r="C41" s="72"/>
      <c r="D41" s="72"/>
      <c r="E41" s="170">
        <v>8116.38</v>
      </c>
      <c r="F41" s="170"/>
      <c r="G41" s="170"/>
      <c r="H41" s="170"/>
    </row>
    <row r="42" spans="1:8" x14ac:dyDescent="0.25">
      <c r="A42" s="72" t="s">
        <v>37</v>
      </c>
      <c r="B42" s="72"/>
      <c r="C42" s="72"/>
      <c r="D42" s="72"/>
      <c r="E42" s="71">
        <v>3</v>
      </c>
      <c r="F42" s="71"/>
      <c r="G42" s="71"/>
      <c r="H42" s="71"/>
    </row>
    <row r="43" spans="1:8" x14ac:dyDescent="0.25">
      <c r="A43" s="72" t="s">
        <v>38</v>
      </c>
      <c r="B43" s="72"/>
      <c r="C43" s="72"/>
      <c r="D43" s="72"/>
      <c r="E43" s="71">
        <f>E45/E41-E42</f>
        <v>2.1673154780825934</v>
      </c>
      <c r="F43" s="71"/>
      <c r="G43" s="71"/>
      <c r="H43" s="71"/>
    </row>
    <row r="44" spans="1:8" x14ac:dyDescent="0.25">
      <c r="A44" s="72" t="s">
        <v>39</v>
      </c>
      <c r="B44" s="72"/>
      <c r="C44" s="72"/>
      <c r="D44" s="72"/>
      <c r="E44" s="71">
        <f>E42+E43</f>
        <v>5.1673154780825934</v>
      </c>
      <c r="F44" s="71"/>
      <c r="G44" s="71"/>
      <c r="H44" s="71"/>
    </row>
    <row r="45" spans="1:8" x14ac:dyDescent="0.25">
      <c r="A45" s="72" t="s">
        <v>94</v>
      </c>
      <c r="B45" s="72"/>
      <c r="C45" s="72"/>
      <c r="D45" s="72"/>
      <c r="E45" s="174">
        <v>41939.896000000001</v>
      </c>
      <c r="F45" s="174"/>
      <c r="G45" s="174"/>
      <c r="H45" s="174"/>
    </row>
    <row r="46" spans="1:8" x14ac:dyDescent="0.25">
      <c r="A46" s="108" t="s">
        <v>40</v>
      </c>
      <c r="B46" s="108"/>
      <c r="C46" s="108"/>
      <c r="D46" s="108"/>
      <c r="E46" s="108" t="s">
        <v>188</v>
      </c>
      <c r="F46" s="108"/>
      <c r="G46" s="108"/>
      <c r="H46" s="108"/>
    </row>
    <row r="47" spans="1:8" x14ac:dyDescent="0.25">
      <c r="A47" s="147" t="s">
        <v>41</v>
      </c>
      <c r="B47" s="147"/>
      <c r="C47" s="147"/>
      <c r="D47" s="147"/>
      <c r="E47" s="147"/>
      <c r="F47" s="147"/>
      <c r="G47" s="147"/>
      <c r="H47" s="147"/>
    </row>
    <row r="48" spans="1:8" ht="33.75" customHeight="1" x14ac:dyDescent="0.25">
      <c r="A48" s="199" t="s">
        <v>159</v>
      </c>
      <c r="B48" s="200"/>
      <c r="C48" s="201" t="s">
        <v>189</v>
      </c>
      <c r="D48" s="202"/>
      <c r="E48" s="202"/>
      <c r="F48" s="202"/>
      <c r="G48" s="202"/>
      <c r="H48" s="203"/>
    </row>
    <row r="49" spans="1:14" ht="15.75" customHeight="1" x14ac:dyDescent="0.25">
      <c r="A49" s="98" t="s">
        <v>42</v>
      </c>
      <c r="B49" s="99"/>
      <c r="C49" s="98" t="s">
        <v>190</v>
      </c>
      <c r="D49" s="100"/>
      <c r="E49" s="99"/>
      <c r="F49" s="19" t="s">
        <v>43</v>
      </c>
      <c r="G49" s="101">
        <v>45014</v>
      </c>
      <c r="H49" s="99"/>
      <c r="J49" s="22">
        <f>11462+10316+21779</f>
        <v>43557</v>
      </c>
    </row>
    <row r="50" spans="1:14" x14ac:dyDescent="0.25">
      <c r="A50" s="98" t="s">
        <v>44</v>
      </c>
      <c r="B50" s="99"/>
      <c r="C50" s="98" t="str">
        <f>C49</f>
        <v>NRV/A/16939</v>
      </c>
      <c r="D50" s="100"/>
      <c r="E50" s="99"/>
      <c r="F50" s="19" t="s">
        <v>43</v>
      </c>
      <c r="G50" s="101">
        <f>G49</f>
        <v>45014</v>
      </c>
      <c r="H50" s="102"/>
    </row>
    <row r="51" spans="1:14" s="24" customFormat="1" ht="15.75" customHeight="1" x14ac:dyDescent="0.25">
      <c r="A51" s="151" t="s">
        <v>163</v>
      </c>
      <c r="B51" s="152"/>
      <c r="C51" s="98" t="s">
        <v>246</v>
      </c>
      <c r="D51" s="100"/>
      <c r="E51" s="99"/>
      <c r="F51" s="19" t="s">
        <v>43</v>
      </c>
      <c r="G51" s="101">
        <f>G50</f>
        <v>45014</v>
      </c>
      <c r="H51" s="102"/>
    </row>
    <row r="52" spans="1:14" s="24" customFormat="1" x14ac:dyDescent="0.25">
      <c r="A52" s="153"/>
      <c r="B52" s="154"/>
      <c r="C52" s="98" t="s">
        <v>247</v>
      </c>
      <c r="D52" s="100"/>
      <c r="E52" s="100"/>
      <c r="F52" s="100"/>
      <c r="G52" s="100"/>
      <c r="H52" s="99"/>
    </row>
    <row r="53" spans="1:14" x14ac:dyDescent="0.25">
      <c r="A53" s="112" t="s">
        <v>45</v>
      </c>
      <c r="B53" s="113"/>
      <c r="C53" s="112" t="s">
        <v>107</v>
      </c>
      <c r="D53" s="114"/>
      <c r="E53" s="113"/>
      <c r="F53" s="47" t="s">
        <v>43</v>
      </c>
      <c r="G53" s="117" t="s">
        <v>30</v>
      </c>
      <c r="H53" s="118"/>
    </row>
    <row r="54" spans="1:14" x14ac:dyDescent="0.25">
      <c r="A54" s="115" t="s">
        <v>47</v>
      </c>
      <c r="B54" s="115"/>
      <c r="C54" s="115"/>
      <c r="D54" s="115"/>
      <c r="E54" s="115"/>
      <c r="F54" s="115"/>
      <c r="G54" s="115"/>
      <c r="H54" s="115"/>
    </row>
    <row r="55" spans="1:14" x14ac:dyDescent="0.25">
      <c r="A55" s="116" t="s">
        <v>93</v>
      </c>
      <c r="B55" s="116"/>
      <c r="C55" s="116"/>
      <c r="D55" s="72">
        <f>E45</f>
        <v>41939.896000000001</v>
      </c>
      <c r="E55" s="72"/>
      <c r="F55" s="72"/>
      <c r="G55" s="72"/>
      <c r="H55" s="72"/>
    </row>
    <row r="56" spans="1:14" ht="32.25" customHeight="1" x14ac:dyDescent="0.25">
      <c r="A56" s="107" t="s">
        <v>48</v>
      </c>
      <c r="B56" s="108"/>
      <c r="C56" s="108"/>
      <c r="D56" s="107" t="s">
        <v>256</v>
      </c>
      <c r="E56" s="107"/>
      <c r="F56" s="107"/>
      <c r="G56" s="107"/>
      <c r="H56" s="107"/>
      <c r="I56" s="25"/>
    </row>
    <row r="57" spans="1:14" x14ac:dyDescent="0.25">
      <c r="A57" s="103" t="s">
        <v>49</v>
      </c>
      <c r="B57" s="104"/>
      <c r="C57" s="150"/>
      <c r="D57" s="148" t="s">
        <v>236</v>
      </c>
      <c r="E57" s="149"/>
      <c r="F57" s="149"/>
      <c r="G57" s="149"/>
      <c r="H57" s="149"/>
    </row>
    <row r="58" spans="1:14" x14ac:dyDescent="0.25">
      <c r="A58" s="103" t="s">
        <v>91</v>
      </c>
      <c r="B58" s="104"/>
      <c r="C58" s="104"/>
      <c r="D58" s="107" t="s">
        <v>257</v>
      </c>
      <c r="E58" s="108"/>
      <c r="F58" s="108"/>
      <c r="G58" s="108"/>
      <c r="H58" s="108"/>
    </row>
    <row r="59" spans="1:14" x14ac:dyDescent="0.25">
      <c r="A59" s="105"/>
      <c r="B59" s="106"/>
      <c r="C59" s="106"/>
      <c r="D59" s="109" t="s">
        <v>235</v>
      </c>
      <c r="E59" s="110"/>
      <c r="F59" s="110"/>
      <c r="G59" s="110"/>
      <c r="H59" s="111"/>
    </row>
    <row r="60" spans="1:14" ht="15.75" customHeight="1" x14ac:dyDescent="0.25">
      <c r="A60" s="72" t="s">
        <v>46</v>
      </c>
      <c r="B60" s="72"/>
      <c r="C60" s="72"/>
      <c r="D60" s="171" t="s">
        <v>193</v>
      </c>
      <c r="E60" s="171"/>
      <c r="F60" s="171"/>
      <c r="G60" s="171"/>
      <c r="H60" s="171"/>
      <c r="J60" s="26"/>
      <c r="K60" s="25"/>
      <c r="N60" s="25"/>
    </row>
    <row r="61" spans="1:14" ht="15.75" customHeight="1" x14ac:dyDescent="0.25">
      <c r="A61" s="72" t="s">
        <v>89</v>
      </c>
      <c r="B61" s="72"/>
      <c r="C61" s="72"/>
      <c r="D61" s="173" t="str">
        <f>(IF(G53="NA","60 Years After Completion",IF(G53&lt;&gt;"NA",""&amp;60-ROUNDDOWN((E3-G53)/360,0)&amp;" Years"," ")))</f>
        <v>60 Years After Completion</v>
      </c>
      <c r="E61" s="173"/>
      <c r="F61" s="173"/>
      <c r="G61" s="173"/>
      <c r="H61" s="173"/>
      <c r="N61" s="25"/>
    </row>
    <row r="62" spans="1:14" ht="15.75" customHeight="1" x14ac:dyDescent="0.25">
      <c r="A62" s="72" t="s">
        <v>90</v>
      </c>
      <c r="B62" s="72"/>
      <c r="C62" s="72"/>
      <c r="D62" s="116" t="s">
        <v>24</v>
      </c>
      <c r="E62" s="116"/>
      <c r="F62" s="116"/>
      <c r="G62" s="116"/>
      <c r="H62" s="116"/>
      <c r="J62" s="27"/>
      <c r="K62" s="27"/>
    </row>
    <row r="63" spans="1:14" ht="37.5" customHeight="1" x14ac:dyDescent="0.25">
      <c r="A63" s="72" t="s">
        <v>76</v>
      </c>
      <c r="B63" s="72"/>
      <c r="C63" s="72"/>
      <c r="D63" s="107" t="s">
        <v>251</v>
      </c>
      <c r="E63" s="116"/>
      <c r="F63" s="116"/>
      <c r="G63" s="116"/>
      <c r="H63" s="116"/>
    </row>
    <row r="64" spans="1:14" x14ac:dyDescent="0.25">
      <c r="A64" s="116" t="s">
        <v>155</v>
      </c>
      <c r="B64" s="116"/>
      <c r="C64" s="116"/>
      <c r="D64" s="116" t="s">
        <v>30</v>
      </c>
      <c r="E64" s="116"/>
      <c r="F64" s="116"/>
      <c r="G64" s="116"/>
      <c r="H64" s="116"/>
      <c r="I64" s="28"/>
      <c r="J64" s="28"/>
      <c r="K64" s="28"/>
      <c r="L64" s="28"/>
      <c r="M64" s="28"/>
      <c r="N64" s="28"/>
    </row>
    <row r="65" spans="1:10" ht="15.75" customHeight="1" x14ac:dyDescent="0.25">
      <c r="A65" s="72" t="s">
        <v>88</v>
      </c>
      <c r="B65" s="72"/>
      <c r="C65" s="72"/>
      <c r="D65" s="107" t="str">
        <f ca="1">(IF(G71&gt;95%,"Nothing",IF(G71&gt;0%,"Cement, Aggregate, Steel, etc",IF(G71=0%,"Work not yet Started"))))</f>
        <v>Cement, Aggregate, Steel, etc</v>
      </c>
      <c r="E65" s="107"/>
      <c r="F65" s="107"/>
      <c r="G65" s="107"/>
      <c r="H65" s="107"/>
      <c r="J65" s="27"/>
    </row>
    <row r="66" spans="1:10" ht="33.75" customHeight="1" thickBot="1" x14ac:dyDescent="0.3">
      <c r="A66" s="116" t="s">
        <v>120</v>
      </c>
      <c r="B66" s="116"/>
      <c r="C66" s="116"/>
      <c r="D66" s="107" t="str">
        <f ca="1">(IF(D65="Nothing","Yes",IF(D65="Cement, Aggregate, Steel, etc","Under Construction",IF(D65="Work not yet Started","Work not yet Started"))))</f>
        <v>Under Construction</v>
      </c>
      <c r="E66" s="107"/>
      <c r="F66" s="107" t="str">
        <f ca="1">(IF(D65="Nothing","Yes",IF(D65="Cement, Aggregate, Steel, etc","Under Construction",IF(D65="Work not yet Started","Work not yet Started"))))</f>
        <v>Under Construction</v>
      </c>
      <c r="G66" s="107"/>
      <c r="H66" s="107"/>
    </row>
    <row r="67" spans="1:10" ht="15.75" customHeight="1" x14ac:dyDescent="0.25">
      <c r="A67" s="155" t="s">
        <v>145</v>
      </c>
      <c r="B67" s="155"/>
      <c r="C67" s="155" t="str">
        <f>D58</f>
        <v>A Wing = B + G + 1st to 25th Floor</v>
      </c>
      <c r="D67" s="155"/>
      <c r="E67" s="155"/>
      <c r="F67" s="155"/>
      <c r="G67" s="155"/>
      <c r="H67" s="155"/>
      <c r="I67" s="69" t="str">
        <f ca="1">IF(D80=100%,"All work Completed. Possession granted to the Building.",IF(D79=100%,"All work Completed, Waiting for OC",I68&amp;""&amp;I69&amp;""&amp;J68&amp;""&amp;J67&amp;" "&amp;J69))</f>
        <v>Excavation, Plinth Completed, RCC upto 20 Slab, Brickwork upto 19 Floor, Internal Plaster upto 14.25 Floor, External Plaster upto 13.3 Floor, Flooring upto 5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20 Slab, Brickwork upto 19 Floor, Internal Plaster upto 14.25 Floor, External Plaster upto 13.3 Floor, Flooring upto 5 Floor</v>
      </c>
    </row>
    <row r="68" spans="1:10" x14ac:dyDescent="0.25">
      <c r="A68" s="68" t="s">
        <v>147</v>
      </c>
      <c r="B68" s="68">
        <v>1</v>
      </c>
      <c r="C68" s="68" t="s">
        <v>73</v>
      </c>
      <c r="D68" s="68">
        <v>1</v>
      </c>
      <c r="E68" s="68" t="s">
        <v>72</v>
      </c>
      <c r="F68" s="68">
        <v>0</v>
      </c>
      <c r="G68" s="50" t="s">
        <v>82</v>
      </c>
      <c r="H68" s="68">
        <f ca="1">--TRIM(RIGHT(SUBSTITUTE(LEFT(C67,_xlfn.AGGREGATE(16,6,FIND({0,1,2,3,4,5,6,7,8,9},C67,ROW(INDIRECT("1:"&amp;LEN(C67)))),1))," ",REPT(" ",LEN(C67))),LEN(C67)))</f>
        <v>25</v>
      </c>
      <c r="I68" s="7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9.5" customHeight="1" x14ac:dyDescent="0.25">
      <c r="A69" s="147" t="s">
        <v>92</v>
      </c>
      <c r="B69" s="147"/>
      <c r="C69" s="156" t="str">
        <f ca="1">I67</f>
        <v>Excavation, Plinth Completed, RCC upto 20 Slab, Brickwork upto 19 Floor, Internal Plaster upto 14.25 Floor, External Plaster upto 13.3 Floor, Flooring upto 5 Floor Completed</v>
      </c>
      <c r="D69" s="156"/>
      <c r="E69" s="156"/>
      <c r="F69" s="156"/>
      <c r="G69" s="156"/>
      <c r="H69" s="156"/>
      <c r="I69" s="70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25">
      <c r="A70" s="87" t="s">
        <v>50</v>
      </c>
      <c r="B70" s="87"/>
      <c r="C70" s="66" t="s">
        <v>144</v>
      </c>
      <c r="D70" s="66" t="s">
        <v>85</v>
      </c>
      <c r="E70" s="87" t="s">
        <v>87</v>
      </c>
      <c r="F70" s="87"/>
      <c r="G70" s="87" t="s">
        <v>86</v>
      </c>
      <c r="H70" s="87"/>
      <c r="I70" s="14" t="s">
        <v>146</v>
      </c>
      <c r="J70" s="29">
        <f ca="1">H68*25%</f>
        <v>6.25</v>
      </c>
    </row>
    <row r="71" spans="1:10" x14ac:dyDescent="0.25">
      <c r="A71" s="87" t="s">
        <v>133</v>
      </c>
      <c r="B71" s="87"/>
      <c r="C71" s="66">
        <f ca="1">J72</f>
        <v>25</v>
      </c>
      <c r="D71" s="20">
        <f ca="1">((100/H68)*C71)/100</f>
        <v>1</v>
      </c>
      <c r="E71" s="172">
        <f ca="1">(((C72/H68*10)+(40/(D68+F68+H68)*C73)+(7.5/(H68)*C74)+(7.5/(H68)*C75)+(10/H68*C76)+(10/H68*C77)+(5/H68*C78)+(5/H68*C79)+(5/H68*C80))/100)</f>
        <v>0.58064230769230774</v>
      </c>
      <c r="F71" s="172"/>
      <c r="G71" s="172">
        <f ca="1">((((C71/H68)*20)+((C72/H68)*25)+(30/(H68+F68+D68)*C73)+(5/H68*C74)+(5/H68*C75)+(5/H68*C76)+(5/H68*C77)+(0/H68*C78)+(0/H68*C79)+(5/H68*C80))/100)</f>
        <v>0.78386923076923054</v>
      </c>
      <c r="H71" s="172"/>
      <c r="I71" s="14" t="s">
        <v>102</v>
      </c>
      <c r="J71" s="30">
        <f ca="1">H68*50%</f>
        <v>12.5</v>
      </c>
    </row>
    <row r="72" spans="1:10" x14ac:dyDescent="0.25">
      <c r="A72" s="87" t="s">
        <v>51</v>
      </c>
      <c r="B72" s="87"/>
      <c r="C72" s="64">
        <f ca="1">J80</f>
        <v>25</v>
      </c>
      <c r="D72" s="20">
        <f ca="1">((100/H68)*C72)/100</f>
        <v>1</v>
      </c>
      <c r="E72" s="172"/>
      <c r="F72" s="172"/>
      <c r="G72" s="172"/>
      <c r="H72" s="172"/>
      <c r="I72" s="14" t="s">
        <v>103</v>
      </c>
      <c r="J72" s="30">
        <f ca="1">H68</f>
        <v>25</v>
      </c>
    </row>
    <row r="73" spans="1:10" ht="15.75" customHeight="1" x14ac:dyDescent="0.25">
      <c r="A73" s="87" t="s">
        <v>134</v>
      </c>
      <c r="B73" s="87"/>
      <c r="C73" s="66">
        <v>20</v>
      </c>
      <c r="D73" s="20">
        <f ca="1">((100/(D68+F68+H68))*C73)/100</f>
        <v>0.76923076923076916</v>
      </c>
      <c r="E73" s="172"/>
      <c r="F73" s="172"/>
      <c r="G73" s="172"/>
      <c r="H73" s="172"/>
      <c r="I73" s="14" t="s">
        <v>104</v>
      </c>
      <c r="J73" s="31">
        <f ca="1">(IF(B68&gt;1,(H68/(B68+2)),H68/4))</f>
        <v>6.25</v>
      </c>
    </row>
    <row r="74" spans="1:10" ht="15.75" customHeight="1" x14ac:dyDescent="0.25">
      <c r="A74" s="87" t="s">
        <v>141</v>
      </c>
      <c r="B74" s="87" t="s">
        <v>135</v>
      </c>
      <c r="C74" s="66">
        <f>C73-1</f>
        <v>19</v>
      </c>
      <c r="D74" s="20">
        <f ca="1">((100/H68)*C74)/100</f>
        <v>0.76</v>
      </c>
      <c r="E74" s="172"/>
      <c r="F74" s="172"/>
      <c r="G74" s="172"/>
      <c r="H74" s="172"/>
      <c r="I74" s="14" t="s">
        <v>105</v>
      </c>
      <c r="J74" s="31">
        <f ca="1">(IF(B68&gt;1,(H68/(B68+2)+J73),H68/4+J73))</f>
        <v>12.5</v>
      </c>
    </row>
    <row r="75" spans="1:10" ht="15.75" customHeight="1" x14ac:dyDescent="0.25">
      <c r="A75" s="87" t="s">
        <v>142</v>
      </c>
      <c r="B75" s="87" t="s">
        <v>135</v>
      </c>
      <c r="C75" s="64">
        <f>C74*0.75</f>
        <v>14.25</v>
      </c>
      <c r="D75" s="20">
        <f ca="1">((100/H68)*C75)/100</f>
        <v>0.56999999999999995</v>
      </c>
      <c r="E75" s="172"/>
      <c r="F75" s="172"/>
      <c r="G75" s="172"/>
      <c r="H75" s="172"/>
      <c r="I75" s="14" t="s">
        <v>153</v>
      </c>
      <c r="J75" s="31">
        <f>(IF(B68&gt;1,(H68/(B68+2)+J74),0))</f>
        <v>0</v>
      </c>
    </row>
    <row r="76" spans="1:10" ht="15" customHeight="1" x14ac:dyDescent="0.25">
      <c r="A76" s="87" t="s">
        <v>140</v>
      </c>
      <c r="B76" s="87" t="s">
        <v>137</v>
      </c>
      <c r="C76" s="64">
        <f>C74*0.7</f>
        <v>13.299999999999999</v>
      </c>
      <c r="D76" s="20">
        <f ca="1">((100/(H68))*C76)/100</f>
        <v>0.53199999999999992</v>
      </c>
      <c r="E76" s="172"/>
      <c r="F76" s="172"/>
      <c r="G76" s="172"/>
      <c r="H76" s="172"/>
      <c r="I76" s="14" t="s">
        <v>148</v>
      </c>
      <c r="J76" s="31">
        <f>(IF(B68&gt;2,(H68/(B68+2)+J75),0))</f>
        <v>0</v>
      </c>
    </row>
    <row r="77" spans="1:10" ht="15.75" customHeight="1" x14ac:dyDescent="0.25">
      <c r="A77" s="87" t="s">
        <v>136</v>
      </c>
      <c r="B77" s="87" t="s">
        <v>136</v>
      </c>
      <c r="C77" s="66">
        <v>5</v>
      </c>
      <c r="D77" s="20">
        <f ca="1">((100/H68)*C77)/100</f>
        <v>0.2</v>
      </c>
      <c r="E77" s="172"/>
      <c r="F77" s="172"/>
      <c r="G77" s="172"/>
      <c r="H77" s="172"/>
      <c r="I77" s="14" t="s">
        <v>149</v>
      </c>
      <c r="J77" s="32">
        <f>(IF(B68&gt;3,(H68/(B68+2)+J76),0))</f>
        <v>0</v>
      </c>
    </row>
    <row r="78" spans="1:10" ht="15.75" customHeight="1" x14ac:dyDescent="0.25">
      <c r="A78" s="87" t="s">
        <v>143</v>
      </c>
      <c r="B78" s="87"/>
      <c r="C78" s="66">
        <v>0</v>
      </c>
      <c r="D78" s="20">
        <f ca="1">((100/H68)*C78)/100</f>
        <v>0</v>
      </c>
      <c r="E78" s="172"/>
      <c r="F78" s="172"/>
      <c r="G78" s="172"/>
      <c r="H78" s="172"/>
      <c r="I78" s="14" t="s">
        <v>150</v>
      </c>
      <c r="J78" s="31">
        <f>(IF(B68&gt;4,(H68/(B68+2)+J77),0))</f>
        <v>0</v>
      </c>
    </row>
    <row r="79" spans="1:10" ht="15.75" customHeight="1" x14ac:dyDescent="0.25">
      <c r="A79" s="87" t="s">
        <v>138</v>
      </c>
      <c r="B79" s="87" t="s">
        <v>138</v>
      </c>
      <c r="C79" s="66">
        <v>0</v>
      </c>
      <c r="D79" s="20">
        <f ca="1">((100/(H68))*C79)/100</f>
        <v>0</v>
      </c>
      <c r="E79" s="172"/>
      <c r="F79" s="172"/>
      <c r="G79" s="172"/>
      <c r="H79" s="172"/>
      <c r="I79" s="14" t="s">
        <v>154</v>
      </c>
      <c r="J79" s="31">
        <f ca="1">(IF(B68=1,(H68/(B68+3)+J74),IF(B68=0,(H68/4+J74),IF(B68&gt;1,0))))</f>
        <v>18.75</v>
      </c>
    </row>
    <row r="80" spans="1:10" ht="16.5" thickBot="1" x14ac:dyDescent="0.3">
      <c r="A80" s="87" t="s">
        <v>139</v>
      </c>
      <c r="B80" s="87"/>
      <c r="C80" s="66">
        <v>0</v>
      </c>
      <c r="D80" s="20">
        <f ca="1">((100/(H68))*C80)/100</f>
        <v>0</v>
      </c>
      <c r="E80" s="172"/>
      <c r="F80" s="172"/>
      <c r="G80" s="172"/>
      <c r="H80" s="172"/>
      <c r="I80" s="16" t="s">
        <v>106</v>
      </c>
      <c r="J80" s="33">
        <f ca="1">(IF(B68&gt;1.5,(H68/(B68+2)+J74+MAX(0,J75-J74)+MAX(0,J76-J75)+MAX(0,J77-J76)+MAX(0,J78-J77)+MAX(0,J79-J78)),IF(B68=1,(H68/(B68+3)+J79),IF(B68=0,H68/4+J79))))</f>
        <v>25</v>
      </c>
    </row>
    <row r="81" spans="1:10" ht="15.75" customHeight="1" x14ac:dyDescent="0.25">
      <c r="A81" s="88" t="s">
        <v>145</v>
      </c>
      <c r="B81" s="89"/>
      <c r="C81" s="90" t="str">
        <f>D59</f>
        <v>B Wing = B + G + 1st to 25th Floor</v>
      </c>
      <c r="D81" s="91"/>
      <c r="E81" s="91"/>
      <c r="F81" s="91"/>
      <c r="G81" s="91"/>
      <c r="H81" s="92"/>
      <c r="I81" s="51" t="str">
        <f ca="1">IF(D94=100%,"All work Completed. Possession granted to the Building.",IF(D93=100%,"All work Completed, Waiting for OC",I82&amp;""&amp;I83&amp;""&amp;J82&amp;""&amp;J81&amp;" "&amp;J83))</f>
        <v>Excavation, Plinth Completed, RCC upto 16 Slab, Brickwork upto 15 Floor, Internal Plaster upto 11.25 Floor, External Plaster upto 10.5 Floor Completed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16 Slab, Brickwork upto 15 Floor, Internal Plaster upto 11.25 Floor, External Plaster upto 10.5 Floor</v>
      </c>
    </row>
    <row r="82" spans="1:10" x14ac:dyDescent="0.25">
      <c r="A82" s="17" t="s">
        <v>147</v>
      </c>
      <c r="B82" s="55">
        <v>1</v>
      </c>
      <c r="C82" s="49" t="s">
        <v>73</v>
      </c>
      <c r="D82" s="49">
        <v>1</v>
      </c>
      <c r="E82" s="49" t="s">
        <v>72</v>
      </c>
      <c r="F82" s="60">
        <v>0</v>
      </c>
      <c r="G82" s="50" t="s">
        <v>82</v>
      </c>
      <c r="H82" s="18">
        <f ca="1">--TRIM(RIGHT(SUBSTITUTE(LEFT(C81,_xlfn.AGGREGATE(16,6,FIND({0,1,2,3,4,5,6,7,8,9},C81,ROW(INDIRECT("1:"&amp;LEN(C81)))),1))," ",REPT(" ",LEN(C81))),LEN(C81)))</f>
        <v>25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1.5" customHeight="1" x14ac:dyDescent="0.25">
      <c r="A83" s="193" t="s">
        <v>92</v>
      </c>
      <c r="B83" s="147"/>
      <c r="C83" s="156" t="str">
        <f ca="1">(IF($G$53="NA",I81,"All work Completed. OC Received."))</f>
        <v>Excavation, Plinth Completed, RCC upto 16 Slab, Brickwork upto 15 Floor, Internal Plaster upto 11.25 Floor, External Plaster upto 10.5 Floor Completed</v>
      </c>
      <c r="D83" s="156"/>
      <c r="E83" s="156"/>
      <c r="F83" s="156"/>
      <c r="G83" s="156"/>
      <c r="H83" s="191"/>
      <c r="I83" s="53" t="str">
        <f ca="1">IF(I82&lt;&gt;""," Completed","")</f>
        <v xml:space="preserve"> Completed</v>
      </c>
      <c r="J83" s="54" t="str">
        <f ca="1">IF(J81&lt;&gt;"","Completed","")</f>
        <v>Completed</v>
      </c>
    </row>
    <row r="84" spans="1:10" ht="15.75" customHeight="1" x14ac:dyDescent="0.25">
      <c r="A84" s="86" t="s">
        <v>50</v>
      </c>
      <c r="B84" s="87"/>
      <c r="C84" s="45" t="s">
        <v>144</v>
      </c>
      <c r="D84" s="45" t="s">
        <v>85</v>
      </c>
      <c r="E84" s="87" t="s">
        <v>87</v>
      </c>
      <c r="F84" s="87"/>
      <c r="G84" s="87" t="s">
        <v>86</v>
      </c>
      <c r="H84" s="194"/>
      <c r="I84" s="14" t="s">
        <v>146</v>
      </c>
      <c r="J84" s="29">
        <f ca="1">H82*25%</f>
        <v>6.25</v>
      </c>
    </row>
    <row r="85" spans="1:10" x14ac:dyDescent="0.25">
      <c r="A85" s="86" t="s">
        <v>133</v>
      </c>
      <c r="B85" s="87"/>
      <c r="C85" s="45">
        <f ca="1">J86</f>
        <v>25</v>
      </c>
      <c r="D85" s="20">
        <f ca="1">((100/H82)*C85)/100</f>
        <v>1</v>
      </c>
      <c r="E85" s="164">
        <f ca="1">(((C86/H82*10)+(40/(D82+F82+H82)*C87)+(7.5/(H82)*C88)+(7.5/(H82)*C89)+(10/H82*C90)+(10/H82*C91)+(5/H82*C92)+(5/H82*C93)+(5/H82*C94))/100)</f>
        <v>0.46690384615384617</v>
      </c>
      <c r="F85" s="181"/>
      <c r="G85" s="164">
        <f ca="1">((((C85/H82)*20)+((C86/H82)*25)+(30/(H82+F82+D82)*C87)+(5/H82*C88)+(5/H82*C89)+(5/H82*C90)+(5/H82*C91)+(0/H82*C92)+(0/H82*C93)+(5/H82*C94))/100)</f>
        <v>0.70811538461538448</v>
      </c>
      <c r="H85" s="165"/>
      <c r="I85" s="14" t="s">
        <v>102</v>
      </c>
      <c r="J85" s="30">
        <f ca="1">H82*50%</f>
        <v>12.5</v>
      </c>
    </row>
    <row r="86" spans="1:10" x14ac:dyDescent="0.25">
      <c r="A86" s="86" t="s">
        <v>51</v>
      </c>
      <c r="B86" s="87"/>
      <c r="C86" s="45">
        <f ca="1">J94</f>
        <v>25</v>
      </c>
      <c r="D86" s="20">
        <f ca="1">((100/H82)*C86)/100</f>
        <v>1</v>
      </c>
      <c r="E86" s="166"/>
      <c r="F86" s="182"/>
      <c r="G86" s="166"/>
      <c r="H86" s="167"/>
      <c r="I86" s="14" t="s">
        <v>103</v>
      </c>
      <c r="J86" s="30">
        <f ca="1">H82</f>
        <v>25</v>
      </c>
    </row>
    <row r="87" spans="1:10" ht="15.75" customHeight="1" x14ac:dyDescent="0.25">
      <c r="A87" s="86" t="s">
        <v>134</v>
      </c>
      <c r="B87" s="87"/>
      <c r="C87" s="45">
        <v>16</v>
      </c>
      <c r="D87" s="20">
        <f ca="1">((100/(D82+F82+H82))*C87)/100</f>
        <v>0.61538461538461542</v>
      </c>
      <c r="E87" s="166"/>
      <c r="F87" s="182"/>
      <c r="G87" s="166"/>
      <c r="H87" s="167"/>
      <c r="I87" s="14" t="s">
        <v>104</v>
      </c>
      <c r="J87" s="31">
        <f ca="1">(IF(B82&gt;1,(H82/(B82+2)),H82/4))</f>
        <v>6.25</v>
      </c>
    </row>
    <row r="88" spans="1:10" ht="15.75" customHeight="1" x14ac:dyDescent="0.25">
      <c r="A88" s="86" t="s">
        <v>141</v>
      </c>
      <c r="B88" s="87" t="s">
        <v>135</v>
      </c>
      <c r="C88" s="45">
        <f>C87-1</f>
        <v>15</v>
      </c>
      <c r="D88" s="20">
        <f ca="1">((100/H82)*C88)/100</f>
        <v>0.6</v>
      </c>
      <c r="E88" s="166"/>
      <c r="F88" s="182"/>
      <c r="G88" s="166"/>
      <c r="H88" s="167"/>
      <c r="I88" s="14" t="s">
        <v>105</v>
      </c>
      <c r="J88" s="31">
        <f ca="1">(IF(B82&gt;1,(H82/(B82+2)+J87),H82/4+J87))</f>
        <v>12.5</v>
      </c>
    </row>
    <row r="89" spans="1:10" ht="15.75" customHeight="1" x14ac:dyDescent="0.25">
      <c r="A89" s="86" t="s">
        <v>142</v>
      </c>
      <c r="B89" s="87" t="s">
        <v>135</v>
      </c>
      <c r="C89" s="64">
        <f>C88*0.75</f>
        <v>11.25</v>
      </c>
      <c r="D89" s="20">
        <f ca="1">((100/H82)*C89)/100</f>
        <v>0.45</v>
      </c>
      <c r="E89" s="166"/>
      <c r="F89" s="182"/>
      <c r="G89" s="166"/>
      <c r="H89" s="167"/>
      <c r="I89" s="14" t="s">
        <v>153</v>
      </c>
      <c r="J89" s="31">
        <f>(IF(B82&gt;1,(H82/(B82+2)+J88),0))</f>
        <v>0</v>
      </c>
    </row>
    <row r="90" spans="1:10" ht="15" customHeight="1" x14ac:dyDescent="0.25">
      <c r="A90" s="86" t="s">
        <v>140</v>
      </c>
      <c r="B90" s="87" t="s">
        <v>137</v>
      </c>
      <c r="C90" s="64">
        <f>C88*0.7</f>
        <v>10.5</v>
      </c>
      <c r="D90" s="20">
        <f ca="1">((100/(H82))*C90)/100</f>
        <v>0.42</v>
      </c>
      <c r="E90" s="166"/>
      <c r="F90" s="182"/>
      <c r="G90" s="166"/>
      <c r="H90" s="167"/>
      <c r="I90" s="14" t="s">
        <v>148</v>
      </c>
      <c r="J90" s="31">
        <f>(IF(B82&gt;2,(H82/(B82+2)+J89),0))</f>
        <v>0</v>
      </c>
    </row>
    <row r="91" spans="1:10" ht="15.75" customHeight="1" x14ac:dyDescent="0.25">
      <c r="A91" s="86" t="s">
        <v>136</v>
      </c>
      <c r="B91" s="87" t="s">
        <v>136</v>
      </c>
      <c r="C91" s="45">
        <v>0</v>
      </c>
      <c r="D91" s="20">
        <f ca="1">((100/H82)*C91)/100</f>
        <v>0</v>
      </c>
      <c r="E91" s="166"/>
      <c r="F91" s="182"/>
      <c r="G91" s="166"/>
      <c r="H91" s="167"/>
      <c r="I91" s="14" t="s">
        <v>149</v>
      </c>
      <c r="J91" s="32">
        <f>(IF(B82&gt;3,(H82/(B82+2)+J90),0))</f>
        <v>0</v>
      </c>
    </row>
    <row r="92" spans="1:10" ht="15.75" customHeight="1" x14ac:dyDescent="0.25">
      <c r="A92" s="86" t="s">
        <v>143</v>
      </c>
      <c r="B92" s="87"/>
      <c r="C92" s="45">
        <v>0</v>
      </c>
      <c r="D92" s="20">
        <f ca="1">((100/H82)*C92)/100</f>
        <v>0</v>
      </c>
      <c r="E92" s="166"/>
      <c r="F92" s="182"/>
      <c r="G92" s="166"/>
      <c r="H92" s="167"/>
      <c r="I92" s="14" t="s">
        <v>150</v>
      </c>
      <c r="J92" s="31">
        <f>(IF(B82&gt;4,(H82/(B82+2)+J91),0))</f>
        <v>0</v>
      </c>
    </row>
    <row r="93" spans="1:10" ht="15.75" customHeight="1" x14ac:dyDescent="0.25">
      <c r="A93" s="86" t="s">
        <v>138</v>
      </c>
      <c r="B93" s="87" t="s">
        <v>138</v>
      </c>
      <c r="C93" s="45">
        <v>0</v>
      </c>
      <c r="D93" s="20">
        <f ca="1">((100/(H82))*C93)/100</f>
        <v>0</v>
      </c>
      <c r="E93" s="166"/>
      <c r="F93" s="182"/>
      <c r="G93" s="166"/>
      <c r="H93" s="167"/>
      <c r="I93" s="14" t="s">
        <v>154</v>
      </c>
      <c r="J93" s="31">
        <f ca="1">(IF(B82=1,(H82/(B82+3)+J88),IF(B82=0,(H82/4+J88),IF(B82&gt;1,0))))</f>
        <v>18.75</v>
      </c>
    </row>
    <row r="94" spans="1:10" ht="16.5" thickBot="1" x14ac:dyDescent="0.3">
      <c r="A94" s="96" t="s">
        <v>139</v>
      </c>
      <c r="B94" s="97"/>
      <c r="C94" s="46">
        <v>0</v>
      </c>
      <c r="D94" s="21">
        <f ca="1">((100/(H82))*C94)/100</f>
        <v>0</v>
      </c>
      <c r="E94" s="168"/>
      <c r="F94" s="183"/>
      <c r="G94" s="168"/>
      <c r="H94" s="169"/>
      <c r="I94" s="16" t="s">
        <v>106</v>
      </c>
      <c r="J94" s="33">
        <f ca="1">(IF(B82&gt;1.5,(H82/(B82+2)+J88+MAX(0,J89-J88)+MAX(0,J90-J89)+MAX(0,J91-J90)+MAX(0,J92-J91)+MAX(0,J93-J92)),IF(B82=1,(H82/(B82+3)+J93),IF(B82=0,H82/4+J93))))</f>
        <v>25</v>
      </c>
    </row>
    <row r="95" spans="1:10" ht="15.75" hidden="1" customHeight="1" x14ac:dyDescent="0.25">
      <c r="A95" s="176" t="s">
        <v>145</v>
      </c>
      <c r="B95" s="177"/>
      <c r="C95" s="178" t="e">
        <f>#REF!</f>
        <v>#REF!</v>
      </c>
      <c r="D95" s="179"/>
      <c r="E95" s="179"/>
      <c r="F95" s="179"/>
      <c r="G95" s="179"/>
      <c r="H95" s="180"/>
      <c r="I95" s="51" t="e">
        <f ca="1">IF(D108=100%,"All work Completed. Possession granted to the Building.",IF(D107=100%,"All work Completed, Waiting for OC",I96&amp;""&amp;I97&amp;""&amp;J96&amp;""&amp;J95&amp;" "&amp;J97))</f>
        <v>#REF!</v>
      </c>
      <c r="J95" s="52" t="e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#REF!</v>
      </c>
    </row>
    <row r="96" spans="1:10" hidden="1" x14ac:dyDescent="0.25">
      <c r="A96" s="17" t="s">
        <v>147</v>
      </c>
      <c r="B96" s="55" t="str">
        <f>IF(AND(ISNUMBER(SEARCH("1B",C95))),"1",IF(AND(ISNUMBER(SEARCH("2B",C95))),"2",IF(AND(ISNUMBER(SEARCH("3B",C95))),"3",IF(AND(ISNUMBER(SEARCH("4B",C95))),"4",IF(ISNUMBER(SEARCH("5B",C95)),"5","0")))))</f>
        <v>0</v>
      </c>
      <c r="C96" s="49" t="s">
        <v>73</v>
      </c>
      <c r="D96" s="49">
        <v>1</v>
      </c>
      <c r="E96" s="49" t="s">
        <v>72</v>
      </c>
      <c r="F96" s="15">
        <v>0</v>
      </c>
      <c r="G96" s="50" t="s">
        <v>82</v>
      </c>
      <c r="H96" s="18" t="e">
        <f ca="1">--TRIM(RIGHT(SUBSTITUTE(LEFT(C95,_xlfn.AGGREGATE(16,6,FIND({0,1,2,3,4,5,6,7,8,9},C95,ROW(INDIRECT("1:"&amp;LEN(C95)))),1))," ",REPT(" ",LEN(C95))),LEN(C95)))</f>
        <v>#REF!</v>
      </c>
      <c r="I96" s="53" t="e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#REF!</v>
      </c>
      <c r="J96" s="54" t="e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>#REF!</v>
      </c>
    </row>
    <row r="97" spans="1:10" ht="33" hidden="1" customHeight="1" x14ac:dyDescent="0.25">
      <c r="A97" s="193" t="s">
        <v>92</v>
      </c>
      <c r="B97" s="147"/>
      <c r="C97" s="156" t="e">
        <f ca="1">(IF($G$53="NA",I95,"All work Completed. OC Received."))</f>
        <v>#REF!</v>
      </c>
      <c r="D97" s="156"/>
      <c r="E97" s="156"/>
      <c r="F97" s="156"/>
      <c r="G97" s="156"/>
      <c r="H97" s="191"/>
      <c r="I97" s="53" t="e">
        <f ca="1">IF(I96&lt;&gt;""," Completed","")</f>
        <v>#REF!</v>
      </c>
      <c r="J97" s="54" t="e">
        <f ca="1">IF(J95&lt;&gt;"","Completed","")</f>
        <v>#REF!</v>
      </c>
    </row>
    <row r="98" spans="1:10" ht="15.75" hidden="1" customHeight="1" x14ac:dyDescent="0.25">
      <c r="A98" s="86" t="s">
        <v>50</v>
      </c>
      <c r="B98" s="87"/>
      <c r="C98" s="45" t="s">
        <v>144</v>
      </c>
      <c r="D98" s="45" t="s">
        <v>85</v>
      </c>
      <c r="E98" s="87" t="s">
        <v>87</v>
      </c>
      <c r="F98" s="87"/>
      <c r="G98" s="87" t="s">
        <v>86</v>
      </c>
      <c r="H98" s="194"/>
      <c r="I98" s="14" t="s">
        <v>146</v>
      </c>
      <c r="J98" s="29" t="e">
        <f ca="1">H96*25%</f>
        <v>#REF!</v>
      </c>
    </row>
    <row r="99" spans="1:10" hidden="1" x14ac:dyDescent="0.25">
      <c r="A99" s="86" t="s">
        <v>133</v>
      </c>
      <c r="B99" s="87"/>
      <c r="C99" s="45" t="e">
        <f ca="1">J100</f>
        <v>#REF!</v>
      </c>
      <c r="D99" s="20" t="e">
        <f ca="1">((100/H96)*C99)/100</f>
        <v>#REF!</v>
      </c>
      <c r="E99" s="164" t="e">
        <f ca="1">(((C100/H96*10)+(40/(D96+F96+H96)*C101)+(7.5/(H96)*C102)+(7.5/(H96)*C103)+(10/H96*C104)+(10/H96*C105)+(5/H96*C106)+(5/H96*C107)+(5/H96*C108))/100)</f>
        <v>#REF!</v>
      </c>
      <c r="F99" s="181"/>
      <c r="G99" s="164" t="e">
        <f ca="1">((((C99/H96)*20)+((C100/H96)*25)+(30/(H96+F96+D96)*C101)+(5/H96*C102)+(5/H96*C103)+(5/H96*C104)+(5/H96*C105)+(0/H96*C106)+(0/H96*C107)+(5/H96*C108))/100)</f>
        <v>#REF!</v>
      </c>
      <c r="H99" s="165"/>
      <c r="I99" s="14" t="s">
        <v>102</v>
      </c>
      <c r="J99" s="30" t="e">
        <f ca="1">H96*50%</f>
        <v>#REF!</v>
      </c>
    </row>
    <row r="100" spans="1:10" hidden="1" x14ac:dyDescent="0.25">
      <c r="A100" s="86" t="s">
        <v>51</v>
      </c>
      <c r="B100" s="87"/>
      <c r="C100" s="45" t="e">
        <f ca="1">J108</f>
        <v>#REF!</v>
      </c>
      <c r="D100" s="20" t="e">
        <f ca="1">((100/H96)*C100)/100</f>
        <v>#REF!</v>
      </c>
      <c r="E100" s="166"/>
      <c r="F100" s="182"/>
      <c r="G100" s="166"/>
      <c r="H100" s="167"/>
      <c r="I100" s="14" t="s">
        <v>103</v>
      </c>
      <c r="J100" s="30" t="e">
        <f ca="1">H96</f>
        <v>#REF!</v>
      </c>
    </row>
    <row r="101" spans="1:10" ht="15.75" hidden="1" customHeight="1" x14ac:dyDescent="0.25">
      <c r="A101" s="86" t="s">
        <v>134</v>
      </c>
      <c r="B101" s="87"/>
      <c r="C101" s="45" t="e">
        <f ca="1">D96+H96</f>
        <v>#REF!</v>
      </c>
      <c r="D101" s="20" t="e">
        <f ca="1">((100/(D96+F96+H96))*C101)/100</f>
        <v>#REF!</v>
      </c>
      <c r="E101" s="166"/>
      <c r="F101" s="182"/>
      <c r="G101" s="166"/>
      <c r="H101" s="167"/>
      <c r="I101" s="14" t="s">
        <v>104</v>
      </c>
      <c r="J101" s="31" t="e">
        <f ca="1">(IF(B96&gt;1,(H96/(B96+2)),H96/4))</f>
        <v>#REF!</v>
      </c>
    </row>
    <row r="102" spans="1:10" ht="15.75" hidden="1" customHeight="1" x14ac:dyDescent="0.25">
      <c r="A102" s="86" t="s">
        <v>141</v>
      </c>
      <c r="B102" s="87" t="s">
        <v>135</v>
      </c>
      <c r="C102" s="45">
        <v>0</v>
      </c>
      <c r="D102" s="20" t="e">
        <f ca="1">((100/H96)*C102)/100</f>
        <v>#REF!</v>
      </c>
      <c r="E102" s="166"/>
      <c r="F102" s="182"/>
      <c r="G102" s="166"/>
      <c r="H102" s="167"/>
      <c r="I102" s="14" t="s">
        <v>105</v>
      </c>
      <c r="J102" s="31" t="e">
        <f ca="1">(IF(B96&gt;1,(H96/(B96+2)+J101),H96/4+J101))</f>
        <v>#REF!</v>
      </c>
    </row>
    <row r="103" spans="1:10" ht="15.75" hidden="1" customHeight="1" x14ac:dyDescent="0.25">
      <c r="A103" s="86" t="s">
        <v>142</v>
      </c>
      <c r="B103" s="87" t="s">
        <v>135</v>
      </c>
      <c r="C103" s="45">
        <v>0</v>
      </c>
      <c r="D103" s="20" t="e">
        <f ca="1">((100/H96)*C103)/100</f>
        <v>#REF!</v>
      </c>
      <c r="E103" s="166"/>
      <c r="F103" s="182"/>
      <c r="G103" s="166"/>
      <c r="H103" s="167"/>
      <c r="I103" s="14" t="s">
        <v>153</v>
      </c>
      <c r="J103" s="31" t="e">
        <f ca="1">(IF(B96&gt;1,(H96/(B96+2)+J102),0))</f>
        <v>#REF!</v>
      </c>
    </row>
    <row r="104" spans="1:10" ht="15" hidden="1" customHeight="1" x14ac:dyDescent="0.25">
      <c r="A104" s="86" t="s">
        <v>140</v>
      </c>
      <c r="B104" s="87" t="s">
        <v>137</v>
      </c>
      <c r="C104" s="45">
        <v>0</v>
      </c>
      <c r="D104" s="20" t="e">
        <f ca="1">((100/(H96))*C104)/100</f>
        <v>#REF!</v>
      </c>
      <c r="E104" s="166"/>
      <c r="F104" s="182"/>
      <c r="G104" s="166"/>
      <c r="H104" s="167"/>
      <c r="I104" s="14" t="s">
        <v>148</v>
      </c>
      <c r="J104" s="31" t="e">
        <f ca="1">(IF(B96&gt;2,(H96/(B96+2)+J103),0))</f>
        <v>#REF!</v>
      </c>
    </row>
    <row r="105" spans="1:10" ht="15.75" hidden="1" customHeight="1" x14ac:dyDescent="0.25">
      <c r="A105" s="86" t="s">
        <v>136</v>
      </c>
      <c r="B105" s="87" t="s">
        <v>136</v>
      </c>
      <c r="C105" s="45">
        <v>0</v>
      </c>
      <c r="D105" s="20" t="e">
        <f ca="1">((100/H96)*C105)/100</f>
        <v>#REF!</v>
      </c>
      <c r="E105" s="166"/>
      <c r="F105" s="182"/>
      <c r="G105" s="166"/>
      <c r="H105" s="167"/>
      <c r="I105" s="14" t="s">
        <v>149</v>
      </c>
      <c r="J105" s="32" t="e">
        <f ca="1">(IF(B96&gt;3,(H96/(B96+2)+J104),0))</f>
        <v>#REF!</v>
      </c>
    </row>
    <row r="106" spans="1:10" ht="15.75" hidden="1" customHeight="1" x14ac:dyDescent="0.25">
      <c r="A106" s="86" t="s">
        <v>143</v>
      </c>
      <c r="B106" s="87"/>
      <c r="C106" s="45">
        <v>0</v>
      </c>
      <c r="D106" s="20" t="e">
        <f ca="1">((100/H96)*C106)/100</f>
        <v>#REF!</v>
      </c>
      <c r="E106" s="166"/>
      <c r="F106" s="182"/>
      <c r="G106" s="166"/>
      <c r="H106" s="167"/>
      <c r="I106" s="14" t="s">
        <v>150</v>
      </c>
      <c r="J106" s="31" t="e">
        <f ca="1">(IF(B96&gt;4,(H96/(B96+2)+J105),0))</f>
        <v>#REF!</v>
      </c>
    </row>
    <row r="107" spans="1:10" ht="15.75" hidden="1" customHeight="1" x14ac:dyDescent="0.25">
      <c r="A107" s="86" t="s">
        <v>138</v>
      </c>
      <c r="B107" s="87" t="s">
        <v>138</v>
      </c>
      <c r="C107" s="45">
        <v>0</v>
      </c>
      <c r="D107" s="20" t="e">
        <f ca="1">((100/(H96))*C107)/100</f>
        <v>#REF!</v>
      </c>
      <c r="E107" s="166"/>
      <c r="F107" s="182"/>
      <c r="G107" s="166"/>
      <c r="H107" s="167"/>
      <c r="I107" s="14" t="s">
        <v>154</v>
      </c>
      <c r="J107" s="31">
        <f>(IF(B96=1,(H96/(B96+3)+J102),IF(B96=0,(H96/4+J102),IF(B96&gt;1,0))))</f>
        <v>0</v>
      </c>
    </row>
    <row r="108" spans="1:10" ht="16.5" hidden="1" thickBot="1" x14ac:dyDescent="0.3">
      <c r="A108" s="96" t="s">
        <v>139</v>
      </c>
      <c r="B108" s="97"/>
      <c r="C108" s="46">
        <v>0</v>
      </c>
      <c r="D108" s="21" t="e">
        <f ca="1">((100/(H96))*C108)/100</f>
        <v>#REF!</v>
      </c>
      <c r="E108" s="168"/>
      <c r="F108" s="183"/>
      <c r="G108" s="168"/>
      <c r="H108" s="169"/>
      <c r="I108" s="16" t="s">
        <v>106</v>
      </c>
      <c r="J108" s="33" t="e">
        <f ca="1">(IF(B96&gt;1.5,(H96/(B96+2)+J102+MAX(0,J103-J102)+MAX(0,J104-J103)+MAX(0,J105-J104)+MAX(0,J106-J105)+MAX(0,J107-J106)),IF(B96=1,(H96/(B96+3)+J107),IF(B96=0,H96/4+J107))))</f>
        <v>#REF!</v>
      </c>
    </row>
    <row r="109" spans="1:10" x14ac:dyDescent="0.25">
      <c r="A109" s="195" t="s">
        <v>164</v>
      </c>
      <c r="B109" s="195"/>
      <c r="C109" s="195"/>
      <c r="D109" s="195"/>
      <c r="E109" s="195"/>
      <c r="F109" s="139" t="s">
        <v>169</v>
      </c>
      <c r="G109" s="139"/>
      <c r="H109" s="139"/>
    </row>
    <row r="110" spans="1:10" x14ac:dyDescent="0.25">
      <c r="A110" s="72" t="s">
        <v>167</v>
      </c>
      <c r="B110" s="72"/>
      <c r="C110" s="72"/>
      <c r="D110" s="72"/>
      <c r="E110" s="72"/>
      <c r="F110" s="93">
        <v>13000</v>
      </c>
      <c r="G110" s="93"/>
      <c r="H110" s="93"/>
    </row>
    <row r="111" spans="1:10" x14ac:dyDescent="0.25">
      <c r="A111" s="72" t="s">
        <v>166</v>
      </c>
      <c r="B111" s="72"/>
      <c r="C111" s="72"/>
      <c r="D111" s="72"/>
      <c r="E111" s="72"/>
      <c r="F111" s="93">
        <v>20000</v>
      </c>
      <c r="G111" s="93"/>
      <c r="H111" s="93"/>
    </row>
    <row r="112" spans="1:10" hidden="1" x14ac:dyDescent="0.25">
      <c r="A112" s="72" t="s">
        <v>168</v>
      </c>
      <c r="B112" s="72"/>
      <c r="C112" s="72"/>
      <c r="D112" s="72"/>
      <c r="E112" s="72"/>
      <c r="F112" s="93"/>
      <c r="G112" s="93"/>
      <c r="H112" s="93"/>
    </row>
    <row r="113" spans="1:8" s="34" customFormat="1" hidden="1" x14ac:dyDescent="0.25">
      <c r="A113" s="72" t="s">
        <v>165</v>
      </c>
      <c r="B113" s="72"/>
      <c r="C113" s="72"/>
      <c r="D113" s="72"/>
      <c r="E113" s="72"/>
      <c r="F113" s="93"/>
      <c r="G113" s="93"/>
      <c r="H113" s="93"/>
    </row>
    <row r="114" spans="1:8" s="34" customFormat="1" hidden="1" x14ac:dyDescent="0.25">
      <c r="A114" s="72" t="s">
        <v>97</v>
      </c>
      <c r="B114" s="72"/>
      <c r="C114" s="72"/>
      <c r="D114" s="72"/>
      <c r="E114" s="72"/>
      <c r="F114" s="93"/>
      <c r="G114" s="93"/>
      <c r="H114" s="93"/>
    </row>
    <row r="115" spans="1:8" s="34" customFormat="1" x14ac:dyDescent="0.25">
      <c r="A115" s="72" t="s">
        <v>98</v>
      </c>
      <c r="B115" s="72"/>
      <c r="C115" s="72"/>
      <c r="D115" s="72"/>
      <c r="E115" s="72"/>
      <c r="F115" s="93">
        <v>350000</v>
      </c>
      <c r="G115" s="93"/>
      <c r="H115" s="93"/>
    </row>
    <row r="116" spans="1:8" s="34" customFormat="1" hidden="1" x14ac:dyDescent="0.25">
      <c r="A116" s="72" t="s">
        <v>170</v>
      </c>
      <c r="B116" s="72"/>
      <c r="C116" s="72"/>
      <c r="D116" s="72"/>
      <c r="E116" s="72"/>
      <c r="F116" s="93">
        <v>50000</v>
      </c>
      <c r="G116" s="93"/>
      <c r="H116" s="93"/>
    </row>
    <row r="117" spans="1:8" s="34" customFormat="1" hidden="1" x14ac:dyDescent="0.25">
      <c r="A117" s="72" t="s">
        <v>99</v>
      </c>
      <c r="B117" s="72"/>
      <c r="C117" s="72"/>
      <c r="D117" s="72"/>
      <c r="E117" s="72"/>
      <c r="F117" s="93"/>
      <c r="G117" s="93"/>
      <c r="H117" s="93"/>
    </row>
    <row r="118" spans="1:8" s="34" customFormat="1" x14ac:dyDescent="0.25">
      <c r="A118" s="72" t="s">
        <v>245</v>
      </c>
      <c r="B118" s="72"/>
      <c r="C118" s="72"/>
      <c r="D118" s="72"/>
      <c r="E118" s="72"/>
      <c r="F118" s="93">
        <v>500000</v>
      </c>
      <c r="G118" s="93"/>
      <c r="H118" s="93"/>
    </row>
    <row r="119" spans="1:8" s="34" customFormat="1" hidden="1" x14ac:dyDescent="0.25">
      <c r="A119" s="72" t="s">
        <v>100</v>
      </c>
      <c r="B119" s="72"/>
      <c r="C119" s="72"/>
      <c r="D119" s="72"/>
      <c r="E119" s="72"/>
      <c r="F119" s="93"/>
      <c r="G119" s="93"/>
      <c r="H119" s="93"/>
    </row>
    <row r="120" spans="1:8" s="34" customFormat="1" hidden="1" x14ac:dyDescent="0.25">
      <c r="A120" s="72" t="s">
        <v>101</v>
      </c>
      <c r="B120" s="72"/>
      <c r="C120" s="72"/>
      <c r="D120" s="72"/>
      <c r="E120" s="72"/>
      <c r="F120" s="93"/>
      <c r="G120" s="93"/>
      <c r="H120" s="93"/>
    </row>
    <row r="121" spans="1:8" x14ac:dyDescent="0.25">
      <c r="A121" s="72" t="s">
        <v>52</v>
      </c>
      <c r="B121" s="72"/>
      <c r="C121" s="72"/>
      <c r="D121" s="72"/>
      <c r="E121" s="72"/>
      <c r="F121" s="93">
        <v>600000</v>
      </c>
      <c r="G121" s="93"/>
      <c r="H121" s="93"/>
    </row>
    <row r="122" spans="1:8" s="35" customFormat="1" x14ac:dyDescent="0.25">
      <c r="A122" s="143" t="s">
        <v>53</v>
      </c>
      <c r="B122" s="143"/>
      <c r="C122" s="143"/>
      <c r="D122" s="143"/>
      <c r="E122" s="143"/>
      <c r="F122" s="93">
        <f>F110*0.8</f>
        <v>10400</v>
      </c>
      <c r="G122" s="93"/>
      <c r="H122" s="93"/>
    </row>
    <row r="123" spans="1:8" s="36" customFormat="1" ht="15.75" customHeight="1" x14ac:dyDescent="0.25">
      <c r="A123" s="142" t="s">
        <v>77</v>
      </c>
      <c r="B123" s="142"/>
      <c r="C123" s="142"/>
      <c r="D123" s="142"/>
      <c r="E123" s="142"/>
      <c r="F123" s="142"/>
      <c r="G123" s="142"/>
      <c r="H123" s="142"/>
    </row>
    <row r="124" spans="1:8" s="36" customFormat="1" ht="15.75" customHeight="1" x14ac:dyDescent="0.25">
      <c r="A124" s="77" t="s">
        <v>54</v>
      </c>
      <c r="B124" s="77"/>
      <c r="C124" s="187" t="s">
        <v>80</v>
      </c>
      <c r="D124" s="187"/>
      <c r="E124" s="126" t="s">
        <v>55</v>
      </c>
      <c r="F124" s="126"/>
      <c r="G124" s="77" t="s">
        <v>56</v>
      </c>
      <c r="H124" s="77"/>
    </row>
    <row r="125" spans="1:8" s="36" customFormat="1" x14ac:dyDescent="0.25">
      <c r="A125" s="145" t="s">
        <v>195</v>
      </c>
      <c r="B125" s="145"/>
      <c r="C125" s="120">
        <f>COUNT(D146:D159)</f>
        <v>14</v>
      </c>
      <c r="D125" s="121"/>
      <c r="E125" s="94">
        <f>SUM(D146:D159)</f>
        <v>16180.121879999999</v>
      </c>
      <c r="F125" s="95"/>
      <c r="G125" s="94">
        <f>SUM(F146:F159)</f>
        <v>27192.415068000002</v>
      </c>
      <c r="H125" s="95"/>
    </row>
    <row r="126" spans="1:8" s="36" customFormat="1" x14ac:dyDescent="0.25">
      <c r="A126" s="142" t="s">
        <v>158</v>
      </c>
      <c r="B126" s="142"/>
      <c r="C126" s="186">
        <f>SUM(C125)</f>
        <v>14</v>
      </c>
      <c r="D126" s="187"/>
      <c r="E126" s="188">
        <f>SUM(E125)</f>
        <v>16180.121879999999</v>
      </c>
      <c r="F126" s="126"/>
      <c r="G126" s="77">
        <f>SUM(G125)</f>
        <v>27192.415068000002</v>
      </c>
      <c r="H126" s="77"/>
    </row>
    <row r="127" spans="1:8" s="36" customFormat="1" x14ac:dyDescent="0.25">
      <c r="A127" s="142" t="s">
        <v>254</v>
      </c>
      <c r="B127" s="142"/>
      <c r="C127" s="142"/>
      <c r="D127" s="142"/>
      <c r="E127" s="142"/>
      <c r="F127" s="142"/>
      <c r="G127" s="142"/>
      <c r="H127" s="142"/>
    </row>
    <row r="128" spans="1:8" s="36" customFormat="1" ht="15.75" customHeight="1" x14ac:dyDescent="0.25">
      <c r="A128" s="77" t="s">
        <v>54</v>
      </c>
      <c r="B128" s="77"/>
      <c r="C128" s="187" t="s">
        <v>80</v>
      </c>
      <c r="D128" s="187"/>
      <c r="E128" s="126" t="s">
        <v>55</v>
      </c>
      <c r="F128" s="126"/>
      <c r="G128" s="77" t="s">
        <v>56</v>
      </c>
      <c r="H128" s="77"/>
    </row>
    <row r="129" spans="1:13" s="36" customFormat="1" x14ac:dyDescent="0.25">
      <c r="A129" s="145" t="s">
        <v>195</v>
      </c>
      <c r="B129" s="145"/>
      <c r="C129" s="120">
        <f>COUNT(D176:D179)+COUNT(D186:D190)*3+COUNT(D195:D200)+COUNT(D205:D212)*4+COUNT(D216:D222)+COUNT(D227:D234)*4+COUNT(D238:D244)+COUNT(D252:D256)*5+COUNT(D263:D266)</f>
        <v>132</v>
      </c>
      <c r="D129" s="120"/>
      <c r="E129" s="94">
        <f>SUM(D176:D179)+SUM(D186:D190)*3+SUM(D195:D200)+SUM(D205:D212)*4+SUM(D216:D222)+SUM(D227:D234)*4+SUM(D238:D244)+SUM(D252:D256)*5+SUM(D263:D266)</f>
        <v>113839.71955199998</v>
      </c>
      <c r="F129" s="94"/>
      <c r="G129" s="94">
        <f>SUM(F176:F179)+SUM(F186:F190)*3+SUM(F195:F200)+SUM(F205:F212)*4+SUM(F216:F222)+SUM(F227:F234)*4+SUM(F238:F244)+SUM(F252:F256)*5+SUM(F263:F266)</f>
        <v>170759.57932799999</v>
      </c>
      <c r="H129" s="94"/>
    </row>
    <row r="130" spans="1:13" s="36" customFormat="1" x14ac:dyDescent="0.25">
      <c r="A130" s="145" t="s">
        <v>203</v>
      </c>
      <c r="B130" s="145"/>
      <c r="C130" s="120">
        <f>COUNT(D338:D340)+COUNT(D349:D351)*4+COUNT(D360:D362)+COUNT(D370:D372)*2+COUNT(D380:D382)+COUNT(D390:D393)*2+COUNT(D400:D403)+COUNT(D410:D413)+COUNT(D420:D423)*4+COUNT(D430:D432)+COUNT(D440:D442)*2</f>
        <v>68</v>
      </c>
      <c r="D130" s="120"/>
      <c r="E130" s="94">
        <f>SUM(D338:D340)+SUM(D349:D351)*4+SUM(D360:D362)+SUM(D370:D372)*2+SUM(D380:D382)+SUM(D390:D393)*2+SUM(D400:D403)+SUM(D410:D413)+SUM(D420:D423)*4+SUM(D430:D432)+SUM(D440:D442)*2</f>
        <v>58015.032191999991</v>
      </c>
      <c r="F130" s="94"/>
      <c r="G130" s="94">
        <f>SUM(F338:F340)+SUM(F349:F351)*4+SUM(F360:F362)+SUM(F370:F372)*2+SUM(F380:F382)+SUM(F390:F393)*2+SUM(F400:F403)+SUM(F410:F413)+SUM(F420:F423)*4+SUM(F430:F432)+SUM(F440:F442)*2</f>
        <v>87022.54828800002</v>
      </c>
      <c r="H130" s="94"/>
    </row>
    <row r="131" spans="1:13" s="36" customFormat="1" x14ac:dyDescent="0.25">
      <c r="A131" s="142" t="s">
        <v>158</v>
      </c>
      <c r="B131" s="142"/>
      <c r="C131" s="186">
        <f>SUM(C129:C130)</f>
        <v>200</v>
      </c>
      <c r="D131" s="186"/>
      <c r="E131" s="188">
        <f>SUM(E129:E130)</f>
        <v>171854.75174399998</v>
      </c>
      <c r="F131" s="188"/>
      <c r="G131" s="188">
        <f>SUM(G129:G130)</f>
        <v>257782.12761600001</v>
      </c>
      <c r="H131" s="188"/>
    </row>
    <row r="132" spans="1:13" s="36" customFormat="1" x14ac:dyDescent="0.25">
      <c r="A132" s="146" t="s">
        <v>255</v>
      </c>
      <c r="B132" s="146"/>
      <c r="C132" s="146"/>
      <c r="D132" s="146"/>
      <c r="E132" s="146"/>
      <c r="F132" s="146"/>
      <c r="G132" s="146"/>
      <c r="H132" s="146"/>
      <c r="M132" s="36">
        <f>21*10*2</f>
        <v>420</v>
      </c>
    </row>
    <row r="133" spans="1:13" s="36" customFormat="1" ht="15.75" customHeight="1" x14ac:dyDescent="0.25">
      <c r="A133" s="77" t="s">
        <v>54</v>
      </c>
      <c r="B133" s="77"/>
      <c r="C133" s="187" t="s">
        <v>80</v>
      </c>
      <c r="D133" s="187"/>
      <c r="E133" s="126" t="s">
        <v>55</v>
      </c>
      <c r="F133" s="126"/>
      <c r="G133" s="77" t="s">
        <v>56</v>
      </c>
      <c r="H133" s="77"/>
    </row>
    <row r="134" spans="1:13" s="36" customFormat="1" x14ac:dyDescent="0.25">
      <c r="A134" s="63" t="s">
        <v>195</v>
      </c>
      <c r="B134" s="59" t="s">
        <v>205</v>
      </c>
      <c r="C134" s="120">
        <f>COUNT(D180)+COUNT(D182:D185,D191)*3+COUNT(D193:D194,D202)+COUNT(D204,D213)*4+COUNT(D215,D224)+COUNT(D226,D235)*4+COUNT(D237,D246)+COUNT(D248:D251,D257)*5+COUNT(D259:D262,D268)+COUNT(D270:D273,D279)</f>
        <v>74</v>
      </c>
      <c r="D134" s="120"/>
      <c r="E134" s="94">
        <f>SUM(D180)+SUM(D182:D185,D191)*3+SUM(D193:D194,D202)+SUM(D204,D213)*4+SUM(D215,D224)+SUM(D226,D235)*4+SUM(D237,D246)+SUM(D248:D251,D257)*5+SUM(D259:D262,D268)+SUM(D270:D273,D279)</f>
        <v>52993.938347999996</v>
      </c>
      <c r="F134" s="94"/>
      <c r="G134" s="94">
        <f>SUM(F180)+SUM(F182:F185,F191)*3+SUM(F193:F194,F202)+SUM(F204,F213)*4+SUM(F215,F224)+SUM(F226,F235)*4+SUM(F237,F246)+SUM(F248:F251,F257)*5+SUM(F259:F262,F268)+SUM(F270:F273,F279)</f>
        <v>79490.907521999965</v>
      </c>
      <c r="H134" s="94"/>
      <c r="J134" s="36">
        <f>74+114</f>
        <v>188</v>
      </c>
    </row>
    <row r="135" spans="1:13" s="36" customFormat="1" ht="31.5" x14ac:dyDescent="0.25">
      <c r="A135" s="216" t="s">
        <v>203</v>
      </c>
      <c r="B135" s="59" t="s">
        <v>234</v>
      </c>
      <c r="C135" s="120">
        <f>COUNT(D289:D292)+COUNT(D300:D304)+COUNT(D311:D315)+COUNT(D322:D331)</f>
        <v>24</v>
      </c>
      <c r="D135" s="120"/>
      <c r="E135" s="218">
        <f>SUM(D289:D292)+SUM(D300:D304)+SUM(D311:D315)+SUM(D322:D331)</f>
        <v>17697.942755999997</v>
      </c>
      <c r="F135" s="218"/>
      <c r="G135" s="218">
        <f>SUM(F289:F292)+SUM(F300:F304)+SUM(F311:F315)+SUM(F322:F331)</f>
        <v>26767.718487900001</v>
      </c>
      <c r="H135" s="218"/>
    </row>
    <row r="136" spans="1:13" s="36" customFormat="1" x14ac:dyDescent="0.25">
      <c r="A136" s="217"/>
      <c r="B136" s="59" t="s">
        <v>205</v>
      </c>
      <c r="C136" s="120">
        <f>COUNT(D333:D337,D341:D342)+COUNT(D344:D348,D352:D353)*4+COUNT(D355,D357:D359,D363:D364)+COUNT(D366:D369,D373:D374)*2+COUNT(D376,D378:D379,D383:D384)+COUNT(D386:D389,D394)*2+COUNT(D396:D399,D404)+COUNT(D406,D408:D409,D414)+COUNT(D416:D419,D424)*4+COUNT(D426,D428:D429,D433:D434)+COUNT(D436:D439,D443:D444)*2</f>
        <v>114</v>
      </c>
      <c r="D136" s="120"/>
      <c r="E136" s="94">
        <f>SUM(D333:D337,D341:D342)+SUM(D344:D348,D352:D353)*4+SUM(D355,D357:D359,D363:D364)+SUM(D366:D369,D373:D374)*2+SUM(D376,D378:D379,D383:D384)+SUM(D386:D389,D394)*2+SUM(D396:D399,D404)+SUM(D406,D408:D409,D414)+SUM(D416:D419,D424)*4+SUM(D426,D428:D429,D433:D434)+SUM(D436:D439,D443:D444)*2</f>
        <v>94390.581635999988</v>
      </c>
      <c r="F136" s="94"/>
      <c r="G136" s="94">
        <f>SUM(F333:F337,F341:F342)+SUM(F344:F348,F352:F353)*4+SUM(F355,F357:F359,F363:F364)+SUM(F366:F369,F373:F374)*2+SUM(F376,F378:F379,F383:F384)+SUM(F386:F389,F394)*2+SUM(F396:F399,F404)+SUM(F406,F408:F409,F414)+SUM(F416:F419,F424)*4+SUM(F426,F428:F429,F433:F434)+SUM(F436:F439,F443:F444)*2</f>
        <v>141585.87245399997</v>
      </c>
      <c r="H136" s="94"/>
    </row>
    <row r="137" spans="1:13" s="36" customFormat="1" ht="16.5" thickBot="1" x14ac:dyDescent="0.3">
      <c r="A137" s="196" t="s">
        <v>158</v>
      </c>
      <c r="B137" s="196"/>
      <c r="C137" s="122">
        <f>SUM(C134:C136)</f>
        <v>212</v>
      </c>
      <c r="D137" s="122"/>
      <c r="E137" s="197">
        <f>SUM(E134:E136)</f>
        <v>165082.46273999999</v>
      </c>
      <c r="F137" s="197"/>
      <c r="G137" s="185">
        <f>SUM(G134:G136)</f>
        <v>247844.49846389994</v>
      </c>
      <c r="H137" s="185"/>
    </row>
    <row r="138" spans="1:13" s="36" customFormat="1" ht="16.5" thickBot="1" x14ac:dyDescent="0.3">
      <c r="A138" s="127" t="s">
        <v>178</v>
      </c>
      <c r="B138" s="128"/>
      <c r="C138" s="129">
        <f>C126+C131+C137</f>
        <v>426</v>
      </c>
      <c r="D138" s="130"/>
      <c r="E138" s="131">
        <f>E126+E131+E137</f>
        <v>353117.33636399999</v>
      </c>
      <c r="F138" s="132"/>
      <c r="G138" s="189">
        <f>G126+G131+G137</f>
        <v>532819.04114789993</v>
      </c>
      <c r="H138" s="190"/>
    </row>
    <row r="139" spans="1:13" s="35" customFormat="1" x14ac:dyDescent="0.25">
      <c r="A139" s="139" t="s">
        <v>57</v>
      </c>
      <c r="B139" s="139"/>
      <c r="C139" s="139"/>
      <c r="D139" s="139"/>
      <c r="E139" s="139"/>
      <c r="F139" s="139"/>
      <c r="G139" s="139"/>
      <c r="H139" s="139"/>
    </row>
    <row r="140" spans="1:13" x14ac:dyDescent="0.25">
      <c r="A140" s="119" t="s">
        <v>58</v>
      </c>
      <c r="B140" s="119"/>
      <c r="C140" s="119"/>
      <c r="D140" s="119"/>
      <c r="E140" s="119"/>
      <c r="F140" s="119"/>
      <c r="G140" s="119"/>
      <c r="H140" s="119"/>
    </row>
    <row r="141" spans="1:13" ht="47.25" customHeight="1" x14ac:dyDescent="0.25">
      <c r="A141" s="78" t="s">
        <v>124</v>
      </c>
      <c r="B141" s="78" t="s">
        <v>123</v>
      </c>
      <c r="C141" s="78" t="s">
        <v>59</v>
      </c>
      <c r="D141" s="78" t="s">
        <v>60</v>
      </c>
      <c r="E141" s="80" t="s">
        <v>61</v>
      </c>
      <c r="F141" s="44" t="s">
        <v>156</v>
      </c>
      <c r="G141" s="82" t="s">
        <v>62</v>
      </c>
      <c r="H141" s="83"/>
    </row>
    <row r="142" spans="1:13" s="38" customFormat="1" x14ac:dyDescent="0.25">
      <c r="A142" s="79"/>
      <c r="B142" s="79"/>
      <c r="C142" s="79"/>
      <c r="D142" s="79"/>
      <c r="E142" s="81"/>
      <c r="F142" s="13">
        <v>0.6</v>
      </c>
      <c r="G142" s="84"/>
      <c r="H142" s="85"/>
    </row>
    <row r="143" spans="1:13" s="58" customFormat="1" x14ac:dyDescent="0.25">
      <c r="A143" s="123" t="s">
        <v>195</v>
      </c>
      <c r="B143" s="124"/>
      <c r="C143" s="124"/>
      <c r="D143" s="124"/>
      <c r="E143" s="124"/>
      <c r="F143" s="124"/>
      <c r="G143" s="124"/>
      <c r="H143" s="125"/>
      <c r="J143" s="37"/>
    </row>
    <row r="144" spans="1:13" s="58" customFormat="1" x14ac:dyDescent="0.25">
      <c r="A144" s="123" t="s">
        <v>197</v>
      </c>
      <c r="B144" s="124"/>
      <c r="C144" s="124"/>
      <c r="D144" s="124"/>
      <c r="E144" s="124"/>
      <c r="F144" s="124"/>
      <c r="G144" s="124"/>
      <c r="H144" s="125"/>
      <c r="J144" s="62">
        <f>10.764</f>
        <v>10.763999999999999</v>
      </c>
    </row>
    <row r="145" spans="1:14" s="58" customFormat="1" x14ac:dyDescent="0.25">
      <c r="A145" s="123" t="s">
        <v>198</v>
      </c>
      <c r="B145" s="124"/>
      <c r="C145" s="124"/>
      <c r="D145" s="124"/>
      <c r="E145" s="124"/>
      <c r="F145" s="124"/>
      <c r="G145" s="124"/>
      <c r="H145" s="125"/>
      <c r="J145" s="37"/>
    </row>
    <row r="146" spans="1:14" s="58" customFormat="1" ht="47.25" customHeight="1" x14ac:dyDescent="0.25">
      <c r="A146" s="74">
        <v>1</v>
      </c>
      <c r="B146" s="75"/>
      <c r="C146" s="57" t="s">
        <v>196</v>
      </c>
      <c r="D146" s="62">
        <f>(104.892)*(10.764)</f>
        <v>1129.0574879999999</v>
      </c>
      <c r="E146" s="62">
        <f>(8.378)*(10.764)</f>
        <v>90.180791999999997</v>
      </c>
      <c r="F146" s="57">
        <f>(D146)*(($F$142)+1)+E146</f>
        <v>1896.6727728000001</v>
      </c>
      <c r="G146" s="204" t="str">
        <f>A145</f>
        <v>Ground Floor + 1st Floor For Commercial, Meter Room &amp; Parking</v>
      </c>
      <c r="H146" s="205"/>
      <c r="I146" s="37"/>
      <c r="L146" s="175"/>
      <c r="M146" s="175"/>
      <c r="N146" s="37"/>
    </row>
    <row r="147" spans="1:14" s="58" customFormat="1" ht="47.25" customHeight="1" x14ac:dyDescent="0.25">
      <c r="A147" s="74">
        <f t="shared" ref="A147:A159" si="0">A146+1</f>
        <v>2</v>
      </c>
      <c r="B147" s="75"/>
      <c r="C147" s="57" t="s">
        <v>196</v>
      </c>
      <c r="D147" s="62">
        <f>(117.937)*(10.764)</f>
        <v>1269.4738679999998</v>
      </c>
      <c r="E147" s="62">
        <f>(9.42)*(10.764)</f>
        <v>101.39688</v>
      </c>
      <c r="F147" s="57">
        <f>(D147)*(($F$142)+1)+E147</f>
        <v>2132.5550687999998</v>
      </c>
      <c r="G147" s="206"/>
      <c r="H147" s="207"/>
      <c r="I147" s="37"/>
      <c r="L147" s="175"/>
      <c r="M147" s="175"/>
      <c r="N147" s="37"/>
    </row>
    <row r="148" spans="1:14" s="58" customFormat="1" ht="47.25" customHeight="1" x14ac:dyDescent="0.25">
      <c r="A148" s="74">
        <f t="shared" si="0"/>
        <v>3</v>
      </c>
      <c r="B148" s="75"/>
      <c r="C148" s="57" t="s">
        <v>196</v>
      </c>
      <c r="D148" s="62">
        <f>(117.937)*(10.764)</f>
        <v>1269.4738679999998</v>
      </c>
      <c r="E148" s="62">
        <f>(9.42)*(10.764)</f>
        <v>101.39688</v>
      </c>
      <c r="F148" s="57">
        <f t="shared" ref="F148:F159" si="1">(D148)*(($F$142)+1)+E148</f>
        <v>2132.5550687999998</v>
      </c>
      <c r="G148" s="206"/>
      <c r="H148" s="207"/>
      <c r="I148" s="37"/>
      <c r="L148" s="175"/>
      <c r="M148" s="175"/>
      <c r="N148" s="37"/>
    </row>
    <row r="149" spans="1:14" s="58" customFormat="1" ht="47.25" customHeight="1" x14ac:dyDescent="0.25">
      <c r="A149" s="74">
        <f t="shared" si="0"/>
        <v>4</v>
      </c>
      <c r="B149" s="75"/>
      <c r="C149" s="57" t="s">
        <v>196</v>
      </c>
      <c r="D149" s="62">
        <f>(110.888)*(10.764)</f>
        <v>1193.598432</v>
      </c>
      <c r="E149" s="62">
        <f>8.857*(10.764)</f>
        <v>95.336747999999986</v>
      </c>
      <c r="F149" s="57">
        <f t="shared" si="1"/>
        <v>2005.0942391999999</v>
      </c>
      <c r="G149" s="206"/>
      <c r="H149" s="207"/>
      <c r="I149" s="37"/>
      <c r="L149" s="175"/>
      <c r="M149" s="175"/>
      <c r="N149" s="37"/>
    </row>
    <row r="150" spans="1:14" s="58" customFormat="1" ht="47.25" customHeight="1" x14ac:dyDescent="0.25">
      <c r="A150" s="74">
        <f t="shared" si="0"/>
        <v>5</v>
      </c>
      <c r="B150" s="75"/>
      <c r="C150" s="57" t="s">
        <v>196</v>
      </c>
      <c r="D150" s="62">
        <f>(110.888)*(10.764)</f>
        <v>1193.598432</v>
      </c>
      <c r="E150" s="62">
        <f>8.857*(10.764)</f>
        <v>95.336747999999986</v>
      </c>
      <c r="F150" s="57">
        <f t="shared" si="1"/>
        <v>2005.0942391999999</v>
      </c>
      <c r="G150" s="206"/>
      <c r="H150" s="207"/>
      <c r="I150" s="37"/>
      <c r="L150" s="175"/>
      <c r="M150" s="175"/>
      <c r="N150" s="37"/>
    </row>
    <row r="151" spans="1:14" s="58" customFormat="1" ht="47.25" customHeight="1" x14ac:dyDescent="0.25">
      <c r="A151" s="74">
        <f t="shared" si="0"/>
        <v>6</v>
      </c>
      <c r="B151" s="75"/>
      <c r="C151" s="57" t="s">
        <v>196</v>
      </c>
      <c r="D151" s="62">
        <f>(110.888)*(10.764)</f>
        <v>1193.598432</v>
      </c>
      <c r="E151" s="62">
        <f>8.857*(10.764)</f>
        <v>95.336747999999986</v>
      </c>
      <c r="F151" s="57">
        <f t="shared" si="1"/>
        <v>2005.0942391999999</v>
      </c>
      <c r="G151" s="206"/>
      <c r="H151" s="207"/>
      <c r="I151" s="37"/>
      <c r="L151" s="175"/>
      <c r="M151" s="175"/>
      <c r="N151" s="37"/>
    </row>
    <row r="152" spans="1:14" s="58" customFormat="1" ht="47.25" customHeight="1" x14ac:dyDescent="0.25">
      <c r="A152" s="74">
        <f t="shared" si="0"/>
        <v>7</v>
      </c>
      <c r="B152" s="75"/>
      <c r="C152" s="57" t="s">
        <v>196</v>
      </c>
      <c r="D152" s="62">
        <f>(110.888)*(10.764)</f>
        <v>1193.598432</v>
      </c>
      <c r="E152" s="62">
        <f>8.857*(10.764)</f>
        <v>95.336747999999986</v>
      </c>
      <c r="F152" s="57">
        <f t="shared" si="1"/>
        <v>2005.0942391999999</v>
      </c>
      <c r="G152" s="206"/>
      <c r="H152" s="207"/>
      <c r="I152" s="37"/>
      <c r="L152" s="175"/>
      <c r="M152" s="175"/>
      <c r="N152" s="37"/>
    </row>
    <row r="153" spans="1:14" s="58" customFormat="1" ht="47.25" customHeight="1" x14ac:dyDescent="0.25">
      <c r="A153" s="74">
        <f t="shared" si="0"/>
        <v>8</v>
      </c>
      <c r="B153" s="75"/>
      <c r="C153" s="57" t="s">
        <v>196</v>
      </c>
      <c r="D153" s="62">
        <f>(80.383)*(10.764)</f>
        <v>865.24261199999989</v>
      </c>
      <c r="E153" s="62">
        <f>(6.42)*(10.764)</f>
        <v>69.104879999999994</v>
      </c>
      <c r="F153" s="57">
        <f t="shared" si="1"/>
        <v>1453.4930592000001</v>
      </c>
      <c r="G153" s="206"/>
      <c r="H153" s="207"/>
      <c r="I153" s="37"/>
      <c r="L153" s="175"/>
      <c r="M153" s="175"/>
      <c r="N153" s="37"/>
    </row>
    <row r="154" spans="1:14" s="58" customFormat="1" ht="47.25" customHeight="1" x14ac:dyDescent="0.25">
      <c r="A154" s="74">
        <f t="shared" si="0"/>
        <v>9</v>
      </c>
      <c r="B154" s="75"/>
      <c r="C154" s="57" t="s">
        <v>196</v>
      </c>
      <c r="D154" s="62">
        <f>(80.383)*(10.764)</f>
        <v>865.24261199999989</v>
      </c>
      <c r="E154" s="62">
        <f>(6.42)*(10.764)</f>
        <v>69.104879999999994</v>
      </c>
      <c r="F154" s="57">
        <f t="shared" si="1"/>
        <v>1453.4930592000001</v>
      </c>
      <c r="G154" s="206"/>
      <c r="H154" s="207"/>
      <c r="I154" s="37"/>
      <c r="L154" s="175"/>
      <c r="M154" s="175"/>
      <c r="N154" s="37"/>
    </row>
    <row r="155" spans="1:14" s="58" customFormat="1" ht="47.25" customHeight="1" x14ac:dyDescent="0.25">
      <c r="A155" s="74">
        <f t="shared" si="0"/>
        <v>10</v>
      </c>
      <c r="B155" s="75"/>
      <c r="C155" s="57" t="s">
        <v>196</v>
      </c>
      <c r="D155" s="62">
        <f>(110.031)*(10.764)</f>
        <v>1184.3736839999999</v>
      </c>
      <c r="E155" s="62">
        <f>(8.788)*(10.764)</f>
        <v>94.594031999999999</v>
      </c>
      <c r="F155" s="57">
        <f t="shared" si="1"/>
        <v>1989.5919263999999</v>
      </c>
      <c r="G155" s="206"/>
      <c r="H155" s="207"/>
      <c r="I155" s="37"/>
      <c r="L155" s="175"/>
      <c r="M155" s="175"/>
      <c r="N155" s="37"/>
    </row>
    <row r="156" spans="1:14" s="58" customFormat="1" ht="47.25" customHeight="1" x14ac:dyDescent="0.25">
      <c r="A156" s="74">
        <f t="shared" si="0"/>
        <v>11</v>
      </c>
      <c r="B156" s="75"/>
      <c r="C156" s="57" t="s">
        <v>196</v>
      </c>
      <c r="D156" s="62">
        <f>(110.031)*(10.764)</f>
        <v>1184.3736839999999</v>
      </c>
      <c r="E156" s="62">
        <f>(8.788)*(10.764)</f>
        <v>94.594031999999999</v>
      </c>
      <c r="F156" s="57">
        <f t="shared" si="1"/>
        <v>1989.5919263999999</v>
      </c>
      <c r="G156" s="206"/>
      <c r="H156" s="207"/>
      <c r="I156" s="37"/>
      <c r="L156" s="175"/>
      <c r="M156" s="175"/>
      <c r="N156" s="37"/>
    </row>
    <row r="157" spans="1:14" s="58" customFormat="1" ht="47.25" customHeight="1" x14ac:dyDescent="0.25">
      <c r="A157" s="74">
        <f t="shared" si="0"/>
        <v>12</v>
      </c>
      <c r="B157" s="75"/>
      <c r="C157" s="57" t="s">
        <v>196</v>
      </c>
      <c r="D157" s="62">
        <f>(127.295)*(10.764)</f>
        <v>1370.2033799999999</v>
      </c>
      <c r="E157" s="62">
        <f>(10.167)*(10.764)</f>
        <v>109.43758799999999</v>
      </c>
      <c r="F157" s="57">
        <f t="shared" si="1"/>
        <v>2301.7629959999999</v>
      </c>
      <c r="G157" s="206"/>
      <c r="H157" s="207"/>
      <c r="I157" s="37"/>
      <c r="L157" s="175"/>
      <c r="M157" s="175"/>
      <c r="N157" s="37"/>
    </row>
    <row r="158" spans="1:14" s="58" customFormat="1" ht="47.25" customHeight="1" x14ac:dyDescent="0.25">
      <c r="A158" s="74">
        <f t="shared" si="0"/>
        <v>13</v>
      </c>
      <c r="B158" s="75"/>
      <c r="C158" s="57" t="s">
        <v>196</v>
      </c>
      <c r="D158" s="62">
        <f>(112.936)*(10.764)</f>
        <v>1215.643104</v>
      </c>
      <c r="E158" s="62">
        <f>(9.2)*(10.764)</f>
        <v>99.02879999999999</v>
      </c>
      <c r="F158" s="57">
        <f t="shared" si="1"/>
        <v>2044.0577664000002</v>
      </c>
      <c r="G158" s="206"/>
      <c r="H158" s="207"/>
      <c r="I158" s="37"/>
      <c r="L158" s="175"/>
      <c r="M158" s="175"/>
      <c r="N158" s="37"/>
    </row>
    <row r="159" spans="1:14" s="58" customFormat="1" ht="47.25" customHeight="1" x14ac:dyDescent="0.25">
      <c r="A159" s="74">
        <f t="shared" si="0"/>
        <v>14</v>
      </c>
      <c r="B159" s="75"/>
      <c r="C159" s="57" t="s">
        <v>196</v>
      </c>
      <c r="D159" s="62">
        <f>(97.793)*(10.764)</f>
        <v>1052.6438519999999</v>
      </c>
      <c r="E159" s="62">
        <f>(8.736)*(10.764)</f>
        <v>94.034304000000006</v>
      </c>
      <c r="F159" s="57">
        <f t="shared" si="1"/>
        <v>1778.2644671999999</v>
      </c>
      <c r="G159" s="208"/>
      <c r="H159" s="209"/>
      <c r="I159" s="37"/>
      <c r="L159" s="175"/>
      <c r="M159" s="175"/>
      <c r="N159" s="37"/>
    </row>
    <row r="160" spans="1:14" s="38" customFormat="1" hidden="1" x14ac:dyDescent="0.25">
      <c r="A160" s="123" t="s">
        <v>231</v>
      </c>
      <c r="B160" s="124"/>
      <c r="C160" s="124"/>
      <c r="D160" s="124"/>
      <c r="E160" s="124"/>
      <c r="F160" s="124"/>
      <c r="G160" s="124"/>
      <c r="H160" s="125"/>
      <c r="J160" s="37"/>
    </row>
    <row r="161" spans="1:14" s="38" customFormat="1" hidden="1" x14ac:dyDescent="0.25">
      <c r="A161" s="74">
        <v>1</v>
      </c>
      <c r="B161" s="75"/>
      <c r="C161" s="43"/>
      <c r="D161" s="43"/>
      <c r="E161" s="43">
        <v>0</v>
      </c>
      <c r="F161" s="43">
        <f>(D161+E161)*(($F$142)+1)</f>
        <v>0</v>
      </c>
      <c r="G161" s="74" t="str">
        <f>A160</f>
        <v xml:space="preserve"> </v>
      </c>
      <c r="H161" s="75"/>
      <c r="I161" s="37"/>
      <c r="L161" s="175"/>
      <c r="M161" s="175"/>
      <c r="N161" s="37"/>
    </row>
    <row r="162" spans="1:14" s="38" customFormat="1" hidden="1" x14ac:dyDescent="0.25">
      <c r="A162" s="74">
        <f t="shared" ref="A162:A164" si="2">A161+1</f>
        <v>2</v>
      </c>
      <c r="B162" s="75"/>
      <c r="C162" s="43"/>
      <c r="D162" s="43"/>
      <c r="E162" s="43">
        <v>0</v>
      </c>
      <c r="F162" s="43">
        <f t="shared" ref="F162:F164" si="3">(D162+E162)*(($F$142)+1)</f>
        <v>0</v>
      </c>
      <c r="G162" s="74" t="str">
        <f t="shared" ref="G162:G164" si="4">G161</f>
        <v xml:space="preserve"> </v>
      </c>
      <c r="H162" s="75"/>
      <c r="I162" s="37"/>
      <c r="L162" s="175"/>
      <c r="M162" s="175"/>
      <c r="N162" s="37"/>
    </row>
    <row r="163" spans="1:14" s="38" customFormat="1" hidden="1" x14ac:dyDescent="0.25">
      <c r="A163" s="74">
        <f t="shared" si="2"/>
        <v>3</v>
      </c>
      <c r="B163" s="75"/>
      <c r="C163" s="43"/>
      <c r="D163" s="43"/>
      <c r="E163" s="43">
        <v>0</v>
      </c>
      <c r="F163" s="43">
        <f t="shared" si="3"/>
        <v>0</v>
      </c>
      <c r="G163" s="74" t="str">
        <f t="shared" si="4"/>
        <v xml:space="preserve"> </v>
      </c>
      <c r="H163" s="75"/>
      <c r="I163" s="37"/>
      <c r="L163" s="175"/>
      <c r="M163" s="175"/>
      <c r="N163" s="37"/>
    </row>
    <row r="164" spans="1:14" s="38" customFormat="1" hidden="1" x14ac:dyDescent="0.25">
      <c r="A164" s="74">
        <f t="shared" si="2"/>
        <v>4</v>
      </c>
      <c r="B164" s="75"/>
      <c r="C164" s="43"/>
      <c r="D164" s="43"/>
      <c r="E164" s="43">
        <v>0</v>
      </c>
      <c r="F164" s="43">
        <f t="shared" si="3"/>
        <v>0</v>
      </c>
      <c r="G164" s="74" t="str">
        <f t="shared" si="4"/>
        <v xml:space="preserve"> </v>
      </c>
      <c r="H164" s="75"/>
      <c r="I164" s="37"/>
      <c r="L164" s="175"/>
      <c r="M164" s="175"/>
      <c r="N164" s="37"/>
    </row>
    <row r="165" spans="1:14" s="38" customFormat="1" x14ac:dyDescent="0.25">
      <c r="A165" s="74"/>
      <c r="B165" s="184"/>
      <c r="C165" s="184"/>
      <c r="D165" s="184"/>
      <c r="E165" s="184"/>
      <c r="F165" s="184"/>
      <c r="G165" s="184"/>
      <c r="H165" s="75"/>
      <c r="I165" s="37"/>
      <c r="N165" s="37"/>
    </row>
    <row r="166" spans="1:14" ht="47.25" customHeight="1" x14ac:dyDescent="0.25">
      <c r="A166" s="82" t="s">
        <v>125</v>
      </c>
      <c r="B166" s="82" t="s">
        <v>126</v>
      </c>
      <c r="C166" s="78" t="s">
        <v>59</v>
      </c>
      <c r="D166" s="78" t="s">
        <v>60</v>
      </c>
      <c r="E166" s="80" t="s">
        <v>61</v>
      </c>
      <c r="F166" s="44" t="s">
        <v>156</v>
      </c>
      <c r="G166" s="82" t="s">
        <v>62</v>
      </c>
      <c r="H166" s="83"/>
      <c r="I166" s="37"/>
    </row>
    <row r="167" spans="1:14" s="38" customFormat="1" x14ac:dyDescent="0.25">
      <c r="A167" s="84"/>
      <c r="B167" s="84"/>
      <c r="C167" s="79"/>
      <c r="D167" s="79"/>
      <c r="E167" s="81"/>
      <c r="F167" s="13">
        <v>0.5</v>
      </c>
      <c r="G167" s="84"/>
      <c r="H167" s="85"/>
      <c r="I167" s="37"/>
    </row>
    <row r="168" spans="1:14" s="58" customFormat="1" x14ac:dyDescent="0.25">
      <c r="A168" s="123" t="s">
        <v>195</v>
      </c>
      <c r="B168" s="124"/>
      <c r="C168" s="124"/>
      <c r="D168" s="124"/>
      <c r="E168" s="124"/>
      <c r="F168" s="124"/>
      <c r="G168" s="124"/>
      <c r="H168" s="125"/>
      <c r="J168" s="37"/>
    </row>
    <row r="169" spans="1:14" s="58" customFormat="1" x14ac:dyDescent="0.25">
      <c r="A169" s="123" t="s">
        <v>201</v>
      </c>
      <c r="B169" s="124"/>
      <c r="C169" s="124"/>
      <c r="D169" s="124"/>
      <c r="E169" s="124"/>
      <c r="F169" s="124"/>
      <c r="G169" s="124"/>
      <c r="H169" s="125"/>
      <c r="J169" s="37"/>
    </row>
    <row r="170" spans="1:14" s="58" customFormat="1" x14ac:dyDescent="0.25">
      <c r="A170" s="123" t="s">
        <v>202</v>
      </c>
      <c r="B170" s="124"/>
      <c r="C170" s="124"/>
      <c r="D170" s="124"/>
      <c r="E170" s="124"/>
      <c r="F170" s="124"/>
      <c r="G170" s="124"/>
      <c r="H170" s="125"/>
      <c r="J170" s="37"/>
    </row>
    <row r="171" spans="1:14" s="58" customFormat="1" ht="15.75" customHeight="1" x14ac:dyDescent="0.25">
      <c r="A171" s="57">
        <v>1</v>
      </c>
      <c r="B171" s="213" t="s">
        <v>199</v>
      </c>
      <c r="C171" s="214"/>
      <c r="D171" s="214"/>
      <c r="E171" s="214"/>
      <c r="F171" s="215"/>
      <c r="G171" s="204" t="str">
        <f>A170</f>
        <v>4th Floor For Part Residential</v>
      </c>
      <c r="H171" s="205"/>
      <c r="I171" s="37"/>
      <c r="L171" s="175"/>
      <c r="M171" s="175"/>
      <c r="N171" s="37"/>
    </row>
    <row r="172" spans="1:14" s="58" customFormat="1" ht="15.75" customHeight="1" x14ac:dyDescent="0.25">
      <c r="A172" s="57">
        <f t="shared" ref="A172:A180" si="5">A171+1</f>
        <v>2</v>
      </c>
      <c r="B172" s="204" t="s">
        <v>72</v>
      </c>
      <c r="C172" s="210"/>
      <c r="D172" s="210"/>
      <c r="E172" s="210"/>
      <c r="F172" s="205"/>
      <c r="G172" s="206"/>
      <c r="H172" s="207"/>
      <c r="I172" s="37"/>
      <c r="L172" s="175"/>
      <c r="M172" s="175"/>
      <c r="N172" s="37"/>
    </row>
    <row r="173" spans="1:14" s="58" customFormat="1" ht="15.75" customHeight="1" x14ac:dyDescent="0.25">
      <c r="A173" s="57">
        <f t="shared" si="5"/>
        <v>3</v>
      </c>
      <c r="B173" s="206"/>
      <c r="C173" s="212"/>
      <c r="D173" s="212"/>
      <c r="E173" s="212"/>
      <c r="F173" s="207"/>
      <c r="G173" s="206"/>
      <c r="H173" s="207"/>
      <c r="I173" s="37"/>
      <c r="L173" s="175"/>
      <c r="M173" s="175"/>
      <c r="N173" s="37"/>
    </row>
    <row r="174" spans="1:14" s="58" customFormat="1" ht="15.75" customHeight="1" x14ac:dyDescent="0.25">
      <c r="A174" s="57">
        <f t="shared" si="5"/>
        <v>4</v>
      </c>
      <c r="B174" s="208"/>
      <c r="C174" s="211"/>
      <c r="D174" s="211"/>
      <c r="E174" s="211"/>
      <c r="F174" s="209"/>
      <c r="G174" s="206"/>
      <c r="H174" s="207"/>
      <c r="I174" s="37"/>
      <c r="L174" s="175"/>
      <c r="M174" s="175"/>
      <c r="N174" s="37"/>
    </row>
    <row r="175" spans="1:14" s="58" customFormat="1" ht="15.75" customHeight="1" x14ac:dyDescent="0.25">
      <c r="A175" s="57">
        <f t="shared" si="5"/>
        <v>5</v>
      </c>
      <c r="B175" s="213" t="s">
        <v>200</v>
      </c>
      <c r="C175" s="214"/>
      <c r="D175" s="214"/>
      <c r="E175" s="214"/>
      <c r="F175" s="215"/>
      <c r="G175" s="206"/>
      <c r="H175" s="207"/>
      <c r="I175" s="37"/>
      <c r="L175" s="175">
        <f>110.225+8.33+3.46</f>
        <v>122.01499999999999</v>
      </c>
      <c r="M175" s="175"/>
      <c r="N175" s="37"/>
    </row>
    <row r="176" spans="1:14" s="58" customFormat="1" ht="15.75" customHeight="1" x14ac:dyDescent="0.25">
      <c r="A176" s="57">
        <f t="shared" si="5"/>
        <v>6</v>
      </c>
      <c r="B176" s="57" t="s">
        <v>204</v>
      </c>
      <c r="C176" s="56">
        <v>3</v>
      </c>
      <c r="D176" s="62">
        <f>(110.225+8.33+3.46)*(10.764)</f>
        <v>1313.3694599999997</v>
      </c>
      <c r="E176" s="57">
        <v>0</v>
      </c>
      <c r="F176" s="57">
        <f>D176*(($F$167)+1)+(IF(E176&lt;101,E176,IF(E176&lt;201,E176/2,IF(E176&lt;=301,E176/3,E176/4))))</f>
        <v>1970.0541899999994</v>
      </c>
      <c r="G176" s="206"/>
      <c r="H176" s="207"/>
      <c r="I176" s="37"/>
      <c r="J176" s="58">
        <f>3.35*6.65+2.55*3.2+1.55*1.995+2.45*3.35+3.05*4.75+2.805*1.3+2.805*1.65+4.15*3.05+2.4*1.4+3.05*1.3+4.07*4.7+1*1.4+1.65*1.4+0.23*1</f>
        <v>107.55100000000003</v>
      </c>
      <c r="K176" s="58">
        <f>5.95*1.4</f>
        <v>8.33</v>
      </c>
      <c r="L176" s="61">
        <f>4.53*1</f>
        <v>4.53</v>
      </c>
      <c r="M176" s="61">
        <f>J176+K176+L176</f>
        <v>120.41100000000003</v>
      </c>
      <c r="N176" s="37"/>
    </row>
    <row r="177" spans="1:14" s="58" customFormat="1" ht="15.75" customHeight="1" x14ac:dyDescent="0.25">
      <c r="A177" s="57">
        <f t="shared" si="5"/>
        <v>7</v>
      </c>
      <c r="B177" s="57" t="s">
        <v>204</v>
      </c>
      <c r="C177" s="56">
        <v>2</v>
      </c>
      <c r="D177" s="62">
        <f>(71.41)*(10.764)</f>
        <v>768.65723999999989</v>
      </c>
      <c r="E177" s="57">
        <v>0</v>
      </c>
      <c r="F177" s="57">
        <f>D177*(($F$167)+1)+(IF(E177&lt;101,E177,IF(E177&lt;201,E177/2,IF(E177&lt;=301,E177/3,E177/4))))</f>
        <v>1152.9858599999998</v>
      </c>
      <c r="G177" s="206"/>
      <c r="H177" s="207"/>
      <c r="I177" s="37"/>
      <c r="J177" s="58">
        <f>3.05*6.95+1.2*3.2+1*0.83+2.17*3.65+2.9*3.65+3.05*4.65+0.95*0.9+2.595*1.25+2.2*1.3+4.25*0.9</f>
        <v>69.339249999999993</v>
      </c>
      <c r="L177" s="175"/>
      <c r="M177" s="175"/>
      <c r="N177" s="37"/>
    </row>
    <row r="178" spans="1:14" s="58" customFormat="1" ht="15.75" customHeight="1" x14ac:dyDescent="0.25">
      <c r="A178" s="57">
        <f t="shared" si="5"/>
        <v>8</v>
      </c>
      <c r="B178" s="57" t="s">
        <v>204</v>
      </c>
      <c r="C178" s="56">
        <v>2</v>
      </c>
      <c r="D178" s="62">
        <f>(71.41)*(10.764)</f>
        <v>768.65723999999989</v>
      </c>
      <c r="E178" s="57">
        <v>0</v>
      </c>
      <c r="F178" s="57">
        <f>D178*(($F$167)+1)+(IF(E178&lt;101,E178,IF(E178&lt;201,E178/2,IF(E178&lt;=301,E178/3,E178/4))))</f>
        <v>1152.9858599999998</v>
      </c>
      <c r="G178" s="206"/>
      <c r="H178" s="207"/>
      <c r="I178" s="37"/>
      <c r="L178" s="175"/>
      <c r="M178" s="175"/>
      <c r="N178" s="37"/>
    </row>
    <row r="179" spans="1:14" s="58" customFormat="1" ht="15.75" customHeight="1" x14ac:dyDescent="0.25">
      <c r="A179" s="57">
        <f t="shared" si="5"/>
        <v>9</v>
      </c>
      <c r="B179" s="57" t="s">
        <v>204</v>
      </c>
      <c r="C179" s="56">
        <v>2</v>
      </c>
      <c r="D179" s="62">
        <f>(67.868)*(10.764)</f>
        <v>730.53115199999991</v>
      </c>
      <c r="E179" s="57">
        <v>0</v>
      </c>
      <c r="F179" s="57">
        <f>D179*(($F$167)+1)+(IF(E179&lt;101,E179,IF(E179&lt;201,E179/2,IF(E179&lt;=301,E179/3,E179/4))))</f>
        <v>1095.7967279999998</v>
      </c>
      <c r="G179" s="206"/>
      <c r="H179" s="207"/>
      <c r="I179" s="37"/>
      <c r="L179" s="175"/>
      <c r="M179" s="175"/>
      <c r="N179" s="37"/>
    </row>
    <row r="180" spans="1:14" s="58" customFormat="1" ht="15.75" customHeight="1" x14ac:dyDescent="0.25">
      <c r="A180" s="57">
        <f t="shared" si="5"/>
        <v>10</v>
      </c>
      <c r="B180" s="57" t="s">
        <v>205</v>
      </c>
      <c r="C180" s="56">
        <v>3</v>
      </c>
      <c r="D180" s="62">
        <f>(68.817)*(10.764)</f>
        <v>740.74618799999985</v>
      </c>
      <c r="E180" s="57">
        <v>0</v>
      </c>
      <c r="F180" s="57">
        <f>D180*(($F$167)+1)+(IF(E180&lt;101,E180,IF(E180&lt;201,E180/2,IF(E180&lt;=301,E180/3,E180/4))))</f>
        <v>1111.1192819999997</v>
      </c>
      <c r="G180" s="208"/>
      <c r="H180" s="209"/>
      <c r="I180" s="37"/>
      <c r="L180" s="175"/>
      <c r="M180" s="175"/>
      <c r="N180" s="37"/>
    </row>
    <row r="181" spans="1:14" s="58" customFormat="1" x14ac:dyDescent="0.25">
      <c r="A181" s="144" t="s">
        <v>209</v>
      </c>
      <c r="B181" s="144"/>
      <c r="C181" s="144"/>
      <c r="D181" s="144"/>
      <c r="E181" s="144"/>
      <c r="F181" s="144"/>
      <c r="G181" s="144"/>
      <c r="H181" s="144"/>
      <c r="J181" s="37"/>
    </row>
    <row r="182" spans="1:14" s="58" customFormat="1" ht="15.75" customHeight="1" x14ac:dyDescent="0.25">
      <c r="A182" s="67">
        <v>1</v>
      </c>
      <c r="B182" s="67" t="s">
        <v>205</v>
      </c>
      <c r="C182" s="56">
        <v>3</v>
      </c>
      <c r="D182" s="62">
        <f>(68.817)*(10.764)</f>
        <v>740.74618799999985</v>
      </c>
      <c r="E182" s="67">
        <v>0</v>
      </c>
      <c r="F182" s="67">
        <f t="shared" ref="F182:F191" si="6">D182*(($F$167)+1)+(IF(E182&lt;101,E182,IF(E182&lt;201,E182/2,IF(E182&lt;=301,E182/3,E182/4))))</f>
        <v>1111.1192819999997</v>
      </c>
      <c r="G182" s="76" t="str">
        <f>A181</f>
        <v>5th, 6th &amp; 7th Floor</v>
      </c>
      <c r="H182" s="76"/>
      <c r="I182" s="37"/>
      <c r="L182" s="175"/>
      <c r="M182" s="175"/>
      <c r="N182" s="37"/>
    </row>
    <row r="183" spans="1:14" s="58" customFormat="1" ht="15.75" customHeight="1" x14ac:dyDescent="0.25">
      <c r="A183" s="67">
        <f t="shared" ref="A183:A191" si="7">A182+1</f>
        <v>2</v>
      </c>
      <c r="B183" s="67" t="s">
        <v>205</v>
      </c>
      <c r="C183" s="56">
        <v>2</v>
      </c>
      <c r="D183" s="62">
        <f>(60.124)*(10.764)</f>
        <v>647.17473599999994</v>
      </c>
      <c r="E183" s="67">
        <v>0</v>
      </c>
      <c r="F183" s="67">
        <f t="shared" si="6"/>
        <v>970.76210399999991</v>
      </c>
      <c r="G183" s="76" t="str">
        <f t="shared" ref="G183:G191" si="8">G182</f>
        <v>5th, 6th &amp; 7th Floor</v>
      </c>
      <c r="H183" s="76"/>
      <c r="I183" s="37"/>
      <c r="L183" s="175"/>
      <c r="M183" s="175"/>
      <c r="N183" s="37"/>
    </row>
    <row r="184" spans="1:14" s="58" customFormat="1" ht="15.75" customHeight="1" x14ac:dyDescent="0.25">
      <c r="A184" s="67">
        <f t="shared" si="7"/>
        <v>3</v>
      </c>
      <c r="B184" s="67" t="s">
        <v>205</v>
      </c>
      <c r="C184" s="56">
        <v>2</v>
      </c>
      <c r="D184" s="62">
        <f>(60.124)*(10.764)</f>
        <v>647.17473599999994</v>
      </c>
      <c r="E184" s="67">
        <v>0</v>
      </c>
      <c r="F184" s="67">
        <f t="shared" si="6"/>
        <v>970.76210399999991</v>
      </c>
      <c r="G184" s="76" t="str">
        <f t="shared" si="8"/>
        <v>5th, 6th &amp; 7th Floor</v>
      </c>
      <c r="H184" s="76"/>
      <c r="I184" s="37"/>
      <c r="L184" s="175"/>
      <c r="M184" s="175"/>
      <c r="N184" s="37"/>
    </row>
    <row r="185" spans="1:14" s="58" customFormat="1" ht="15.75" customHeight="1" x14ac:dyDescent="0.25">
      <c r="A185" s="67">
        <f t="shared" si="7"/>
        <v>4</v>
      </c>
      <c r="B185" s="67" t="s">
        <v>205</v>
      </c>
      <c r="C185" s="56">
        <v>2</v>
      </c>
      <c r="D185" s="62">
        <f>(60.143)*(10.764)</f>
        <v>647.37925199999995</v>
      </c>
      <c r="E185" s="67">
        <v>0</v>
      </c>
      <c r="F185" s="67">
        <f t="shared" si="6"/>
        <v>971.06887799999993</v>
      </c>
      <c r="G185" s="76" t="str">
        <f t="shared" si="8"/>
        <v>5th, 6th &amp; 7th Floor</v>
      </c>
      <c r="H185" s="76"/>
      <c r="I185" s="37"/>
      <c r="L185" s="175"/>
      <c r="M185" s="175"/>
      <c r="N185" s="37"/>
    </row>
    <row r="186" spans="1:14" s="58" customFormat="1" ht="15.75" customHeight="1" x14ac:dyDescent="0.25">
      <c r="A186" s="67">
        <f t="shared" si="7"/>
        <v>5</v>
      </c>
      <c r="B186" s="67" t="s">
        <v>204</v>
      </c>
      <c r="C186" s="56">
        <v>3</v>
      </c>
      <c r="D186" s="62">
        <f>(100.145)*(10.764)</f>
        <v>1077.9607799999999</v>
      </c>
      <c r="E186" s="67">
        <v>0</v>
      </c>
      <c r="F186" s="67">
        <f t="shared" si="6"/>
        <v>1616.9411699999998</v>
      </c>
      <c r="G186" s="76" t="str">
        <f t="shared" si="8"/>
        <v>5th, 6th &amp; 7th Floor</v>
      </c>
      <c r="H186" s="76"/>
      <c r="I186" s="37"/>
      <c r="L186" s="175"/>
      <c r="M186" s="175"/>
      <c r="N186" s="37"/>
    </row>
    <row r="187" spans="1:14" s="58" customFormat="1" ht="15.75" customHeight="1" x14ac:dyDescent="0.25">
      <c r="A187" s="67">
        <f t="shared" si="7"/>
        <v>6</v>
      </c>
      <c r="B187" s="67" t="s">
        <v>204</v>
      </c>
      <c r="C187" s="56">
        <v>3</v>
      </c>
      <c r="D187" s="62">
        <f>(100.225+8.33+3.46)*(10.764)</f>
        <v>1205.7294599999998</v>
      </c>
      <c r="E187" s="67">
        <v>0</v>
      </c>
      <c r="F187" s="67">
        <f t="shared" si="6"/>
        <v>1808.5941899999998</v>
      </c>
      <c r="G187" s="76" t="str">
        <f t="shared" si="8"/>
        <v>5th, 6th &amp; 7th Floor</v>
      </c>
      <c r="H187" s="76"/>
      <c r="I187" s="37"/>
      <c r="L187" s="175"/>
      <c r="M187" s="175"/>
      <c r="N187" s="37"/>
    </row>
    <row r="188" spans="1:14" s="58" customFormat="1" ht="15.75" customHeight="1" x14ac:dyDescent="0.25">
      <c r="A188" s="67">
        <f t="shared" si="7"/>
        <v>7</v>
      </c>
      <c r="B188" s="67" t="s">
        <v>204</v>
      </c>
      <c r="C188" s="56">
        <v>2</v>
      </c>
      <c r="D188" s="62">
        <f>(71.411)*(10.764)</f>
        <v>768.668004</v>
      </c>
      <c r="E188" s="67">
        <v>0</v>
      </c>
      <c r="F188" s="67">
        <f t="shared" si="6"/>
        <v>1153.0020059999999</v>
      </c>
      <c r="G188" s="76" t="str">
        <f t="shared" si="8"/>
        <v>5th, 6th &amp; 7th Floor</v>
      </c>
      <c r="H188" s="76"/>
      <c r="I188" s="37"/>
      <c r="L188" s="175"/>
      <c r="M188" s="175"/>
      <c r="N188" s="37"/>
    </row>
    <row r="189" spans="1:14" s="58" customFormat="1" ht="15.75" customHeight="1" x14ac:dyDescent="0.25">
      <c r="A189" s="67">
        <f t="shared" si="7"/>
        <v>8</v>
      </c>
      <c r="B189" s="67" t="s">
        <v>204</v>
      </c>
      <c r="C189" s="56">
        <v>2</v>
      </c>
      <c r="D189" s="62">
        <f>(71.411)*(10.764)</f>
        <v>768.668004</v>
      </c>
      <c r="E189" s="67">
        <v>0</v>
      </c>
      <c r="F189" s="67">
        <f t="shared" si="6"/>
        <v>1153.0020059999999</v>
      </c>
      <c r="G189" s="76" t="str">
        <f t="shared" si="8"/>
        <v>5th, 6th &amp; 7th Floor</v>
      </c>
      <c r="H189" s="76"/>
      <c r="I189" s="37"/>
      <c r="L189" s="175"/>
      <c r="M189" s="175"/>
      <c r="N189" s="37"/>
    </row>
    <row r="190" spans="1:14" s="58" customFormat="1" ht="15.75" customHeight="1" x14ac:dyDescent="0.25">
      <c r="A190" s="67">
        <f t="shared" si="7"/>
        <v>9</v>
      </c>
      <c r="B190" s="67" t="s">
        <v>204</v>
      </c>
      <c r="C190" s="56">
        <v>2</v>
      </c>
      <c r="D190" s="62">
        <f>(67.868)*(10.764)</f>
        <v>730.53115199999991</v>
      </c>
      <c r="E190" s="67">
        <v>0</v>
      </c>
      <c r="F190" s="67">
        <f t="shared" si="6"/>
        <v>1095.7967279999998</v>
      </c>
      <c r="G190" s="76" t="str">
        <f t="shared" si="8"/>
        <v>5th, 6th &amp; 7th Floor</v>
      </c>
      <c r="H190" s="76"/>
      <c r="I190" s="37"/>
      <c r="L190" s="175"/>
      <c r="M190" s="175"/>
      <c r="N190" s="37"/>
    </row>
    <row r="191" spans="1:14" s="58" customFormat="1" ht="15.75" customHeight="1" x14ac:dyDescent="0.25">
      <c r="A191" s="67">
        <f t="shared" si="7"/>
        <v>10</v>
      </c>
      <c r="B191" s="67" t="s">
        <v>205</v>
      </c>
      <c r="C191" s="56">
        <v>3</v>
      </c>
      <c r="D191" s="62">
        <f>(68.817)*(10.764)</f>
        <v>740.74618799999985</v>
      </c>
      <c r="E191" s="67">
        <v>0</v>
      </c>
      <c r="F191" s="67">
        <f t="shared" si="6"/>
        <v>1111.1192819999997</v>
      </c>
      <c r="G191" s="76" t="str">
        <f t="shared" si="8"/>
        <v>5th, 6th &amp; 7th Floor</v>
      </c>
      <c r="H191" s="76"/>
      <c r="I191" s="37"/>
      <c r="L191" s="175"/>
      <c r="M191" s="175"/>
      <c r="N191" s="37"/>
    </row>
    <row r="192" spans="1:14" s="58" customFormat="1" x14ac:dyDescent="0.25">
      <c r="A192" s="123" t="s">
        <v>213</v>
      </c>
      <c r="B192" s="124"/>
      <c r="C192" s="124"/>
      <c r="D192" s="124"/>
      <c r="E192" s="124"/>
      <c r="F192" s="124"/>
      <c r="G192" s="124"/>
      <c r="H192" s="125"/>
      <c r="J192" s="37"/>
    </row>
    <row r="193" spans="1:14" s="58" customFormat="1" ht="15.75" customHeight="1" x14ac:dyDescent="0.25">
      <c r="A193" s="57">
        <v>1</v>
      </c>
      <c r="B193" s="57" t="s">
        <v>205</v>
      </c>
      <c r="C193" s="56">
        <v>3</v>
      </c>
      <c r="D193" s="62">
        <f>(68.817)*(10.764)</f>
        <v>740.74618799999985</v>
      </c>
      <c r="E193" s="57">
        <v>0</v>
      </c>
      <c r="F193" s="57">
        <f t="shared" ref="F193:F200" si="9">D193*(($F$167)+1)+(IF(E193&lt;101,E193,IF(E193&lt;201,E193/2,IF(E193&lt;=301,E193/3,E193/4))))</f>
        <v>1111.1192819999997</v>
      </c>
      <c r="G193" s="204" t="str">
        <f>A192</f>
        <v>8th Floor (Part Refuge Area)</v>
      </c>
      <c r="H193" s="205"/>
      <c r="I193" s="37"/>
      <c r="L193" s="175"/>
      <c r="M193" s="175"/>
      <c r="N193" s="37"/>
    </row>
    <row r="194" spans="1:14" s="58" customFormat="1" ht="15.75" customHeight="1" x14ac:dyDescent="0.25">
      <c r="A194" s="57">
        <f t="shared" ref="A194:A202" si="10">A193+1</f>
        <v>2</v>
      </c>
      <c r="B194" s="57" t="s">
        <v>205</v>
      </c>
      <c r="C194" s="56">
        <v>2</v>
      </c>
      <c r="D194" s="62">
        <f>(60.124)*(10.764)</f>
        <v>647.17473599999994</v>
      </c>
      <c r="E194" s="57">
        <v>0</v>
      </c>
      <c r="F194" s="57">
        <f t="shared" si="9"/>
        <v>970.76210399999991</v>
      </c>
      <c r="G194" s="206" t="str">
        <f t="shared" ref="G194:G202" si="11">G193</f>
        <v>8th Floor (Part Refuge Area)</v>
      </c>
      <c r="H194" s="207"/>
      <c r="I194" s="37"/>
      <c r="L194" s="175"/>
      <c r="M194" s="175"/>
      <c r="N194" s="37"/>
    </row>
    <row r="195" spans="1:14" s="58" customFormat="1" ht="15.75" customHeight="1" x14ac:dyDescent="0.25">
      <c r="A195" s="57">
        <f t="shared" si="10"/>
        <v>3</v>
      </c>
      <c r="B195" s="57" t="s">
        <v>204</v>
      </c>
      <c r="C195" s="56">
        <v>2</v>
      </c>
      <c r="D195" s="62">
        <f>(60.124)*(10.764)</f>
        <v>647.17473599999994</v>
      </c>
      <c r="E195" s="57">
        <v>0</v>
      </c>
      <c r="F195" s="57">
        <f t="shared" si="9"/>
        <v>970.76210399999991</v>
      </c>
      <c r="G195" s="206" t="str">
        <f t="shared" si="11"/>
        <v>8th Floor (Part Refuge Area)</v>
      </c>
      <c r="H195" s="207"/>
      <c r="I195" s="37"/>
      <c r="L195" s="175"/>
      <c r="M195" s="175"/>
      <c r="N195" s="37"/>
    </row>
    <row r="196" spans="1:14" s="58" customFormat="1" ht="15.75" customHeight="1" x14ac:dyDescent="0.25">
      <c r="A196" s="57">
        <f t="shared" si="10"/>
        <v>4</v>
      </c>
      <c r="B196" s="57" t="s">
        <v>204</v>
      </c>
      <c r="C196" s="56">
        <v>2</v>
      </c>
      <c r="D196" s="62">
        <f>(60.143)*(10.764)</f>
        <v>647.37925199999995</v>
      </c>
      <c r="E196" s="57">
        <v>0</v>
      </c>
      <c r="F196" s="57">
        <f t="shared" si="9"/>
        <v>971.06887799999993</v>
      </c>
      <c r="G196" s="206" t="str">
        <f t="shared" si="11"/>
        <v>8th Floor (Part Refuge Area)</v>
      </c>
      <c r="H196" s="207"/>
      <c r="I196" s="37"/>
      <c r="L196" s="175"/>
      <c r="M196" s="175"/>
      <c r="N196" s="37"/>
    </row>
    <row r="197" spans="1:14" s="58" customFormat="1" ht="15.75" customHeight="1" x14ac:dyDescent="0.25">
      <c r="A197" s="57">
        <f t="shared" si="10"/>
        <v>5</v>
      </c>
      <c r="B197" s="57" t="s">
        <v>204</v>
      </c>
      <c r="C197" s="56">
        <v>3</v>
      </c>
      <c r="D197" s="62">
        <f>(100.145)*(10.764)</f>
        <v>1077.9607799999999</v>
      </c>
      <c r="E197" s="57">
        <v>0</v>
      </c>
      <c r="F197" s="57">
        <f t="shared" si="9"/>
        <v>1616.9411699999998</v>
      </c>
      <c r="G197" s="206" t="str">
        <f t="shared" si="11"/>
        <v>8th Floor (Part Refuge Area)</v>
      </c>
      <c r="H197" s="207"/>
      <c r="I197" s="37"/>
      <c r="L197" s="175"/>
      <c r="M197" s="175"/>
      <c r="N197" s="37"/>
    </row>
    <row r="198" spans="1:14" s="58" customFormat="1" ht="15.75" customHeight="1" x14ac:dyDescent="0.25">
      <c r="A198" s="57">
        <f t="shared" si="10"/>
        <v>6</v>
      </c>
      <c r="B198" s="57" t="s">
        <v>204</v>
      </c>
      <c r="C198" s="56">
        <v>3</v>
      </c>
      <c r="D198" s="62">
        <f>(100.225+8.33+3.46)*(10.764)</f>
        <v>1205.7294599999998</v>
      </c>
      <c r="E198" s="57">
        <v>0</v>
      </c>
      <c r="F198" s="57">
        <f t="shared" si="9"/>
        <v>1808.5941899999998</v>
      </c>
      <c r="G198" s="206" t="str">
        <f t="shared" si="11"/>
        <v>8th Floor (Part Refuge Area)</v>
      </c>
      <c r="H198" s="207"/>
      <c r="I198" s="37"/>
      <c r="L198" s="175"/>
      <c r="M198" s="175"/>
      <c r="N198" s="37"/>
    </row>
    <row r="199" spans="1:14" s="58" customFormat="1" ht="15.75" customHeight="1" x14ac:dyDescent="0.25">
      <c r="A199" s="57">
        <f t="shared" si="10"/>
        <v>7</v>
      </c>
      <c r="B199" s="57" t="s">
        <v>204</v>
      </c>
      <c r="C199" s="56">
        <v>2</v>
      </c>
      <c r="D199" s="62">
        <f>(71.411)*(10.764)</f>
        <v>768.668004</v>
      </c>
      <c r="E199" s="57">
        <v>0</v>
      </c>
      <c r="F199" s="57">
        <f t="shared" si="9"/>
        <v>1153.0020059999999</v>
      </c>
      <c r="G199" s="206" t="str">
        <f t="shared" si="11"/>
        <v>8th Floor (Part Refuge Area)</v>
      </c>
      <c r="H199" s="207"/>
      <c r="I199" s="37"/>
      <c r="L199" s="175"/>
      <c r="M199" s="175"/>
      <c r="N199" s="37"/>
    </row>
    <row r="200" spans="1:14" s="58" customFormat="1" ht="15.75" customHeight="1" x14ac:dyDescent="0.25">
      <c r="A200" s="57">
        <f t="shared" si="10"/>
        <v>8</v>
      </c>
      <c r="B200" s="57" t="s">
        <v>204</v>
      </c>
      <c r="C200" s="56">
        <v>2</v>
      </c>
      <c r="D200" s="62">
        <f>(71.411)*(10.764)</f>
        <v>768.668004</v>
      </c>
      <c r="E200" s="57">
        <v>0</v>
      </c>
      <c r="F200" s="57">
        <f t="shared" si="9"/>
        <v>1153.0020059999999</v>
      </c>
      <c r="G200" s="206" t="str">
        <f t="shared" si="11"/>
        <v>8th Floor (Part Refuge Area)</v>
      </c>
      <c r="H200" s="207"/>
      <c r="I200" s="37"/>
      <c r="L200" s="175"/>
      <c r="M200" s="175"/>
      <c r="N200" s="37"/>
    </row>
    <row r="201" spans="1:14" s="58" customFormat="1" ht="15.75" customHeight="1" x14ac:dyDescent="0.25">
      <c r="A201" s="57">
        <f t="shared" si="10"/>
        <v>9</v>
      </c>
      <c r="B201" s="74" t="s">
        <v>210</v>
      </c>
      <c r="C201" s="184"/>
      <c r="D201" s="184"/>
      <c r="E201" s="184"/>
      <c r="F201" s="75"/>
      <c r="G201" s="206" t="str">
        <f t="shared" si="11"/>
        <v>8th Floor (Part Refuge Area)</v>
      </c>
      <c r="H201" s="207"/>
      <c r="I201" s="37"/>
      <c r="L201" s="175"/>
      <c r="M201" s="175"/>
      <c r="N201" s="37"/>
    </row>
    <row r="202" spans="1:14" s="58" customFormat="1" ht="15.75" customHeight="1" x14ac:dyDescent="0.25">
      <c r="A202" s="57">
        <f t="shared" si="10"/>
        <v>10</v>
      </c>
      <c r="B202" s="57" t="s">
        <v>205</v>
      </c>
      <c r="C202" s="56">
        <v>3</v>
      </c>
      <c r="D202" s="62">
        <f>(68.817)*(10.764)</f>
        <v>740.74618799999985</v>
      </c>
      <c r="E202" s="57">
        <v>0</v>
      </c>
      <c r="F202" s="57">
        <f>D202*(($F$167)+1)+(IF(E202&lt;101,E202,IF(E202&lt;201,E202/2,IF(E202&lt;=301,E202/3,E202/4))))</f>
        <v>1111.1192819999997</v>
      </c>
      <c r="G202" s="208" t="str">
        <f t="shared" si="11"/>
        <v>8th Floor (Part Refuge Area)</v>
      </c>
      <c r="H202" s="209"/>
      <c r="I202" s="37"/>
      <c r="L202" s="175"/>
      <c r="M202" s="175"/>
      <c r="N202" s="37"/>
    </row>
    <row r="203" spans="1:14" s="58" customFormat="1" x14ac:dyDescent="0.25">
      <c r="A203" s="123" t="s">
        <v>211</v>
      </c>
      <c r="B203" s="124"/>
      <c r="C203" s="124"/>
      <c r="D203" s="124"/>
      <c r="E203" s="124"/>
      <c r="F203" s="124"/>
      <c r="G203" s="124"/>
      <c r="H203" s="125"/>
      <c r="J203" s="37"/>
    </row>
    <row r="204" spans="1:14" s="58" customFormat="1" ht="15.75" customHeight="1" x14ac:dyDescent="0.25">
      <c r="A204" s="57">
        <v>1</v>
      </c>
      <c r="B204" s="57" t="s">
        <v>205</v>
      </c>
      <c r="C204" s="56">
        <v>3</v>
      </c>
      <c r="D204" s="62">
        <f>(68.817)*(10.764)</f>
        <v>740.74618799999985</v>
      </c>
      <c r="E204" s="57">
        <v>0</v>
      </c>
      <c r="F204" s="57">
        <f t="shared" ref="F204:F213" si="12">D204*(($F$167)+1)+(IF(E204&lt;101,E204,IF(E204&lt;201,E204/2,IF(E204&lt;=301,E204/3,E204/4))))</f>
        <v>1111.1192819999997</v>
      </c>
      <c r="G204" s="204" t="str">
        <f>A203</f>
        <v>9th to 12th Floor</v>
      </c>
      <c r="H204" s="205"/>
      <c r="I204" s="37"/>
      <c r="L204" s="175"/>
      <c r="M204" s="175"/>
      <c r="N204" s="37"/>
    </row>
    <row r="205" spans="1:14" s="58" customFormat="1" ht="15.75" customHeight="1" x14ac:dyDescent="0.25">
      <c r="A205" s="57">
        <f t="shared" ref="A205:A213" si="13">A204+1</f>
        <v>2</v>
      </c>
      <c r="B205" s="57" t="s">
        <v>204</v>
      </c>
      <c r="C205" s="56">
        <v>2</v>
      </c>
      <c r="D205" s="62">
        <f>(64.576)*(10.764)</f>
        <v>695.09606399999984</v>
      </c>
      <c r="E205" s="57">
        <v>0</v>
      </c>
      <c r="F205" s="57">
        <f t="shared" si="12"/>
        <v>1042.6440959999998</v>
      </c>
      <c r="G205" s="206" t="str">
        <f t="shared" ref="G205:G213" si="14">G204</f>
        <v>9th to 12th Floor</v>
      </c>
      <c r="H205" s="207"/>
      <c r="I205" s="37"/>
      <c r="L205" s="175"/>
      <c r="M205" s="175"/>
      <c r="N205" s="37"/>
    </row>
    <row r="206" spans="1:14" s="58" customFormat="1" ht="15.75" customHeight="1" x14ac:dyDescent="0.25">
      <c r="A206" s="57">
        <f t="shared" si="13"/>
        <v>3</v>
      </c>
      <c r="B206" s="57" t="s">
        <v>204</v>
      </c>
      <c r="C206" s="56">
        <v>2</v>
      </c>
      <c r="D206" s="62">
        <f>(64.576)*(10.764)</f>
        <v>695.09606399999984</v>
      </c>
      <c r="E206" s="57">
        <v>0</v>
      </c>
      <c r="F206" s="57">
        <f t="shared" si="12"/>
        <v>1042.6440959999998</v>
      </c>
      <c r="G206" s="206" t="str">
        <f t="shared" si="14"/>
        <v>9th to 12th Floor</v>
      </c>
      <c r="H206" s="207"/>
      <c r="I206" s="37"/>
      <c r="L206" s="175"/>
      <c r="M206" s="175"/>
      <c r="N206" s="37"/>
    </row>
    <row r="207" spans="1:14" s="58" customFormat="1" ht="15.75" customHeight="1" x14ac:dyDescent="0.25">
      <c r="A207" s="57">
        <f t="shared" si="13"/>
        <v>4</v>
      </c>
      <c r="B207" s="57" t="s">
        <v>204</v>
      </c>
      <c r="C207" s="56">
        <v>2</v>
      </c>
      <c r="D207" s="62">
        <f>(64.595)*(10.764)</f>
        <v>695.30057999999997</v>
      </c>
      <c r="E207" s="57">
        <v>0</v>
      </c>
      <c r="F207" s="57">
        <f t="shared" si="12"/>
        <v>1042.9508699999999</v>
      </c>
      <c r="G207" s="206" t="str">
        <f t="shared" si="14"/>
        <v>9th to 12th Floor</v>
      </c>
      <c r="H207" s="207"/>
      <c r="I207" s="37"/>
      <c r="L207" s="175"/>
      <c r="M207" s="175"/>
      <c r="N207" s="37"/>
    </row>
    <row r="208" spans="1:14" s="58" customFormat="1" ht="15.75" customHeight="1" x14ac:dyDescent="0.25">
      <c r="A208" s="57">
        <f t="shared" si="13"/>
        <v>5</v>
      </c>
      <c r="B208" s="57" t="s">
        <v>204</v>
      </c>
      <c r="C208" s="56">
        <v>3</v>
      </c>
      <c r="D208" s="62">
        <f>(100.145)*(10.764)</f>
        <v>1077.9607799999999</v>
      </c>
      <c r="E208" s="57">
        <v>0</v>
      </c>
      <c r="F208" s="57">
        <f t="shared" si="12"/>
        <v>1616.9411699999998</v>
      </c>
      <c r="G208" s="206" t="str">
        <f t="shared" si="14"/>
        <v>9th to 12th Floor</v>
      </c>
      <c r="H208" s="207"/>
      <c r="I208" s="37"/>
      <c r="L208" s="175"/>
      <c r="M208" s="175"/>
      <c r="N208" s="37"/>
    </row>
    <row r="209" spans="1:14" s="58" customFormat="1" ht="15.75" customHeight="1" x14ac:dyDescent="0.25">
      <c r="A209" s="57">
        <f t="shared" si="13"/>
        <v>6</v>
      </c>
      <c r="B209" s="57" t="s">
        <v>204</v>
      </c>
      <c r="C209" s="56">
        <v>3</v>
      </c>
      <c r="D209" s="62">
        <f>(100.225+8.33+3.46)*(10.764)</f>
        <v>1205.7294599999998</v>
      </c>
      <c r="E209" s="57">
        <v>0</v>
      </c>
      <c r="F209" s="57">
        <f t="shared" si="12"/>
        <v>1808.5941899999998</v>
      </c>
      <c r="G209" s="206" t="str">
        <f t="shared" si="14"/>
        <v>9th to 12th Floor</v>
      </c>
      <c r="H209" s="207"/>
      <c r="I209" s="37"/>
      <c r="L209" s="175"/>
      <c r="M209" s="175"/>
      <c r="N209" s="37"/>
    </row>
    <row r="210" spans="1:14" s="58" customFormat="1" ht="15.75" customHeight="1" x14ac:dyDescent="0.25">
      <c r="A210" s="57">
        <f t="shared" si="13"/>
        <v>7</v>
      </c>
      <c r="B210" s="57" t="s">
        <v>204</v>
      </c>
      <c r="C210" s="56">
        <v>2</v>
      </c>
      <c r="D210" s="62">
        <f>(71.411)*(10.764)</f>
        <v>768.668004</v>
      </c>
      <c r="E210" s="57">
        <v>0</v>
      </c>
      <c r="F210" s="57">
        <f t="shared" si="12"/>
        <v>1153.0020059999999</v>
      </c>
      <c r="G210" s="206" t="str">
        <f t="shared" si="14"/>
        <v>9th to 12th Floor</v>
      </c>
      <c r="H210" s="207"/>
      <c r="I210" s="37"/>
      <c r="L210" s="175"/>
      <c r="M210" s="175"/>
      <c r="N210" s="37"/>
    </row>
    <row r="211" spans="1:14" s="58" customFormat="1" ht="15.75" customHeight="1" x14ac:dyDescent="0.25">
      <c r="A211" s="57">
        <f t="shared" si="13"/>
        <v>8</v>
      </c>
      <c r="B211" s="57" t="s">
        <v>204</v>
      </c>
      <c r="C211" s="56">
        <v>2</v>
      </c>
      <c r="D211" s="62">
        <f>(71.411)*(10.764)</f>
        <v>768.668004</v>
      </c>
      <c r="E211" s="57">
        <v>0</v>
      </c>
      <c r="F211" s="57">
        <f t="shared" si="12"/>
        <v>1153.0020059999999</v>
      </c>
      <c r="G211" s="206" t="str">
        <f t="shared" si="14"/>
        <v>9th to 12th Floor</v>
      </c>
      <c r="H211" s="207"/>
      <c r="I211" s="37"/>
      <c r="L211" s="175"/>
      <c r="M211" s="175"/>
      <c r="N211" s="37"/>
    </row>
    <row r="212" spans="1:14" s="58" customFormat="1" ht="15.75" customHeight="1" x14ac:dyDescent="0.25">
      <c r="A212" s="57">
        <f t="shared" si="13"/>
        <v>9</v>
      </c>
      <c r="B212" s="57" t="s">
        <v>204</v>
      </c>
      <c r="C212" s="56">
        <v>2</v>
      </c>
      <c r="D212" s="62">
        <f>(67.868)*(10.764)</f>
        <v>730.53115199999991</v>
      </c>
      <c r="E212" s="57">
        <v>0</v>
      </c>
      <c r="F212" s="57">
        <f t="shared" si="12"/>
        <v>1095.7967279999998</v>
      </c>
      <c r="G212" s="206" t="str">
        <f t="shared" si="14"/>
        <v>9th to 12th Floor</v>
      </c>
      <c r="H212" s="207"/>
      <c r="I212" s="37"/>
      <c r="L212" s="175"/>
      <c r="M212" s="175"/>
      <c r="N212" s="37"/>
    </row>
    <row r="213" spans="1:14" s="58" customFormat="1" ht="15.75" customHeight="1" x14ac:dyDescent="0.25">
      <c r="A213" s="57">
        <f t="shared" si="13"/>
        <v>10</v>
      </c>
      <c r="B213" s="57" t="s">
        <v>205</v>
      </c>
      <c r="C213" s="56">
        <v>3</v>
      </c>
      <c r="D213" s="62">
        <f>(68.817)*(10.764)</f>
        <v>740.74618799999985</v>
      </c>
      <c r="E213" s="57">
        <v>0</v>
      </c>
      <c r="F213" s="57">
        <f t="shared" si="12"/>
        <v>1111.1192819999997</v>
      </c>
      <c r="G213" s="208" t="str">
        <f t="shared" si="14"/>
        <v>9th to 12th Floor</v>
      </c>
      <c r="H213" s="209"/>
      <c r="I213" s="37"/>
      <c r="L213" s="175"/>
      <c r="M213" s="175"/>
      <c r="N213" s="37"/>
    </row>
    <row r="214" spans="1:14" s="58" customFormat="1" x14ac:dyDescent="0.25">
      <c r="A214" s="123" t="s">
        <v>212</v>
      </c>
      <c r="B214" s="124"/>
      <c r="C214" s="124"/>
      <c r="D214" s="124"/>
      <c r="E214" s="124"/>
      <c r="F214" s="124"/>
      <c r="G214" s="124"/>
      <c r="H214" s="125"/>
      <c r="J214" s="37"/>
    </row>
    <row r="215" spans="1:14" s="58" customFormat="1" ht="15.75" customHeight="1" x14ac:dyDescent="0.25">
      <c r="A215" s="57">
        <v>1</v>
      </c>
      <c r="B215" s="57" t="s">
        <v>205</v>
      </c>
      <c r="C215" s="56">
        <v>3</v>
      </c>
      <c r="D215" s="62">
        <f>(68.817)*(10.764)</f>
        <v>740.74618799999985</v>
      </c>
      <c r="E215" s="57">
        <v>0</v>
      </c>
      <c r="F215" s="57">
        <f t="shared" ref="F215:F222" si="15">D215*(($F$167)+1)+(IF(E215&lt;101,E215,IF(E215&lt;201,E215/2,IF(E215&lt;=301,E215/3,E215/4))))</f>
        <v>1111.1192819999997</v>
      </c>
      <c r="G215" s="204" t="str">
        <f>A214</f>
        <v>13th Floor (Part Refuge Area)</v>
      </c>
      <c r="H215" s="205"/>
      <c r="I215" s="37"/>
      <c r="L215" s="175"/>
      <c r="M215" s="175"/>
      <c r="N215" s="37"/>
    </row>
    <row r="216" spans="1:14" s="58" customFormat="1" ht="15.75" customHeight="1" x14ac:dyDescent="0.25">
      <c r="A216" s="57">
        <f t="shared" ref="A216:A224" si="16">A215+1</f>
        <v>2</v>
      </c>
      <c r="B216" s="57" t="s">
        <v>204</v>
      </c>
      <c r="C216" s="56">
        <v>2</v>
      </c>
      <c r="D216" s="62">
        <f>(64.576)*(10.764)</f>
        <v>695.09606399999984</v>
      </c>
      <c r="E216" s="57">
        <v>0</v>
      </c>
      <c r="F216" s="57">
        <f t="shared" si="15"/>
        <v>1042.6440959999998</v>
      </c>
      <c r="G216" s="206" t="str">
        <f t="shared" ref="G216:G224" si="17">G215</f>
        <v>13th Floor (Part Refuge Area)</v>
      </c>
      <c r="H216" s="207"/>
      <c r="I216" s="37"/>
      <c r="L216" s="175"/>
      <c r="M216" s="175"/>
      <c r="N216" s="37"/>
    </row>
    <row r="217" spans="1:14" s="58" customFormat="1" ht="15.75" customHeight="1" x14ac:dyDescent="0.25">
      <c r="A217" s="57">
        <f t="shared" si="16"/>
        <v>3</v>
      </c>
      <c r="B217" s="57" t="s">
        <v>204</v>
      </c>
      <c r="C217" s="56">
        <v>2</v>
      </c>
      <c r="D217" s="62">
        <f>(64.576)*(10.764)</f>
        <v>695.09606399999984</v>
      </c>
      <c r="E217" s="57">
        <v>0</v>
      </c>
      <c r="F217" s="57">
        <f t="shared" si="15"/>
        <v>1042.6440959999998</v>
      </c>
      <c r="G217" s="206" t="str">
        <f t="shared" si="17"/>
        <v>13th Floor (Part Refuge Area)</v>
      </c>
      <c r="H217" s="207"/>
      <c r="I217" s="37"/>
      <c r="L217" s="175"/>
      <c r="M217" s="175"/>
      <c r="N217" s="37"/>
    </row>
    <row r="218" spans="1:14" s="58" customFormat="1" ht="15.75" customHeight="1" x14ac:dyDescent="0.25">
      <c r="A218" s="57">
        <f t="shared" si="16"/>
        <v>4</v>
      </c>
      <c r="B218" s="57" t="s">
        <v>204</v>
      </c>
      <c r="C218" s="56">
        <v>2</v>
      </c>
      <c r="D218" s="62">
        <f>(64.595)*(10.764)</f>
        <v>695.30057999999997</v>
      </c>
      <c r="E218" s="57">
        <v>0</v>
      </c>
      <c r="F218" s="57">
        <f t="shared" si="15"/>
        <v>1042.9508699999999</v>
      </c>
      <c r="G218" s="206" t="str">
        <f t="shared" si="17"/>
        <v>13th Floor (Part Refuge Area)</v>
      </c>
      <c r="H218" s="207"/>
      <c r="I218" s="37"/>
      <c r="L218" s="175"/>
      <c r="M218" s="175"/>
      <c r="N218" s="37"/>
    </row>
    <row r="219" spans="1:14" s="58" customFormat="1" ht="15.75" customHeight="1" x14ac:dyDescent="0.25">
      <c r="A219" s="57">
        <f t="shared" si="16"/>
        <v>5</v>
      </c>
      <c r="B219" s="57" t="s">
        <v>204</v>
      </c>
      <c r="C219" s="56">
        <v>3</v>
      </c>
      <c r="D219" s="62">
        <f>(100.145)*(10.764)</f>
        <v>1077.9607799999999</v>
      </c>
      <c r="E219" s="57">
        <v>0</v>
      </c>
      <c r="F219" s="57">
        <f t="shared" si="15"/>
        <v>1616.9411699999998</v>
      </c>
      <c r="G219" s="206" t="str">
        <f t="shared" si="17"/>
        <v>13th Floor (Part Refuge Area)</v>
      </c>
      <c r="H219" s="207"/>
      <c r="I219" s="37"/>
      <c r="L219" s="175"/>
      <c r="M219" s="175"/>
      <c r="N219" s="37"/>
    </row>
    <row r="220" spans="1:14" s="58" customFormat="1" ht="15.75" customHeight="1" x14ac:dyDescent="0.25">
      <c r="A220" s="57">
        <f t="shared" si="16"/>
        <v>6</v>
      </c>
      <c r="B220" s="57" t="s">
        <v>204</v>
      </c>
      <c r="C220" s="56">
        <v>3</v>
      </c>
      <c r="D220" s="62">
        <f>(100.225+8.33+3.46)*(10.764)</f>
        <v>1205.7294599999998</v>
      </c>
      <c r="E220" s="57">
        <v>0</v>
      </c>
      <c r="F220" s="57">
        <f t="shared" si="15"/>
        <v>1808.5941899999998</v>
      </c>
      <c r="G220" s="206" t="str">
        <f t="shared" si="17"/>
        <v>13th Floor (Part Refuge Area)</v>
      </c>
      <c r="H220" s="207"/>
      <c r="I220" s="37"/>
      <c r="L220" s="175"/>
      <c r="M220" s="175"/>
      <c r="N220" s="37"/>
    </row>
    <row r="221" spans="1:14" s="58" customFormat="1" ht="15.75" customHeight="1" x14ac:dyDescent="0.25">
      <c r="A221" s="57">
        <f t="shared" si="16"/>
        <v>7</v>
      </c>
      <c r="B221" s="57" t="s">
        <v>204</v>
      </c>
      <c r="C221" s="56">
        <v>2</v>
      </c>
      <c r="D221" s="62">
        <f>(71.411)*(10.764)</f>
        <v>768.668004</v>
      </c>
      <c r="E221" s="57">
        <v>0</v>
      </c>
      <c r="F221" s="57">
        <f t="shared" si="15"/>
        <v>1153.0020059999999</v>
      </c>
      <c r="G221" s="206" t="str">
        <f t="shared" si="17"/>
        <v>13th Floor (Part Refuge Area)</v>
      </c>
      <c r="H221" s="207"/>
      <c r="I221" s="37"/>
      <c r="L221" s="175"/>
      <c r="M221" s="175"/>
      <c r="N221" s="37"/>
    </row>
    <row r="222" spans="1:14" s="58" customFormat="1" ht="15.75" customHeight="1" x14ac:dyDescent="0.25">
      <c r="A222" s="57">
        <f t="shared" si="16"/>
        <v>8</v>
      </c>
      <c r="B222" s="57" t="s">
        <v>204</v>
      </c>
      <c r="C222" s="56">
        <v>2</v>
      </c>
      <c r="D222" s="62">
        <f>(71.411)*(10.764)</f>
        <v>768.668004</v>
      </c>
      <c r="E222" s="57">
        <v>0</v>
      </c>
      <c r="F222" s="57">
        <f t="shared" si="15"/>
        <v>1153.0020059999999</v>
      </c>
      <c r="G222" s="206" t="str">
        <f t="shared" si="17"/>
        <v>13th Floor (Part Refuge Area)</v>
      </c>
      <c r="H222" s="207"/>
      <c r="I222" s="37"/>
      <c r="L222" s="175"/>
      <c r="M222" s="175"/>
      <c r="N222" s="37"/>
    </row>
    <row r="223" spans="1:14" s="58" customFormat="1" ht="15.75" customHeight="1" x14ac:dyDescent="0.25">
      <c r="A223" s="57">
        <f t="shared" si="16"/>
        <v>9</v>
      </c>
      <c r="B223" s="74" t="s">
        <v>210</v>
      </c>
      <c r="C223" s="184"/>
      <c r="D223" s="184"/>
      <c r="E223" s="184"/>
      <c r="F223" s="75"/>
      <c r="G223" s="206" t="str">
        <f t="shared" si="17"/>
        <v>13th Floor (Part Refuge Area)</v>
      </c>
      <c r="H223" s="207"/>
      <c r="I223" s="37"/>
      <c r="L223" s="175"/>
      <c r="M223" s="175"/>
      <c r="N223" s="37"/>
    </row>
    <row r="224" spans="1:14" s="58" customFormat="1" ht="15.75" customHeight="1" x14ac:dyDescent="0.25">
      <c r="A224" s="57">
        <f t="shared" si="16"/>
        <v>10</v>
      </c>
      <c r="B224" s="57" t="s">
        <v>205</v>
      </c>
      <c r="C224" s="56">
        <v>3</v>
      </c>
      <c r="D224" s="62">
        <f>(68.817)*(10.764)</f>
        <v>740.74618799999985</v>
      </c>
      <c r="E224" s="57">
        <v>0</v>
      </c>
      <c r="F224" s="57">
        <f>D224*(($F$167)+1)+(IF(E224&lt;101,E224,IF(E224&lt;201,E224/2,IF(E224&lt;=301,E224/3,E224/4))))</f>
        <v>1111.1192819999997</v>
      </c>
      <c r="G224" s="208" t="str">
        <f t="shared" si="17"/>
        <v>13th Floor (Part Refuge Area)</v>
      </c>
      <c r="H224" s="209"/>
      <c r="I224" s="37"/>
      <c r="L224" s="175"/>
      <c r="M224" s="175"/>
      <c r="N224" s="37"/>
    </row>
    <row r="225" spans="1:14" s="58" customFormat="1" x14ac:dyDescent="0.25">
      <c r="A225" s="123" t="s">
        <v>214</v>
      </c>
      <c r="B225" s="124"/>
      <c r="C225" s="124"/>
      <c r="D225" s="124"/>
      <c r="E225" s="124"/>
      <c r="F225" s="124"/>
      <c r="G225" s="124"/>
      <c r="H225" s="125"/>
      <c r="J225" s="37"/>
    </row>
    <row r="226" spans="1:14" s="58" customFormat="1" ht="15.75" customHeight="1" x14ac:dyDescent="0.25">
      <c r="A226" s="57">
        <v>1</v>
      </c>
      <c r="B226" s="57" t="s">
        <v>205</v>
      </c>
      <c r="C226" s="56">
        <v>3</v>
      </c>
      <c r="D226" s="62">
        <f>(68.817)*(10.764)</f>
        <v>740.74618799999985</v>
      </c>
      <c r="E226" s="57">
        <v>0</v>
      </c>
      <c r="F226" s="57">
        <f t="shared" ref="F226:F235" si="18">D226*(($F$167)+1)+(IF(E226&lt;101,E226,IF(E226&lt;201,E226/2,IF(E226&lt;=301,E226/3,E226/4))))</f>
        <v>1111.1192819999997</v>
      </c>
      <c r="G226" s="204" t="str">
        <f>A225</f>
        <v>14th to 17th Floor</v>
      </c>
      <c r="H226" s="205"/>
      <c r="I226" s="37"/>
      <c r="L226" s="175"/>
      <c r="M226" s="175"/>
      <c r="N226" s="37"/>
    </row>
    <row r="227" spans="1:14" s="58" customFormat="1" ht="15.75" customHeight="1" x14ac:dyDescent="0.25">
      <c r="A227" s="57">
        <f t="shared" ref="A227:A235" si="19">A226+1</f>
        <v>2</v>
      </c>
      <c r="B227" s="57" t="s">
        <v>204</v>
      </c>
      <c r="C227" s="56">
        <v>2</v>
      </c>
      <c r="D227" s="62">
        <f>(64.576)*(10.764)</f>
        <v>695.09606399999984</v>
      </c>
      <c r="E227" s="57">
        <v>0</v>
      </c>
      <c r="F227" s="57">
        <f t="shared" si="18"/>
        <v>1042.6440959999998</v>
      </c>
      <c r="G227" s="206" t="str">
        <f t="shared" ref="G227:G235" si="20">G226</f>
        <v>14th to 17th Floor</v>
      </c>
      <c r="H227" s="207"/>
      <c r="I227" s="37"/>
      <c r="L227" s="175"/>
      <c r="M227" s="175"/>
      <c r="N227" s="37"/>
    </row>
    <row r="228" spans="1:14" s="58" customFormat="1" ht="15.75" customHeight="1" x14ac:dyDescent="0.25">
      <c r="A228" s="57">
        <f t="shared" si="19"/>
        <v>3</v>
      </c>
      <c r="B228" s="57" t="s">
        <v>204</v>
      </c>
      <c r="C228" s="56">
        <v>2</v>
      </c>
      <c r="D228" s="62">
        <f>(64.576)*(10.764)</f>
        <v>695.09606399999984</v>
      </c>
      <c r="E228" s="57">
        <v>0</v>
      </c>
      <c r="F228" s="57">
        <f t="shared" si="18"/>
        <v>1042.6440959999998</v>
      </c>
      <c r="G228" s="206" t="str">
        <f t="shared" si="20"/>
        <v>14th to 17th Floor</v>
      </c>
      <c r="H228" s="207"/>
      <c r="I228" s="37"/>
      <c r="L228" s="175"/>
      <c r="M228" s="175"/>
      <c r="N228" s="37"/>
    </row>
    <row r="229" spans="1:14" s="58" customFormat="1" ht="15.75" customHeight="1" x14ac:dyDescent="0.25">
      <c r="A229" s="57">
        <f t="shared" si="19"/>
        <v>4</v>
      </c>
      <c r="B229" s="57" t="s">
        <v>204</v>
      </c>
      <c r="C229" s="56">
        <v>2</v>
      </c>
      <c r="D229" s="62">
        <f>(64.595)*(10.764)</f>
        <v>695.30057999999997</v>
      </c>
      <c r="E229" s="57">
        <v>0</v>
      </c>
      <c r="F229" s="57">
        <f t="shared" si="18"/>
        <v>1042.9508699999999</v>
      </c>
      <c r="G229" s="206" t="str">
        <f t="shared" si="20"/>
        <v>14th to 17th Floor</v>
      </c>
      <c r="H229" s="207"/>
      <c r="I229" s="37"/>
      <c r="L229" s="175"/>
      <c r="M229" s="175"/>
      <c r="N229" s="37"/>
    </row>
    <row r="230" spans="1:14" s="58" customFormat="1" ht="15.75" customHeight="1" x14ac:dyDescent="0.25">
      <c r="A230" s="57">
        <f t="shared" si="19"/>
        <v>5</v>
      </c>
      <c r="B230" s="57" t="s">
        <v>204</v>
      </c>
      <c r="C230" s="56">
        <v>3</v>
      </c>
      <c r="D230" s="62">
        <f>(100.145)*(10.764)</f>
        <v>1077.9607799999999</v>
      </c>
      <c r="E230" s="57">
        <v>0</v>
      </c>
      <c r="F230" s="57">
        <f t="shared" si="18"/>
        <v>1616.9411699999998</v>
      </c>
      <c r="G230" s="206" t="str">
        <f t="shared" si="20"/>
        <v>14th to 17th Floor</v>
      </c>
      <c r="H230" s="207"/>
      <c r="I230" s="37"/>
      <c r="L230" s="175"/>
      <c r="M230" s="175"/>
      <c r="N230" s="37"/>
    </row>
    <row r="231" spans="1:14" s="58" customFormat="1" ht="15.75" customHeight="1" x14ac:dyDescent="0.25">
      <c r="A231" s="57">
        <f t="shared" si="19"/>
        <v>6</v>
      </c>
      <c r="B231" s="57" t="s">
        <v>204</v>
      </c>
      <c r="C231" s="56">
        <v>3</v>
      </c>
      <c r="D231" s="62">
        <f>(100.225+8.33+3.46)*(10.764)</f>
        <v>1205.7294599999998</v>
      </c>
      <c r="E231" s="57">
        <v>0</v>
      </c>
      <c r="F231" s="57">
        <f t="shared" si="18"/>
        <v>1808.5941899999998</v>
      </c>
      <c r="G231" s="206" t="str">
        <f t="shared" si="20"/>
        <v>14th to 17th Floor</v>
      </c>
      <c r="H231" s="207"/>
      <c r="I231" s="37"/>
      <c r="L231" s="175"/>
      <c r="M231" s="175"/>
      <c r="N231" s="37"/>
    </row>
    <row r="232" spans="1:14" s="58" customFormat="1" ht="15.75" customHeight="1" x14ac:dyDescent="0.25">
      <c r="A232" s="57">
        <f t="shared" si="19"/>
        <v>7</v>
      </c>
      <c r="B232" s="57" t="s">
        <v>204</v>
      </c>
      <c r="C232" s="56">
        <v>2</v>
      </c>
      <c r="D232" s="62">
        <f>(71.411)*(10.764)</f>
        <v>768.668004</v>
      </c>
      <c r="E232" s="57">
        <v>0</v>
      </c>
      <c r="F232" s="57">
        <f t="shared" si="18"/>
        <v>1153.0020059999999</v>
      </c>
      <c r="G232" s="206" t="str">
        <f t="shared" si="20"/>
        <v>14th to 17th Floor</v>
      </c>
      <c r="H232" s="207"/>
      <c r="I232" s="37"/>
      <c r="L232" s="175"/>
      <c r="M232" s="175"/>
      <c r="N232" s="37"/>
    </row>
    <row r="233" spans="1:14" s="58" customFormat="1" ht="15.75" customHeight="1" x14ac:dyDescent="0.25">
      <c r="A233" s="57">
        <f t="shared" si="19"/>
        <v>8</v>
      </c>
      <c r="B233" s="57" t="s">
        <v>204</v>
      </c>
      <c r="C233" s="56">
        <v>2</v>
      </c>
      <c r="D233" s="62">
        <f>(71.411)*(10.764)</f>
        <v>768.668004</v>
      </c>
      <c r="E233" s="57">
        <v>0</v>
      </c>
      <c r="F233" s="57">
        <f t="shared" si="18"/>
        <v>1153.0020059999999</v>
      </c>
      <c r="G233" s="206" t="str">
        <f t="shared" si="20"/>
        <v>14th to 17th Floor</v>
      </c>
      <c r="H233" s="207"/>
      <c r="I233" s="37"/>
      <c r="L233" s="175"/>
      <c r="M233" s="175"/>
      <c r="N233" s="37"/>
    </row>
    <row r="234" spans="1:14" s="58" customFormat="1" ht="15.75" customHeight="1" x14ac:dyDescent="0.25">
      <c r="A234" s="57">
        <f t="shared" si="19"/>
        <v>9</v>
      </c>
      <c r="B234" s="57" t="s">
        <v>204</v>
      </c>
      <c r="C234" s="56">
        <v>2</v>
      </c>
      <c r="D234" s="62">
        <f>(67.868)*(10.764)</f>
        <v>730.53115199999991</v>
      </c>
      <c r="E234" s="57">
        <v>0</v>
      </c>
      <c r="F234" s="57">
        <f t="shared" si="18"/>
        <v>1095.7967279999998</v>
      </c>
      <c r="G234" s="206" t="str">
        <f t="shared" si="20"/>
        <v>14th to 17th Floor</v>
      </c>
      <c r="H234" s="207"/>
      <c r="I234" s="37"/>
      <c r="L234" s="175"/>
      <c r="M234" s="175"/>
      <c r="N234" s="37"/>
    </row>
    <row r="235" spans="1:14" s="58" customFormat="1" ht="15.75" customHeight="1" x14ac:dyDescent="0.25">
      <c r="A235" s="57">
        <f t="shared" si="19"/>
        <v>10</v>
      </c>
      <c r="B235" s="57" t="s">
        <v>205</v>
      </c>
      <c r="C235" s="56">
        <v>3</v>
      </c>
      <c r="D235" s="62">
        <f>(69.367)*(10.764)</f>
        <v>746.66638799999998</v>
      </c>
      <c r="E235" s="57">
        <v>0</v>
      </c>
      <c r="F235" s="57">
        <f t="shared" si="18"/>
        <v>1119.9995819999999</v>
      </c>
      <c r="G235" s="208" t="str">
        <f t="shared" si="20"/>
        <v>14th to 17th Floor</v>
      </c>
      <c r="H235" s="209"/>
      <c r="I235" s="37"/>
      <c r="L235" s="175"/>
      <c r="M235" s="175"/>
      <c r="N235" s="37"/>
    </row>
    <row r="236" spans="1:14" s="58" customFormat="1" x14ac:dyDescent="0.25">
      <c r="A236" s="123" t="s">
        <v>215</v>
      </c>
      <c r="B236" s="124"/>
      <c r="C236" s="124"/>
      <c r="D236" s="124"/>
      <c r="E236" s="124"/>
      <c r="F236" s="124"/>
      <c r="G236" s="124"/>
      <c r="H236" s="125"/>
      <c r="J236" s="37"/>
    </row>
    <row r="237" spans="1:14" s="58" customFormat="1" ht="15.75" customHeight="1" x14ac:dyDescent="0.25">
      <c r="A237" s="57">
        <v>1</v>
      </c>
      <c r="B237" s="57" t="s">
        <v>205</v>
      </c>
      <c r="C237" s="56">
        <v>3</v>
      </c>
      <c r="D237" s="62">
        <f>(68.817)*(10.764)</f>
        <v>740.74618799999985</v>
      </c>
      <c r="E237" s="57">
        <v>0</v>
      </c>
      <c r="F237" s="57">
        <f t="shared" ref="F237:F244" si="21">D237*(($F$167)+1)+(IF(E237&lt;101,E237,IF(E237&lt;201,E237/2,IF(E237&lt;=301,E237/3,E237/4))))</f>
        <v>1111.1192819999997</v>
      </c>
      <c r="G237" s="204" t="str">
        <f>A236</f>
        <v>18th Floor (Part Refuge Area)</v>
      </c>
      <c r="H237" s="205"/>
      <c r="I237" s="37"/>
      <c r="L237" s="175"/>
      <c r="M237" s="175"/>
      <c r="N237" s="37"/>
    </row>
    <row r="238" spans="1:14" s="58" customFormat="1" ht="15.75" customHeight="1" x14ac:dyDescent="0.25">
      <c r="A238" s="57">
        <f t="shared" ref="A238:A246" si="22">A237+1</f>
        <v>2</v>
      </c>
      <c r="B238" s="57" t="s">
        <v>204</v>
      </c>
      <c r="C238" s="56">
        <v>2</v>
      </c>
      <c r="D238" s="62">
        <f>(64.576)*(10.764)</f>
        <v>695.09606399999984</v>
      </c>
      <c r="E238" s="57">
        <v>0</v>
      </c>
      <c r="F238" s="57">
        <f t="shared" si="21"/>
        <v>1042.6440959999998</v>
      </c>
      <c r="G238" s="206" t="str">
        <f t="shared" ref="G238:G246" si="23">G237</f>
        <v>18th Floor (Part Refuge Area)</v>
      </c>
      <c r="H238" s="207"/>
      <c r="I238" s="37"/>
      <c r="L238" s="175"/>
      <c r="M238" s="175"/>
      <c r="N238" s="37"/>
    </row>
    <row r="239" spans="1:14" s="58" customFormat="1" ht="15.75" customHeight="1" x14ac:dyDescent="0.25">
      <c r="A239" s="57">
        <f t="shared" si="22"/>
        <v>3</v>
      </c>
      <c r="B239" s="57" t="s">
        <v>204</v>
      </c>
      <c r="C239" s="56">
        <v>2</v>
      </c>
      <c r="D239" s="62">
        <f>(64.576)*(10.764)</f>
        <v>695.09606399999984</v>
      </c>
      <c r="E239" s="57">
        <v>0</v>
      </c>
      <c r="F239" s="57">
        <f t="shared" si="21"/>
        <v>1042.6440959999998</v>
      </c>
      <c r="G239" s="206" t="str">
        <f t="shared" si="23"/>
        <v>18th Floor (Part Refuge Area)</v>
      </c>
      <c r="H239" s="207"/>
      <c r="I239" s="37"/>
      <c r="L239" s="175"/>
      <c r="M239" s="175"/>
      <c r="N239" s="37"/>
    </row>
    <row r="240" spans="1:14" s="58" customFormat="1" ht="15.75" customHeight="1" x14ac:dyDescent="0.25">
      <c r="A240" s="57">
        <f t="shared" si="22"/>
        <v>4</v>
      </c>
      <c r="B240" s="57" t="s">
        <v>204</v>
      </c>
      <c r="C240" s="56">
        <v>2</v>
      </c>
      <c r="D240" s="62">
        <f>(64.595)*(10.764)</f>
        <v>695.30057999999997</v>
      </c>
      <c r="E240" s="57">
        <v>0</v>
      </c>
      <c r="F240" s="57">
        <f t="shared" si="21"/>
        <v>1042.9508699999999</v>
      </c>
      <c r="G240" s="206" t="str">
        <f t="shared" si="23"/>
        <v>18th Floor (Part Refuge Area)</v>
      </c>
      <c r="H240" s="207"/>
      <c r="I240" s="37"/>
      <c r="L240" s="175"/>
      <c r="M240" s="175"/>
      <c r="N240" s="37"/>
    </row>
    <row r="241" spans="1:14" s="58" customFormat="1" ht="15.75" customHeight="1" x14ac:dyDescent="0.25">
      <c r="A241" s="57">
        <f t="shared" si="22"/>
        <v>5</v>
      </c>
      <c r="B241" s="57" t="s">
        <v>204</v>
      </c>
      <c r="C241" s="56">
        <v>3</v>
      </c>
      <c r="D241" s="62">
        <f>(100.145)*(10.764)</f>
        <v>1077.9607799999999</v>
      </c>
      <c r="E241" s="57">
        <v>0</v>
      </c>
      <c r="F241" s="57">
        <f t="shared" si="21"/>
        <v>1616.9411699999998</v>
      </c>
      <c r="G241" s="206" t="str">
        <f t="shared" si="23"/>
        <v>18th Floor (Part Refuge Area)</v>
      </c>
      <c r="H241" s="207"/>
      <c r="I241" s="37"/>
      <c r="L241" s="175"/>
      <c r="M241" s="175"/>
      <c r="N241" s="37"/>
    </row>
    <row r="242" spans="1:14" s="58" customFormat="1" ht="15.75" customHeight="1" x14ac:dyDescent="0.25">
      <c r="A242" s="57">
        <f t="shared" si="22"/>
        <v>6</v>
      </c>
      <c r="B242" s="57" t="s">
        <v>204</v>
      </c>
      <c r="C242" s="56">
        <v>3</v>
      </c>
      <c r="D242" s="62">
        <f>(100.225+8.33+3.46)*(10.764)</f>
        <v>1205.7294599999998</v>
      </c>
      <c r="E242" s="57">
        <v>0</v>
      </c>
      <c r="F242" s="57">
        <f t="shared" si="21"/>
        <v>1808.5941899999998</v>
      </c>
      <c r="G242" s="206" t="str">
        <f t="shared" si="23"/>
        <v>18th Floor (Part Refuge Area)</v>
      </c>
      <c r="H242" s="207"/>
      <c r="I242" s="37"/>
      <c r="L242" s="175"/>
      <c r="M242" s="175"/>
      <c r="N242" s="37"/>
    </row>
    <row r="243" spans="1:14" s="58" customFormat="1" ht="15.75" customHeight="1" x14ac:dyDescent="0.25">
      <c r="A243" s="57">
        <f t="shared" si="22"/>
        <v>7</v>
      </c>
      <c r="B243" s="57" t="s">
        <v>204</v>
      </c>
      <c r="C243" s="56">
        <v>2</v>
      </c>
      <c r="D243" s="62">
        <f>(71.411)*(10.764)</f>
        <v>768.668004</v>
      </c>
      <c r="E243" s="57">
        <v>0</v>
      </c>
      <c r="F243" s="57">
        <f t="shared" si="21"/>
        <v>1153.0020059999999</v>
      </c>
      <c r="G243" s="206" t="str">
        <f t="shared" si="23"/>
        <v>18th Floor (Part Refuge Area)</v>
      </c>
      <c r="H243" s="207"/>
      <c r="I243" s="37"/>
      <c r="L243" s="175"/>
      <c r="M243" s="175"/>
      <c r="N243" s="37"/>
    </row>
    <row r="244" spans="1:14" s="58" customFormat="1" ht="15.75" customHeight="1" x14ac:dyDescent="0.25">
      <c r="A244" s="57">
        <f t="shared" si="22"/>
        <v>8</v>
      </c>
      <c r="B244" s="57" t="s">
        <v>204</v>
      </c>
      <c r="C244" s="56">
        <v>2</v>
      </c>
      <c r="D244" s="62">
        <f>(71.411)*(10.764)</f>
        <v>768.668004</v>
      </c>
      <c r="E244" s="57">
        <v>0</v>
      </c>
      <c r="F244" s="57">
        <f t="shared" si="21"/>
        <v>1153.0020059999999</v>
      </c>
      <c r="G244" s="206" t="str">
        <f t="shared" si="23"/>
        <v>18th Floor (Part Refuge Area)</v>
      </c>
      <c r="H244" s="207"/>
      <c r="I244" s="37"/>
      <c r="L244" s="175"/>
      <c r="M244" s="175"/>
      <c r="N244" s="37"/>
    </row>
    <row r="245" spans="1:14" s="58" customFormat="1" ht="15.75" customHeight="1" x14ac:dyDescent="0.25">
      <c r="A245" s="57">
        <f t="shared" si="22"/>
        <v>9</v>
      </c>
      <c r="B245" s="74" t="s">
        <v>210</v>
      </c>
      <c r="C245" s="184"/>
      <c r="D245" s="184"/>
      <c r="E245" s="184"/>
      <c r="F245" s="75"/>
      <c r="G245" s="206" t="str">
        <f t="shared" si="23"/>
        <v>18th Floor (Part Refuge Area)</v>
      </c>
      <c r="H245" s="207"/>
      <c r="I245" s="37"/>
      <c r="L245" s="175"/>
      <c r="M245" s="175"/>
      <c r="N245" s="37"/>
    </row>
    <row r="246" spans="1:14" s="58" customFormat="1" ht="15.75" customHeight="1" x14ac:dyDescent="0.25">
      <c r="A246" s="57">
        <f t="shared" si="22"/>
        <v>10</v>
      </c>
      <c r="B246" s="57" t="s">
        <v>205</v>
      </c>
      <c r="C246" s="56">
        <v>3</v>
      </c>
      <c r="D246" s="62">
        <f>(69.367)*(10.764)</f>
        <v>746.66638799999998</v>
      </c>
      <c r="E246" s="57">
        <v>0</v>
      </c>
      <c r="F246" s="57">
        <f>D246*(($F$167)+1)+(IF(E246&lt;101,E246,IF(E246&lt;201,E246/2,IF(E246&lt;=301,E246/3,E246/4))))</f>
        <v>1119.9995819999999</v>
      </c>
      <c r="G246" s="208" t="str">
        <f t="shared" si="23"/>
        <v>18th Floor (Part Refuge Area)</v>
      </c>
      <c r="H246" s="209"/>
      <c r="I246" s="37"/>
      <c r="L246" s="175"/>
      <c r="M246" s="175"/>
      <c r="N246" s="37"/>
    </row>
    <row r="247" spans="1:14" s="58" customFormat="1" x14ac:dyDescent="0.25">
      <c r="A247" s="123" t="s">
        <v>216</v>
      </c>
      <c r="B247" s="124"/>
      <c r="C247" s="124"/>
      <c r="D247" s="124"/>
      <c r="E247" s="124"/>
      <c r="F247" s="124"/>
      <c r="G247" s="124"/>
      <c r="H247" s="125"/>
      <c r="J247" s="37"/>
    </row>
    <row r="248" spans="1:14" s="58" customFormat="1" ht="15.75" customHeight="1" x14ac:dyDescent="0.25">
      <c r="A248" s="57">
        <v>1</v>
      </c>
      <c r="B248" s="57" t="s">
        <v>205</v>
      </c>
      <c r="C248" s="56">
        <v>3</v>
      </c>
      <c r="D248" s="62">
        <f>(68.817)*(10.764)</f>
        <v>740.74618799999985</v>
      </c>
      <c r="E248" s="57">
        <v>0</v>
      </c>
      <c r="F248" s="57">
        <f t="shared" ref="F248:F257" si="24">D248*(($F$167)+1)+(IF(E248&lt;101,E248,IF(E248&lt;201,E248/2,IF(E248&lt;=301,E248/3,E248/4))))</f>
        <v>1111.1192819999997</v>
      </c>
      <c r="G248" s="204" t="str">
        <f>A247</f>
        <v>19th to 22nd &amp; 24th Floor</v>
      </c>
      <c r="H248" s="205"/>
      <c r="I248" s="37"/>
      <c r="L248" s="175"/>
      <c r="M248" s="175"/>
      <c r="N248" s="37"/>
    </row>
    <row r="249" spans="1:14" s="58" customFormat="1" ht="15.75" customHeight="1" x14ac:dyDescent="0.25">
      <c r="A249" s="57">
        <f t="shared" ref="A249:A257" si="25">A248+1</f>
        <v>2</v>
      </c>
      <c r="B249" s="57" t="s">
        <v>205</v>
      </c>
      <c r="C249" s="56">
        <v>2</v>
      </c>
      <c r="D249" s="62">
        <f>(64.576)*(10.764)</f>
        <v>695.09606399999984</v>
      </c>
      <c r="E249" s="57">
        <v>0</v>
      </c>
      <c r="F249" s="57">
        <f t="shared" si="24"/>
        <v>1042.6440959999998</v>
      </c>
      <c r="G249" s="206" t="str">
        <f t="shared" ref="G249:G257" si="26">G248</f>
        <v>19th to 22nd &amp; 24th Floor</v>
      </c>
      <c r="H249" s="207"/>
      <c r="I249" s="37"/>
      <c r="L249" s="175"/>
      <c r="M249" s="175"/>
      <c r="N249" s="37"/>
    </row>
    <row r="250" spans="1:14" s="58" customFormat="1" ht="15.75" customHeight="1" x14ac:dyDescent="0.25">
      <c r="A250" s="57">
        <f t="shared" si="25"/>
        <v>3</v>
      </c>
      <c r="B250" s="57" t="s">
        <v>205</v>
      </c>
      <c r="C250" s="56">
        <v>2</v>
      </c>
      <c r="D250" s="62">
        <f>(64.576)*(10.764)</f>
        <v>695.09606399999984</v>
      </c>
      <c r="E250" s="57">
        <v>0</v>
      </c>
      <c r="F250" s="57">
        <f t="shared" si="24"/>
        <v>1042.6440959999998</v>
      </c>
      <c r="G250" s="206" t="str">
        <f t="shared" si="26"/>
        <v>19th to 22nd &amp; 24th Floor</v>
      </c>
      <c r="H250" s="207"/>
      <c r="I250" s="37"/>
      <c r="L250" s="175"/>
      <c r="M250" s="175"/>
      <c r="N250" s="37"/>
    </row>
    <row r="251" spans="1:14" s="58" customFormat="1" ht="15.75" customHeight="1" x14ac:dyDescent="0.25">
      <c r="A251" s="57">
        <f t="shared" si="25"/>
        <v>4</v>
      </c>
      <c r="B251" s="57" t="s">
        <v>205</v>
      </c>
      <c r="C251" s="56">
        <v>2</v>
      </c>
      <c r="D251" s="62">
        <f>(64.595)*(10.764)</f>
        <v>695.30057999999997</v>
      </c>
      <c r="E251" s="57">
        <v>0</v>
      </c>
      <c r="F251" s="57">
        <f t="shared" si="24"/>
        <v>1042.9508699999999</v>
      </c>
      <c r="G251" s="206" t="str">
        <f t="shared" si="26"/>
        <v>19th to 22nd &amp; 24th Floor</v>
      </c>
      <c r="H251" s="207"/>
      <c r="I251" s="37"/>
      <c r="L251" s="175"/>
      <c r="M251" s="175"/>
      <c r="N251" s="37"/>
    </row>
    <row r="252" spans="1:14" s="58" customFormat="1" ht="15.75" customHeight="1" x14ac:dyDescent="0.25">
      <c r="A252" s="57">
        <f t="shared" si="25"/>
        <v>5</v>
      </c>
      <c r="B252" s="57" t="s">
        <v>204</v>
      </c>
      <c r="C252" s="56">
        <v>3</v>
      </c>
      <c r="D252" s="62">
        <f>(100.145)*(10.764)</f>
        <v>1077.9607799999999</v>
      </c>
      <c r="E252" s="57">
        <v>0</v>
      </c>
      <c r="F252" s="57">
        <f t="shared" si="24"/>
        <v>1616.9411699999998</v>
      </c>
      <c r="G252" s="206" t="str">
        <f t="shared" si="26"/>
        <v>19th to 22nd &amp; 24th Floor</v>
      </c>
      <c r="H252" s="207"/>
      <c r="I252" s="37"/>
      <c r="L252" s="175"/>
      <c r="M252" s="175"/>
      <c r="N252" s="37"/>
    </row>
    <row r="253" spans="1:14" s="58" customFormat="1" ht="15.75" customHeight="1" x14ac:dyDescent="0.25">
      <c r="A253" s="57">
        <f t="shared" si="25"/>
        <v>6</v>
      </c>
      <c r="B253" s="57" t="s">
        <v>204</v>
      </c>
      <c r="C253" s="56">
        <v>3</v>
      </c>
      <c r="D253" s="62">
        <f>(100.225+8.33+3.46)*(10.764)</f>
        <v>1205.7294599999998</v>
      </c>
      <c r="E253" s="57">
        <v>0</v>
      </c>
      <c r="F253" s="57">
        <f t="shared" si="24"/>
        <v>1808.5941899999998</v>
      </c>
      <c r="G253" s="206" t="str">
        <f t="shared" si="26"/>
        <v>19th to 22nd &amp; 24th Floor</v>
      </c>
      <c r="H253" s="207"/>
      <c r="I253" s="37"/>
      <c r="L253" s="175"/>
      <c r="M253" s="175"/>
      <c r="N253" s="37"/>
    </row>
    <row r="254" spans="1:14" s="58" customFormat="1" ht="15.75" customHeight="1" x14ac:dyDescent="0.25">
      <c r="A254" s="57">
        <f t="shared" si="25"/>
        <v>7</v>
      </c>
      <c r="B254" s="57" t="s">
        <v>204</v>
      </c>
      <c r="C254" s="56">
        <v>2</v>
      </c>
      <c r="D254" s="62">
        <f>(71.411)*(10.764)</f>
        <v>768.668004</v>
      </c>
      <c r="E254" s="57">
        <v>0</v>
      </c>
      <c r="F254" s="57">
        <f t="shared" si="24"/>
        <v>1153.0020059999999</v>
      </c>
      <c r="G254" s="206" t="str">
        <f t="shared" si="26"/>
        <v>19th to 22nd &amp; 24th Floor</v>
      </c>
      <c r="H254" s="207"/>
      <c r="I254" s="37"/>
      <c r="L254" s="175"/>
      <c r="M254" s="175"/>
      <c r="N254" s="37"/>
    </row>
    <row r="255" spans="1:14" s="58" customFormat="1" ht="15.75" customHeight="1" x14ac:dyDescent="0.25">
      <c r="A255" s="57">
        <f t="shared" si="25"/>
        <v>8</v>
      </c>
      <c r="B255" s="57" t="s">
        <v>204</v>
      </c>
      <c r="C255" s="56">
        <v>2</v>
      </c>
      <c r="D255" s="62">
        <f>(71.411)*(10.764)</f>
        <v>768.668004</v>
      </c>
      <c r="E255" s="57">
        <v>0</v>
      </c>
      <c r="F255" s="57">
        <f t="shared" si="24"/>
        <v>1153.0020059999999</v>
      </c>
      <c r="G255" s="206" t="str">
        <f t="shared" si="26"/>
        <v>19th to 22nd &amp; 24th Floor</v>
      </c>
      <c r="H255" s="207"/>
      <c r="I255" s="37"/>
      <c r="L255" s="175"/>
      <c r="M255" s="175"/>
      <c r="N255" s="37"/>
    </row>
    <row r="256" spans="1:14" s="58" customFormat="1" ht="15.75" customHeight="1" x14ac:dyDescent="0.25">
      <c r="A256" s="57">
        <f t="shared" si="25"/>
        <v>9</v>
      </c>
      <c r="B256" s="57" t="s">
        <v>204</v>
      </c>
      <c r="C256" s="56">
        <v>2</v>
      </c>
      <c r="D256" s="62">
        <f>(67.868)*(10.764)</f>
        <v>730.53115199999991</v>
      </c>
      <c r="E256" s="57">
        <v>0</v>
      </c>
      <c r="F256" s="57">
        <f t="shared" si="24"/>
        <v>1095.7967279999998</v>
      </c>
      <c r="G256" s="206" t="str">
        <f t="shared" si="26"/>
        <v>19th to 22nd &amp; 24th Floor</v>
      </c>
      <c r="H256" s="207"/>
      <c r="I256" s="37"/>
      <c r="L256" s="175"/>
      <c r="M256" s="175"/>
      <c r="N256" s="37"/>
    </row>
    <row r="257" spans="1:14" s="58" customFormat="1" ht="15.75" customHeight="1" x14ac:dyDescent="0.25">
      <c r="A257" s="57">
        <f t="shared" si="25"/>
        <v>10</v>
      </c>
      <c r="B257" s="57" t="s">
        <v>205</v>
      </c>
      <c r="C257" s="56">
        <v>3</v>
      </c>
      <c r="D257" s="62">
        <f>(69.367)*(10.764)</f>
        <v>746.66638799999998</v>
      </c>
      <c r="E257" s="57">
        <v>0</v>
      </c>
      <c r="F257" s="57">
        <f t="shared" si="24"/>
        <v>1119.9995819999999</v>
      </c>
      <c r="G257" s="208" t="str">
        <f t="shared" si="26"/>
        <v>19th to 22nd &amp; 24th Floor</v>
      </c>
      <c r="H257" s="209"/>
      <c r="I257" s="37"/>
      <c r="L257" s="175"/>
      <c r="M257" s="175"/>
      <c r="N257" s="37"/>
    </row>
    <row r="258" spans="1:14" s="58" customFormat="1" x14ac:dyDescent="0.25">
      <c r="A258" s="144" t="s">
        <v>217</v>
      </c>
      <c r="B258" s="144"/>
      <c r="C258" s="144"/>
      <c r="D258" s="144"/>
      <c r="E258" s="144"/>
      <c r="F258" s="144"/>
      <c r="G258" s="144"/>
      <c r="H258" s="144"/>
      <c r="J258" s="37"/>
    </row>
    <row r="259" spans="1:14" s="58" customFormat="1" ht="15.75" customHeight="1" x14ac:dyDescent="0.25">
      <c r="A259" s="67">
        <v>1</v>
      </c>
      <c r="B259" s="67" t="s">
        <v>205</v>
      </c>
      <c r="C259" s="56">
        <v>3</v>
      </c>
      <c r="D259" s="62">
        <f>(68.817)*(10.764)</f>
        <v>740.74618799999985</v>
      </c>
      <c r="E259" s="67">
        <v>0</v>
      </c>
      <c r="F259" s="67">
        <f t="shared" ref="F259:F266" si="27">D259*(($F$167)+1)+(IF(E259&lt;101,E259,IF(E259&lt;201,E259/2,IF(E259&lt;=301,E259/3,E259/4))))</f>
        <v>1111.1192819999997</v>
      </c>
      <c r="G259" s="76" t="str">
        <f>A258</f>
        <v>23rd Floor (Part Refuge Area)</v>
      </c>
      <c r="H259" s="76"/>
      <c r="I259" s="37"/>
      <c r="L259" s="175"/>
      <c r="M259" s="175"/>
      <c r="N259" s="37"/>
    </row>
    <row r="260" spans="1:14" s="58" customFormat="1" ht="15.75" customHeight="1" x14ac:dyDescent="0.25">
      <c r="A260" s="67">
        <f t="shared" ref="A260:A268" si="28">A259+1</f>
        <v>2</v>
      </c>
      <c r="B260" s="67" t="s">
        <v>205</v>
      </c>
      <c r="C260" s="56">
        <v>2</v>
      </c>
      <c r="D260" s="62">
        <f>(64.576)*(10.764)</f>
        <v>695.09606399999984</v>
      </c>
      <c r="E260" s="67">
        <v>0</v>
      </c>
      <c r="F260" s="67">
        <f t="shared" si="27"/>
        <v>1042.6440959999998</v>
      </c>
      <c r="G260" s="76"/>
      <c r="H260" s="76"/>
      <c r="I260" s="37"/>
      <c r="L260" s="175"/>
      <c r="M260" s="175"/>
      <c r="N260" s="37"/>
    </row>
    <row r="261" spans="1:14" s="58" customFormat="1" ht="15.75" customHeight="1" x14ac:dyDescent="0.25">
      <c r="A261" s="67">
        <f t="shared" si="28"/>
        <v>3</v>
      </c>
      <c r="B261" s="67" t="s">
        <v>205</v>
      </c>
      <c r="C261" s="56">
        <v>2</v>
      </c>
      <c r="D261" s="62">
        <f>(64.576)*(10.764)</f>
        <v>695.09606399999984</v>
      </c>
      <c r="E261" s="67">
        <v>0</v>
      </c>
      <c r="F261" s="67">
        <f t="shared" si="27"/>
        <v>1042.6440959999998</v>
      </c>
      <c r="G261" s="76"/>
      <c r="H261" s="76"/>
      <c r="I261" s="37"/>
      <c r="L261" s="175"/>
      <c r="M261" s="175"/>
      <c r="N261" s="37"/>
    </row>
    <row r="262" spans="1:14" s="58" customFormat="1" ht="15.75" customHeight="1" x14ac:dyDescent="0.25">
      <c r="A262" s="67">
        <f t="shared" si="28"/>
        <v>4</v>
      </c>
      <c r="B262" s="67" t="s">
        <v>205</v>
      </c>
      <c r="C262" s="56">
        <v>2</v>
      </c>
      <c r="D262" s="62">
        <f>(64.595)*(10.764)</f>
        <v>695.30057999999997</v>
      </c>
      <c r="E262" s="67">
        <v>0</v>
      </c>
      <c r="F262" s="67">
        <f t="shared" si="27"/>
        <v>1042.9508699999999</v>
      </c>
      <c r="G262" s="76"/>
      <c r="H262" s="76"/>
      <c r="I262" s="37"/>
      <c r="L262" s="175"/>
      <c r="M262" s="175"/>
      <c r="N262" s="37"/>
    </row>
    <row r="263" spans="1:14" s="58" customFormat="1" ht="15.75" customHeight="1" x14ac:dyDescent="0.25">
      <c r="A263" s="67">
        <f t="shared" si="28"/>
        <v>5</v>
      </c>
      <c r="B263" s="67" t="s">
        <v>204</v>
      </c>
      <c r="C263" s="56">
        <v>3</v>
      </c>
      <c r="D263" s="62">
        <f>(100.145)*(10.764)</f>
        <v>1077.9607799999999</v>
      </c>
      <c r="E263" s="67">
        <v>0</v>
      </c>
      <c r="F263" s="67">
        <f t="shared" si="27"/>
        <v>1616.9411699999998</v>
      </c>
      <c r="G263" s="76"/>
      <c r="H263" s="76"/>
      <c r="I263" s="37"/>
      <c r="L263" s="175"/>
      <c r="M263" s="175"/>
      <c r="N263" s="37"/>
    </row>
    <row r="264" spans="1:14" s="58" customFormat="1" ht="15.75" customHeight="1" x14ac:dyDescent="0.25">
      <c r="A264" s="67">
        <f t="shared" si="28"/>
        <v>6</v>
      </c>
      <c r="B264" s="67" t="s">
        <v>204</v>
      </c>
      <c r="C264" s="56">
        <v>3</v>
      </c>
      <c r="D264" s="62">
        <f>(100.225+8.33+3.46)*(10.764)</f>
        <v>1205.7294599999998</v>
      </c>
      <c r="E264" s="67">
        <v>0</v>
      </c>
      <c r="F264" s="67">
        <f t="shared" si="27"/>
        <v>1808.5941899999998</v>
      </c>
      <c r="G264" s="76"/>
      <c r="H264" s="76"/>
      <c r="I264" s="37"/>
      <c r="L264" s="175"/>
      <c r="M264" s="175"/>
      <c r="N264" s="37"/>
    </row>
    <row r="265" spans="1:14" s="58" customFormat="1" ht="15.75" customHeight="1" x14ac:dyDescent="0.25">
      <c r="A265" s="67">
        <f t="shared" si="28"/>
        <v>7</v>
      </c>
      <c r="B265" s="67" t="s">
        <v>204</v>
      </c>
      <c r="C265" s="56">
        <v>2</v>
      </c>
      <c r="D265" s="62">
        <f>(71.411)*(10.764)</f>
        <v>768.668004</v>
      </c>
      <c r="E265" s="67">
        <v>0</v>
      </c>
      <c r="F265" s="67">
        <f t="shared" si="27"/>
        <v>1153.0020059999999</v>
      </c>
      <c r="G265" s="76"/>
      <c r="H265" s="76"/>
      <c r="I265" s="37"/>
      <c r="L265" s="175"/>
      <c r="M265" s="175"/>
      <c r="N265" s="37"/>
    </row>
    <row r="266" spans="1:14" s="58" customFormat="1" ht="15.75" customHeight="1" x14ac:dyDescent="0.25">
      <c r="A266" s="67">
        <f t="shared" si="28"/>
        <v>8</v>
      </c>
      <c r="B266" s="67" t="s">
        <v>204</v>
      </c>
      <c r="C266" s="56">
        <v>2</v>
      </c>
      <c r="D266" s="62">
        <f>(71.411)*(10.764)</f>
        <v>768.668004</v>
      </c>
      <c r="E266" s="67">
        <v>0</v>
      </c>
      <c r="F266" s="67">
        <f t="shared" si="27"/>
        <v>1153.0020059999999</v>
      </c>
      <c r="G266" s="76"/>
      <c r="H266" s="76"/>
      <c r="I266" s="37"/>
      <c r="L266" s="175"/>
      <c r="M266" s="175"/>
      <c r="N266" s="37"/>
    </row>
    <row r="267" spans="1:14" s="58" customFormat="1" ht="15.75" customHeight="1" x14ac:dyDescent="0.25">
      <c r="A267" s="67">
        <f t="shared" si="28"/>
        <v>9</v>
      </c>
      <c r="B267" s="76" t="s">
        <v>210</v>
      </c>
      <c r="C267" s="76"/>
      <c r="D267" s="76"/>
      <c r="E267" s="76"/>
      <c r="F267" s="76"/>
      <c r="G267" s="76"/>
      <c r="H267" s="76"/>
      <c r="I267" s="37"/>
      <c r="L267" s="175"/>
      <c r="M267" s="175"/>
      <c r="N267" s="37"/>
    </row>
    <row r="268" spans="1:14" s="58" customFormat="1" ht="15.75" customHeight="1" x14ac:dyDescent="0.25">
      <c r="A268" s="67">
        <f t="shared" si="28"/>
        <v>10</v>
      </c>
      <c r="B268" s="67" t="s">
        <v>205</v>
      </c>
      <c r="C268" s="56">
        <v>3</v>
      </c>
      <c r="D268" s="62">
        <f>(69.367)*(10.764)</f>
        <v>746.66638799999998</v>
      </c>
      <c r="E268" s="67">
        <v>0</v>
      </c>
      <c r="F268" s="67">
        <f>D268*(($F$167)+1)+(IF(E268&lt;101,E268,IF(E268&lt;201,E268/2,IF(E268&lt;=301,E268/3,E268/4))))</f>
        <v>1119.9995819999999</v>
      </c>
      <c r="G268" s="76"/>
      <c r="H268" s="76"/>
      <c r="I268" s="37"/>
      <c r="L268" s="175"/>
      <c r="M268" s="175"/>
      <c r="N268" s="37"/>
    </row>
    <row r="269" spans="1:14" s="58" customFormat="1" x14ac:dyDescent="0.25">
      <c r="A269" s="144" t="s">
        <v>218</v>
      </c>
      <c r="B269" s="144"/>
      <c r="C269" s="144"/>
      <c r="D269" s="144"/>
      <c r="E269" s="144"/>
      <c r="F269" s="144"/>
      <c r="G269" s="144"/>
      <c r="H269" s="144"/>
      <c r="J269" s="37"/>
    </row>
    <row r="270" spans="1:14" s="58" customFormat="1" ht="15.75" customHeight="1" x14ac:dyDescent="0.25">
      <c r="A270" s="57">
        <v>1</v>
      </c>
      <c r="B270" s="57" t="s">
        <v>205</v>
      </c>
      <c r="C270" s="56">
        <v>3</v>
      </c>
      <c r="D270" s="62">
        <f>(68.817)*(10.764)</f>
        <v>740.74618799999985</v>
      </c>
      <c r="E270" s="57">
        <v>0</v>
      </c>
      <c r="F270" s="57">
        <f>D270*(($F$167)+1)+(IF(E270&lt;101,E270,IF(E270&lt;201,E270/2,IF(E270&lt;=301,E270/3,E270/4))))</f>
        <v>1111.1192819999997</v>
      </c>
      <c r="G270" s="204" t="str">
        <f>A269</f>
        <v>25th Floor (Part Terrace Area)</v>
      </c>
      <c r="H270" s="205"/>
      <c r="I270" s="37"/>
      <c r="L270" s="175"/>
      <c r="M270" s="175"/>
      <c r="N270" s="37"/>
    </row>
    <row r="271" spans="1:14" s="58" customFormat="1" ht="15.75" customHeight="1" x14ac:dyDescent="0.25">
      <c r="A271" s="57">
        <f t="shared" ref="A271:A279" si="29">A270+1</f>
        <v>2</v>
      </c>
      <c r="B271" s="57" t="s">
        <v>205</v>
      </c>
      <c r="C271" s="56">
        <v>2</v>
      </c>
      <c r="D271" s="62">
        <f>(64.576)*(10.764)</f>
        <v>695.09606399999984</v>
      </c>
      <c r="E271" s="57">
        <v>0</v>
      </c>
      <c r="F271" s="57">
        <f>D271*(($F$167)+1)+(IF(E271&lt;101,E271,IF(E271&lt;201,E271/2,IF(E271&lt;=301,E271/3,E271/4))))</f>
        <v>1042.6440959999998</v>
      </c>
      <c r="G271" s="206" t="str">
        <f t="shared" ref="G271:G279" si="30">G270</f>
        <v>25th Floor (Part Terrace Area)</v>
      </c>
      <c r="H271" s="207"/>
      <c r="I271" s="37"/>
      <c r="L271" s="175"/>
      <c r="M271" s="175"/>
      <c r="N271" s="37"/>
    </row>
    <row r="272" spans="1:14" s="58" customFormat="1" ht="15.75" customHeight="1" x14ac:dyDescent="0.25">
      <c r="A272" s="57">
        <f t="shared" si="29"/>
        <v>3</v>
      </c>
      <c r="B272" s="57" t="s">
        <v>205</v>
      </c>
      <c r="C272" s="56">
        <v>2</v>
      </c>
      <c r="D272" s="62">
        <f>(64.576)*(10.764)</f>
        <v>695.09606399999984</v>
      </c>
      <c r="E272" s="57">
        <v>0</v>
      </c>
      <c r="F272" s="57">
        <f>D272*(($F$167)+1)+(IF(E272&lt;101,E272,IF(E272&lt;201,E272/2,IF(E272&lt;=301,E272/3,E272/4))))</f>
        <v>1042.6440959999998</v>
      </c>
      <c r="G272" s="206" t="str">
        <f t="shared" si="30"/>
        <v>25th Floor (Part Terrace Area)</v>
      </c>
      <c r="H272" s="207"/>
      <c r="I272" s="37"/>
      <c r="L272" s="175"/>
      <c r="M272" s="175"/>
      <c r="N272" s="37"/>
    </row>
    <row r="273" spans="1:14" s="58" customFormat="1" ht="15.75" customHeight="1" x14ac:dyDescent="0.25">
      <c r="A273" s="57">
        <f t="shared" si="29"/>
        <v>4</v>
      </c>
      <c r="B273" s="57" t="s">
        <v>205</v>
      </c>
      <c r="C273" s="56">
        <v>2</v>
      </c>
      <c r="D273" s="62">
        <f>(64.595)*(10.764)</f>
        <v>695.30057999999997</v>
      </c>
      <c r="E273" s="57">
        <v>0</v>
      </c>
      <c r="F273" s="57">
        <f>D273*(($F$167)+1)+(IF(E273&lt;101,E273,IF(E273&lt;201,E273/2,IF(E273&lt;=301,E273/3,E273/4))))</f>
        <v>1042.9508699999999</v>
      </c>
      <c r="G273" s="206" t="str">
        <f t="shared" si="30"/>
        <v>25th Floor (Part Terrace Area)</v>
      </c>
      <c r="H273" s="207"/>
      <c r="I273" s="37"/>
      <c r="L273" s="175"/>
      <c r="M273" s="175"/>
      <c r="N273" s="37"/>
    </row>
    <row r="274" spans="1:14" s="58" customFormat="1" ht="15.75" customHeight="1" x14ac:dyDescent="0.25">
      <c r="A274" s="57">
        <f t="shared" si="29"/>
        <v>5</v>
      </c>
      <c r="B274" s="204" t="s">
        <v>219</v>
      </c>
      <c r="C274" s="210"/>
      <c r="D274" s="210"/>
      <c r="E274" s="210"/>
      <c r="F274" s="205"/>
      <c r="G274" s="206" t="str">
        <f t="shared" si="30"/>
        <v>25th Floor (Part Terrace Area)</v>
      </c>
      <c r="H274" s="207"/>
      <c r="I274" s="37"/>
      <c r="L274" s="175"/>
      <c r="M274" s="175"/>
      <c r="N274" s="37"/>
    </row>
    <row r="275" spans="1:14" s="58" customFormat="1" ht="15.75" customHeight="1" x14ac:dyDescent="0.25">
      <c r="A275" s="57">
        <f t="shared" si="29"/>
        <v>6</v>
      </c>
      <c r="B275" s="206"/>
      <c r="C275" s="212"/>
      <c r="D275" s="212"/>
      <c r="E275" s="212"/>
      <c r="F275" s="207"/>
      <c r="G275" s="206" t="str">
        <f t="shared" si="30"/>
        <v>25th Floor (Part Terrace Area)</v>
      </c>
      <c r="H275" s="207"/>
      <c r="I275" s="37"/>
      <c r="L275" s="175"/>
      <c r="M275" s="175"/>
      <c r="N275" s="37"/>
    </row>
    <row r="276" spans="1:14" s="58" customFormat="1" ht="15.75" customHeight="1" x14ac:dyDescent="0.25">
      <c r="A276" s="57">
        <f t="shared" si="29"/>
        <v>7</v>
      </c>
      <c r="B276" s="206"/>
      <c r="C276" s="212"/>
      <c r="D276" s="212"/>
      <c r="E276" s="212"/>
      <c r="F276" s="207"/>
      <c r="G276" s="206" t="str">
        <f t="shared" si="30"/>
        <v>25th Floor (Part Terrace Area)</v>
      </c>
      <c r="H276" s="207"/>
      <c r="I276" s="37"/>
      <c r="L276" s="175"/>
      <c r="M276" s="175"/>
      <c r="N276" s="37"/>
    </row>
    <row r="277" spans="1:14" s="58" customFormat="1" ht="15.75" customHeight="1" x14ac:dyDescent="0.25">
      <c r="A277" s="57">
        <f t="shared" si="29"/>
        <v>8</v>
      </c>
      <c r="B277" s="206"/>
      <c r="C277" s="212"/>
      <c r="D277" s="212"/>
      <c r="E277" s="212"/>
      <c r="F277" s="207"/>
      <c r="G277" s="206" t="str">
        <f t="shared" si="30"/>
        <v>25th Floor (Part Terrace Area)</v>
      </c>
      <c r="H277" s="207"/>
      <c r="I277" s="37"/>
      <c r="L277" s="175"/>
      <c r="M277" s="175"/>
      <c r="N277" s="37"/>
    </row>
    <row r="278" spans="1:14" s="58" customFormat="1" ht="15.75" customHeight="1" x14ac:dyDescent="0.25">
      <c r="A278" s="57">
        <f t="shared" si="29"/>
        <v>9</v>
      </c>
      <c r="B278" s="208"/>
      <c r="C278" s="211"/>
      <c r="D278" s="211"/>
      <c r="E278" s="211"/>
      <c r="F278" s="209"/>
      <c r="G278" s="206" t="str">
        <f t="shared" si="30"/>
        <v>25th Floor (Part Terrace Area)</v>
      </c>
      <c r="H278" s="207"/>
      <c r="I278" s="37"/>
      <c r="L278" s="175"/>
      <c r="M278" s="175"/>
      <c r="N278" s="37"/>
    </row>
    <row r="279" spans="1:14" s="58" customFormat="1" ht="15.75" customHeight="1" x14ac:dyDescent="0.25">
      <c r="A279" s="57">
        <f t="shared" si="29"/>
        <v>10</v>
      </c>
      <c r="B279" s="57" t="s">
        <v>205</v>
      </c>
      <c r="C279" s="56">
        <v>3</v>
      </c>
      <c r="D279" s="62">
        <f>(69.367)*(10.764)</f>
        <v>746.66638799999998</v>
      </c>
      <c r="E279" s="57">
        <v>0</v>
      </c>
      <c r="F279" s="57">
        <f>D279*(($F$167)+1)+(IF(E279&lt;101,E279,IF(E279&lt;201,E279/2,IF(E279&lt;=301,E279/3,E279/4))))</f>
        <v>1119.9995819999999</v>
      </c>
      <c r="G279" s="208" t="str">
        <f t="shared" si="30"/>
        <v>25th Floor (Part Terrace Area)</v>
      </c>
      <c r="H279" s="209"/>
      <c r="I279" s="37"/>
      <c r="L279" s="175"/>
      <c r="M279" s="175"/>
      <c r="N279" s="37"/>
    </row>
    <row r="280" spans="1:14" s="38" customFormat="1" hidden="1" x14ac:dyDescent="0.25">
      <c r="A280" s="123" t="s">
        <v>121</v>
      </c>
      <c r="B280" s="124"/>
      <c r="C280" s="124"/>
      <c r="D280" s="124"/>
      <c r="E280" s="124"/>
      <c r="F280" s="124"/>
      <c r="G280" s="124"/>
      <c r="H280" s="125"/>
      <c r="J280" s="37"/>
    </row>
    <row r="281" spans="1:14" s="38" customFormat="1" hidden="1" x14ac:dyDescent="0.25">
      <c r="A281" s="57">
        <v>1</v>
      </c>
      <c r="B281" s="57"/>
      <c r="C281" s="56"/>
      <c r="D281" s="43"/>
      <c r="E281" s="43">
        <v>0</v>
      </c>
      <c r="F281" s="43">
        <f>D281*(($F$167)+1)+(IF(E281&lt;101,E281,IF(E281&lt;201,E281/2,IF(E281&lt;=301,E281/3,E281/4))))</f>
        <v>0</v>
      </c>
      <c r="G281" s="74" t="str">
        <f>A280</f>
        <v>Ground Floor</v>
      </c>
      <c r="H281" s="75"/>
      <c r="I281" s="37"/>
      <c r="L281" s="175"/>
      <c r="M281" s="175"/>
      <c r="N281" s="37"/>
    </row>
    <row r="282" spans="1:14" s="38" customFormat="1" hidden="1" x14ac:dyDescent="0.25">
      <c r="A282" s="57">
        <f t="shared" ref="A282:A284" si="31">A281+1</f>
        <v>2</v>
      </c>
      <c r="B282" s="57"/>
      <c r="C282" s="56"/>
      <c r="D282" s="43"/>
      <c r="E282" s="43">
        <v>0</v>
      </c>
      <c r="F282" s="43">
        <f>D282*(($F$167)+1)+(IF(E282&lt;101,E282,IF(E282&lt;201,E282/2,IF(E282&lt;=301,E282/3,E282/4))))</f>
        <v>0</v>
      </c>
      <c r="G282" s="74" t="str">
        <f t="shared" ref="G282:G284" si="32">G281</f>
        <v>Ground Floor</v>
      </c>
      <c r="H282" s="75"/>
      <c r="I282" s="37"/>
      <c r="L282" s="175"/>
      <c r="M282" s="175"/>
      <c r="N282" s="37"/>
    </row>
    <row r="283" spans="1:14" s="38" customFormat="1" hidden="1" x14ac:dyDescent="0.25">
      <c r="A283" s="57">
        <f t="shared" si="31"/>
        <v>3</v>
      </c>
      <c r="B283" s="57"/>
      <c r="C283" s="56"/>
      <c r="D283" s="43"/>
      <c r="E283" s="43">
        <v>0</v>
      </c>
      <c r="F283" s="43">
        <f>D283*(($F$167)+1)+(IF(E283&lt;101,E283,IF(E283&lt;201,E283/2,IF(E283&lt;=301,E283/3,E283/4))))</f>
        <v>0</v>
      </c>
      <c r="G283" s="74" t="str">
        <f t="shared" si="32"/>
        <v>Ground Floor</v>
      </c>
      <c r="H283" s="75"/>
      <c r="I283" s="37"/>
      <c r="L283" s="175"/>
      <c r="M283" s="175"/>
      <c r="N283" s="37"/>
    </row>
    <row r="284" spans="1:14" s="38" customFormat="1" hidden="1" x14ac:dyDescent="0.25">
      <c r="A284" s="57">
        <f t="shared" si="31"/>
        <v>4</v>
      </c>
      <c r="B284" s="57"/>
      <c r="C284" s="56"/>
      <c r="D284" s="43"/>
      <c r="E284" s="43">
        <v>0</v>
      </c>
      <c r="F284" s="43">
        <f>D284*(($F$167)+1)+(IF(E284&lt;101,E284,IF(E284&lt;201,E284/2,IF(E284&lt;=301,E284/3,E284/4))))</f>
        <v>0</v>
      </c>
      <c r="G284" s="74" t="str">
        <f t="shared" si="32"/>
        <v>Ground Floor</v>
      </c>
      <c r="H284" s="75"/>
      <c r="I284" s="37"/>
      <c r="L284" s="175"/>
      <c r="M284" s="175"/>
      <c r="N284" s="37"/>
    </row>
    <row r="285" spans="1:14" s="58" customFormat="1" x14ac:dyDescent="0.25">
      <c r="A285" s="123" t="s">
        <v>203</v>
      </c>
      <c r="B285" s="124"/>
      <c r="C285" s="124"/>
      <c r="D285" s="124"/>
      <c r="E285" s="124"/>
      <c r="F285" s="124"/>
      <c r="G285" s="124"/>
      <c r="H285" s="125"/>
      <c r="J285" s="37"/>
    </row>
    <row r="286" spans="1:14" s="58" customFormat="1" x14ac:dyDescent="0.25">
      <c r="A286" s="123" t="s">
        <v>233</v>
      </c>
      <c r="B286" s="124"/>
      <c r="C286" s="124"/>
      <c r="D286" s="124"/>
      <c r="E286" s="124"/>
      <c r="F286" s="124"/>
      <c r="G286" s="124"/>
      <c r="H286" s="125"/>
      <c r="J286" s="37"/>
    </row>
    <row r="287" spans="1:14" s="58" customFormat="1" x14ac:dyDescent="0.25">
      <c r="A287" s="123" t="s">
        <v>232</v>
      </c>
      <c r="B287" s="124"/>
      <c r="C287" s="124"/>
      <c r="D287" s="124"/>
      <c r="E287" s="124"/>
      <c r="F287" s="124"/>
      <c r="G287" s="124"/>
      <c r="H287" s="125"/>
      <c r="J287" s="37"/>
    </row>
    <row r="288" spans="1:14" s="58" customFormat="1" x14ac:dyDescent="0.25">
      <c r="A288" s="123" t="s">
        <v>220</v>
      </c>
      <c r="B288" s="124"/>
      <c r="C288" s="124"/>
      <c r="D288" s="124"/>
      <c r="E288" s="124"/>
      <c r="F288" s="124"/>
      <c r="G288" s="124"/>
      <c r="H288" s="125"/>
      <c r="J288" s="37"/>
    </row>
    <row r="289" spans="1:14" s="58" customFormat="1" ht="31.5" customHeight="1" x14ac:dyDescent="0.25">
      <c r="A289" s="57">
        <v>1</v>
      </c>
      <c r="B289" s="57" t="s">
        <v>206</v>
      </c>
      <c r="C289" s="56">
        <v>3</v>
      </c>
      <c r="D289" s="62">
        <f>(68.816)*(10.764)</f>
        <v>740.73542399999997</v>
      </c>
      <c r="E289" s="62">
        <f>(3.05*5.85+2.75*4.55)*(10.764)</f>
        <v>326.74121999999994</v>
      </c>
      <c r="F289" s="57">
        <f>D289*(($F$167)+1)+(IF(E289&lt;101,E289,IF(E289&lt;201,E289/2,IF(E289&lt;=301,E289/3,E289/4))))</f>
        <v>1192.7884409999999</v>
      </c>
      <c r="G289" s="204" t="str">
        <f>A288</f>
        <v>2nd Floor For Part Residential &amp; Part Podium</v>
      </c>
      <c r="H289" s="205"/>
      <c r="I289" s="37"/>
      <c r="L289" s="175"/>
      <c r="M289" s="175"/>
      <c r="N289" s="37"/>
    </row>
    <row r="290" spans="1:14" s="58" customFormat="1" ht="31.5" customHeight="1" x14ac:dyDescent="0.25">
      <c r="A290" s="57">
        <f t="shared" ref="A290:A298" si="33">A289+1</f>
        <v>2</v>
      </c>
      <c r="B290" s="57" t="s">
        <v>206</v>
      </c>
      <c r="C290" s="56">
        <v>2</v>
      </c>
      <c r="D290" s="62">
        <f>(60.124)*(10.764)</f>
        <v>647.17473599999994</v>
      </c>
      <c r="E290" s="62">
        <f>(3.05*4.85+4.545*(2.17+2.9+3.05))*(10.764)</f>
        <v>556.47619559999998</v>
      </c>
      <c r="F290" s="57">
        <f>D290*(($F$167)+1)+(IF(E290&lt;101,E290,IF(E290&lt;201,E290/2,IF(E290&lt;=301,E290/3,E290/4))))</f>
        <v>1109.8811529</v>
      </c>
      <c r="G290" s="206"/>
      <c r="H290" s="207"/>
      <c r="I290" s="37"/>
      <c r="L290" s="175"/>
      <c r="M290" s="175"/>
      <c r="N290" s="37"/>
    </row>
    <row r="291" spans="1:14" s="58" customFormat="1" ht="31.5" customHeight="1" x14ac:dyDescent="0.25">
      <c r="A291" s="57">
        <f t="shared" si="33"/>
        <v>3</v>
      </c>
      <c r="B291" s="57" t="s">
        <v>206</v>
      </c>
      <c r="C291" s="56">
        <v>2</v>
      </c>
      <c r="D291" s="62">
        <f>(60.124)*(10.764)</f>
        <v>647.17473599999994</v>
      </c>
      <c r="E291" s="57">
        <v>0</v>
      </c>
      <c r="F291" s="57">
        <f>D291*(($F$167)+1)+(IF(E291&lt;101,E291,IF(E291&lt;201,E291/2,IF(E291&lt;=301,E291/3,E291/4))))</f>
        <v>970.76210399999991</v>
      </c>
      <c r="G291" s="206"/>
      <c r="H291" s="207"/>
      <c r="I291" s="37"/>
      <c r="L291" s="175"/>
      <c r="M291" s="175"/>
      <c r="N291" s="37"/>
    </row>
    <row r="292" spans="1:14" s="58" customFormat="1" ht="31.5" customHeight="1" x14ac:dyDescent="0.25">
      <c r="A292" s="57">
        <f t="shared" si="33"/>
        <v>4</v>
      </c>
      <c r="B292" s="57" t="s">
        <v>206</v>
      </c>
      <c r="C292" s="56">
        <v>2</v>
      </c>
      <c r="D292" s="62">
        <f>(60.124)*(10.764)</f>
        <v>647.17473599999994</v>
      </c>
      <c r="E292" s="57">
        <v>0</v>
      </c>
      <c r="F292" s="57">
        <f>D292*(($F$167)+1)+(IF(E292&lt;101,E292,IF(E292&lt;201,E292/2,IF(E292&lt;=301,E292/3,E292/4))))</f>
        <v>970.76210399999991</v>
      </c>
      <c r="G292" s="206"/>
      <c r="H292" s="207"/>
      <c r="I292" s="37"/>
      <c r="L292" s="175"/>
      <c r="M292" s="175"/>
      <c r="N292" s="37"/>
    </row>
    <row r="293" spans="1:14" s="58" customFormat="1" ht="15.75" customHeight="1" x14ac:dyDescent="0.25">
      <c r="A293" s="57">
        <f t="shared" si="33"/>
        <v>5</v>
      </c>
      <c r="B293" s="204" t="s">
        <v>72</v>
      </c>
      <c r="C293" s="210"/>
      <c r="D293" s="210"/>
      <c r="E293" s="210"/>
      <c r="F293" s="205"/>
      <c r="G293" s="206"/>
      <c r="H293" s="207"/>
      <c r="I293" s="37"/>
      <c r="L293" s="175"/>
      <c r="M293" s="175"/>
      <c r="N293" s="37"/>
    </row>
    <row r="294" spans="1:14" s="58" customFormat="1" ht="15.75" customHeight="1" x14ac:dyDescent="0.25">
      <c r="A294" s="57">
        <f t="shared" si="33"/>
        <v>6</v>
      </c>
      <c r="B294" s="206"/>
      <c r="C294" s="212"/>
      <c r="D294" s="212"/>
      <c r="E294" s="212"/>
      <c r="F294" s="207"/>
      <c r="G294" s="206"/>
      <c r="H294" s="207"/>
      <c r="I294" s="37"/>
      <c r="L294" s="175"/>
      <c r="M294" s="175"/>
      <c r="N294" s="37"/>
    </row>
    <row r="295" spans="1:14" s="58" customFormat="1" ht="15.75" customHeight="1" x14ac:dyDescent="0.25">
      <c r="A295" s="57">
        <f t="shared" si="33"/>
        <v>7</v>
      </c>
      <c r="B295" s="206"/>
      <c r="C295" s="212"/>
      <c r="D295" s="212"/>
      <c r="E295" s="212"/>
      <c r="F295" s="207"/>
      <c r="G295" s="206"/>
      <c r="H295" s="207"/>
      <c r="I295" s="37"/>
      <c r="L295" s="175"/>
      <c r="M295" s="175"/>
      <c r="N295" s="37"/>
    </row>
    <row r="296" spans="1:14" s="58" customFormat="1" ht="15.75" customHeight="1" x14ac:dyDescent="0.25">
      <c r="A296" s="57">
        <f t="shared" si="33"/>
        <v>8</v>
      </c>
      <c r="B296" s="206"/>
      <c r="C296" s="212"/>
      <c r="D296" s="212"/>
      <c r="E296" s="212"/>
      <c r="F296" s="207"/>
      <c r="G296" s="206"/>
      <c r="H296" s="207"/>
      <c r="I296" s="37"/>
      <c r="L296" s="175"/>
      <c r="M296" s="175"/>
      <c r="N296" s="37"/>
    </row>
    <row r="297" spans="1:14" s="58" customFormat="1" ht="15.75" customHeight="1" x14ac:dyDescent="0.25">
      <c r="A297" s="57">
        <f t="shared" si="33"/>
        <v>9</v>
      </c>
      <c r="B297" s="206"/>
      <c r="C297" s="212"/>
      <c r="D297" s="212"/>
      <c r="E297" s="212"/>
      <c r="F297" s="207"/>
      <c r="G297" s="206"/>
      <c r="H297" s="207"/>
      <c r="I297" s="37"/>
      <c r="L297" s="175"/>
      <c r="M297" s="175"/>
      <c r="N297" s="37"/>
    </row>
    <row r="298" spans="1:14" s="58" customFormat="1" ht="15.75" customHeight="1" x14ac:dyDescent="0.25">
      <c r="A298" s="57">
        <f t="shared" si="33"/>
        <v>10</v>
      </c>
      <c r="B298" s="208"/>
      <c r="C298" s="211"/>
      <c r="D298" s="211"/>
      <c r="E298" s="211"/>
      <c r="F298" s="209"/>
      <c r="G298" s="208"/>
      <c r="H298" s="209"/>
      <c r="I298" s="37"/>
      <c r="L298" s="175"/>
      <c r="M298" s="175"/>
      <c r="N298" s="37"/>
    </row>
    <row r="299" spans="1:14" s="58" customFormat="1" x14ac:dyDescent="0.25">
      <c r="A299" s="144" t="s">
        <v>221</v>
      </c>
      <c r="B299" s="144"/>
      <c r="C299" s="144"/>
      <c r="D299" s="144"/>
      <c r="E299" s="144"/>
      <c r="F299" s="144"/>
      <c r="G299" s="144"/>
      <c r="H299" s="144"/>
      <c r="J299" s="37"/>
    </row>
    <row r="300" spans="1:14" s="58" customFormat="1" ht="31.5" customHeight="1" x14ac:dyDescent="0.25">
      <c r="A300" s="67">
        <v>1</v>
      </c>
      <c r="B300" s="67" t="s">
        <v>206</v>
      </c>
      <c r="C300" s="56">
        <v>3</v>
      </c>
      <c r="D300" s="62">
        <f>(68.816)*(10.764)</f>
        <v>740.73542399999997</v>
      </c>
      <c r="E300" s="67">
        <v>0</v>
      </c>
      <c r="F300" s="67">
        <f>D300*(($F$167)+1)+(IF(E300&lt;101,E300,IF(E300&lt;201,E300/2,IF(E300&lt;=301,E300/3,E300/4))))</f>
        <v>1111.1031359999999</v>
      </c>
      <c r="G300" s="76" t="str">
        <f>A299</f>
        <v>3rd Floor For Part Residential &amp; Part Podium</v>
      </c>
      <c r="H300" s="76"/>
      <c r="I300" s="37"/>
      <c r="L300" s="175"/>
      <c r="M300" s="175"/>
      <c r="N300" s="37"/>
    </row>
    <row r="301" spans="1:14" s="58" customFormat="1" ht="31.5" customHeight="1" x14ac:dyDescent="0.25">
      <c r="A301" s="67">
        <f t="shared" ref="A301:A309" si="34">A300+1</f>
        <v>2</v>
      </c>
      <c r="B301" s="67" t="s">
        <v>206</v>
      </c>
      <c r="C301" s="56">
        <v>2</v>
      </c>
      <c r="D301" s="62">
        <f>(60.124)*(10.764)</f>
        <v>647.17473599999994</v>
      </c>
      <c r="E301" s="67">
        <v>0</v>
      </c>
      <c r="F301" s="67">
        <f>D301*(($F$167)+1)+(IF(E301&lt;101,E301,IF(E301&lt;201,E301/2,IF(E301&lt;=301,E301/3,E301/4))))</f>
        <v>970.76210399999991</v>
      </c>
      <c r="G301" s="76"/>
      <c r="H301" s="76"/>
      <c r="I301" s="37"/>
      <c r="L301" s="175"/>
      <c r="M301" s="175"/>
      <c r="N301" s="37"/>
    </row>
    <row r="302" spans="1:14" s="58" customFormat="1" ht="31.5" customHeight="1" x14ac:dyDescent="0.25">
      <c r="A302" s="67">
        <f t="shared" si="34"/>
        <v>3</v>
      </c>
      <c r="B302" s="67" t="s">
        <v>206</v>
      </c>
      <c r="C302" s="56">
        <v>2</v>
      </c>
      <c r="D302" s="62">
        <f>(60.124)*(10.764)</f>
        <v>647.17473599999994</v>
      </c>
      <c r="E302" s="67">
        <v>0</v>
      </c>
      <c r="F302" s="67">
        <f>D302*(($F$167)+1)+(IF(E302&lt;101,E302,IF(E302&lt;201,E302/2,IF(E302&lt;=301,E302/3,E302/4))))</f>
        <v>970.76210399999991</v>
      </c>
      <c r="G302" s="76"/>
      <c r="H302" s="76"/>
      <c r="I302" s="37"/>
      <c r="L302" s="175"/>
      <c r="M302" s="175"/>
      <c r="N302" s="37"/>
    </row>
    <row r="303" spans="1:14" s="58" customFormat="1" ht="31.5" customHeight="1" x14ac:dyDescent="0.25">
      <c r="A303" s="67">
        <f t="shared" si="34"/>
        <v>4</v>
      </c>
      <c r="B303" s="67" t="s">
        <v>206</v>
      </c>
      <c r="C303" s="56">
        <v>2</v>
      </c>
      <c r="D303" s="62">
        <f>(60.124)*(10.764)</f>
        <v>647.17473599999994</v>
      </c>
      <c r="E303" s="67">
        <v>0</v>
      </c>
      <c r="F303" s="67">
        <f>D303*(($F$167)+1)+(IF(E303&lt;101,E303,IF(E303&lt;201,E303/2,IF(E303&lt;=301,E303/3,E303/4))))</f>
        <v>970.76210399999991</v>
      </c>
      <c r="G303" s="76"/>
      <c r="H303" s="76"/>
      <c r="I303" s="37"/>
      <c r="L303" s="175"/>
      <c r="M303" s="175"/>
      <c r="N303" s="37"/>
    </row>
    <row r="304" spans="1:14" s="58" customFormat="1" ht="30.75" customHeight="1" x14ac:dyDescent="0.25">
      <c r="A304" s="67">
        <f t="shared" si="34"/>
        <v>5</v>
      </c>
      <c r="B304" s="67" t="s">
        <v>206</v>
      </c>
      <c r="C304" s="56">
        <v>3</v>
      </c>
      <c r="D304" s="62">
        <f>(90.126)*(10.764)</f>
        <v>970.116264</v>
      </c>
      <c r="E304" s="67">
        <v>0</v>
      </c>
      <c r="F304" s="67">
        <f>D304*(($F$167)+1)+(IF(E304&lt;101,E304,IF(E304&lt;201,E304/2,IF(E304&lt;=301,E304/3,E304/4))))</f>
        <v>1455.1743959999999</v>
      </c>
      <c r="G304" s="76"/>
      <c r="H304" s="76"/>
      <c r="I304" s="37"/>
      <c r="L304" s="175"/>
      <c r="M304" s="175"/>
      <c r="N304" s="37"/>
    </row>
    <row r="305" spans="1:14" s="58" customFormat="1" ht="15.75" customHeight="1" x14ac:dyDescent="0.25">
      <c r="A305" s="67">
        <f t="shared" si="34"/>
        <v>6</v>
      </c>
      <c r="B305" s="76" t="s">
        <v>72</v>
      </c>
      <c r="C305" s="76"/>
      <c r="D305" s="76"/>
      <c r="E305" s="76"/>
      <c r="F305" s="76"/>
      <c r="G305" s="76"/>
      <c r="H305" s="76"/>
      <c r="I305" s="37"/>
      <c r="L305" s="175"/>
      <c r="M305" s="175"/>
      <c r="N305" s="37"/>
    </row>
    <row r="306" spans="1:14" s="58" customFormat="1" ht="15.75" customHeight="1" x14ac:dyDescent="0.25">
      <c r="A306" s="67">
        <f t="shared" si="34"/>
        <v>7</v>
      </c>
      <c r="B306" s="76"/>
      <c r="C306" s="76"/>
      <c r="D306" s="76"/>
      <c r="E306" s="76"/>
      <c r="F306" s="76"/>
      <c r="G306" s="76"/>
      <c r="H306" s="76"/>
      <c r="I306" s="37"/>
      <c r="L306" s="175"/>
      <c r="M306" s="175"/>
      <c r="N306" s="37"/>
    </row>
    <row r="307" spans="1:14" s="58" customFormat="1" ht="15.75" customHeight="1" x14ac:dyDescent="0.25">
      <c r="A307" s="67">
        <f t="shared" si="34"/>
        <v>8</v>
      </c>
      <c r="B307" s="76"/>
      <c r="C307" s="76"/>
      <c r="D307" s="76"/>
      <c r="E307" s="76"/>
      <c r="F307" s="76"/>
      <c r="G307" s="76"/>
      <c r="H307" s="76"/>
      <c r="I307" s="37"/>
      <c r="L307" s="175"/>
      <c r="M307" s="175"/>
      <c r="N307" s="37"/>
    </row>
    <row r="308" spans="1:14" s="58" customFormat="1" ht="15.75" customHeight="1" x14ac:dyDescent="0.25">
      <c r="A308" s="67">
        <f t="shared" si="34"/>
        <v>9</v>
      </c>
      <c r="B308" s="76"/>
      <c r="C308" s="76"/>
      <c r="D308" s="76"/>
      <c r="E308" s="76"/>
      <c r="F308" s="76"/>
      <c r="G308" s="76"/>
      <c r="H308" s="76"/>
      <c r="I308" s="37"/>
      <c r="L308" s="175"/>
      <c r="M308" s="175"/>
      <c r="N308" s="37"/>
    </row>
    <row r="309" spans="1:14" s="58" customFormat="1" ht="15.75" customHeight="1" x14ac:dyDescent="0.25">
      <c r="A309" s="67">
        <f t="shared" si="34"/>
        <v>10</v>
      </c>
      <c r="B309" s="76"/>
      <c r="C309" s="76"/>
      <c r="D309" s="76"/>
      <c r="E309" s="76"/>
      <c r="F309" s="76"/>
      <c r="G309" s="76"/>
      <c r="H309" s="76"/>
      <c r="I309" s="37"/>
      <c r="L309" s="175"/>
      <c r="M309" s="175"/>
      <c r="N309" s="37"/>
    </row>
    <row r="310" spans="1:14" s="58" customFormat="1" x14ac:dyDescent="0.25">
      <c r="A310" s="123" t="s">
        <v>202</v>
      </c>
      <c r="B310" s="124"/>
      <c r="C310" s="124"/>
      <c r="D310" s="124"/>
      <c r="E310" s="124"/>
      <c r="F310" s="124"/>
      <c r="G310" s="124"/>
      <c r="H310" s="125"/>
      <c r="J310" s="37"/>
    </row>
    <row r="311" spans="1:14" s="58" customFormat="1" ht="31.5" x14ac:dyDescent="0.25">
      <c r="A311" s="57">
        <v>1</v>
      </c>
      <c r="B311" s="57" t="s">
        <v>206</v>
      </c>
      <c r="C311" s="56">
        <v>3</v>
      </c>
      <c r="D311" s="62">
        <f>(68.816)*(10.764)</f>
        <v>740.73542399999997</v>
      </c>
      <c r="E311" s="57">
        <v>0</v>
      </c>
      <c r="F311" s="57">
        <f>D311*(($F$167)+1)+(IF(E311&lt;101,E311,IF(E311&lt;201,E311/2,IF(E311&lt;=301,E311/3,E311/4))))</f>
        <v>1111.1031359999999</v>
      </c>
      <c r="G311" s="204" t="str">
        <f>A310</f>
        <v>4th Floor For Part Residential</v>
      </c>
      <c r="H311" s="205"/>
      <c r="I311" s="37"/>
      <c r="L311" s="175"/>
      <c r="M311" s="175"/>
      <c r="N311" s="37"/>
    </row>
    <row r="312" spans="1:14" s="58" customFormat="1" ht="31.5" x14ac:dyDescent="0.25">
      <c r="A312" s="57">
        <f t="shared" ref="A312:A320" si="35">A311+1</f>
        <v>2</v>
      </c>
      <c r="B312" s="57" t="s">
        <v>206</v>
      </c>
      <c r="C312" s="56">
        <v>2</v>
      </c>
      <c r="D312" s="62">
        <f>(60.124)*(10.764)</f>
        <v>647.17473599999994</v>
      </c>
      <c r="E312" s="57">
        <v>0</v>
      </c>
      <c r="F312" s="57">
        <f>D312*(($F$167)+1)+(IF(E312&lt;101,E312,IF(E312&lt;201,E312/2,IF(E312&lt;=301,E312/3,E312/4))))</f>
        <v>970.76210399999991</v>
      </c>
      <c r="G312" s="206" t="str">
        <f t="shared" ref="G312:G320" si="36">G311</f>
        <v>4th Floor For Part Residential</v>
      </c>
      <c r="H312" s="207"/>
      <c r="I312" s="37"/>
      <c r="L312" s="175"/>
      <c r="M312" s="175"/>
      <c r="N312" s="37"/>
    </row>
    <row r="313" spans="1:14" s="58" customFormat="1" ht="31.5" x14ac:dyDescent="0.25">
      <c r="A313" s="57">
        <f t="shared" si="35"/>
        <v>3</v>
      </c>
      <c r="B313" s="57" t="s">
        <v>206</v>
      </c>
      <c r="C313" s="56">
        <v>2</v>
      </c>
      <c r="D313" s="62">
        <f>(60.124)*(10.764)</f>
        <v>647.17473599999994</v>
      </c>
      <c r="E313" s="57">
        <v>0</v>
      </c>
      <c r="F313" s="57">
        <f>D313*(($F$167)+1)+(IF(E313&lt;101,E313,IF(E313&lt;201,E313/2,IF(E313&lt;=301,E313/3,E313/4))))</f>
        <v>970.76210399999991</v>
      </c>
      <c r="G313" s="206" t="str">
        <f t="shared" si="36"/>
        <v>4th Floor For Part Residential</v>
      </c>
      <c r="H313" s="207"/>
      <c r="I313" s="37"/>
      <c r="L313" s="175"/>
      <c r="M313" s="175"/>
      <c r="N313" s="37"/>
    </row>
    <row r="314" spans="1:14" s="58" customFormat="1" ht="31.5" x14ac:dyDescent="0.25">
      <c r="A314" s="57">
        <f t="shared" si="35"/>
        <v>4</v>
      </c>
      <c r="B314" s="57" t="s">
        <v>206</v>
      </c>
      <c r="C314" s="56">
        <v>2</v>
      </c>
      <c r="D314" s="62">
        <f>(60.124)*(10.764)</f>
        <v>647.17473599999994</v>
      </c>
      <c r="E314" s="57">
        <v>0</v>
      </c>
      <c r="F314" s="57">
        <f>D314*(($F$167)+1)+(IF(E314&lt;101,E314,IF(E314&lt;201,E314/2,IF(E314&lt;=301,E314/3,E314/4))))</f>
        <v>970.76210399999991</v>
      </c>
      <c r="G314" s="206" t="str">
        <f t="shared" si="36"/>
        <v>4th Floor For Part Residential</v>
      </c>
      <c r="H314" s="207"/>
      <c r="I314" s="37"/>
      <c r="L314" s="175"/>
      <c r="M314" s="175"/>
      <c r="N314" s="37"/>
    </row>
    <row r="315" spans="1:14" s="58" customFormat="1" ht="31.5" x14ac:dyDescent="0.25">
      <c r="A315" s="57">
        <f t="shared" si="35"/>
        <v>5</v>
      </c>
      <c r="B315" s="57" t="s">
        <v>206</v>
      </c>
      <c r="C315" s="56">
        <v>3</v>
      </c>
      <c r="D315" s="62">
        <f>(90.126)*(10.764)</f>
        <v>970.116264</v>
      </c>
      <c r="E315" s="57">
        <v>0</v>
      </c>
      <c r="F315" s="57">
        <f>D315*(($F$167)+1)+(IF(E315&lt;101,E315,IF(E315&lt;201,E315/2,IF(E315&lt;=301,E315/3,E315/4))))</f>
        <v>1455.1743959999999</v>
      </c>
      <c r="G315" s="206" t="str">
        <f t="shared" si="36"/>
        <v>4th Floor For Part Residential</v>
      </c>
      <c r="H315" s="207"/>
      <c r="I315" s="37"/>
      <c r="L315" s="175"/>
      <c r="M315" s="175"/>
      <c r="N315" s="37"/>
    </row>
    <row r="316" spans="1:14" s="58" customFormat="1" x14ac:dyDescent="0.25">
      <c r="A316" s="57">
        <f t="shared" si="35"/>
        <v>6</v>
      </c>
      <c r="B316" s="204" t="s">
        <v>207</v>
      </c>
      <c r="C316" s="210"/>
      <c r="D316" s="210"/>
      <c r="E316" s="210"/>
      <c r="F316" s="205"/>
      <c r="G316" s="206" t="str">
        <f t="shared" si="36"/>
        <v>4th Floor For Part Residential</v>
      </c>
      <c r="H316" s="207"/>
      <c r="I316" s="37"/>
      <c r="L316" s="175"/>
      <c r="M316" s="175"/>
      <c r="N316" s="37"/>
    </row>
    <row r="317" spans="1:14" s="58" customFormat="1" x14ac:dyDescent="0.25">
      <c r="A317" s="57">
        <f t="shared" si="35"/>
        <v>7</v>
      </c>
      <c r="B317" s="208"/>
      <c r="C317" s="211"/>
      <c r="D317" s="211"/>
      <c r="E317" s="211"/>
      <c r="F317" s="209"/>
      <c r="G317" s="206" t="str">
        <f t="shared" si="36"/>
        <v>4th Floor For Part Residential</v>
      </c>
      <c r="H317" s="207"/>
      <c r="I317" s="37"/>
      <c r="L317" s="175"/>
      <c r="M317" s="175"/>
      <c r="N317" s="37"/>
    </row>
    <row r="318" spans="1:14" s="58" customFormat="1" x14ac:dyDescent="0.25">
      <c r="A318" s="57">
        <f t="shared" si="35"/>
        <v>8</v>
      </c>
      <c r="B318" s="204" t="s">
        <v>208</v>
      </c>
      <c r="C318" s="210"/>
      <c r="D318" s="210"/>
      <c r="E318" s="210"/>
      <c r="F318" s="205"/>
      <c r="G318" s="206" t="str">
        <f t="shared" si="36"/>
        <v>4th Floor For Part Residential</v>
      </c>
      <c r="H318" s="207"/>
      <c r="I318" s="37"/>
      <c r="L318" s="175"/>
      <c r="M318" s="175"/>
      <c r="N318" s="37"/>
    </row>
    <row r="319" spans="1:14" s="58" customFormat="1" x14ac:dyDescent="0.25">
      <c r="A319" s="57">
        <f t="shared" si="35"/>
        <v>9</v>
      </c>
      <c r="B319" s="206"/>
      <c r="C319" s="212"/>
      <c r="D319" s="212"/>
      <c r="E319" s="212"/>
      <c r="F319" s="207"/>
      <c r="G319" s="206" t="str">
        <f t="shared" si="36"/>
        <v>4th Floor For Part Residential</v>
      </c>
      <c r="H319" s="207"/>
      <c r="I319" s="37"/>
      <c r="L319" s="175"/>
      <c r="M319" s="175"/>
      <c r="N319" s="37"/>
    </row>
    <row r="320" spans="1:14" s="58" customFormat="1" x14ac:dyDescent="0.25">
      <c r="A320" s="57">
        <f t="shared" si="35"/>
        <v>10</v>
      </c>
      <c r="B320" s="208"/>
      <c r="C320" s="211"/>
      <c r="D320" s="211"/>
      <c r="E320" s="211"/>
      <c r="F320" s="209"/>
      <c r="G320" s="208" t="str">
        <f t="shared" si="36"/>
        <v>4th Floor For Part Residential</v>
      </c>
      <c r="H320" s="209"/>
      <c r="I320" s="37"/>
      <c r="L320" s="175"/>
      <c r="M320" s="175"/>
      <c r="N320" s="37"/>
    </row>
    <row r="321" spans="1:14" s="58" customFormat="1" x14ac:dyDescent="0.25">
      <c r="A321" s="123" t="s">
        <v>222</v>
      </c>
      <c r="B321" s="124"/>
      <c r="C321" s="124"/>
      <c r="D321" s="124"/>
      <c r="E321" s="124"/>
      <c r="F321" s="124"/>
      <c r="G321" s="124"/>
      <c r="H321" s="125"/>
      <c r="J321" s="37"/>
    </row>
    <row r="322" spans="1:14" s="58" customFormat="1" ht="31.5" x14ac:dyDescent="0.25">
      <c r="A322" s="57">
        <v>1</v>
      </c>
      <c r="B322" s="57" t="s">
        <v>206</v>
      </c>
      <c r="C322" s="56">
        <v>3</v>
      </c>
      <c r="D322" s="62">
        <f>(68.816)*(10.764)</f>
        <v>740.73542399999997</v>
      </c>
      <c r="E322" s="57">
        <v>0</v>
      </c>
      <c r="F322" s="57">
        <f t="shared" ref="F322:F331" si="37">D322*(($F$167)+1)+(IF(E322&lt;101,E322,IF(E322&lt;201,E322/2,IF(E322&lt;=301,E322/3,E322/4))))</f>
        <v>1111.1031359999999</v>
      </c>
      <c r="G322" s="204" t="str">
        <f>A321</f>
        <v>5th Floor</v>
      </c>
      <c r="H322" s="205"/>
      <c r="I322" s="37"/>
      <c r="L322" s="175"/>
      <c r="M322" s="175"/>
      <c r="N322" s="37"/>
    </row>
    <row r="323" spans="1:14" s="58" customFormat="1" ht="31.5" x14ac:dyDescent="0.25">
      <c r="A323" s="57">
        <f t="shared" ref="A323:A331" si="38">A322+1</f>
        <v>2</v>
      </c>
      <c r="B323" s="57" t="s">
        <v>206</v>
      </c>
      <c r="C323" s="56">
        <v>2</v>
      </c>
      <c r="D323" s="62">
        <f>(60.124)*(10.764)</f>
        <v>647.17473599999994</v>
      </c>
      <c r="E323" s="57">
        <v>0</v>
      </c>
      <c r="F323" s="57">
        <f t="shared" si="37"/>
        <v>970.76210399999991</v>
      </c>
      <c r="G323" s="206" t="str">
        <f t="shared" ref="G323:G331" si="39">G322</f>
        <v>5th Floor</v>
      </c>
      <c r="H323" s="207"/>
      <c r="I323" s="37"/>
      <c r="L323" s="175"/>
      <c r="M323" s="175"/>
      <c r="N323" s="37"/>
    </row>
    <row r="324" spans="1:14" s="58" customFormat="1" ht="31.5" x14ac:dyDescent="0.25">
      <c r="A324" s="57">
        <f t="shared" si="38"/>
        <v>3</v>
      </c>
      <c r="B324" s="57" t="s">
        <v>206</v>
      </c>
      <c r="C324" s="56">
        <v>2</v>
      </c>
      <c r="D324" s="62">
        <f>(60.124)*(10.764)</f>
        <v>647.17473599999994</v>
      </c>
      <c r="E324" s="57">
        <v>0</v>
      </c>
      <c r="F324" s="57">
        <f t="shared" si="37"/>
        <v>970.76210399999991</v>
      </c>
      <c r="G324" s="206" t="str">
        <f t="shared" si="39"/>
        <v>5th Floor</v>
      </c>
      <c r="H324" s="207"/>
      <c r="I324" s="37"/>
      <c r="L324" s="175"/>
      <c r="M324" s="175"/>
      <c r="N324" s="37"/>
    </row>
    <row r="325" spans="1:14" s="58" customFormat="1" ht="31.5" x14ac:dyDescent="0.25">
      <c r="A325" s="57">
        <f t="shared" si="38"/>
        <v>4</v>
      </c>
      <c r="B325" s="57" t="s">
        <v>206</v>
      </c>
      <c r="C325" s="56">
        <v>2</v>
      </c>
      <c r="D325" s="62">
        <f>(60.124)*(10.764)</f>
        <v>647.17473599999994</v>
      </c>
      <c r="E325" s="57">
        <v>0</v>
      </c>
      <c r="F325" s="57">
        <f t="shared" si="37"/>
        <v>970.76210399999991</v>
      </c>
      <c r="G325" s="206" t="str">
        <f t="shared" si="39"/>
        <v>5th Floor</v>
      </c>
      <c r="H325" s="207"/>
      <c r="I325" s="37"/>
      <c r="L325" s="175"/>
      <c r="M325" s="175"/>
      <c r="N325" s="37"/>
    </row>
    <row r="326" spans="1:14" s="58" customFormat="1" ht="31.5" x14ac:dyDescent="0.25">
      <c r="A326" s="57">
        <f t="shared" si="38"/>
        <v>5</v>
      </c>
      <c r="B326" s="57" t="s">
        <v>206</v>
      </c>
      <c r="C326" s="56">
        <v>3</v>
      </c>
      <c r="D326" s="62">
        <f>(90.126)*(10.764)</f>
        <v>970.116264</v>
      </c>
      <c r="E326" s="57">
        <v>0</v>
      </c>
      <c r="F326" s="57">
        <f t="shared" si="37"/>
        <v>1455.1743959999999</v>
      </c>
      <c r="G326" s="206" t="str">
        <f t="shared" si="39"/>
        <v>5th Floor</v>
      </c>
      <c r="H326" s="207"/>
      <c r="I326" s="37"/>
      <c r="L326" s="175"/>
      <c r="M326" s="175"/>
      <c r="N326" s="37"/>
    </row>
    <row r="327" spans="1:14" s="58" customFormat="1" ht="31.5" x14ac:dyDescent="0.25">
      <c r="A327" s="57">
        <f t="shared" si="38"/>
        <v>6</v>
      </c>
      <c r="B327" s="57" t="s">
        <v>206</v>
      </c>
      <c r="C327" s="56">
        <v>3</v>
      </c>
      <c r="D327" s="62">
        <f>(106.884)*(10.764)</f>
        <v>1150.499376</v>
      </c>
      <c r="E327" s="57">
        <v>0</v>
      </c>
      <c r="F327" s="57">
        <f t="shared" si="37"/>
        <v>1725.7490640000001</v>
      </c>
      <c r="G327" s="206" t="str">
        <f t="shared" si="39"/>
        <v>5th Floor</v>
      </c>
      <c r="H327" s="207"/>
      <c r="I327" s="37"/>
      <c r="L327" s="175"/>
      <c r="M327" s="175"/>
      <c r="N327" s="37"/>
    </row>
    <row r="328" spans="1:14" s="58" customFormat="1" ht="31.5" x14ac:dyDescent="0.25">
      <c r="A328" s="57">
        <f t="shared" si="38"/>
        <v>7</v>
      </c>
      <c r="B328" s="57" t="s">
        <v>206</v>
      </c>
      <c r="C328" s="56">
        <v>2</v>
      </c>
      <c r="D328" s="62">
        <f>(68.608)*(10.764)</f>
        <v>738.49651200000005</v>
      </c>
      <c r="E328" s="57">
        <v>0</v>
      </c>
      <c r="F328" s="57">
        <f t="shared" si="37"/>
        <v>1107.744768</v>
      </c>
      <c r="G328" s="206" t="str">
        <f t="shared" si="39"/>
        <v>5th Floor</v>
      </c>
      <c r="H328" s="207"/>
      <c r="I328" s="37"/>
      <c r="L328" s="175"/>
      <c r="M328" s="175"/>
      <c r="N328" s="37"/>
    </row>
    <row r="329" spans="1:14" s="58" customFormat="1" ht="31.5" x14ac:dyDescent="0.25">
      <c r="A329" s="57">
        <f t="shared" si="38"/>
        <v>8</v>
      </c>
      <c r="B329" s="57" t="s">
        <v>206</v>
      </c>
      <c r="C329" s="56">
        <v>2</v>
      </c>
      <c r="D329" s="62">
        <f>(68.164)*(10.764)</f>
        <v>733.71729599999992</v>
      </c>
      <c r="E329" s="57">
        <v>0</v>
      </c>
      <c r="F329" s="57">
        <f t="shared" si="37"/>
        <v>1100.5759439999999</v>
      </c>
      <c r="G329" s="206" t="str">
        <f t="shared" si="39"/>
        <v>5th Floor</v>
      </c>
      <c r="H329" s="207"/>
      <c r="I329" s="37"/>
      <c r="L329" s="175"/>
      <c r="M329" s="175"/>
      <c r="N329" s="37"/>
    </row>
    <row r="330" spans="1:14" s="58" customFormat="1" ht="31.5" x14ac:dyDescent="0.25">
      <c r="A330" s="57">
        <f t="shared" si="38"/>
        <v>9</v>
      </c>
      <c r="B330" s="57" t="s">
        <v>206</v>
      </c>
      <c r="C330" s="56">
        <v>2</v>
      </c>
      <c r="D330" s="62">
        <f>(64.576)*(10.764)</f>
        <v>695.09606399999984</v>
      </c>
      <c r="E330" s="57">
        <v>0</v>
      </c>
      <c r="F330" s="57">
        <f t="shared" si="37"/>
        <v>1042.6440959999998</v>
      </c>
      <c r="G330" s="206" t="str">
        <f t="shared" si="39"/>
        <v>5th Floor</v>
      </c>
      <c r="H330" s="207"/>
      <c r="I330" s="37"/>
      <c r="L330" s="175"/>
      <c r="M330" s="175"/>
      <c r="N330" s="37"/>
    </row>
    <row r="331" spans="1:14" s="58" customFormat="1" ht="31.5" x14ac:dyDescent="0.25">
      <c r="A331" s="57">
        <f t="shared" si="38"/>
        <v>10</v>
      </c>
      <c r="B331" s="57" t="s">
        <v>206</v>
      </c>
      <c r="C331" s="56">
        <v>3</v>
      </c>
      <c r="D331" s="62">
        <f>(68.817)*(10.764)</f>
        <v>740.74618799999985</v>
      </c>
      <c r="E331" s="57">
        <v>0</v>
      </c>
      <c r="F331" s="57">
        <f t="shared" si="37"/>
        <v>1111.1192819999997</v>
      </c>
      <c r="G331" s="208" t="str">
        <f t="shared" si="39"/>
        <v>5th Floor</v>
      </c>
      <c r="H331" s="209"/>
      <c r="I331" s="37"/>
      <c r="L331" s="175"/>
      <c r="M331" s="175"/>
      <c r="N331" s="37"/>
    </row>
    <row r="332" spans="1:14" s="58" customFormat="1" x14ac:dyDescent="0.25">
      <c r="A332" s="144" t="s">
        <v>223</v>
      </c>
      <c r="B332" s="144"/>
      <c r="C332" s="144"/>
      <c r="D332" s="144"/>
      <c r="E332" s="144"/>
      <c r="F332" s="144"/>
      <c r="G332" s="144"/>
      <c r="H332" s="144"/>
      <c r="J332" s="37"/>
    </row>
    <row r="333" spans="1:14" s="58" customFormat="1" x14ac:dyDescent="0.25">
      <c r="A333" s="67">
        <v>1</v>
      </c>
      <c r="B333" s="67" t="s">
        <v>205</v>
      </c>
      <c r="C333" s="56">
        <v>3</v>
      </c>
      <c r="D333" s="62">
        <f>(68.817)*(10.764)</f>
        <v>740.74618799999985</v>
      </c>
      <c r="E333" s="67">
        <v>0</v>
      </c>
      <c r="F333" s="67">
        <f t="shared" ref="F333:F342" si="40">D333*(($F$167)+1)+(IF(E333&lt;101,E333,IF(E333&lt;201,E333/2,IF(E333&lt;=301,E333/3,E333/4))))</f>
        <v>1111.1192819999997</v>
      </c>
      <c r="G333" s="76" t="str">
        <f>A332</f>
        <v>6th Floor</v>
      </c>
      <c r="H333" s="76"/>
      <c r="I333" s="37"/>
      <c r="L333" s="175"/>
      <c r="M333" s="175"/>
      <c r="N333" s="37"/>
    </row>
    <row r="334" spans="1:14" s="58" customFormat="1" x14ac:dyDescent="0.25">
      <c r="A334" s="67">
        <f t="shared" ref="A334:A342" si="41">A333+1</f>
        <v>2</v>
      </c>
      <c r="B334" s="67" t="s">
        <v>205</v>
      </c>
      <c r="C334" s="56">
        <v>2</v>
      </c>
      <c r="D334" s="62">
        <f>(60.124)*(10.764)</f>
        <v>647.17473599999994</v>
      </c>
      <c r="E334" s="67">
        <v>0</v>
      </c>
      <c r="F334" s="67">
        <f t="shared" si="40"/>
        <v>970.76210399999991</v>
      </c>
      <c r="G334" s="76" t="str">
        <f t="shared" ref="G334:G342" si="42">G333</f>
        <v>6th Floor</v>
      </c>
      <c r="H334" s="76"/>
      <c r="I334" s="37"/>
      <c r="L334" s="175"/>
      <c r="M334" s="175"/>
      <c r="N334" s="37"/>
    </row>
    <row r="335" spans="1:14" s="58" customFormat="1" x14ac:dyDescent="0.25">
      <c r="A335" s="67">
        <f t="shared" si="41"/>
        <v>3</v>
      </c>
      <c r="B335" s="67" t="s">
        <v>205</v>
      </c>
      <c r="C335" s="56">
        <v>2</v>
      </c>
      <c r="D335" s="62">
        <f>(60.124)*(10.764)</f>
        <v>647.17473599999994</v>
      </c>
      <c r="E335" s="67">
        <v>0</v>
      </c>
      <c r="F335" s="67">
        <f t="shared" si="40"/>
        <v>970.76210399999991</v>
      </c>
      <c r="G335" s="76" t="str">
        <f t="shared" si="42"/>
        <v>6th Floor</v>
      </c>
      <c r="H335" s="76"/>
      <c r="I335" s="37"/>
      <c r="L335" s="175"/>
      <c r="M335" s="175"/>
      <c r="N335" s="37"/>
    </row>
    <row r="336" spans="1:14" s="58" customFormat="1" x14ac:dyDescent="0.25">
      <c r="A336" s="67">
        <f t="shared" si="41"/>
        <v>4</v>
      </c>
      <c r="B336" s="67" t="s">
        <v>205</v>
      </c>
      <c r="C336" s="56">
        <v>2</v>
      </c>
      <c r="D336" s="62">
        <f>(60.124)*(10.764)</f>
        <v>647.17473599999994</v>
      </c>
      <c r="E336" s="67">
        <v>0</v>
      </c>
      <c r="F336" s="67">
        <f t="shared" si="40"/>
        <v>970.76210399999991</v>
      </c>
      <c r="G336" s="76" t="str">
        <f t="shared" si="42"/>
        <v>6th Floor</v>
      </c>
      <c r="H336" s="76"/>
      <c r="I336" s="37"/>
      <c r="L336" s="175"/>
      <c r="M336" s="175"/>
      <c r="N336" s="37"/>
    </row>
    <row r="337" spans="1:14" s="58" customFormat="1" x14ac:dyDescent="0.25">
      <c r="A337" s="67">
        <f t="shared" si="41"/>
        <v>5</v>
      </c>
      <c r="B337" s="67" t="s">
        <v>205</v>
      </c>
      <c r="C337" s="56">
        <v>3</v>
      </c>
      <c r="D337" s="62">
        <f>(90.126)*(10.764)</f>
        <v>970.116264</v>
      </c>
      <c r="E337" s="67">
        <v>0</v>
      </c>
      <c r="F337" s="67">
        <f t="shared" si="40"/>
        <v>1455.1743959999999</v>
      </c>
      <c r="G337" s="76" t="str">
        <f t="shared" si="42"/>
        <v>6th Floor</v>
      </c>
      <c r="H337" s="76"/>
      <c r="I337" s="37"/>
      <c r="L337" s="175"/>
      <c r="M337" s="175"/>
      <c r="N337" s="37"/>
    </row>
    <row r="338" spans="1:14" s="58" customFormat="1" x14ac:dyDescent="0.25">
      <c r="A338" s="67">
        <f t="shared" si="41"/>
        <v>6</v>
      </c>
      <c r="B338" s="67" t="s">
        <v>204</v>
      </c>
      <c r="C338" s="56">
        <v>3</v>
      </c>
      <c r="D338" s="62">
        <f>(106.884)*(10.764)</f>
        <v>1150.499376</v>
      </c>
      <c r="E338" s="67">
        <v>0</v>
      </c>
      <c r="F338" s="67">
        <f t="shared" si="40"/>
        <v>1725.7490640000001</v>
      </c>
      <c r="G338" s="76" t="str">
        <f t="shared" si="42"/>
        <v>6th Floor</v>
      </c>
      <c r="H338" s="76"/>
      <c r="I338" s="37"/>
      <c r="L338" s="175"/>
      <c r="M338" s="175"/>
      <c r="N338" s="37"/>
    </row>
    <row r="339" spans="1:14" s="58" customFormat="1" x14ac:dyDescent="0.25">
      <c r="A339" s="67">
        <f t="shared" si="41"/>
        <v>7</v>
      </c>
      <c r="B339" s="67" t="s">
        <v>204</v>
      </c>
      <c r="C339" s="56">
        <v>2</v>
      </c>
      <c r="D339" s="62">
        <f>(68.608)*(10.764)</f>
        <v>738.49651200000005</v>
      </c>
      <c r="E339" s="67">
        <v>0</v>
      </c>
      <c r="F339" s="67">
        <f t="shared" si="40"/>
        <v>1107.744768</v>
      </c>
      <c r="G339" s="76" t="str">
        <f t="shared" si="42"/>
        <v>6th Floor</v>
      </c>
      <c r="H339" s="76"/>
      <c r="I339" s="37"/>
      <c r="L339" s="175"/>
      <c r="M339" s="175"/>
      <c r="N339" s="37"/>
    </row>
    <row r="340" spans="1:14" s="58" customFormat="1" x14ac:dyDescent="0.25">
      <c r="A340" s="67">
        <f t="shared" si="41"/>
        <v>8</v>
      </c>
      <c r="B340" s="67" t="s">
        <v>204</v>
      </c>
      <c r="C340" s="56">
        <v>2</v>
      </c>
      <c r="D340" s="62">
        <f>(68.164)*(10.764)</f>
        <v>733.71729599999992</v>
      </c>
      <c r="E340" s="67">
        <v>0</v>
      </c>
      <c r="F340" s="67">
        <f t="shared" si="40"/>
        <v>1100.5759439999999</v>
      </c>
      <c r="G340" s="76" t="str">
        <f t="shared" si="42"/>
        <v>6th Floor</v>
      </c>
      <c r="H340" s="76"/>
      <c r="I340" s="37"/>
      <c r="L340" s="175"/>
      <c r="M340" s="175"/>
      <c r="N340" s="37"/>
    </row>
    <row r="341" spans="1:14" s="58" customFormat="1" x14ac:dyDescent="0.25">
      <c r="A341" s="67">
        <f t="shared" si="41"/>
        <v>9</v>
      </c>
      <c r="B341" s="67" t="s">
        <v>205</v>
      </c>
      <c r="C341" s="56">
        <v>2</v>
      </c>
      <c r="D341" s="62">
        <f>(64.576)*(10.764)</f>
        <v>695.09606399999984</v>
      </c>
      <c r="E341" s="67">
        <v>0</v>
      </c>
      <c r="F341" s="67">
        <f t="shared" si="40"/>
        <v>1042.6440959999998</v>
      </c>
      <c r="G341" s="76" t="str">
        <f t="shared" si="42"/>
        <v>6th Floor</v>
      </c>
      <c r="H341" s="76"/>
      <c r="I341" s="37"/>
      <c r="L341" s="175"/>
      <c r="M341" s="175"/>
      <c r="N341" s="37"/>
    </row>
    <row r="342" spans="1:14" s="58" customFormat="1" x14ac:dyDescent="0.25">
      <c r="A342" s="67">
        <f t="shared" si="41"/>
        <v>10</v>
      </c>
      <c r="B342" s="67" t="s">
        <v>205</v>
      </c>
      <c r="C342" s="56">
        <v>3</v>
      </c>
      <c r="D342" s="62">
        <f>(68.817)*(10.764)</f>
        <v>740.74618799999985</v>
      </c>
      <c r="E342" s="67">
        <v>0</v>
      </c>
      <c r="F342" s="67">
        <f t="shared" si="40"/>
        <v>1111.1192819999997</v>
      </c>
      <c r="G342" s="76" t="str">
        <f t="shared" si="42"/>
        <v>6th Floor</v>
      </c>
      <c r="H342" s="76"/>
      <c r="I342" s="37"/>
      <c r="L342" s="175"/>
      <c r="M342" s="175"/>
      <c r="N342" s="37"/>
    </row>
    <row r="343" spans="1:14" s="58" customFormat="1" x14ac:dyDescent="0.25">
      <c r="A343" s="123" t="s">
        <v>224</v>
      </c>
      <c r="B343" s="124"/>
      <c r="C343" s="124"/>
      <c r="D343" s="124"/>
      <c r="E343" s="124"/>
      <c r="F343" s="124"/>
      <c r="G343" s="124"/>
      <c r="H343" s="125"/>
      <c r="J343" s="37"/>
    </row>
    <row r="344" spans="1:14" s="58" customFormat="1" x14ac:dyDescent="0.25">
      <c r="A344" s="57">
        <v>1</v>
      </c>
      <c r="B344" s="57" t="s">
        <v>205</v>
      </c>
      <c r="C344" s="56">
        <v>3</v>
      </c>
      <c r="D344" s="62">
        <f>(68.817)*(10.764)</f>
        <v>740.74618799999985</v>
      </c>
      <c r="E344" s="57">
        <v>0</v>
      </c>
      <c r="F344" s="57">
        <f t="shared" ref="F344:F353" si="43">D344*(($F$167)+1)+(IF(E344&lt;101,E344,IF(E344&lt;201,E344/2,IF(E344&lt;=301,E344/3,E344/4))))</f>
        <v>1111.1192819999997</v>
      </c>
      <c r="G344" s="204" t="str">
        <f>A343</f>
        <v>7th, 9th, 10th &amp; 11th Floor</v>
      </c>
      <c r="H344" s="205"/>
      <c r="I344" s="37"/>
      <c r="L344" s="175"/>
      <c r="M344" s="175"/>
      <c r="N344" s="37"/>
    </row>
    <row r="345" spans="1:14" s="58" customFormat="1" x14ac:dyDescent="0.25">
      <c r="A345" s="57">
        <f t="shared" ref="A345:A353" si="44">A344+1</f>
        <v>2</v>
      </c>
      <c r="B345" s="57" t="s">
        <v>205</v>
      </c>
      <c r="C345" s="56">
        <v>2</v>
      </c>
      <c r="D345" s="62">
        <f>(60.124)*(10.764)</f>
        <v>647.17473599999994</v>
      </c>
      <c r="E345" s="57">
        <v>0</v>
      </c>
      <c r="F345" s="57">
        <f t="shared" si="43"/>
        <v>970.76210399999991</v>
      </c>
      <c r="G345" s="206" t="str">
        <f t="shared" ref="G345:G353" si="45">G344</f>
        <v>7th, 9th, 10th &amp; 11th Floor</v>
      </c>
      <c r="H345" s="207"/>
      <c r="I345" s="37"/>
      <c r="L345" s="175"/>
      <c r="M345" s="175"/>
      <c r="N345" s="37"/>
    </row>
    <row r="346" spans="1:14" s="58" customFormat="1" x14ac:dyDescent="0.25">
      <c r="A346" s="57">
        <f t="shared" si="44"/>
        <v>3</v>
      </c>
      <c r="B346" s="57" t="s">
        <v>205</v>
      </c>
      <c r="C346" s="56">
        <v>2</v>
      </c>
      <c r="D346" s="62">
        <f>(60.944)*(10.764)</f>
        <v>656.001216</v>
      </c>
      <c r="E346" s="57">
        <v>0</v>
      </c>
      <c r="F346" s="57">
        <f t="shared" si="43"/>
        <v>984.00182399999994</v>
      </c>
      <c r="G346" s="206" t="str">
        <f t="shared" si="45"/>
        <v>7th, 9th, 10th &amp; 11th Floor</v>
      </c>
      <c r="H346" s="207"/>
      <c r="I346" s="37"/>
      <c r="L346" s="175"/>
      <c r="M346" s="175"/>
      <c r="N346" s="37"/>
    </row>
    <row r="347" spans="1:14" s="58" customFormat="1" x14ac:dyDescent="0.25">
      <c r="A347" s="57">
        <f t="shared" si="44"/>
        <v>4</v>
      </c>
      <c r="B347" s="57" t="s">
        <v>205</v>
      </c>
      <c r="C347" s="56">
        <v>2</v>
      </c>
      <c r="D347" s="62">
        <f>(60.944)*(10.764)</f>
        <v>656.001216</v>
      </c>
      <c r="E347" s="57">
        <v>0</v>
      </c>
      <c r="F347" s="57">
        <f t="shared" si="43"/>
        <v>984.00182399999994</v>
      </c>
      <c r="G347" s="206" t="str">
        <f t="shared" si="45"/>
        <v>7th, 9th, 10th &amp; 11th Floor</v>
      </c>
      <c r="H347" s="207"/>
      <c r="I347" s="37"/>
      <c r="L347" s="175"/>
      <c r="M347" s="175"/>
      <c r="N347" s="37"/>
    </row>
    <row r="348" spans="1:14" s="58" customFormat="1" x14ac:dyDescent="0.25">
      <c r="A348" s="57">
        <f t="shared" si="44"/>
        <v>5</v>
      </c>
      <c r="B348" s="57" t="s">
        <v>205</v>
      </c>
      <c r="C348" s="56">
        <v>3</v>
      </c>
      <c r="D348" s="62">
        <f>(90.126)*(10.764)</f>
        <v>970.116264</v>
      </c>
      <c r="E348" s="57">
        <v>0</v>
      </c>
      <c r="F348" s="57">
        <f t="shared" si="43"/>
        <v>1455.1743959999999</v>
      </c>
      <c r="G348" s="206" t="str">
        <f t="shared" si="45"/>
        <v>7th, 9th, 10th &amp; 11th Floor</v>
      </c>
      <c r="H348" s="207"/>
      <c r="I348" s="37"/>
      <c r="L348" s="175"/>
      <c r="M348" s="175"/>
      <c r="N348" s="37"/>
    </row>
    <row r="349" spans="1:14" s="58" customFormat="1" x14ac:dyDescent="0.25">
      <c r="A349" s="57">
        <f t="shared" si="44"/>
        <v>6</v>
      </c>
      <c r="B349" s="57" t="s">
        <v>204</v>
      </c>
      <c r="C349" s="56">
        <v>3</v>
      </c>
      <c r="D349" s="62">
        <f>(106.884)*(10.764)</f>
        <v>1150.499376</v>
      </c>
      <c r="E349" s="57">
        <v>0</v>
      </c>
      <c r="F349" s="57">
        <f t="shared" si="43"/>
        <v>1725.7490640000001</v>
      </c>
      <c r="G349" s="206" t="str">
        <f t="shared" si="45"/>
        <v>7th, 9th, 10th &amp; 11th Floor</v>
      </c>
      <c r="H349" s="207"/>
      <c r="I349" s="37"/>
      <c r="L349" s="175"/>
      <c r="M349" s="175"/>
      <c r="N349" s="37"/>
    </row>
    <row r="350" spans="1:14" s="58" customFormat="1" x14ac:dyDescent="0.25">
      <c r="A350" s="57">
        <f t="shared" si="44"/>
        <v>7</v>
      </c>
      <c r="B350" s="57" t="s">
        <v>204</v>
      </c>
      <c r="C350" s="56">
        <v>2</v>
      </c>
      <c r="D350" s="62">
        <f>(68.608)*(10.764)</f>
        <v>738.49651200000005</v>
      </c>
      <c r="E350" s="57">
        <v>0</v>
      </c>
      <c r="F350" s="57">
        <f t="shared" si="43"/>
        <v>1107.744768</v>
      </c>
      <c r="G350" s="206" t="str">
        <f t="shared" si="45"/>
        <v>7th, 9th, 10th &amp; 11th Floor</v>
      </c>
      <c r="H350" s="207"/>
      <c r="I350" s="37"/>
      <c r="L350" s="175"/>
      <c r="M350" s="175"/>
      <c r="N350" s="37"/>
    </row>
    <row r="351" spans="1:14" s="58" customFormat="1" x14ac:dyDescent="0.25">
      <c r="A351" s="57">
        <f t="shared" si="44"/>
        <v>8</v>
      </c>
      <c r="B351" s="57" t="s">
        <v>204</v>
      </c>
      <c r="C351" s="56">
        <v>2</v>
      </c>
      <c r="D351" s="62">
        <f>(68.164)*(10.764)</f>
        <v>733.71729599999992</v>
      </c>
      <c r="E351" s="57">
        <v>0</v>
      </c>
      <c r="F351" s="57">
        <f t="shared" si="43"/>
        <v>1100.5759439999999</v>
      </c>
      <c r="G351" s="206" t="str">
        <f t="shared" si="45"/>
        <v>7th, 9th, 10th &amp; 11th Floor</v>
      </c>
      <c r="H351" s="207"/>
      <c r="I351" s="37"/>
      <c r="L351" s="175"/>
      <c r="M351" s="175"/>
      <c r="N351" s="37"/>
    </row>
    <row r="352" spans="1:14" s="58" customFormat="1" x14ac:dyDescent="0.25">
      <c r="A352" s="57">
        <f t="shared" si="44"/>
        <v>9</v>
      </c>
      <c r="B352" s="57" t="s">
        <v>205</v>
      </c>
      <c r="C352" s="56">
        <v>2</v>
      </c>
      <c r="D352" s="62">
        <f>(64.576)*(10.764)</f>
        <v>695.09606399999984</v>
      </c>
      <c r="E352" s="57">
        <v>0</v>
      </c>
      <c r="F352" s="57">
        <f t="shared" si="43"/>
        <v>1042.6440959999998</v>
      </c>
      <c r="G352" s="206" t="str">
        <f t="shared" si="45"/>
        <v>7th, 9th, 10th &amp; 11th Floor</v>
      </c>
      <c r="H352" s="207"/>
      <c r="I352" s="37"/>
      <c r="L352" s="175"/>
      <c r="M352" s="175"/>
      <c r="N352" s="37"/>
    </row>
    <row r="353" spans="1:14" s="58" customFormat="1" x14ac:dyDescent="0.25">
      <c r="A353" s="57">
        <f t="shared" si="44"/>
        <v>10</v>
      </c>
      <c r="B353" s="57" t="s">
        <v>205</v>
      </c>
      <c r="C353" s="56">
        <v>3</v>
      </c>
      <c r="D353" s="62">
        <f>(68.817)*(10.764)</f>
        <v>740.74618799999985</v>
      </c>
      <c r="E353" s="57">
        <v>0</v>
      </c>
      <c r="F353" s="57">
        <f t="shared" si="43"/>
        <v>1111.1192819999997</v>
      </c>
      <c r="G353" s="208" t="str">
        <f t="shared" si="45"/>
        <v>7th, 9th, 10th &amp; 11th Floor</v>
      </c>
      <c r="H353" s="209"/>
      <c r="I353" s="37"/>
      <c r="L353" s="175"/>
      <c r="M353" s="175"/>
      <c r="N353" s="37"/>
    </row>
    <row r="354" spans="1:14" s="58" customFormat="1" x14ac:dyDescent="0.25">
      <c r="A354" s="123" t="s">
        <v>213</v>
      </c>
      <c r="B354" s="124"/>
      <c r="C354" s="124"/>
      <c r="D354" s="124"/>
      <c r="E354" s="124"/>
      <c r="F354" s="124"/>
      <c r="G354" s="124"/>
      <c r="H354" s="125"/>
      <c r="J354" s="37"/>
    </row>
    <row r="355" spans="1:14" s="58" customFormat="1" x14ac:dyDescent="0.25">
      <c r="A355" s="57">
        <v>1</v>
      </c>
      <c r="B355" s="57" t="s">
        <v>205</v>
      </c>
      <c r="C355" s="56">
        <v>3</v>
      </c>
      <c r="D355" s="62">
        <f>(68.817)*(10.764)</f>
        <v>740.74618799999985</v>
      </c>
      <c r="E355" s="57">
        <v>0</v>
      </c>
      <c r="F355" s="57">
        <f>D355*(($F$167)+1)+(IF(E355&lt;101,E355,IF(E355&lt;201,E355/2,IF(E355&lt;=301,E355/3,E355/4))))</f>
        <v>1111.1192819999997</v>
      </c>
      <c r="G355" s="204" t="str">
        <f>A354</f>
        <v>8th Floor (Part Refuge Area)</v>
      </c>
      <c r="H355" s="205"/>
      <c r="I355" s="37"/>
      <c r="L355" s="175"/>
      <c r="M355" s="175"/>
      <c r="N355" s="37"/>
    </row>
    <row r="356" spans="1:14" s="58" customFormat="1" x14ac:dyDescent="0.25">
      <c r="A356" s="57">
        <f t="shared" ref="A356:A364" si="46">A355+1</f>
        <v>2</v>
      </c>
      <c r="B356" s="74" t="s">
        <v>210</v>
      </c>
      <c r="C356" s="184"/>
      <c r="D356" s="184"/>
      <c r="E356" s="184"/>
      <c r="F356" s="75"/>
      <c r="G356" s="206" t="str">
        <f t="shared" ref="G356:G364" si="47">G355</f>
        <v>8th Floor (Part Refuge Area)</v>
      </c>
      <c r="H356" s="207"/>
      <c r="I356" s="37"/>
      <c r="L356" s="175"/>
      <c r="M356" s="175"/>
      <c r="N356" s="37"/>
    </row>
    <row r="357" spans="1:14" s="58" customFormat="1" x14ac:dyDescent="0.25">
      <c r="A357" s="57">
        <f t="shared" si="46"/>
        <v>3</v>
      </c>
      <c r="B357" s="57" t="s">
        <v>205</v>
      </c>
      <c r="C357" s="56">
        <v>2</v>
      </c>
      <c r="D357" s="62">
        <f>(60.944)*(10.764)</f>
        <v>656.001216</v>
      </c>
      <c r="E357" s="57">
        <v>0</v>
      </c>
      <c r="F357" s="57">
        <f t="shared" ref="F357:F364" si="48">D357*(($F$167)+1)+(IF(E357&lt;101,E357,IF(E357&lt;201,E357/2,IF(E357&lt;=301,E357/3,E357/4))))</f>
        <v>984.00182399999994</v>
      </c>
      <c r="G357" s="206" t="str">
        <f t="shared" si="47"/>
        <v>8th Floor (Part Refuge Area)</v>
      </c>
      <c r="H357" s="207"/>
      <c r="I357" s="37"/>
      <c r="L357" s="175"/>
      <c r="M357" s="175"/>
      <c r="N357" s="37"/>
    </row>
    <row r="358" spans="1:14" s="58" customFormat="1" x14ac:dyDescent="0.25">
      <c r="A358" s="57">
        <f t="shared" si="46"/>
        <v>4</v>
      </c>
      <c r="B358" s="57" t="s">
        <v>205</v>
      </c>
      <c r="C358" s="56">
        <v>2</v>
      </c>
      <c r="D358" s="62">
        <f>(60.944)*(10.764)</f>
        <v>656.001216</v>
      </c>
      <c r="E358" s="57">
        <v>0</v>
      </c>
      <c r="F358" s="57">
        <f t="shared" si="48"/>
        <v>984.00182399999994</v>
      </c>
      <c r="G358" s="206" t="str">
        <f t="shared" si="47"/>
        <v>8th Floor (Part Refuge Area)</v>
      </c>
      <c r="H358" s="207"/>
      <c r="I358" s="37"/>
      <c r="L358" s="175"/>
      <c r="M358" s="175"/>
      <c r="N358" s="37"/>
    </row>
    <row r="359" spans="1:14" s="58" customFormat="1" x14ac:dyDescent="0.25">
      <c r="A359" s="57">
        <f t="shared" si="46"/>
        <v>5</v>
      </c>
      <c r="B359" s="57" t="s">
        <v>205</v>
      </c>
      <c r="C359" s="56">
        <v>3</v>
      </c>
      <c r="D359" s="62">
        <f>(90.126)*(10.764)</f>
        <v>970.116264</v>
      </c>
      <c r="E359" s="57">
        <v>0</v>
      </c>
      <c r="F359" s="57">
        <f t="shared" si="48"/>
        <v>1455.1743959999999</v>
      </c>
      <c r="G359" s="206" t="str">
        <f t="shared" si="47"/>
        <v>8th Floor (Part Refuge Area)</v>
      </c>
      <c r="H359" s="207"/>
      <c r="I359" s="37"/>
      <c r="L359" s="175"/>
      <c r="M359" s="175"/>
      <c r="N359" s="37"/>
    </row>
    <row r="360" spans="1:14" s="58" customFormat="1" x14ac:dyDescent="0.25">
      <c r="A360" s="57">
        <f t="shared" si="46"/>
        <v>6</v>
      </c>
      <c r="B360" s="57" t="s">
        <v>204</v>
      </c>
      <c r="C360" s="56">
        <v>3</v>
      </c>
      <c r="D360" s="62">
        <f>(106.884)*(10.764)</f>
        <v>1150.499376</v>
      </c>
      <c r="E360" s="57">
        <v>0</v>
      </c>
      <c r="F360" s="57">
        <f t="shared" si="48"/>
        <v>1725.7490640000001</v>
      </c>
      <c r="G360" s="206" t="str">
        <f t="shared" si="47"/>
        <v>8th Floor (Part Refuge Area)</v>
      </c>
      <c r="H360" s="207"/>
      <c r="I360" s="37"/>
      <c r="L360" s="175"/>
      <c r="M360" s="175"/>
      <c r="N360" s="37"/>
    </row>
    <row r="361" spans="1:14" s="58" customFormat="1" x14ac:dyDescent="0.25">
      <c r="A361" s="57">
        <f t="shared" si="46"/>
        <v>7</v>
      </c>
      <c r="B361" s="57" t="s">
        <v>204</v>
      </c>
      <c r="C361" s="56">
        <v>2</v>
      </c>
      <c r="D361" s="62">
        <f>(68.608)*(10.764)</f>
        <v>738.49651200000005</v>
      </c>
      <c r="E361" s="57">
        <v>0</v>
      </c>
      <c r="F361" s="57">
        <f t="shared" si="48"/>
        <v>1107.744768</v>
      </c>
      <c r="G361" s="206" t="str">
        <f t="shared" si="47"/>
        <v>8th Floor (Part Refuge Area)</v>
      </c>
      <c r="H361" s="207"/>
      <c r="I361" s="37"/>
      <c r="L361" s="175"/>
      <c r="M361" s="175"/>
      <c r="N361" s="37"/>
    </row>
    <row r="362" spans="1:14" s="58" customFormat="1" x14ac:dyDescent="0.25">
      <c r="A362" s="57">
        <f t="shared" si="46"/>
        <v>8</v>
      </c>
      <c r="B362" s="57" t="s">
        <v>204</v>
      </c>
      <c r="C362" s="56">
        <v>2</v>
      </c>
      <c r="D362" s="62">
        <f>(68.164)*(10.764)</f>
        <v>733.71729599999992</v>
      </c>
      <c r="E362" s="57">
        <v>0</v>
      </c>
      <c r="F362" s="57">
        <f t="shared" si="48"/>
        <v>1100.5759439999999</v>
      </c>
      <c r="G362" s="206" t="str">
        <f t="shared" si="47"/>
        <v>8th Floor (Part Refuge Area)</v>
      </c>
      <c r="H362" s="207"/>
      <c r="I362" s="37"/>
      <c r="L362" s="175"/>
      <c r="M362" s="175"/>
      <c r="N362" s="37"/>
    </row>
    <row r="363" spans="1:14" s="58" customFormat="1" x14ac:dyDescent="0.25">
      <c r="A363" s="57">
        <f t="shared" si="46"/>
        <v>9</v>
      </c>
      <c r="B363" s="57" t="s">
        <v>205</v>
      </c>
      <c r="C363" s="56">
        <v>2</v>
      </c>
      <c r="D363" s="62">
        <f>(64.576)*(10.764)</f>
        <v>695.09606399999984</v>
      </c>
      <c r="E363" s="57">
        <v>0</v>
      </c>
      <c r="F363" s="57">
        <f t="shared" si="48"/>
        <v>1042.6440959999998</v>
      </c>
      <c r="G363" s="206" t="str">
        <f t="shared" si="47"/>
        <v>8th Floor (Part Refuge Area)</v>
      </c>
      <c r="H363" s="207"/>
      <c r="I363" s="37"/>
      <c r="L363" s="175"/>
      <c r="M363" s="175"/>
      <c r="N363" s="37"/>
    </row>
    <row r="364" spans="1:14" s="58" customFormat="1" x14ac:dyDescent="0.25">
      <c r="A364" s="57">
        <f t="shared" si="46"/>
        <v>10</v>
      </c>
      <c r="B364" s="57" t="s">
        <v>205</v>
      </c>
      <c r="C364" s="56">
        <v>3</v>
      </c>
      <c r="D364" s="62">
        <f>(68.817)*(10.764)</f>
        <v>740.74618799999985</v>
      </c>
      <c r="E364" s="57">
        <v>0</v>
      </c>
      <c r="F364" s="57">
        <f t="shared" si="48"/>
        <v>1111.1192819999997</v>
      </c>
      <c r="G364" s="208" t="str">
        <f t="shared" si="47"/>
        <v>8th Floor (Part Refuge Area)</v>
      </c>
      <c r="H364" s="209"/>
      <c r="I364" s="37"/>
      <c r="L364" s="175"/>
      <c r="M364" s="175"/>
      <c r="N364" s="37"/>
    </row>
    <row r="365" spans="1:14" s="58" customFormat="1" x14ac:dyDescent="0.25">
      <c r="A365" s="123" t="s">
        <v>225</v>
      </c>
      <c r="B365" s="124"/>
      <c r="C365" s="124"/>
      <c r="D365" s="124"/>
      <c r="E365" s="124"/>
      <c r="F365" s="124"/>
      <c r="G365" s="124"/>
      <c r="H365" s="125"/>
      <c r="J365" s="37"/>
    </row>
    <row r="366" spans="1:14" s="58" customFormat="1" x14ac:dyDescent="0.25">
      <c r="A366" s="57">
        <v>1</v>
      </c>
      <c r="B366" s="57" t="s">
        <v>205</v>
      </c>
      <c r="C366" s="56">
        <v>3</v>
      </c>
      <c r="D366" s="62">
        <f>(68.817)*(10.764)</f>
        <v>740.74618799999985</v>
      </c>
      <c r="E366" s="57">
        <v>0</v>
      </c>
      <c r="F366" s="57">
        <f t="shared" ref="F366:F374" si="49">D366*(($F$167)+1)+(IF(E366&lt;101,E366,IF(E366&lt;201,E366/2,IF(E366&lt;=301,E366/3,E366/4))))</f>
        <v>1111.1192819999997</v>
      </c>
      <c r="G366" s="204" t="str">
        <f>A365</f>
        <v>12th &amp; 14th Floor</v>
      </c>
      <c r="H366" s="205"/>
      <c r="I366" s="37"/>
      <c r="L366" s="175"/>
      <c r="M366" s="175"/>
      <c r="N366" s="37"/>
    </row>
    <row r="367" spans="1:14" s="58" customFormat="1" x14ac:dyDescent="0.25">
      <c r="A367" s="57">
        <f t="shared" ref="A367:A374" si="50">A366+1</f>
        <v>2</v>
      </c>
      <c r="B367" s="57" t="s">
        <v>205</v>
      </c>
      <c r="C367" s="56">
        <v>2</v>
      </c>
      <c r="D367" s="62">
        <f>(60.124)*(10.764)</f>
        <v>647.17473599999994</v>
      </c>
      <c r="E367" s="57">
        <v>0</v>
      </c>
      <c r="F367" s="57">
        <f t="shared" si="49"/>
        <v>970.76210399999991</v>
      </c>
      <c r="G367" s="206" t="str">
        <f t="shared" ref="G367:G374" si="51">G366</f>
        <v>12th &amp; 14th Floor</v>
      </c>
      <c r="H367" s="207"/>
      <c r="I367" s="37"/>
      <c r="L367" s="175"/>
      <c r="M367" s="175"/>
      <c r="N367" s="37"/>
    </row>
    <row r="368" spans="1:14" s="58" customFormat="1" x14ac:dyDescent="0.25">
      <c r="A368" s="57">
        <f t="shared" si="50"/>
        <v>3</v>
      </c>
      <c r="B368" s="57" t="s">
        <v>205</v>
      </c>
      <c r="C368" s="56">
        <v>3</v>
      </c>
      <c r="D368" s="62">
        <f>(117.954)*(10.764)</f>
        <v>1269.6568559999998</v>
      </c>
      <c r="E368" s="57">
        <v>0</v>
      </c>
      <c r="F368" s="57">
        <f t="shared" si="49"/>
        <v>1904.4852839999999</v>
      </c>
      <c r="G368" s="206" t="str">
        <f t="shared" si="51"/>
        <v>12th &amp; 14th Floor</v>
      </c>
      <c r="H368" s="207"/>
      <c r="I368" s="37"/>
      <c r="L368" s="175"/>
      <c r="M368" s="175"/>
      <c r="N368" s="37"/>
    </row>
    <row r="369" spans="1:14" s="58" customFormat="1" x14ac:dyDescent="0.25">
      <c r="A369" s="57">
        <v>5</v>
      </c>
      <c r="B369" s="57" t="s">
        <v>205</v>
      </c>
      <c r="C369" s="56">
        <v>3</v>
      </c>
      <c r="D369" s="62">
        <f>(90.126)*(10.764)</f>
        <v>970.116264</v>
      </c>
      <c r="E369" s="57">
        <v>0</v>
      </c>
      <c r="F369" s="57">
        <f t="shared" si="49"/>
        <v>1455.1743959999999</v>
      </c>
      <c r="G369" s="206" t="e">
        <f>#REF!</f>
        <v>#REF!</v>
      </c>
      <c r="H369" s="207"/>
      <c r="I369" s="37"/>
      <c r="L369" s="175"/>
      <c r="M369" s="175"/>
      <c r="N369" s="37"/>
    </row>
    <row r="370" spans="1:14" s="58" customFormat="1" x14ac:dyDescent="0.25">
      <c r="A370" s="57">
        <f t="shared" si="50"/>
        <v>6</v>
      </c>
      <c r="B370" s="57" t="s">
        <v>204</v>
      </c>
      <c r="C370" s="56">
        <v>3</v>
      </c>
      <c r="D370" s="62">
        <f>(106.884)*(10.764)</f>
        <v>1150.499376</v>
      </c>
      <c r="E370" s="57">
        <v>0</v>
      </c>
      <c r="F370" s="57">
        <f t="shared" si="49"/>
        <v>1725.7490640000001</v>
      </c>
      <c r="G370" s="206" t="e">
        <f t="shared" si="51"/>
        <v>#REF!</v>
      </c>
      <c r="H370" s="207"/>
      <c r="I370" s="37"/>
      <c r="L370" s="175"/>
      <c r="M370" s="175"/>
      <c r="N370" s="37"/>
    </row>
    <row r="371" spans="1:14" s="58" customFormat="1" x14ac:dyDescent="0.25">
      <c r="A371" s="57">
        <f t="shared" si="50"/>
        <v>7</v>
      </c>
      <c r="B371" s="57" t="s">
        <v>204</v>
      </c>
      <c r="C371" s="56">
        <v>2</v>
      </c>
      <c r="D371" s="62">
        <f>(68.608)*(10.764)</f>
        <v>738.49651200000005</v>
      </c>
      <c r="E371" s="57">
        <v>0</v>
      </c>
      <c r="F371" s="57">
        <f t="shared" si="49"/>
        <v>1107.744768</v>
      </c>
      <c r="G371" s="206" t="e">
        <f t="shared" si="51"/>
        <v>#REF!</v>
      </c>
      <c r="H371" s="207"/>
      <c r="I371" s="37"/>
      <c r="L371" s="175"/>
      <c r="M371" s="175"/>
      <c r="N371" s="37"/>
    </row>
    <row r="372" spans="1:14" s="58" customFormat="1" x14ac:dyDescent="0.25">
      <c r="A372" s="57">
        <f t="shared" si="50"/>
        <v>8</v>
      </c>
      <c r="B372" s="57" t="s">
        <v>204</v>
      </c>
      <c r="C372" s="56">
        <v>2</v>
      </c>
      <c r="D372" s="62">
        <f>(68.164)*(10.764)</f>
        <v>733.71729599999992</v>
      </c>
      <c r="E372" s="57">
        <v>0</v>
      </c>
      <c r="F372" s="57">
        <f t="shared" si="49"/>
        <v>1100.5759439999999</v>
      </c>
      <c r="G372" s="206" t="e">
        <f t="shared" si="51"/>
        <v>#REF!</v>
      </c>
      <c r="H372" s="207"/>
      <c r="I372" s="37"/>
      <c r="L372" s="175"/>
      <c r="M372" s="175"/>
      <c r="N372" s="37"/>
    </row>
    <row r="373" spans="1:14" s="58" customFormat="1" x14ac:dyDescent="0.25">
      <c r="A373" s="57">
        <f t="shared" si="50"/>
        <v>9</v>
      </c>
      <c r="B373" s="57" t="s">
        <v>205</v>
      </c>
      <c r="C373" s="56">
        <v>2</v>
      </c>
      <c r="D373" s="62">
        <f>(64.576)*(10.764)</f>
        <v>695.09606399999984</v>
      </c>
      <c r="E373" s="57">
        <v>0</v>
      </c>
      <c r="F373" s="57">
        <f t="shared" si="49"/>
        <v>1042.6440959999998</v>
      </c>
      <c r="G373" s="206" t="e">
        <f t="shared" si="51"/>
        <v>#REF!</v>
      </c>
      <c r="H373" s="207"/>
      <c r="I373" s="37"/>
      <c r="L373" s="175"/>
      <c r="M373" s="175"/>
      <c r="N373" s="37"/>
    </row>
    <row r="374" spans="1:14" s="58" customFormat="1" x14ac:dyDescent="0.25">
      <c r="A374" s="57">
        <f t="shared" si="50"/>
        <v>10</v>
      </c>
      <c r="B374" s="57" t="s">
        <v>205</v>
      </c>
      <c r="C374" s="56">
        <v>3</v>
      </c>
      <c r="D374" s="62">
        <f>(68.817)*(10.764)</f>
        <v>740.74618799999985</v>
      </c>
      <c r="E374" s="57">
        <v>0</v>
      </c>
      <c r="F374" s="57">
        <f t="shared" si="49"/>
        <v>1111.1192819999997</v>
      </c>
      <c r="G374" s="208" t="e">
        <f t="shared" si="51"/>
        <v>#REF!</v>
      </c>
      <c r="H374" s="209"/>
      <c r="I374" s="37"/>
      <c r="L374" s="175"/>
      <c r="M374" s="175"/>
      <c r="N374" s="37"/>
    </row>
    <row r="375" spans="1:14" s="58" customFormat="1" x14ac:dyDescent="0.25">
      <c r="A375" s="144" t="s">
        <v>212</v>
      </c>
      <c r="B375" s="144"/>
      <c r="C375" s="144"/>
      <c r="D375" s="144"/>
      <c r="E375" s="144"/>
      <c r="F375" s="144"/>
      <c r="G375" s="144"/>
      <c r="H375" s="144"/>
      <c r="J375" s="37"/>
    </row>
    <row r="376" spans="1:14" s="58" customFormat="1" x14ac:dyDescent="0.25">
      <c r="A376" s="67">
        <v>1</v>
      </c>
      <c r="B376" s="67" t="s">
        <v>205</v>
      </c>
      <c r="C376" s="56">
        <v>3</v>
      </c>
      <c r="D376" s="62">
        <f>(68.817)*(10.764)</f>
        <v>740.74618799999985</v>
      </c>
      <c r="E376" s="67">
        <v>0</v>
      </c>
      <c r="F376" s="67">
        <f>D376*(($F$167)+1)+(IF(E376&lt;101,E376,IF(E376&lt;201,E376/2,IF(E376&lt;=301,E376/3,E376/4))))</f>
        <v>1111.1192819999997</v>
      </c>
      <c r="G376" s="76" t="str">
        <f>A375</f>
        <v>13th Floor (Part Refuge Area)</v>
      </c>
      <c r="H376" s="76"/>
      <c r="I376" s="37"/>
      <c r="L376" s="175"/>
      <c r="M376" s="175"/>
      <c r="N376" s="37"/>
    </row>
    <row r="377" spans="1:14" s="58" customFormat="1" x14ac:dyDescent="0.25">
      <c r="A377" s="67">
        <f t="shared" ref="A377:A384" si="52">A376+1</f>
        <v>2</v>
      </c>
      <c r="B377" s="76" t="s">
        <v>210</v>
      </c>
      <c r="C377" s="76"/>
      <c r="D377" s="76"/>
      <c r="E377" s="76"/>
      <c r="F377" s="76"/>
      <c r="G377" s="76" t="str">
        <f t="shared" ref="G377:G384" si="53">G376</f>
        <v>13th Floor (Part Refuge Area)</v>
      </c>
      <c r="H377" s="76"/>
      <c r="I377" s="37"/>
      <c r="L377" s="175"/>
      <c r="M377" s="175"/>
      <c r="N377" s="37"/>
    </row>
    <row r="378" spans="1:14" s="58" customFormat="1" x14ac:dyDescent="0.25">
      <c r="A378" s="67">
        <f t="shared" si="52"/>
        <v>3</v>
      </c>
      <c r="B378" s="67" t="s">
        <v>205</v>
      </c>
      <c r="C378" s="56">
        <v>3</v>
      </c>
      <c r="D378" s="62">
        <f>(117.954)*(10.764)</f>
        <v>1269.6568559999998</v>
      </c>
      <c r="E378" s="67">
        <v>0</v>
      </c>
      <c r="F378" s="67">
        <f t="shared" ref="F378:F384" si="54">D378*(($F$167)+1)+(IF(E378&lt;101,E378,IF(E378&lt;201,E378/2,IF(E378&lt;=301,E378/3,E378/4))))</f>
        <v>1904.4852839999999</v>
      </c>
      <c r="G378" s="76" t="str">
        <f t="shared" si="53"/>
        <v>13th Floor (Part Refuge Area)</v>
      </c>
      <c r="H378" s="76"/>
      <c r="I378" s="37"/>
      <c r="L378" s="175"/>
      <c r="M378" s="175"/>
      <c r="N378" s="37"/>
    </row>
    <row r="379" spans="1:14" s="58" customFormat="1" x14ac:dyDescent="0.25">
      <c r="A379" s="67">
        <v>5</v>
      </c>
      <c r="B379" s="67" t="s">
        <v>205</v>
      </c>
      <c r="C379" s="56">
        <v>3</v>
      </c>
      <c r="D379" s="62">
        <f>(90.126)*(10.764)</f>
        <v>970.116264</v>
      </c>
      <c r="E379" s="67">
        <v>0</v>
      </c>
      <c r="F379" s="67">
        <f t="shared" si="54"/>
        <v>1455.1743959999999</v>
      </c>
      <c r="G379" s="76" t="e">
        <f>#REF!</f>
        <v>#REF!</v>
      </c>
      <c r="H379" s="76"/>
      <c r="I379" s="37"/>
      <c r="L379" s="175"/>
      <c r="M379" s="175"/>
      <c r="N379" s="37"/>
    </row>
    <row r="380" spans="1:14" s="58" customFormat="1" x14ac:dyDescent="0.25">
      <c r="A380" s="67">
        <f t="shared" si="52"/>
        <v>6</v>
      </c>
      <c r="B380" s="67" t="s">
        <v>204</v>
      </c>
      <c r="C380" s="56">
        <v>3</v>
      </c>
      <c r="D380" s="62">
        <f>(106.884)*(10.764)</f>
        <v>1150.499376</v>
      </c>
      <c r="E380" s="67">
        <v>0</v>
      </c>
      <c r="F380" s="67">
        <f t="shared" si="54"/>
        <v>1725.7490640000001</v>
      </c>
      <c r="G380" s="76" t="e">
        <f t="shared" si="53"/>
        <v>#REF!</v>
      </c>
      <c r="H380" s="76"/>
      <c r="I380" s="37"/>
      <c r="L380" s="175"/>
      <c r="M380" s="175"/>
      <c r="N380" s="37"/>
    </row>
    <row r="381" spans="1:14" s="58" customFormat="1" x14ac:dyDescent="0.25">
      <c r="A381" s="67">
        <f t="shared" si="52"/>
        <v>7</v>
      </c>
      <c r="B381" s="67" t="s">
        <v>204</v>
      </c>
      <c r="C381" s="56">
        <v>2</v>
      </c>
      <c r="D381" s="62">
        <f>(68.608)*(10.764)</f>
        <v>738.49651200000005</v>
      </c>
      <c r="E381" s="67">
        <v>0</v>
      </c>
      <c r="F381" s="67">
        <f t="shared" si="54"/>
        <v>1107.744768</v>
      </c>
      <c r="G381" s="76" t="e">
        <f t="shared" si="53"/>
        <v>#REF!</v>
      </c>
      <c r="H381" s="76"/>
      <c r="I381" s="37"/>
      <c r="L381" s="175"/>
      <c r="M381" s="175"/>
      <c r="N381" s="37"/>
    </row>
    <row r="382" spans="1:14" s="58" customFormat="1" x14ac:dyDescent="0.25">
      <c r="A382" s="67">
        <f t="shared" si="52"/>
        <v>8</v>
      </c>
      <c r="B382" s="67" t="s">
        <v>204</v>
      </c>
      <c r="C382" s="56">
        <v>2</v>
      </c>
      <c r="D382" s="62">
        <f>(68.164)*(10.764)</f>
        <v>733.71729599999992</v>
      </c>
      <c r="E382" s="67">
        <v>0</v>
      </c>
      <c r="F382" s="67">
        <f t="shared" si="54"/>
        <v>1100.5759439999999</v>
      </c>
      <c r="G382" s="76" t="e">
        <f t="shared" si="53"/>
        <v>#REF!</v>
      </c>
      <c r="H382" s="76"/>
      <c r="I382" s="37"/>
      <c r="L382" s="175"/>
      <c r="M382" s="175"/>
      <c r="N382" s="37"/>
    </row>
    <row r="383" spans="1:14" s="58" customFormat="1" x14ac:dyDescent="0.25">
      <c r="A383" s="67">
        <f t="shared" si="52"/>
        <v>9</v>
      </c>
      <c r="B383" s="67" t="s">
        <v>205</v>
      </c>
      <c r="C383" s="56">
        <v>2</v>
      </c>
      <c r="D383" s="62">
        <f>(64.576)*(10.764)</f>
        <v>695.09606399999984</v>
      </c>
      <c r="E383" s="67">
        <v>0</v>
      </c>
      <c r="F383" s="67">
        <f t="shared" si="54"/>
        <v>1042.6440959999998</v>
      </c>
      <c r="G383" s="76" t="e">
        <f t="shared" si="53"/>
        <v>#REF!</v>
      </c>
      <c r="H383" s="76"/>
      <c r="I383" s="37"/>
      <c r="L383" s="175"/>
      <c r="M383" s="175"/>
      <c r="N383" s="37"/>
    </row>
    <row r="384" spans="1:14" s="58" customFormat="1" x14ac:dyDescent="0.25">
      <c r="A384" s="67">
        <f t="shared" si="52"/>
        <v>10</v>
      </c>
      <c r="B384" s="67" t="s">
        <v>205</v>
      </c>
      <c r="C384" s="56">
        <v>3</v>
      </c>
      <c r="D384" s="62">
        <f>(68.817)*(10.764)</f>
        <v>740.74618799999985</v>
      </c>
      <c r="E384" s="67">
        <v>0</v>
      </c>
      <c r="F384" s="67">
        <f t="shared" si="54"/>
        <v>1111.1192819999997</v>
      </c>
      <c r="G384" s="76" t="e">
        <f t="shared" si="53"/>
        <v>#REF!</v>
      </c>
      <c r="H384" s="76"/>
      <c r="I384" s="37"/>
      <c r="L384" s="175"/>
      <c r="M384" s="175"/>
      <c r="N384" s="37"/>
    </row>
    <row r="385" spans="1:14" s="58" customFormat="1" x14ac:dyDescent="0.25">
      <c r="A385" s="123" t="s">
        <v>226</v>
      </c>
      <c r="B385" s="124"/>
      <c r="C385" s="124"/>
      <c r="D385" s="124"/>
      <c r="E385" s="124"/>
      <c r="F385" s="124"/>
      <c r="G385" s="124"/>
      <c r="H385" s="125"/>
      <c r="J385" s="37"/>
    </row>
    <row r="386" spans="1:14" s="58" customFormat="1" x14ac:dyDescent="0.25">
      <c r="A386" s="57">
        <v>1</v>
      </c>
      <c r="B386" s="57" t="s">
        <v>205</v>
      </c>
      <c r="C386" s="56">
        <v>3</v>
      </c>
      <c r="D386" s="62">
        <f>(68.817)*(10.764)</f>
        <v>740.74618799999985</v>
      </c>
      <c r="E386" s="57">
        <v>0</v>
      </c>
      <c r="F386" s="57">
        <f t="shared" ref="F386:F394" si="55">D386*(($F$167)+1)+(IF(E386&lt;101,E386,IF(E386&lt;201,E386/2,IF(E386&lt;=301,E386/3,E386/4))))</f>
        <v>1111.1192819999997</v>
      </c>
      <c r="G386" s="204" t="str">
        <f>A385</f>
        <v>15th &amp; 16th Floor</v>
      </c>
      <c r="H386" s="205"/>
      <c r="I386" s="37"/>
      <c r="L386" s="175"/>
      <c r="M386" s="175"/>
      <c r="N386" s="37"/>
    </row>
    <row r="387" spans="1:14" s="58" customFormat="1" x14ac:dyDescent="0.25">
      <c r="A387" s="57">
        <f t="shared" ref="A387:A394" si="56">A386+1</f>
        <v>2</v>
      </c>
      <c r="B387" s="57" t="s">
        <v>205</v>
      </c>
      <c r="C387" s="56">
        <v>2</v>
      </c>
      <c r="D387" s="62">
        <f>(60.124)*(10.764)</f>
        <v>647.17473599999994</v>
      </c>
      <c r="E387" s="57">
        <v>0</v>
      </c>
      <c r="F387" s="57">
        <f t="shared" si="55"/>
        <v>970.76210399999991</v>
      </c>
      <c r="G387" s="206" t="str">
        <f t="shared" ref="G387:G394" si="57">G386</f>
        <v>15th &amp; 16th Floor</v>
      </c>
      <c r="H387" s="207"/>
      <c r="I387" s="37"/>
      <c r="L387" s="175"/>
      <c r="M387" s="175"/>
      <c r="N387" s="37"/>
    </row>
    <row r="388" spans="1:14" s="58" customFormat="1" x14ac:dyDescent="0.25">
      <c r="A388" s="57">
        <f t="shared" si="56"/>
        <v>3</v>
      </c>
      <c r="B388" s="57" t="s">
        <v>205</v>
      </c>
      <c r="C388" s="56">
        <v>3</v>
      </c>
      <c r="D388" s="62">
        <f>(117.954)*(10.764)</f>
        <v>1269.6568559999998</v>
      </c>
      <c r="E388" s="57">
        <v>0</v>
      </c>
      <c r="F388" s="57">
        <f t="shared" si="55"/>
        <v>1904.4852839999999</v>
      </c>
      <c r="G388" s="206" t="str">
        <f t="shared" si="57"/>
        <v>15th &amp; 16th Floor</v>
      </c>
      <c r="H388" s="207"/>
      <c r="I388" s="37"/>
      <c r="L388" s="175"/>
      <c r="M388" s="175"/>
      <c r="N388" s="37"/>
    </row>
    <row r="389" spans="1:14" s="58" customFormat="1" x14ac:dyDescent="0.25">
      <c r="A389" s="57">
        <v>5</v>
      </c>
      <c r="B389" s="57" t="s">
        <v>205</v>
      </c>
      <c r="C389" s="56">
        <v>3</v>
      </c>
      <c r="D389" s="62">
        <f>(90.126)*(10.764)</f>
        <v>970.116264</v>
      </c>
      <c r="E389" s="57">
        <v>0</v>
      </c>
      <c r="F389" s="57">
        <f t="shared" si="55"/>
        <v>1455.1743959999999</v>
      </c>
      <c r="G389" s="206" t="e">
        <f>#REF!</f>
        <v>#REF!</v>
      </c>
      <c r="H389" s="207"/>
      <c r="I389" s="37"/>
      <c r="L389" s="175"/>
      <c r="M389" s="175"/>
      <c r="N389" s="37"/>
    </row>
    <row r="390" spans="1:14" s="58" customFormat="1" x14ac:dyDescent="0.25">
      <c r="A390" s="57">
        <f t="shared" si="56"/>
        <v>6</v>
      </c>
      <c r="B390" s="57" t="s">
        <v>204</v>
      </c>
      <c r="C390" s="56">
        <v>3</v>
      </c>
      <c r="D390" s="62">
        <f>(106.884)*(10.764)</f>
        <v>1150.499376</v>
      </c>
      <c r="E390" s="57">
        <v>0</v>
      </c>
      <c r="F390" s="57">
        <f t="shared" si="55"/>
        <v>1725.7490640000001</v>
      </c>
      <c r="G390" s="206" t="e">
        <f t="shared" si="57"/>
        <v>#REF!</v>
      </c>
      <c r="H390" s="207"/>
      <c r="I390" s="37"/>
      <c r="L390" s="175"/>
      <c r="M390" s="175"/>
      <c r="N390" s="37"/>
    </row>
    <row r="391" spans="1:14" s="58" customFormat="1" x14ac:dyDescent="0.25">
      <c r="A391" s="57">
        <f t="shared" si="56"/>
        <v>7</v>
      </c>
      <c r="B391" s="57" t="s">
        <v>204</v>
      </c>
      <c r="C391" s="56">
        <v>2</v>
      </c>
      <c r="D391" s="62">
        <f>(68.608)*(10.764)</f>
        <v>738.49651200000005</v>
      </c>
      <c r="E391" s="57">
        <v>0</v>
      </c>
      <c r="F391" s="57">
        <f t="shared" si="55"/>
        <v>1107.744768</v>
      </c>
      <c r="G391" s="206" t="e">
        <f t="shared" si="57"/>
        <v>#REF!</v>
      </c>
      <c r="H391" s="207"/>
      <c r="I391" s="37"/>
      <c r="L391" s="175"/>
      <c r="M391" s="175"/>
      <c r="N391" s="37"/>
    </row>
    <row r="392" spans="1:14" s="58" customFormat="1" x14ac:dyDescent="0.25">
      <c r="A392" s="57">
        <f t="shared" si="56"/>
        <v>8</v>
      </c>
      <c r="B392" s="57" t="s">
        <v>204</v>
      </c>
      <c r="C392" s="56">
        <v>2</v>
      </c>
      <c r="D392" s="62">
        <f>(68.164)*(10.764)</f>
        <v>733.71729599999992</v>
      </c>
      <c r="E392" s="57">
        <v>0</v>
      </c>
      <c r="F392" s="57">
        <f t="shared" si="55"/>
        <v>1100.5759439999999</v>
      </c>
      <c r="G392" s="206" t="e">
        <f t="shared" si="57"/>
        <v>#REF!</v>
      </c>
      <c r="H392" s="207"/>
      <c r="I392" s="37"/>
      <c r="L392" s="175"/>
      <c r="M392" s="175"/>
      <c r="N392" s="37"/>
    </row>
    <row r="393" spans="1:14" s="58" customFormat="1" x14ac:dyDescent="0.25">
      <c r="A393" s="57">
        <f t="shared" si="56"/>
        <v>9</v>
      </c>
      <c r="B393" s="57" t="s">
        <v>204</v>
      </c>
      <c r="C393" s="56">
        <v>2</v>
      </c>
      <c r="D393" s="62">
        <f>(64.576)*(10.764)</f>
        <v>695.09606399999984</v>
      </c>
      <c r="E393" s="57">
        <v>0</v>
      </c>
      <c r="F393" s="57">
        <f t="shared" si="55"/>
        <v>1042.6440959999998</v>
      </c>
      <c r="G393" s="206" t="e">
        <f t="shared" si="57"/>
        <v>#REF!</v>
      </c>
      <c r="H393" s="207"/>
      <c r="I393" s="37"/>
      <c r="L393" s="175"/>
      <c r="M393" s="175"/>
      <c r="N393" s="37"/>
    </row>
    <row r="394" spans="1:14" s="58" customFormat="1" x14ac:dyDescent="0.25">
      <c r="A394" s="57">
        <f t="shared" si="56"/>
        <v>10</v>
      </c>
      <c r="B394" s="57" t="s">
        <v>205</v>
      </c>
      <c r="C394" s="56">
        <v>3</v>
      </c>
      <c r="D394" s="62">
        <f>(68.817)*(10.764)</f>
        <v>740.74618799999985</v>
      </c>
      <c r="E394" s="57">
        <v>0</v>
      </c>
      <c r="F394" s="57">
        <f t="shared" si="55"/>
        <v>1111.1192819999997</v>
      </c>
      <c r="G394" s="208" t="e">
        <f t="shared" si="57"/>
        <v>#REF!</v>
      </c>
      <c r="H394" s="209"/>
      <c r="I394" s="37"/>
      <c r="L394" s="175"/>
      <c r="M394" s="175"/>
      <c r="N394" s="37"/>
    </row>
    <row r="395" spans="1:14" s="58" customFormat="1" x14ac:dyDescent="0.25">
      <c r="A395" s="123" t="s">
        <v>227</v>
      </c>
      <c r="B395" s="124"/>
      <c r="C395" s="124"/>
      <c r="D395" s="124"/>
      <c r="E395" s="124"/>
      <c r="F395" s="124"/>
      <c r="G395" s="124"/>
      <c r="H395" s="125"/>
      <c r="J395" s="37"/>
    </row>
    <row r="396" spans="1:14" s="58" customFormat="1" x14ac:dyDescent="0.25">
      <c r="A396" s="57">
        <v>1</v>
      </c>
      <c r="B396" s="57" t="s">
        <v>205</v>
      </c>
      <c r="C396" s="56">
        <v>3</v>
      </c>
      <c r="D396" s="62">
        <f>(68.817)*(10.764)</f>
        <v>740.74618799999985</v>
      </c>
      <c r="E396" s="57">
        <v>0</v>
      </c>
      <c r="F396" s="57">
        <f t="shared" ref="F396:F404" si="58">D396*(($F$167)+1)+(IF(E396&lt;101,E396,IF(E396&lt;201,E396/2,IF(E396&lt;=301,E396/3,E396/4))))</f>
        <v>1111.1192819999997</v>
      </c>
      <c r="G396" s="204" t="str">
        <f>A395</f>
        <v>17th Floor</v>
      </c>
      <c r="H396" s="205"/>
      <c r="I396" s="37"/>
      <c r="L396" s="175"/>
      <c r="M396" s="175"/>
      <c r="N396" s="37"/>
    </row>
    <row r="397" spans="1:14" s="58" customFormat="1" x14ac:dyDescent="0.25">
      <c r="A397" s="57">
        <f t="shared" ref="A397:A404" si="59">A396+1</f>
        <v>2</v>
      </c>
      <c r="B397" s="57" t="s">
        <v>205</v>
      </c>
      <c r="C397" s="56">
        <v>2</v>
      </c>
      <c r="D397" s="62">
        <f>(60.124)*(10.764)</f>
        <v>647.17473599999994</v>
      </c>
      <c r="E397" s="57">
        <v>0</v>
      </c>
      <c r="F397" s="57">
        <f t="shared" si="58"/>
        <v>970.76210399999991</v>
      </c>
      <c r="G397" s="206" t="str">
        <f t="shared" ref="G397:G404" si="60">G396</f>
        <v>17th Floor</v>
      </c>
      <c r="H397" s="207"/>
      <c r="I397" s="37"/>
      <c r="L397" s="175"/>
      <c r="M397" s="175"/>
      <c r="N397" s="37"/>
    </row>
    <row r="398" spans="1:14" s="58" customFormat="1" x14ac:dyDescent="0.25">
      <c r="A398" s="57">
        <f t="shared" si="59"/>
        <v>3</v>
      </c>
      <c r="B398" s="57" t="s">
        <v>205</v>
      </c>
      <c r="C398" s="65" t="s">
        <v>228</v>
      </c>
      <c r="D398" s="62">
        <f>(122.377)*(10.764)</f>
        <v>1317.2660279999998</v>
      </c>
      <c r="E398" s="57">
        <v>0</v>
      </c>
      <c r="F398" s="57">
        <f t="shared" si="58"/>
        <v>1975.8990419999996</v>
      </c>
      <c r="G398" s="206" t="str">
        <f t="shared" si="60"/>
        <v>17th Floor</v>
      </c>
      <c r="H398" s="207"/>
      <c r="I398" s="37"/>
      <c r="L398" s="175"/>
      <c r="M398" s="175"/>
      <c r="N398" s="37"/>
    </row>
    <row r="399" spans="1:14" s="58" customFormat="1" x14ac:dyDescent="0.25">
      <c r="A399" s="57">
        <v>5</v>
      </c>
      <c r="B399" s="57" t="s">
        <v>205</v>
      </c>
      <c r="C399" s="56">
        <v>3</v>
      </c>
      <c r="D399" s="62">
        <f>(90.126)*(10.764)</f>
        <v>970.116264</v>
      </c>
      <c r="E399" s="57">
        <v>0</v>
      </c>
      <c r="F399" s="57">
        <f t="shared" si="58"/>
        <v>1455.1743959999999</v>
      </c>
      <c r="G399" s="206" t="e">
        <f>#REF!</f>
        <v>#REF!</v>
      </c>
      <c r="H399" s="207"/>
      <c r="I399" s="37"/>
      <c r="L399" s="175"/>
      <c r="M399" s="175"/>
      <c r="N399" s="37"/>
    </row>
    <row r="400" spans="1:14" s="58" customFormat="1" x14ac:dyDescent="0.25">
      <c r="A400" s="57">
        <f t="shared" si="59"/>
        <v>6</v>
      </c>
      <c r="B400" s="57" t="s">
        <v>204</v>
      </c>
      <c r="C400" s="56">
        <v>3</v>
      </c>
      <c r="D400" s="62">
        <f>(106.884)*(10.764)</f>
        <v>1150.499376</v>
      </c>
      <c r="E400" s="57">
        <v>0</v>
      </c>
      <c r="F400" s="57">
        <f t="shared" si="58"/>
        <v>1725.7490640000001</v>
      </c>
      <c r="G400" s="206" t="e">
        <f t="shared" si="60"/>
        <v>#REF!</v>
      </c>
      <c r="H400" s="207"/>
      <c r="I400" s="37"/>
      <c r="L400" s="175"/>
      <c r="M400" s="175"/>
      <c r="N400" s="37"/>
    </row>
    <row r="401" spans="1:14" s="58" customFormat="1" x14ac:dyDescent="0.25">
      <c r="A401" s="57">
        <f t="shared" si="59"/>
        <v>7</v>
      </c>
      <c r="B401" s="57" t="s">
        <v>204</v>
      </c>
      <c r="C401" s="56">
        <v>2</v>
      </c>
      <c r="D401" s="62">
        <f>(68.608)*(10.764)</f>
        <v>738.49651200000005</v>
      </c>
      <c r="E401" s="57">
        <v>0</v>
      </c>
      <c r="F401" s="57">
        <f t="shared" si="58"/>
        <v>1107.744768</v>
      </c>
      <c r="G401" s="206" t="e">
        <f t="shared" si="60"/>
        <v>#REF!</v>
      </c>
      <c r="H401" s="207"/>
      <c r="I401" s="37"/>
      <c r="L401" s="175"/>
      <c r="M401" s="175"/>
      <c r="N401" s="37"/>
    </row>
    <row r="402" spans="1:14" s="58" customFormat="1" x14ac:dyDescent="0.25">
      <c r="A402" s="57">
        <f t="shared" si="59"/>
        <v>8</v>
      </c>
      <c r="B402" s="57" t="s">
        <v>204</v>
      </c>
      <c r="C402" s="56">
        <v>2</v>
      </c>
      <c r="D402" s="62">
        <f>(68.164)*(10.764)</f>
        <v>733.71729599999992</v>
      </c>
      <c r="E402" s="57">
        <v>0</v>
      </c>
      <c r="F402" s="57">
        <f t="shared" si="58"/>
        <v>1100.5759439999999</v>
      </c>
      <c r="G402" s="206" t="e">
        <f t="shared" si="60"/>
        <v>#REF!</v>
      </c>
      <c r="H402" s="207"/>
      <c r="I402" s="37"/>
      <c r="L402" s="175"/>
      <c r="M402" s="175"/>
      <c r="N402" s="37"/>
    </row>
    <row r="403" spans="1:14" s="58" customFormat="1" x14ac:dyDescent="0.25">
      <c r="A403" s="57">
        <f t="shared" si="59"/>
        <v>9</v>
      </c>
      <c r="B403" s="57" t="s">
        <v>204</v>
      </c>
      <c r="C403" s="56">
        <v>2</v>
      </c>
      <c r="D403" s="62">
        <f>(64.576)*(10.764)</f>
        <v>695.09606399999984</v>
      </c>
      <c r="E403" s="57">
        <v>0</v>
      </c>
      <c r="F403" s="57">
        <f t="shared" si="58"/>
        <v>1042.6440959999998</v>
      </c>
      <c r="G403" s="206" t="e">
        <f t="shared" si="60"/>
        <v>#REF!</v>
      </c>
      <c r="H403" s="207"/>
      <c r="I403" s="37"/>
      <c r="L403" s="175"/>
      <c r="M403" s="175"/>
      <c r="N403" s="37"/>
    </row>
    <row r="404" spans="1:14" s="58" customFormat="1" x14ac:dyDescent="0.25">
      <c r="A404" s="57">
        <f t="shared" si="59"/>
        <v>10</v>
      </c>
      <c r="B404" s="57" t="s">
        <v>205</v>
      </c>
      <c r="C404" s="56">
        <v>3</v>
      </c>
      <c r="D404" s="62">
        <f>(68.817)*(10.764)</f>
        <v>740.74618799999985</v>
      </c>
      <c r="E404" s="57">
        <v>0</v>
      </c>
      <c r="F404" s="57">
        <f t="shared" si="58"/>
        <v>1111.1192819999997</v>
      </c>
      <c r="G404" s="208" t="e">
        <f t="shared" si="60"/>
        <v>#REF!</v>
      </c>
      <c r="H404" s="209"/>
      <c r="I404" s="37"/>
      <c r="L404" s="175"/>
      <c r="M404" s="175"/>
      <c r="N404" s="37"/>
    </row>
    <row r="405" spans="1:14" s="58" customFormat="1" x14ac:dyDescent="0.25">
      <c r="A405" s="123" t="s">
        <v>215</v>
      </c>
      <c r="B405" s="124"/>
      <c r="C405" s="124"/>
      <c r="D405" s="124"/>
      <c r="E405" s="124"/>
      <c r="F405" s="124"/>
      <c r="G405" s="124"/>
      <c r="H405" s="125"/>
      <c r="J405" s="37"/>
    </row>
    <row r="406" spans="1:14" s="58" customFormat="1" x14ac:dyDescent="0.25">
      <c r="A406" s="57">
        <v>1</v>
      </c>
      <c r="B406" s="57" t="s">
        <v>205</v>
      </c>
      <c r="C406" s="56">
        <v>3</v>
      </c>
      <c r="D406" s="62">
        <f>(68.817)*(10.764)</f>
        <v>740.74618799999985</v>
      </c>
      <c r="E406" s="57">
        <v>0</v>
      </c>
      <c r="F406" s="57">
        <f>D406*(($F$167)+1)+(IF(E406&lt;101,E406,IF(E406&lt;201,E406/2,IF(E406&lt;=301,E406/3,E406/4))))</f>
        <v>1111.1192819999997</v>
      </c>
      <c r="G406" s="204" t="str">
        <f>A405</f>
        <v>18th Floor (Part Refuge Area)</v>
      </c>
      <c r="H406" s="205"/>
      <c r="I406" s="37"/>
      <c r="L406" s="175"/>
      <c r="M406" s="175"/>
      <c r="N406" s="37"/>
    </row>
    <row r="407" spans="1:14" s="58" customFormat="1" x14ac:dyDescent="0.25">
      <c r="A407" s="57">
        <f t="shared" ref="A407:A414" si="61">A406+1</f>
        <v>2</v>
      </c>
      <c r="B407" s="74" t="s">
        <v>210</v>
      </c>
      <c r="C407" s="184"/>
      <c r="D407" s="184"/>
      <c r="E407" s="184"/>
      <c r="F407" s="75"/>
      <c r="G407" s="206" t="str">
        <f t="shared" ref="G407:G414" si="62">G406</f>
        <v>18th Floor (Part Refuge Area)</v>
      </c>
      <c r="H407" s="207"/>
      <c r="I407" s="37"/>
      <c r="L407" s="175"/>
      <c r="M407" s="175"/>
      <c r="N407" s="37"/>
    </row>
    <row r="408" spans="1:14" s="58" customFormat="1" x14ac:dyDescent="0.25">
      <c r="A408" s="57">
        <f t="shared" si="61"/>
        <v>3</v>
      </c>
      <c r="B408" s="57" t="s">
        <v>205</v>
      </c>
      <c r="C408" s="56" t="s">
        <v>228</v>
      </c>
      <c r="D408" s="62">
        <f>(129.033)*(10.764)</f>
        <v>1388.9112119999998</v>
      </c>
      <c r="E408" s="57">
        <v>0</v>
      </c>
      <c r="F408" s="57">
        <f t="shared" ref="F408:F414" si="63">D408*(($F$167)+1)+(IF(E408&lt;101,E408,IF(E408&lt;201,E408/2,IF(E408&lt;=301,E408/3,E408/4))))</f>
        <v>2083.3668179999995</v>
      </c>
      <c r="G408" s="206" t="str">
        <f t="shared" si="62"/>
        <v>18th Floor (Part Refuge Area)</v>
      </c>
      <c r="H408" s="207"/>
      <c r="I408" s="37"/>
      <c r="L408" s="175"/>
      <c r="M408" s="175"/>
      <c r="N408" s="37"/>
    </row>
    <row r="409" spans="1:14" s="58" customFormat="1" x14ac:dyDescent="0.25">
      <c r="A409" s="57">
        <v>5</v>
      </c>
      <c r="B409" s="57" t="s">
        <v>205</v>
      </c>
      <c r="C409" s="56">
        <v>3</v>
      </c>
      <c r="D409" s="62">
        <f>(90.126)*(10.764)</f>
        <v>970.116264</v>
      </c>
      <c r="E409" s="57">
        <v>0</v>
      </c>
      <c r="F409" s="57">
        <f t="shared" si="63"/>
        <v>1455.1743959999999</v>
      </c>
      <c r="G409" s="206" t="e">
        <f>#REF!</f>
        <v>#REF!</v>
      </c>
      <c r="H409" s="207"/>
      <c r="I409" s="37"/>
      <c r="L409" s="175"/>
      <c r="M409" s="175"/>
      <c r="N409" s="37"/>
    </row>
    <row r="410" spans="1:14" s="58" customFormat="1" x14ac:dyDescent="0.25">
      <c r="A410" s="57">
        <f t="shared" si="61"/>
        <v>6</v>
      </c>
      <c r="B410" s="57" t="s">
        <v>204</v>
      </c>
      <c r="C410" s="56">
        <v>3</v>
      </c>
      <c r="D410" s="62">
        <f>(106.884)*(10.764)</f>
        <v>1150.499376</v>
      </c>
      <c r="E410" s="57">
        <v>0</v>
      </c>
      <c r="F410" s="57">
        <f t="shared" si="63"/>
        <v>1725.7490640000001</v>
      </c>
      <c r="G410" s="206" t="e">
        <f t="shared" si="62"/>
        <v>#REF!</v>
      </c>
      <c r="H410" s="207"/>
      <c r="I410" s="37"/>
      <c r="L410" s="175"/>
      <c r="M410" s="175"/>
      <c r="N410" s="37"/>
    </row>
    <row r="411" spans="1:14" s="58" customFormat="1" x14ac:dyDescent="0.25">
      <c r="A411" s="57">
        <f t="shared" si="61"/>
        <v>7</v>
      </c>
      <c r="B411" s="57" t="s">
        <v>204</v>
      </c>
      <c r="C411" s="56">
        <v>2</v>
      </c>
      <c r="D411" s="62">
        <f>(68.608)*(10.764)</f>
        <v>738.49651200000005</v>
      </c>
      <c r="E411" s="57">
        <v>0</v>
      </c>
      <c r="F411" s="57">
        <f t="shared" si="63"/>
        <v>1107.744768</v>
      </c>
      <c r="G411" s="206" t="e">
        <f t="shared" si="62"/>
        <v>#REF!</v>
      </c>
      <c r="H411" s="207"/>
      <c r="I411" s="37"/>
      <c r="L411" s="175"/>
      <c r="M411" s="175"/>
      <c r="N411" s="37"/>
    </row>
    <row r="412" spans="1:14" s="58" customFormat="1" x14ac:dyDescent="0.25">
      <c r="A412" s="57">
        <f t="shared" si="61"/>
        <v>8</v>
      </c>
      <c r="B412" s="57" t="s">
        <v>204</v>
      </c>
      <c r="C412" s="56">
        <v>2</v>
      </c>
      <c r="D412" s="62">
        <f>(68.164)*(10.764)</f>
        <v>733.71729599999992</v>
      </c>
      <c r="E412" s="57">
        <v>0</v>
      </c>
      <c r="F412" s="57">
        <f t="shared" si="63"/>
        <v>1100.5759439999999</v>
      </c>
      <c r="G412" s="206" t="e">
        <f t="shared" si="62"/>
        <v>#REF!</v>
      </c>
      <c r="H412" s="207"/>
      <c r="I412" s="37"/>
      <c r="L412" s="175"/>
      <c r="M412" s="175"/>
      <c r="N412" s="37"/>
    </row>
    <row r="413" spans="1:14" s="58" customFormat="1" x14ac:dyDescent="0.25">
      <c r="A413" s="57">
        <f t="shared" si="61"/>
        <v>9</v>
      </c>
      <c r="B413" s="57" t="s">
        <v>204</v>
      </c>
      <c r="C413" s="56">
        <v>2</v>
      </c>
      <c r="D413" s="62">
        <f>(64.576)*(10.764)</f>
        <v>695.09606399999984</v>
      </c>
      <c r="E413" s="57">
        <v>0</v>
      </c>
      <c r="F413" s="57">
        <f t="shared" si="63"/>
        <v>1042.6440959999998</v>
      </c>
      <c r="G413" s="206" t="e">
        <f t="shared" si="62"/>
        <v>#REF!</v>
      </c>
      <c r="H413" s="207"/>
      <c r="I413" s="37"/>
      <c r="L413" s="175"/>
      <c r="M413" s="175"/>
      <c r="N413" s="37"/>
    </row>
    <row r="414" spans="1:14" s="58" customFormat="1" x14ac:dyDescent="0.25">
      <c r="A414" s="57">
        <f t="shared" si="61"/>
        <v>10</v>
      </c>
      <c r="B414" s="57" t="s">
        <v>205</v>
      </c>
      <c r="C414" s="56">
        <v>3</v>
      </c>
      <c r="D414" s="62">
        <f>(68.817)*(10.764)</f>
        <v>740.74618799999985</v>
      </c>
      <c r="E414" s="57">
        <v>0</v>
      </c>
      <c r="F414" s="57">
        <f t="shared" si="63"/>
        <v>1111.1192819999997</v>
      </c>
      <c r="G414" s="208" t="e">
        <f t="shared" si="62"/>
        <v>#REF!</v>
      </c>
      <c r="H414" s="209"/>
      <c r="I414" s="37"/>
      <c r="L414" s="175"/>
      <c r="M414" s="175"/>
      <c r="N414" s="37"/>
    </row>
    <row r="415" spans="1:14" s="58" customFormat="1" x14ac:dyDescent="0.25">
      <c r="A415" s="144" t="s">
        <v>229</v>
      </c>
      <c r="B415" s="144"/>
      <c r="C415" s="144"/>
      <c r="D415" s="144"/>
      <c r="E415" s="144"/>
      <c r="F415" s="144"/>
      <c r="G415" s="144"/>
      <c r="H415" s="144"/>
      <c r="J415" s="37"/>
    </row>
    <row r="416" spans="1:14" s="58" customFormat="1" x14ac:dyDescent="0.25">
      <c r="A416" s="67">
        <v>1</v>
      </c>
      <c r="B416" s="67" t="s">
        <v>205</v>
      </c>
      <c r="C416" s="56">
        <v>3</v>
      </c>
      <c r="D416" s="62">
        <f>(68.817)*(10.764)</f>
        <v>740.74618799999985</v>
      </c>
      <c r="E416" s="67">
        <v>0</v>
      </c>
      <c r="F416" s="67">
        <f t="shared" ref="F416:F424" si="64">D416*(($F$167)+1)+(IF(E416&lt;101,E416,IF(E416&lt;201,E416/2,IF(E416&lt;=301,E416/3,E416/4))))</f>
        <v>1111.1192819999997</v>
      </c>
      <c r="G416" s="76" t="str">
        <f>A415</f>
        <v>19th to 22nd Floor</v>
      </c>
      <c r="H416" s="76"/>
      <c r="I416" s="37"/>
      <c r="L416" s="175"/>
      <c r="M416" s="175"/>
      <c r="N416" s="37"/>
    </row>
    <row r="417" spans="1:14" s="58" customFormat="1" x14ac:dyDescent="0.25">
      <c r="A417" s="67">
        <f t="shared" ref="A417:A424" si="65">A416+1</f>
        <v>2</v>
      </c>
      <c r="B417" s="67" t="s">
        <v>205</v>
      </c>
      <c r="C417" s="56">
        <v>2</v>
      </c>
      <c r="D417" s="62">
        <f>(60.124)*(10.764)</f>
        <v>647.17473599999994</v>
      </c>
      <c r="E417" s="67">
        <v>0</v>
      </c>
      <c r="F417" s="67">
        <f t="shared" si="64"/>
        <v>970.76210399999991</v>
      </c>
      <c r="G417" s="76" t="str">
        <f t="shared" ref="G417:G424" si="66">G416</f>
        <v>19th to 22nd Floor</v>
      </c>
      <c r="H417" s="76"/>
      <c r="I417" s="37"/>
      <c r="L417" s="175"/>
      <c r="M417" s="175"/>
      <c r="N417" s="37"/>
    </row>
    <row r="418" spans="1:14" s="58" customFormat="1" x14ac:dyDescent="0.25">
      <c r="A418" s="67">
        <f t="shared" si="65"/>
        <v>3</v>
      </c>
      <c r="B418" s="67" t="s">
        <v>205</v>
      </c>
      <c r="C418" s="56" t="s">
        <v>228</v>
      </c>
      <c r="D418" s="62">
        <f>(129.033)*(10.764)</f>
        <v>1388.9112119999998</v>
      </c>
      <c r="E418" s="67">
        <v>0</v>
      </c>
      <c r="F418" s="67">
        <f t="shared" si="64"/>
        <v>2083.3668179999995</v>
      </c>
      <c r="G418" s="76" t="str">
        <f t="shared" si="66"/>
        <v>19th to 22nd Floor</v>
      </c>
      <c r="H418" s="76"/>
      <c r="I418" s="37"/>
      <c r="L418" s="175"/>
      <c r="M418" s="175"/>
      <c r="N418" s="37"/>
    </row>
    <row r="419" spans="1:14" s="58" customFormat="1" x14ac:dyDescent="0.25">
      <c r="A419" s="67">
        <v>5</v>
      </c>
      <c r="B419" s="67" t="s">
        <v>205</v>
      </c>
      <c r="C419" s="56">
        <v>3</v>
      </c>
      <c r="D419" s="62">
        <f>(90.126)*(10.764)</f>
        <v>970.116264</v>
      </c>
      <c r="E419" s="67">
        <v>0</v>
      </c>
      <c r="F419" s="67">
        <f t="shared" si="64"/>
        <v>1455.1743959999999</v>
      </c>
      <c r="G419" s="76" t="e">
        <f>#REF!</f>
        <v>#REF!</v>
      </c>
      <c r="H419" s="76"/>
      <c r="I419" s="37"/>
      <c r="L419" s="175"/>
      <c r="M419" s="175"/>
      <c r="N419" s="37"/>
    </row>
    <row r="420" spans="1:14" s="58" customFormat="1" x14ac:dyDescent="0.25">
      <c r="A420" s="67">
        <f t="shared" si="65"/>
        <v>6</v>
      </c>
      <c r="B420" s="67" t="s">
        <v>204</v>
      </c>
      <c r="C420" s="56">
        <v>3</v>
      </c>
      <c r="D420" s="62">
        <f>(106.884)*(10.764)</f>
        <v>1150.499376</v>
      </c>
      <c r="E420" s="67">
        <v>0</v>
      </c>
      <c r="F420" s="67">
        <f t="shared" si="64"/>
        <v>1725.7490640000001</v>
      </c>
      <c r="G420" s="76" t="e">
        <f t="shared" si="66"/>
        <v>#REF!</v>
      </c>
      <c r="H420" s="76"/>
      <c r="I420" s="37"/>
      <c r="L420" s="175"/>
      <c r="M420" s="175"/>
      <c r="N420" s="37"/>
    </row>
    <row r="421" spans="1:14" s="58" customFormat="1" x14ac:dyDescent="0.25">
      <c r="A421" s="67">
        <f t="shared" si="65"/>
        <v>7</v>
      </c>
      <c r="B421" s="67" t="s">
        <v>204</v>
      </c>
      <c r="C421" s="56">
        <v>2</v>
      </c>
      <c r="D421" s="62">
        <f>(68.608)*(10.764)</f>
        <v>738.49651200000005</v>
      </c>
      <c r="E421" s="67">
        <v>0</v>
      </c>
      <c r="F421" s="67">
        <f t="shared" si="64"/>
        <v>1107.744768</v>
      </c>
      <c r="G421" s="76" t="e">
        <f t="shared" si="66"/>
        <v>#REF!</v>
      </c>
      <c r="H421" s="76"/>
      <c r="I421" s="37"/>
      <c r="L421" s="175"/>
      <c r="M421" s="175"/>
      <c r="N421" s="37"/>
    </row>
    <row r="422" spans="1:14" s="58" customFormat="1" x14ac:dyDescent="0.25">
      <c r="A422" s="67">
        <f t="shared" si="65"/>
        <v>8</v>
      </c>
      <c r="B422" s="67" t="s">
        <v>204</v>
      </c>
      <c r="C422" s="56">
        <v>2</v>
      </c>
      <c r="D422" s="62">
        <f>(68.164)*(10.764)</f>
        <v>733.71729599999992</v>
      </c>
      <c r="E422" s="67">
        <v>0</v>
      </c>
      <c r="F422" s="67">
        <f t="shared" si="64"/>
        <v>1100.5759439999999</v>
      </c>
      <c r="G422" s="76" t="e">
        <f t="shared" si="66"/>
        <v>#REF!</v>
      </c>
      <c r="H422" s="76"/>
      <c r="I422" s="37"/>
      <c r="L422" s="175"/>
      <c r="M422" s="175"/>
      <c r="N422" s="37"/>
    </row>
    <row r="423" spans="1:14" s="58" customFormat="1" x14ac:dyDescent="0.25">
      <c r="A423" s="67">
        <f t="shared" si="65"/>
        <v>9</v>
      </c>
      <c r="B423" s="67" t="s">
        <v>204</v>
      </c>
      <c r="C423" s="56">
        <v>2</v>
      </c>
      <c r="D423" s="62">
        <f>(64.576)*(10.764)</f>
        <v>695.09606399999984</v>
      </c>
      <c r="E423" s="67">
        <v>0</v>
      </c>
      <c r="F423" s="67">
        <f t="shared" si="64"/>
        <v>1042.6440959999998</v>
      </c>
      <c r="G423" s="76" t="e">
        <f t="shared" si="66"/>
        <v>#REF!</v>
      </c>
      <c r="H423" s="76"/>
      <c r="I423" s="37"/>
      <c r="L423" s="175"/>
      <c r="M423" s="175"/>
      <c r="N423" s="37"/>
    </row>
    <row r="424" spans="1:14" s="58" customFormat="1" x14ac:dyDescent="0.25">
      <c r="A424" s="67">
        <f t="shared" si="65"/>
        <v>10</v>
      </c>
      <c r="B424" s="67" t="s">
        <v>205</v>
      </c>
      <c r="C424" s="56">
        <v>3</v>
      </c>
      <c r="D424" s="62">
        <f>(68.817)*(10.764)</f>
        <v>740.74618799999985</v>
      </c>
      <c r="E424" s="67">
        <v>0</v>
      </c>
      <c r="F424" s="67">
        <f t="shared" si="64"/>
        <v>1111.1192819999997</v>
      </c>
      <c r="G424" s="76" t="e">
        <f t="shared" si="66"/>
        <v>#REF!</v>
      </c>
      <c r="H424" s="76"/>
      <c r="I424" s="37"/>
      <c r="L424" s="175"/>
      <c r="M424" s="175"/>
      <c r="N424" s="37"/>
    </row>
    <row r="425" spans="1:14" s="58" customFormat="1" x14ac:dyDescent="0.25">
      <c r="A425" s="123" t="s">
        <v>217</v>
      </c>
      <c r="B425" s="124"/>
      <c r="C425" s="124"/>
      <c r="D425" s="124"/>
      <c r="E425" s="124"/>
      <c r="F425" s="124"/>
      <c r="G425" s="124"/>
      <c r="H425" s="125"/>
      <c r="J425" s="37"/>
    </row>
    <row r="426" spans="1:14" s="58" customFormat="1" x14ac:dyDescent="0.25">
      <c r="A426" s="57">
        <v>1</v>
      </c>
      <c r="B426" s="57" t="s">
        <v>205</v>
      </c>
      <c r="C426" s="56">
        <v>3</v>
      </c>
      <c r="D426" s="62">
        <f>(68.817)*(10.764)</f>
        <v>740.74618799999985</v>
      </c>
      <c r="E426" s="57">
        <v>0</v>
      </c>
      <c r="F426" s="57">
        <f>D426*(($F$167)+1)+(IF(E426&lt;101,E426,IF(E426&lt;201,E426/2,IF(E426&lt;=301,E426/3,E426/4))))</f>
        <v>1111.1192819999997</v>
      </c>
      <c r="G426" s="204" t="str">
        <f>A425</f>
        <v>23rd Floor (Part Refuge Area)</v>
      </c>
      <c r="H426" s="205"/>
      <c r="I426" s="37"/>
      <c r="L426" s="175"/>
      <c r="M426" s="175"/>
      <c r="N426" s="37"/>
    </row>
    <row r="427" spans="1:14" s="58" customFormat="1" x14ac:dyDescent="0.25">
      <c r="A427" s="57">
        <f t="shared" ref="A427:A434" si="67">A426+1</f>
        <v>2</v>
      </c>
      <c r="B427" s="74" t="s">
        <v>210</v>
      </c>
      <c r="C427" s="184"/>
      <c r="D427" s="184"/>
      <c r="E427" s="184"/>
      <c r="F427" s="75"/>
      <c r="G427" s="206" t="str">
        <f t="shared" ref="G427:G434" si="68">G426</f>
        <v>23rd Floor (Part Refuge Area)</v>
      </c>
      <c r="H427" s="207"/>
      <c r="I427" s="37"/>
      <c r="L427" s="175"/>
      <c r="M427" s="175"/>
      <c r="N427" s="37"/>
    </row>
    <row r="428" spans="1:14" s="58" customFormat="1" x14ac:dyDescent="0.25">
      <c r="A428" s="57">
        <f t="shared" si="67"/>
        <v>3</v>
      </c>
      <c r="B428" s="57" t="s">
        <v>205</v>
      </c>
      <c r="C428" s="56" t="s">
        <v>228</v>
      </c>
      <c r="D428" s="62">
        <f>(129.033)*(10.764)</f>
        <v>1388.9112119999998</v>
      </c>
      <c r="E428" s="57">
        <v>0</v>
      </c>
      <c r="F428" s="57">
        <f t="shared" ref="F428:F434" si="69">D428*(($F$167)+1)+(IF(E428&lt;101,E428,IF(E428&lt;201,E428/2,IF(E428&lt;=301,E428/3,E428/4))))</f>
        <v>2083.3668179999995</v>
      </c>
      <c r="G428" s="206" t="str">
        <f t="shared" si="68"/>
        <v>23rd Floor (Part Refuge Area)</v>
      </c>
      <c r="H428" s="207"/>
      <c r="I428" s="37"/>
      <c r="L428" s="175"/>
      <c r="M428" s="175"/>
      <c r="N428" s="37"/>
    </row>
    <row r="429" spans="1:14" s="58" customFormat="1" x14ac:dyDescent="0.25">
      <c r="A429" s="57">
        <v>5</v>
      </c>
      <c r="B429" s="57" t="s">
        <v>205</v>
      </c>
      <c r="C429" s="56">
        <v>3</v>
      </c>
      <c r="D429" s="62">
        <f>(90.126)*(10.764)</f>
        <v>970.116264</v>
      </c>
      <c r="E429" s="57">
        <v>0</v>
      </c>
      <c r="F429" s="57">
        <f t="shared" si="69"/>
        <v>1455.1743959999999</v>
      </c>
      <c r="G429" s="206" t="e">
        <f>#REF!</f>
        <v>#REF!</v>
      </c>
      <c r="H429" s="207"/>
      <c r="I429" s="37"/>
      <c r="L429" s="175"/>
      <c r="M429" s="175"/>
      <c r="N429" s="37"/>
    </row>
    <row r="430" spans="1:14" s="58" customFormat="1" x14ac:dyDescent="0.25">
      <c r="A430" s="57">
        <f t="shared" si="67"/>
        <v>6</v>
      </c>
      <c r="B430" s="57" t="s">
        <v>204</v>
      </c>
      <c r="C430" s="56">
        <v>3</v>
      </c>
      <c r="D430" s="62">
        <f>(106.884)*(10.764)</f>
        <v>1150.499376</v>
      </c>
      <c r="E430" s="57">
        <v>0</v>
      </c>
      <c r="F430" s="57">
        <f t="shared" si="69"/>
        <v>1725.7490640000001</v>
      </c>
      <c r="G430" s="206" t="e">
        <f t="shared" si="68"/>
        <v>#REF!</v>
      </c>
      <c r="H430" s="207"/>
      <c r="I430" s="37"/>
      <c r="L430" s="175"/>
      <c r="M430" s="175"/>
      <c r="N430" s="37"/>
    </row>
    <row r="431" spans="1:14" s="58" customFormat="1" x14ac:dyDescent="0.25">
      <c r="A431" s="57">
        <f t="shared" si="67"/>
        <v>7</v>
      </c>
      <c r="B431" s="57" t="s">
        <v>204</v>
      </c>
      <c r="C431" s="56">
        <v>2</v>
      </c>
      <c r="D431" s="62">
        <f>(68.608)*(10.764)</f>
        <v>738.49651200000005</v>
      </c>
      <c r="E431" s="57">
        <v>0</v>
      </c>
      <c r="F431" s="57">
        <f t="shared" si="69"/>
        <v>1107.744768</v>
      </c>
      <c r="G431" s="206" t="e">
        <f t="shared" si="68"/>
        <v>#REF!</v>
      </c>
      <c r="H431" s="207"/>
      <c r="I431" s="37"/>
      <c r="L431" s="175"/>
      <c r="M431" s="175"/>
      <c r="N431" s="37"/>
    </row>
    <row r="432" spans="1:14" s="58" customFormat="1" x14ac:dyDescent="0.25">
      <c r="A432" s="57">
        <f t="shared" si="67"/>
        <v>8</v>
      </c>
      <c r="B432" s="57" t="s">
        <v>204</v>
      </c>
      <c r="C432" s="56">
        <v>2</v>
      </c>
      <c r="D432" s="62">
        <f>(68.164)*(10.764)</f>
        <v>733.71729599999992</v>
      </c>
      <c r="E432" s="57">
        <v>0</v>
      </c>
      <c r="F432" s="57">
        <f t="shared" si="69"/>
        <v>1100.5759439999999</v>
      </c>
      <c r="G432" s="206" t="e">
        <f t="shared" si="68"/>
        <v>#REF!</v>
      </c>
      <c r="H432" s="207"/>
      <c r="I432" s="37"/>
      <c r="L432" s="175"/>
      <c r="M432" s="175"/>
      <c r="N432" s="37"/>
    </row>
    <row r="433" spans="1:14" s="58" customFormat="1" x14ac:dyDescent="0.25">
      <c r="A433" s="57">
        <f t="shared" si="67"/>
        <v>9</v>
      </c>
      <c r="B433" s="57" t="s">
        <v>205</v>
      </c>
      <c r="C433" s="56">
        <v>2</v>
      </c>
      <c r="D433" s="62">
        <f>(65.544)*(10.764)</f>
        <v>705.51561599999991</v>
      </c>
      <c r="E433" s="57">
        <v>0</v>
      </c>
      <c r="F433" s="57">
        <f t="shared" si="69"/>
        <v>1058.273424</v>
      </c>
      <c r="G433" s="206" t="e">
        <f t="shared" si="68"/>
        <v>#REF!</v>
      </c>
      <c r="H433" s="207"/>
      <c r="I433" s="37"/>
      <c r="L433" s="175"/>
      <c r="M433" s="175"/>
      <c r="N433" s="37"/>
    </row>
    <row r="434" spans="1:14" s="58" customFormat="1" x14ac:dyDescent="0.25">
      <c r="A434" s="57">
        <f t="shared" si="67"/>
        <v>10</v>
      </c>
      <c r="B434" s="57" t="s">
        <v>205</v>
      </c>
      <c r="C434" s="56">
        <v>3</v>
      </c>
      <c r="D434" s="62">
        <f>(68.817)*(10.764)</f>
        <v>740.74618799999985</v>
      </c>
      <c r="E434" s="57">
        <v>0</v>
      </c>
      <c r="F434" s="57">
        <f t="shared" si="69"/>
        <v>1111.1192819999997</v>
      </c>
      <c r="G434" s="208" t="e">
        <f t="shared" si="68"/>
        <v>#REF!</v>
      </c>
      <c r="H434" s="209"/>
      <c r="I434" s="37"/>
      <c r="L434" s="175"/>
      <c r="M434" s="175"/>
      <c r="N434" s="37"/>
    </row>
    <row r="435" spans="1:14" s="58" customFormat="1" x14ac:dyDescent="0.25">
      <c r="A435" s="123" t="s">
        <v>230</v>
      </c>
      <c r="B435" s="124"/>
      <c r="C435" s="124"/>
      <c r="D435" s="124"/>
      <c r="E435" s="124"/>
      <c r="F435" s="124"/>
      <c r="G435" s="124"/>
      <c r="H435" s="125"/>
      <c r="J435" s="37"/>
    </row>
    <row r="436" spans="1:14" s="58" customFormat="1" x14ac:dyDescent="0.25">
      <c r="A436" s="57">
        <v>1</v>
      </c>
      <c r="B436" s="57" t="s">
        <v>205</v>
      </c>
      <c r="C436" s="56">
        <v>3</v>
      </c>
      <c r="D436" s="62">
        <f>(68.817)*(10.764)</f>
        <v>740.74618799999985</v>
      </c>
      <c r="E436" s="57">
        <v>0</v>
      </c>
      <c r="F436" s="57">
        <f t="shared" ref="F436:F444" si="70">D436*(($F$167)+1)+(IF(E436&lt;101,E436,IF(E436&lt;201,E436/2,IF(E436&lt;=301,E436/3,E436/4))))</f>
        <v>1111.1192819999997</v>
      </c>
      <c r="G436" s="204" t="str">
        <f>A435</f>
        <v>24th to 25th Floor</v>
      </c>
      <c r="H436" s="205"/>
      <c r="I436" s="37"/>
      <c r="L436" s="175"/>
      <c r="M436" s="175"/>
      <c r="N436" s="37"/>
    </row>
    <row r="437" spans="1:14" s="58" customFormat="1" x14ac:dyDescent="0.25">
      <c r="A437" s="57">
        <f t="shared" ref="A437:A444" si="71">A436+1</f>
        <v>2</v>
      </c>
      <c r="B437" s="57" t="s">
        <v>205</v>
      </c>
      <c r="C437" s="56">
        <v>2</v>
      </c>
      <c r="D437" s="62">
        <f>(60.124)*(10.764)</f>
        <v>647.17473599999994</v>
      </c>
      <c r="E437" s="57">
        <v>0</v>
      </c>
      <c r="F437" s="57">
        <f t="shared" si="70"/>
        <v>970.76210399999991</v>
      </c>
      <c r="G437" s="206" t="str">
        <f t="shared" ref="G437:G444" si="72">G436</f>
        <v>24th to 25th Floor</v>
      </c>
      <c r="H437" s="207"/>
      <c r="I437" s="37"/>
      <c r="L437" s="175"/>
      <c r="M437" s="175"/>
      <c r="N437" s="37"/>
    </row>
    <row r="438" spans="1:14" s="58" customFormat="1" x14ac:dyDescent="0.25">
      <c r="A438" s="57">
        <f t="shared" si="71"/>
        <v>3</v>
      </c>
      <c r="B438" s="57" t="s">
        <v>205</v>
      </c>
      <c r="C438" s="56" t="s">
        <v>228</v>
      </c>
      <c r="D438" s="62">
        <f>(129.033)*(10.764)</f>
        <v>1388.9112119999998</v>
      </c>
      <c r="E438" s="57">
        <v>0</v>
      </c>
      <c r="F438" s="57">
        <f t="shared" si="70"/>
        <v>2083.3668179999995</v>
      </c>
      <c r="G438" s="206" t="str">
        <f t="shared" si="72"/>
        <v>24th to 25th Floor</v>
      </c>
      <c r="H438" s="207"/>
      <c r="I438" s="37"/>
      <c r="L438" s="175"/>
      <c r="M438" s="175"/>
      <c r="N438" s="37"/>
    </row>
    <row r="439" spans="1:14" s="58" customFormat="1" x14ac:dyDescent="0.25">
      <c r="A439" s="57">
        <v>5</v>
      </c>
      <c r="B439" s="57" t="s">
        <v>205</v>
      </c>
      <c r="C439" s="56">
        <v>3</v>
      </c>
      <c r="D439" s="62">
        <f>(90.126)*(10.764)</f>
        <v>970.116264</v>
      </c>
      <c r="E439" s="57">
        <v>0</v>
      </c>
      <c r="F439" s="57">
        <f t="shared" si="70"/>
        <v>1455.1743959999999</v>
      </c>
      <c r="G439" s="206" t="e">
        <f>#REF!</f>
        <v>#REF!</v>
      </c>
      <c r="H439" s="207"/>
      <c r="I439" s="37"/>
      <c r="L439" s="175"/>
      <c r="M439" s="175"/>
      <c r="N439" s="37"/>
    </row>
    <row r="440" spans="1:14" s="58" customFormat="1" x14ac:dyDescent="0.25">
      <c r="A440" s="57">
        <f t="shared" si="71"/>
        <v>6</v>
      </c>
      <c r="B440" s="57" t="s">
        <v>204</v>
      </c>
      <c r="C440" s="56">
        <v>3</v>
      </c>
      <c r="D440" s="62">
        <f>(106.884)*(10.764)</f>
        <v>1150.499376</v>
      </c>
      <c r="E440" s="57">
        <v>0</v>
      </c>
      <c r="F440" s="57">
        <f t="shared" si="70"/>
        <v>1725.7490640000001</v>
      </c>
      <c r="G440" s="206" t="e">
        <f t="shared" si="72"/>
        <v>#REF!</v>
      </c>
      <c r="H440" s="207"/>
      <c r="I440" s="37"/>
      <c r="L440" s="175"/>
      <c r="M440" s="175"/>
      <c r="N440" s="37"/>
    </row>
    <row r="441" spans="1:14" s="58" customFormat="1" x14ac:dyDescent="0.25">
      <c r="A441" s="57">
        <f t="shared" si="71"/>
        <v>7</v>
      </c>
      <c r="B441" s="57" t="s">
        <v>204</v>
      </c>
      <c r="C441" s="56">
        <v>2</v>
      </c>
      <c r="D441" s="62">
        <f>(68.608)*(10.764)</f>
        <v>738.49651200000005</v>
      </c>
      <c r="E441" s="57">
        <v>0</v>
      </c>
      <c r="F441" s="57">
        <f t="shared" si="70"/>
        <v>1107.744768</v>
      </c>
      <c r="G441" s="206" t="e">
        <f t="shared" si="72"/>
        <v>#REF!</v>
      </c>
      <c r="H441" s="207"/>
      <c r="I441" s="37"/>
      <c r="L441" s="175"/>
      <c r="M441" s="175"/>
      <c r="N441" s="37"/>
    </row>
    <row r="442" spans="1:14" s="58" customFormat="1" x14ac:dyDescent="0.25">
      <c r="A442" s="57">
        <f t="shared" si="71"/>
        <v>8</v>
      </c>
      <c r="B442" s="57" t="s">
        <v>204</v>
      </c>
      <c r="C442" s="56">
        <v>2</v>
      </c>
      <c r="D442" s="62">
        <f>(68.164)*(10.764)</f>
        <v>733.71729599999992</v>
      </c>
      <c r="E442" s="57">
        <v>0</v>
      </c>
      <c r="F442" s="57">
        <f t="shared" si="70"/>
        <v>1100.5759439999999</v>
      </c>
      <c r="G442" s="206" t="e">
        <f t="shared" si="72"/>
        <v>#REF!</v>
      </c>
      <c r="H442" s="207"/>
      <c r="I442" s="37"/>
      <c r="L442" s="175"/>
      <c r="M442" s="175"/>
      <c r="N442" s="37"/>
    </row>
    <row r="443" spans="1:14" s="58" customFormat="1" x14ac:dyDescent="0.25">
      <c r="A443" s="57">
        <f t="shared" si="71"/>
        <v>9</v>
      </c>
      <c r="B443" s="57" t="s">
        <v>205</v>
      </c>
      <c r="C443" s="56">
        <v>2</v>
      </c>
      <c r="D443" s="62">
        <f>(65.544)*(10.764)</f>
        <v>705.51561599999991</v>
      </c>
      <c r="E443" s="57">
        <v>0</v>
      </c>
      <c r="F443" s="57">
        <f t="shared" si="70"/>
        <v>1058.273424</v>
      </c>
      <c r="G443" s="206" t="e">
        <f t="shared" si="72"/>
        <v>#REF!</v>
      </c>
      <c r="H443" s="207"/>
      <c r="I443" s="37"/>
      <c r="L443" s="175"/>
      <c r="M443" s="175"/>
      <c r="N443" s="37"/>
    </row>
    <row r="444" spans="1:14" s="58" customFormat="1" x14ac:dyDescent="0.25">
      <c r="A444" s="57">
        <f t="shared" si="71"/>
        <v>10</v>
      </c>
      <c r="B444" s="57" t="s">
        <v>205</v>
      </c>
      <c r="C444" s="56">
        <v>3</v>
      </c>
      <c r="D444" s="62">
        <f>(68.817)*(10.764)</f>
        <v>740.74618799999985</v>
      </c>
      <c r="E444" s="57">
        <v>0</v>
      </c>
      <c r="F444" s="57">
        <f t="shared" si="70"/>
        <v>1111.1192819999997</v>
      </c>
      <c r="G444" s="208" t="e">
        <f t="shared" si="72"/>
        <v>#REF!</v>
      </c>
      <c r="H444" s="209"/>
      <c r="I444" s="37"/>
      <c r="L444" s="175"/>
      <c r="M444" s="175"/>
      <c r="N444" s="37"/>
    </row>
    <row r="445" spans="1:14" s="58" customFormat="1" hidden="1" x14ac:dyDescent="0.25">
      <c r="A445" s="123" t="s">
        <v>121</v>
      </c>
      <c r="B445" s="124"/>
      <c r="C445" s="124"/>
      <c r="D445" s="124"/>
      <c r="E445" s="124"/>
      <c r="F445" s="124"/>
      <c r="G445" s="124"/>
      <c r="H445" s="125"/>
      <c r="J445" s="37"/>
    </row>
    <row r="446" spans="1:14" s="58" customFormat="1" hidden="1" x14ac:dyDescent="0.25">
      <c r="A446" s="57">
        <v>1</v>
      </c>
      <c r="B446" s="57"/>
      <c r="C446" s="56"/>
      <c r="D446" s="57"/>
      <c r="E446" s="57">
        <v>0</v>
      </c>
      <c r="F446" s="57">
        <f>D446*(($F$167)+1)+(IF(E446&lt;101,E446,IF(E446&lt;201,E446/2,IF(E446&lt;=301,E446/3,E446/4))))</f>
        <v>0</v>
      </c>
      <c r="G446" s="74" t="str">
        <f>A445</f>
        <v>Ground Floor</v>
      </c>
      <c r="H446" s="75"/>
      <c r="I446" s="37"/>
      <c r="L446" s="175"/>
      <c r="M446" s="175"/>
      <c r="N446" s="37"/>
    </row>
    <row r="447" spans="1:14" s="58" customFormat="1" hidden="1" x14ac:dyDescent="0.25">
      <c r="A447" s="57">
        <f t="shared" ref="A447:A449" si="73">A446+1</f>
        <v>2</v>
      </c>
      <c r="B447" s="57"/>
      <c r="C447" s="56"/>
      <c r="D447" s="57"/>
      <c r="E447" s="57">
        <v>0</v>
      </c>
      <c r="F447" s="57">
        <f>D447*(($F$167)+1)+(IF(E447&lt;101,E447,IF(E447&lt;201,E447/2,IF(E447&lt;=301,E447/3,E447/4))))</f>
        <v>0</v>
      </c>
      <c r="G447" s="74" t="str">
        <f t="shared" ref="G447:G449" si="74">G446</f>
        <v>Ground Floor</v>
      </c>
      <c r="H447" s="75"/>
      <c r="I447" s="37"/>
      <c r="L447" s="175"/>
      <c r="M447" s="175"/>
      <c r="N447" s="37"/>
    </row>
    <row r="448" spans="1:14" s="58" customFormat="1" hidden="1" x14ac:dyDescent="0.25">
      <c r="A448" s="57">
        <f t="shared" si="73"/>
        <v>3</v>
      </c>
      <c r="B448" s="57"/>
      <c r="C448" s="56"/>
      <c r="D448" s="57"/>
      <c r="E448" s="57">
        <v>0</v>
      </c>
      <c r="F448" s="57">
        <f>D448*(($F$167)+1)+(IF(E448&lt;101,E448,IF(E448&lt;201,E448/2,IF(E448&lt;=301,E448/3,E448/4))))</f>
        <v>0</v>
      </c>
      <c r="G448" s="74" t="str">
        <f t="shared" si="74"/>
        <v>Ground Floor</v>
      </c>
      <c r="H448" s="75"/>
      <c r="I448" s="37"/>
      <c r="L448" s="175"/>
      <c r="M448" s="175"/>
      <c r="N448" s="37"/>
    </row>
    <row r="449" spans="1:14" s="58" customFormat="1" hidden="1" x14ac:dyDescent="0.25">
      <c r="A449" s="57">
        <f t="shared" si="73"/>
        <v>4</v>
      </c>
      <c r="B449" s="57"/>
      <c r="C449" s="56"/>
      <c r="D449" s="57"/>
      <c r="E449" s="57">
        <v>0</v>
      </c>
      <c r="F449" s="57">
        <f>D449*(($F$167)+1)+(IF(E449&lt;101,E449,IF(E449&lt;201,E449/2,IF(E449&lt;=301,E449/3,E449/4))))</f>
        <v>0</v>
      </c>
      <c r="G449" s="74" t="str">
        <f t="shared" si="74"/>
        <v>Ground Floor</v>
      </c>
      <c r="H449" s="75"/>
      <c r="I449" s="37"/>
      <c r="L449" s="175"/>
      <c r="M449" s="175"/>
      <c r="N449" s="37"/>
    </row>
    <row r="450" spans="1:14" s="38" customFormat="1" hidden="1" x14ac:dyDescent="0.25">
      <c r="A450" s="144" t="s">
        <v>122</v>
      </c>
      <c r="B450" s="144"/>
      <c r="C450" s="144"/>
      <c r="D450" s="144"/>
      <c r="E450" s="144"/>
      <c r="F450" s="144"/>
      <c r="G450" s="144"/>
      <c r="H450" s="144"/>
      <c r="I450" s="37"/>
      <c r="L450" s="175"/>
      <c r="M450" s="175"/>
    </row>
    <row r="451" spans="1:14" s="38" customFormat="1" hidden="1" x14ac:dyDescent="0.25">
      <c r="A451" s="76">
        <f>LEFT(A450,SUM(LEN(A450)-LEN(SUBSTITUTE(A450,{"0","1","2","3","4","5","6","7","8","9"},""))))*100+1</f>
        <v>201</v>
      </c>
      <c r="B451" s="76"/>
      <c r="C451" s="56"/>
      <c r="D451" s="43"/>
      <c r="E451" s="43">
        <v>0</v>
      </c>
      <c r="F451" s="43">
        <f t="shared" ref="F451:F452" si="75">D451*(($F$167)+1)+(IF(E451&lt;101,E451,IF(E451&lt;201,E451/2,IF(E451&lt;=301,E451/3,E451/4))))</f>
        <v>0</v>
      </c>
      <c r="G451" s="76" t="str">
        <f>A450</f>
        <v>2nd Floor</v>
      </c>
      <c r="H451" s="76"/>
      <c r="I451" s="37"/>
      <c r="N451" s="37"/>
    </row>
    <row r="452" spans="1:14" s="38" customFormat="1" hidden="1" x14ac:dyDescent="0.25">
      <c r="A452" s="76">
        <f>A451+1</f>
        <v>202</v>
      </c>
      <c r="B452" s="76"/>
      <c r="C452" s="56"/>
      <c r="D452" s="43"/>
      <c r="E452" s="43">
        <v>0</v>
      </c>
      <c r="F452" s="43">
        <f t="shared" si="75"/>
        <v>0</v>
      </c>
      <c r="G452" s="76" t="str">
        <f>G451</f>
        <v>2nd Floor</v>
      </c>
      <c r="H452" s="76"/>
      <c r="I452" s="37"/>
      <c r="N452" s="37"/>
    </row>
    <row r="453" spans="1:14" s="38" customFormat="1" hidden="1" x14ac:dyDescent="0.25">
      <c r="A453" s="76">
        <f>A452+1</f>
        <v>203</v>
      </c>
      <c r="B453" s="76"/>
      <c r="C453" s="56"/>
      <c r="D453" s="43"/>
      <c r="E453" s="43">
        <v>0</v>
      </c>
      <c r="F453" s="43">
        <f>D453*(($F$167)+1)+(IF(E453&lt;101,E453,IF(E453&lt;201,E453/2,IF(E453&lt;=301,E453/3,E453/4))))</f>
        <v>0</v>
      </c>
      <c r="G453" s="76" t="str">
        <f>G452</f>
        <v>2nd Floor</v>
      </c>
      <c r="H453" s="76"/>
      <c r="I453" s="37"/>
      <c r="N453" s="37"/>
    </row>
    <row r="454" spans="1:14" s="38" customFormat="1" hidden="1" x14ac:dyDescent="0.25">
      <c r="A454" s="76">
        <f>A453+1</f>
        <v>204</v>
      </c>
      <c r="B454" s="76"/>
      <c r="C454" s="56"/>
      <c r="D454" s="43"/>
      <c r="E454" s="43">
        <v>0</v>
      </c>
      <c r="F454" s="43">
        <f>D454*(($F$167)+1)+(IF(E454&lt;101,E454,IF(E454&lt;201,E454/2,IF(E454&lt;=301,E454/3,E454/4))))</f>
        <v>0</v>
      </c>
      <c r="G454" s="76" t="str">
        <f>G453</f>
        <v>2nd Floor</v>
      </c>
      <c r="H454" s="76"/>
      <c r="I454" s="37"/>
      <c r="N454" s="37"/>
    </row>
    <row r="455" spans="1:14" s="38" customFormat="1" hidden="1" x14ac:dyDescent="0.25">
      <c r="A455" s="76">
        <f>A454+1</f>
        <v>205</v>
      </c>
      <c r="B455" s="76"/>
      <c r="C455" s="56"/>
      <c r="D455" s="43"/>
      <c r="E455" s="43">
        <v>0</v>
      </c>
      <c r="F455" s="43">
        <f>D455*(($F$167)+1)+(IF(E455&lt;101,E455,IF(E455&lt;201,E455/2,IF(E455&lt;=301,E455/3,E455/4))))</f>
        <v>0</v>
      </c>
      <c r="G455" s="76" t="str">
        <f>G454</f>
        <v>2nd Floor</v>
      </c>
      <c r="H455" s="76"/>
      <c r="I455" s="37"/>
      <c r="N455" s="37"/>
    </row>
    <row r="456" spans="1:14" s="38" customFormat="1" ht="15.75" hidden="1" customHeight="1" x14ac:dyDescent="0.25">
      <c r="A456" s="123" t="s">
        <v>157</v>
      </c>
      <c r="B456" s="124"/>
      <c r="C456" s="124"/>
      <c r="D456" s="124"/>
      <c r="E456" s="124"/>
      <c r="F456" s="124"/>
      <c r="G456" s="124"/>
      <c r="H456" s="125"/>
      <c r="I456" s="37"/>
    </row>
    <row r="457" spans="1:14" s="38" customFormat="1" hidden="1" x14ac:dyDescent="0.25">
      <c r="A457" s="74" t="str">
        <f ca="1">(SUMPRODUCT(MID(0&amp;(LEFT(A456,SUM(LEN(A456)-LEN(SUBSTITUTE(A456,{"0","1","2"},""))))), LARGE(INDEX(ISNUMBER(--MID((LEFT(A456,SUM(LEN(A456)-LEN(SUBSTITUTE(A456,{"0","1","2"},""))))), ROW(INDIRECT("1:"&amp;LEN((LEFT(A456,SUM(LEN(A456)-LEN(SUBSTITUTE(A456,{"0","1","2"},"")))))))), 1)) * ROW(INDIRECT("1:"&amp;LEN((LEFT(A456,SUM(LEN(A456)-LEN(SUBSTITUTE(A456,{"0","1","2"},"")))))))), 0), ROW(INDIRECT("1:"&amp;LEN((LEFT(A456,SUM(LEN(A456)-LEN(SUBSTITUTE(A456,{"0","1","2"},"")))))))))+1, 1) * 10^ROW(INDIRECT("1:"&amp;LEN((LEFT(A456,SUM(LEN(A456)-LEN(SUBSTITUTE(A456,{"0","1","2"},""))))))))/10))*100+1&amp;""&amp;" ,.., "&amp;""&amp;(SUMPRODUCT(MID(0&amp;(--TRIM(RIGHT(SUBSTITUTE(LEFT(A456,_xlfn.AGGREGATE(16,6,FIND({0,1,2,3,4,5,6,7,8,9},A456,ROW(INDIRECT("1:"&amp;LEN(A456)))),1))," ",REPT(" ",LEN(A456))),LEN(A456)))), LARGE(INDEX(ISNUMBER(--MID((--TRIM(RIGHT(SUBSTITUTE(LEFT(A456,_xlfn.AGGREGATE(16,6,FIND({0,1,2,3,4,5,6,7,8,9},A456,ROW(INDIRECT("1:"&amp;LEN(A456)))),1))," ",REPT(" ",LEN(A456))),LEN(A456)))), ROW(INDIRECT("1:"&amp;LEN((--TRIM(RIGHT(SUBSTITUTE(LEFT(A456,_xlfn.AGGREGATE(16,6,FIND({0,1,2,3,4,5,6,7,8,9},A456,ROW(INDIRECT("1:"&amp;LEN(A456)))),1))," ",REPT(" ",LEN(A456))),LEN(A456))))))), 1)) * ROW(INDIRECT("1:"&amp;LEN((--TRIM(RIGHT(SUBSTITUTE(LEFT(A456,_xlfn.AGGREGATE(16,6,FIND({0,1,2,3,4,5,6,7,8,9},A456,ROW(INDIRECT("1:"&amp;LEN(A456)))),1))," ",REPT(" ",LEN(A456))),LEN(A456))))))), 0), ROW(INDIRECT("1:"&amp;LEN((--TRIM(RIGHT(SUBSTITUTE(LEFT(A456,_xlfn.AGGREGATE(16,6,FIND({0,1,2,3,4,5,6,7,8,9},A456,ROW(INDIRECT("1:"&amp;LEN(A456)))),1))," ",REPT(" ",LEN(A456))),LEN(A456))))))))+1, 1) * 10^ROW(INDIRECT("1:"&amp;LEN((--TRIM(RIGHT(SUBSTITUTE(LEFT(A456,_xlfn.AGGREGATE(16,6,FIND({0,1,2,3,4,5,6,7,8,9},A456,ROW(INDIRECT("1:"&amp;LEN(A456)))),1))," ",REPT(" ",LEN(A456))),LEN(A456)))))))/10))*100+1</f>
        <v>301 ,.., 1501</v>
      </c>
      <c r="B457" s="75"/>
      <c r="C457" s="56"/>
      <c r="D457" s="43"/>
      <c r="E457" s="43">
        <v>0</v>
      </c>
      <c r="F457" s="43">
        <f>D457*(($F$167)+1)+(IF(E457&lt;101,E457,IF(E457&lt;201,E457/2,IF(E457&lt;=301,E457/3,E457/4))))</f>
        <v>0</v>
      </c>
      <c r="G457" s="74" t="str">
        <f>A456</f>
        <v>3rd, 5th, 7th, 9th, 11th, 13th, 15th Floor</v>
      </c>
      <c r="H457" s="75"/>
      <c r="I457" s="37"/>
    </row>
    <row r="458" spans="1:14" s="38" customFormat="1" hidden="1" x14ac:dyDescent="0.25">
      <c r="A458" s="74" t="str">
        <f ca="1">(SUMPRODUCT(MID(0&amp;(LEFT(A457,SUM(LEN(A457)-LEN(SUBSTITUTE(A457,{"0","1","2"},""))))), LARGE(INDEX(ISNUMBER(--MID((LEFT(A457,SUM(LEN(A457)-LEN(SUBSTITUTE(A457,{"0","1","2"},""))))), ROW(INDIRECT("1:"&amp;LEN((LEFT(A457,SUM(LEN(A457)-LEN(SUBSTITUTE(A457,{"0","1","2"},"")))))))), 1)) * ROW(INDIRECT("1:"&amp;LEN((LEFT(A457,SUM(LEN(A457)-LEN(SUBSTITUTE(A457,{"0","1","2"},"")))))))), 0), ROW(INDIRECT("1:"&amp;LEN((LEFT(A457,SUM(LEN(A457)-LEN(SUBSTITUTE(A457,{"0","1","2"},"")))))))))+1, 1) * 10^ROW(INDIRECT("1:"&amp;LEN((LEFT(A457,SUM(LEN(A457)-LEN(SUBSTITUTE(A457,{"0","1","2"},""))))))))/10))*1+1&amp;""&amp;" ,.., "&amp;""&amp;(SUMPRODUCT(MID(0&amp;(--TRIM(RIGHT(SUBSTITUTE(LEFT(A457,_xlfn.AGGREGATE(16,6,FIND({0,1,2,3,4,5,6,7,8,9},A457,ROW(INDIRECT("1:"&amp;LEN(A457)))),1))," ",REPT(" ",LEN(A457))),LEN(A457)))), LARGE(INDEX(ISNUMBER(--MID((--TRIM(RIGHT(SUBSTITUTE(LEFT(A457,_xlfn.AGGREGATE(16,6,FIND({0,1,2,3,4,5,6,7,8,9},A457,ROW(INDIRECT("1:"&amp;LEN(A457)))),1))," ",REPT(" ",LEN(A457))),LEN(A457)))), ROW(INDIRECT("1:"&amp;LEN((--TRIM(RIGHT(SUBSTITUTE(LEFT(A457,_xlfn.AGGREGATE(16,6,FIND({0,1,2,3,4,5,6,7,8,9},A457,ROW(INDIRECT("1:"&amp;LEN(A457)))),1))," ",REPT(" ",LEN(A457))),LEN(A457))))))), 1)) * ROW(INDIRECT("1:"&amp;LEN((--TRIM(RIGHT(SUBSTITUTE(LEFT(A457,_xlfn.AGGREGATE(16,6,FIND({0,1,2,3,4,5,6,7,8,9},A457,ROW(INDIRECT("1:"&amp;LEN(A457)))),1))," ",REPT(" ",LEN(A457))),LEN(A457))))))), 0), ROW(INDIRECT("1:"&amp;LEN((--TRIM(RIGHT(SUBSTITUTE(LEFT(A457,_xlfn.AGGREGATE(16,6,FIND({0,1,2,3,4,5,6,7,8,9},A457,ROW(INDIRECT("1:"&amp;LEN(A457)))),1))," ",REPT(" ",LEN(A457))),LEN(A457))))))))+1, 1) * 10^ROW(INDIRECT("1:"&amp;LEN((--TRIM(RIGHT(SUBSTITUTE(LEFT(A457,_xlfn.AGGREGATE(16,6,FIND({0,1,2,3,4,5,6,7,8,9},A457,ROW(INDIRECT("1:"&amp;LEN(A457)))),1))," ",REPT(" ",LEN(A457))),LEN(A457)))))))/10))*1+1</f>
        <v>302 ,.., 1502</v>
      </c>
      <c r="B458" s="75"/>
      <c r="C458" s="56"/>
      <c r="D458" s="43"/>
      <c r="E458" s="43">
        <v>0</v>
      </c>
      <c r="F458" s="43">
        <f>D458*(($F$167)+1)+(IF(E458&lt;101,E458,IF(E458&lt;201,E458/2,IF(E458&lt;=301,E458/3,E458/4))))</f>
        <v>0</v>
      </c>
      <c r="G458" s="74" t="str">
        <f>G457</f>
        <v>3rd, 5th, 7th, 9th, 11th, 13th, 15th Floor</v>
      </c>
      <c r="H458" s="75"/>
      <c r="I458" s="37"/>
    </row>
    <row r="459" spans="1:14" s="38" customFormat="1" ht="15.75" hidden="1" customHeight="1" x14ac:dyDescent="0.25">
      <c r="A459" s="74" t="str">
        <f ca="1">(SUMPRODUCT(MID(0&amp;(LEFT(A458,SUM(LEN(A458)-LEN(SUBSTITUTE(A458,{"0","1","2"},""))))), LARGE(INDEX(ISNUMBER(--MID((LEFT(A458,SUM(LEN(A458)-LEN(SUBSTITUTE(A458,{"0","1","2"},""))))), ROW(INDIRECT("1:"&amp;LEN((LEFT(A458,SUM(LEN(A458)-LEN(SUBSTITUTE(A458,{"0","1","2"},"")))))))), 1)) * ROW(INDIRECT("1:"&amp;LEN((LEFT(A458,SUM(LEN(A458)-LEN(SUBSTITUTE(A458,{"0","1","2"},"")))))))), 0), ROW(INDIRECT("1:"&amp;LEN((LEFT(A458,SUM(LEN(A458)-LEN(SUBSTITUTE(A458,{"0","1","2"},"")))))))))+1, 1) * 10^ROW(INDIRECT("1:"&amp;LEN((LEFT(A458,SUM(LEN(A458)-LEN(SUBSTITUTE(A458,{"0","1","2"},""))))))))/10))*1+1&amp;""&amp;" ,.., "&amp;""&amp;(SUMPRODUCT(MID(0&amp;(--TRIM(RIGHT(SUBSTITUTE(LEFT(A458,_xlfn.AGGREGATE(16,6,FIND({0,1,2,3,4,5,6,7,8,9},A458,ROW(INDIRECT("1:"&amp;LEN(A458)))),1))," ",REPT(" ",LEN(A458))),LEN(A458)))), LARGE(INDEX(ISNUMBER(--MID((--TRIM(RIGHT(SUBSTITUTE(LEFT(A458,_xlfn.AGGREGATE(16,6,FIND({0,1,2,3,4,5,6,7,8,9},A458,ROW(INDIRECT("1:"&amp;LEN(A458)))),1))," ",REPT(" ",LEN(A458))),LEN(A458)))), ROW(INDIRECT("1:"&amp;LEN((--TRIM(RIGHT(SUBSTITUTE(LEFT(A458,_xlfn.AGGREGATE(16,6,FIND({0,1,2,3,4,5,6,7,8,9},A458,ROW(INDIRECT("1:"&amp;LEN(A458)))),1))," ",REPT(" ",LEN(A458))),LEN(A458))))))), 1)) * ROW(INDIRECT("1:"&amp;LEN((--TRIM(RIGHT(SUBSTITUTE(LEFT(A458,_xlfn.AGGREGATE(16,6,FIND({0,1,2,3,4,5,6,7,8,9},A458,ROW(INDIRECT("1:"&amp;LEN(A458)))),1))," ",REPT(" ",LEN(A458))),LEN(A458))))))), 0), ROW(INDIRECT("1:"&amp;LEN((--TRIM(RIGHT(SUBSTITUTE(LEFT(A458,_xlfn.AGGREGATE(16,6,FIND({0,1,2,3,4,5,6,7,8,9},A458,ROW(INDIRECT("1:"&amp;LEN(A458)))),1))," ",REPT(" ",LEN(A458))),LEN(A458))))))))+1, 1) * 10^ROW(INDIRECT("1:"&amp;LEN((--TRIM(RIGHT(SUBSTITUTE(LEFT(A458,_xlfn.AGGREGATE(16,6,FIND({0,1,2,3,4,5,6,7,8,9},A458,ROW(INDIRECT("1:"&amp;LEN(A458)))),1))," ",REPT(" ",LEN(A458))),LEN(A458)))))))/10))*1+1</f>
        <v>303 ,.., 1503</v>
      </c>
      <c r="B459" s="75"/>
      <c r="C459" s="56"/>
      <c r="D459" s="43"/>
      <c r="E459" s="43">
        <v>0</v>
      </c>
      <c r="F459" s="43">
        <f>D459*(($F$167)+1)+(IF(E459&lt;101,E459,IF(E459&lt;201,E459/2,IF(E459&lt;=301,E459/3,E459/4))))</f>
        <v>0</v>
      </c>
      <c r="G459" s="74" t="str">
        <f>G458</f>
        <v>3rd, 5th, 7th, 9th, 11th, 13th, 15th Floor</v>
      </c>
      <c r="H459" s="75"/>
      <c r="I459" s="37"/>
    </row>
    <row r="460" spans="1:14" s="38" customFormat="1" ht="15.75" hidden="1" customHeight="1" x14ac:dyDescent="0.25">
      <c r="A460" s="74" t="str">
        <f ca="1">(SUMPRODUCT(MID(0&amp;(LEFT(A459,SUM(LEN(A459)-LEN(SUBSTITUTE(A459,{"0","1","2"},""))))), LARGE(INDEX(ISNUMBER(--MID((LEFT(A459,SUM(LEN(A459)-LEN(SUBSTITUTE(A459,{"0","1","2"},""))))), ROW(INDIRECT("1:"&amp;LEN((LEFT(A459,SUM(LEN(A459)-LEN(SUBSTITUTE(A459,{"0","1","2"},"")))))))), 1)) * ROW(INDIRECT("1:"&amp;LEN((LEFT(A459,SUM(LEN(A459)-LEN(SUBSTITUTE(A459,{"0","1","2"},"")))))))), 0), ROW(INDIRECT("1:"&amp;LEN((LEFT(A459,SUM(LEN(A459)-LEN(SUBSTITUTE(A459,{"0","1","2"},"")))))))))+1, 1) * 10^ROW(INDIRECT("1:"&amp;LEN((LEFT(A459,SUM(LEN(A459)-LEN(SUBSTITUTE(A459,{"0","1","2"},""))))))))/10))*1+1&amp;""&amp;" ,.., "&amp;""&amp;(SUMPRODUCT(MID(0&amp;(--TRIM(RIGHT(SUBSTITUTE(LEFT(A459,_xlfn.AGGREGATE(16,6,FIND({0,1,2,3,4,5,6,7,8,9},A459,ROW(INDIRECT("1:"&amp;LEN(A459)))),1))," ",REPT(" ",LEN(A459))),LEN(A459)))), LARGE(INDEX(ISNUMBER(--MID((--TRIM(RIGHT(SUBSTITUTE(LEFT(A459,_xlfn.AGGREGATE(16,6,FIND({0,1,2,3,4,5,6,7,8,9},A459,ROW(INDIRECT("1:"&amp;LEN(A459)))),1))," ",REPT(" ",LEN(A459))),LEN(A459)))), ROW(INDIRECT("1:"&amp;LEN((--TRIM(RIGHT(SUBSTITUTE(LEFT(A459,_xlfn.AGGREGATE(16,6,FIND({0,1,2,3,4,5,6,7,8,9},A459,ROW(INDIRECT("1:"&amp;LEN(A459)))),1))," ",REPT(" ",LEN(A459))),LEN(A459))))))), 1)) * ROW(INDIRECT("1:"&amp;LEN((--TRIM(RIGHT(SUBSTITUTE(LEFT(A459,_xlfn.AGGREGATE(16,6,FIND({0,1,2,3,4,5,6,7,8,9},A459,ROW(INDIRECT("1:"&amp;LEN(A459)))),1))," ",REPT(" ",LEN(A459))),LEN(A459))))))), 0), ROW(INDIRECT("1:"&amp;LEN((--TRIM(RIGHT(SUBSTITUTE(LEFT(A459,_xlfn.AGGREGATE(16,6,FIND({0,1,2,3,4,5,6,7,8,9},A459,ROW(INDIRECT("1:"&amp;LEN(A459)))),1))," ",REPT(" ",LEN(A459))),LEN(A459))))))))+1, 1) * 10^ROW(INDIRECT("1:"&amp;LEN((--TRIM(RIGHT(SUBSTITUTE(LEFT(A459,_xlfn.AGGREGATE(16,6,FIND({0,1,2,3,4,5,6,7,8,9},A459,ROW(INDIRECT("1:"&amp;LEN(A459)))),1))," ",REPT(" ",LEN(A459))),LEN(A459)))))))/10))*1+1</f>
        <v>304 ,.., 1504</v>
      </c>
      <c r="B460" s="75"/>
      <c r="C460" s="56"/>
      <c r="D460" s="43"/>
      <c r="E460" s="43">
        <v>0</v>
      </c>
      <c r="F460" s="43">
        <f>D460*(($F$167)+1)+(IF(E460&lt;101,E460,IF(E460&lt;201,E460/2,IF(E460&lt;=301,E460/3,E460/4))))</f>
        <v>0</v>
      </c>
      <c r="G460" s="74" t="str">
        <f>G459</f>
        <v>3rd, 5th, 7th, 9th, 11th, 13th, 15th Floor</v>
      </c>
      <c r="H460" s="75"/>
      <c r="I460" s="37"/>
    </row>
    <row r="461" spans="1:14" s="38" customFormat="1" ht="15.75" hidden="1" customHeight="1" x14ac:dyDescent="0.25">
      <c r="A461" s="74" t="str">
        <f ca="1">(SUMPRODUCT(MID(0&amp;(LEFT(A460,SUM(LEN(A460)-LEN(SUBSTITUTE(A460,{"0","1","2"},""))))), LARGE(INDEX(ISNUMBER(--MID((LEFT(A460,SUM(LEN(A460)-LEN(SUBSTITUTE(A460,{"0","1","2"},""))))), ROW(INDIRECT("1:"&amp;LEN((LEFT(A460,SUM(LEN(A460)-LEN(SUBSTITUTE(A460,{"0","1","2"},"")))))))), 1)) * ROW(INDIRECT("1:"&amp;LEN((LEFT(A460,SUM(LEN(A460)-LEN(SUBSTITUTE(A460,{"0","1","2"},"")))))))), 0), ROW(INDIRECT("1:"&amp;LEN((LEFT(A460,SUM(LEN(A460)-LEN(SUBSTITUTE(A460,{"0","1","2"},"")))))))))+1, 1) * 10^ROW(INDIRECT("1:"&amp;LEN((LEFT(A460,SUM(LEN(A460)-LEN(SUBSTITUTE(A460,{"0","1","2"},""))))))))/10))*1+1&amp;""&amp;" ,.., "&amp;""&amp;(SUMPRODUCT(MID(0&amp;(--TRIM(RIGHT(SUBSTITUTE(LEFT(A460,_xlfn.AGGREGATE(16,6,FIND({0,1,2,3,4,5,6,7,8,9},A460,ROW(INDIRECT("1:"&amp;LEN(A460)))),1))," ",REPT(" ",LEN(A460))),LEN(A460)))), LARGE(INDEX(ISNUMBER(--MID((--TRIM(RIGHT(SUBSTITUTE(LEFT(A460,_xlfn.AGGREGATE(16,6,FIND({0,1,2,3,4,5,6,7,8,9},A460,ROW(INDIRECT("1:"&amp;LEN(A460)))),1))," ",REPT(" ",LEN(A460))),LEN(A460)))), ROW(INDIRECT("1:"&amp;LEN((--TRIM(RIGHT(SUBSTITUTE(LEFT(A460,_xlfn.AGGREGATE(16,6,FIND({0,1,2,3,4,5,6,7,8,9},A460,ROW(INDIRECT("1:"&amp;LEN(A460)))),1))," ",REPT(" ",LEN(A460))),LEN(A460))))))), 1)) * ROW(INDIRECT("1:"&amp;LEN((--TRIM(RIGHT(SUBSTITUTE(LEFT(A460,_xlfn.AGGREGATE(16,6,FIND({0,1,2,3,4,5,6,7,8,9},A460,ROW(INDIRECT("1:"&amp;LEN(A460)))),1))," ",REPT(" ",LEN(A460))),LEN(A460))))))), 0), ROW(INDIRECT("1:"&amp;LEN((--TRIM(RIGHT(SUBSTITUTE(LEFT(A460,_xlfn.AGGREGATE(16,6,FIND({0,1,2,3,4,5,6,7,8,9},A460,ROW(INDIRECT("1:"&amp;LEN(A460)))),1))," ",REPT(" ",LEN(A460))),LEN(A460))))))))+1, 1) * 10^ROW(INDIRECT("1:"&amp;LEN((--TRIM(RIGHT(SUBSTITUTE(LEFT(A460,_xlfn.AGGREGATE(16,6,FIND({0,1,2,3,4,5,6,7,8,9},A460,ROW(INDIRECT("1:"&amp;LEN(A460)))),1))," ",REPT(" ",LEN(A460))),LEN(A460)))))))/10))*1+1</f>
        <v>305 ,.., 1505</v>
      </c>
      <c r="B461" s="75"/>
      <c r="C461" s="56"/>
      <c r="D461" s="43"/>
      <c r="E461" s="43">
        <v>0</v>
      </c>
      <c r="F461" s="43">
        <f>D461*(($F$167)+1)+(IF(E461&lt;101,E461,IF(E461&lt;201,E461/2,IF(E461&lt;=301,E461/3,E461/4))))</f>
        <v>0</v>
      </c>
      <c r="G461" s="74" t="str">
        <f>G460</f>
        <v>3rd, 5th, 7th, 9th, 11th, 13th, 15th Floor</v>
      </c>
      <c r="H461" s="75"/>
      <c r="I461" s="37"/>
    </row>
    <row r="462" spans="1:14" s="38" customFormat="1" hidden="1" x14ac:dyDescent="0.25">
      <c r="A462" s="123" t="s">
        <v>151</v>
      </c>
      <c r="B462" s="124"/>
      <c r="C462" s="124"/>
      <c r="D462" s="124"/>
      <c r="E462" s="124"/>
      <c r="F462" s="124"/>
      <c r="G462" s="124"/>
      <c r="H462" s="125"/>
      <c r="I462" s="37"/>
    </row>
    <row r="463" spans="1:14" s="38" customFormat="1" hidden="1" x14ac:dyDescent="0.25">
      <c r="A463" s="74" t="str">
        <f ca="1">(SUMPRODUCT(MID(0&amp;(LEFT(A462,SUM(LEN(A462)-LEN(SUBSTITUTE(A462,{"0","1","2"},""))))), LARGE(INDEX(ISNUMBER(--MID((LEFT(A462,SUM(LEN(A462)-LEN(SUBSTITUTE(A462,{"0","1","2"},""))))), ROW(INDIRECT("1:"&amp;LEN((LEFT(A462,SUM(LEN(A462)-LEN(SUBSTITUTE(A462,{"0","1","2"},"")))))))), 1)) * ROW(INDIRECT("1:"&amp;LEN((LEFT(A462,SUM(LEN(A462)-LEN(SUBSTITUTE(A462,{"0","1","2"},"")))))))), 0), ROW(INDIRECT("1:"&amp;LEN((LEFT(A462,SUM(LEN(A462)-LEN(SUBSTITUTE(A462,{"0","1","2"},"")))))))))+1, 1) * 10^ROW(INDIRECT("1:"&amp;LEN((LEFT(A462,SUM(LEN(A462)-LEN(SUBSTITUTE(A462,{"0","1","2"},""))))))))/10))*100+1&amp;""&amp;" to "&amp;""&amp;(SUMPRODUCT(MID(0&amp;(--TRIM(RIGHT(SUBSTITUTE(LEFT(A462,_xlfn.AGGREGATE(16,6,FIND({0,1,2,3,4,5,6,7,8,9},A462,ROW(INDIRECT("1:"&amp;LEN(A462)))),1))," ",REPT(" ",LEN(A462))),LEN(A462)))), LARGE(INDEX(ISNUMBER(--MID((--TRIM(RIGHT(SUBSTITUTE(LEFT(A462,_xlfn.AGGREGATE(16,6,FIND({0,1,2,3,4,5,6,7,8,9},A462,ROW(INDIRECT("1:"&amp;LEN(A462)))),1))," ",REPT(" ",LEN(A462))),LEN(A462)))), ROW(INDIRECT("1:"&amp;LEN((--TRIM(RIGHT(SUBSTITUTE(LEFT(A462,_xlfn.AGGREGATE(16,6,FIND({0,1,2,3,4,5,6,7,8,9},A462,ROW(INDIRECT("1:"&amp;LEN(A462)))),1))," ",REPT(" ",LEN(A462))),LEN(A462))))))), 1)) * ROW(INDIRECT("1:"&amp;LEN((--TRIM(RIGHT(SUBSTITUTE(LEFT(A462,_xlfn.AGGREGATE(16,6,FIND({0,1,2,3,4,5,6,7,8,9},A462,ROW(INDIRECT("1:"&amp;LEN(A462)))),1))," ",REPT(" ",LEN(A462))),LEN(A462))))))), 0), ROW(INDIRECT("1:"&amp;LEN((--TRIM(RIGHT(SUBSTITUTE(LEFT(A462,_xlfn.AGGREGATE(16,6,FIND({0,1,2,3,4,5,6,7,8,9},A462,ROW(INDIRECT("1:"&amp;LEN(A462)))),1))," ",REPT(" ",LEN(A462))),LEN(A462))))))))+1, 1) * 10^ROW(INDIRECT("1:"&amp;LEN((--TRIM(RIGHT(SUBSTITUTE(LEFT(A462,_xlfn.AGGREGATE(16,6,FIND({0,1,2,3,4,5,6,7,8,9},A462,ROW(INDIRECT("1:"&amp;LEN(A462)))),1))," ",REPT(" ",LEN(A462))),LEN(A462)))))))/10))*100+1</f>
        <v>201 to 501</v>
      </c>
      <c r="B463" s="75"/>
      <c r="C463" s="56"/>
      <c r="D463" s="43"/>
      <c r="E463" s="43">
        <v>0</v>
      </c>
      <c r="F463" s="43">
        <f>D463*(($F$167)+1)+(IF(E463&lt;101,E463,IF(E463&lt;201,E463/2,IF(E463&lt;=301,E463/3,E463/4))))</f>
        <v>0</v>
      </c>
      <c r="G463" s="74" t="str">
        <f>A462</f>
        <v>2nd to 5th Floor</v>
      </c>
      <c r="H463" s="75"/>
      <c r="I463" s="37"/>
    </row>
    <row r="464" spans="1:14" s="38" customFormat="1" hidden="1" x14ac:dyDescent="0.25">
      <c r="A464" s="74" t="str">
        <f ca="1">(SUMPRODUCT(MID(0&amp;(LEFT(A463,SUM(LEN(A463)-LEN(SUBSTITUTE(A463,{"0","1","2"},""))))), LARGE(INDEX(ISNUMBER(--MID((LEFT(A463,SUM(LEN(A463)-LEN(SUBSTITUTE(A463,{"0","1","2"},""))))), ROW(INDIRECT("1:"&amp;LEN((LEFT(A463,SUM(LEN(A463)-LEN(SUBSTITUTE(A463,{"0","1","2"},"")))))))), 1)) * ROW(INDIRECT("1:"&amp;LEN((LEFT(A463,SUM(LEN(A463)-LEN(SUBSTITUTE(A463,{"0","1","2"},"")))))))), 0), ROW(INDIRECT("1:"&amp;LEN((LEFT(A463,SUM(LEN(A463)-LEN(SUBSTITUTE(A463,{"0","1","2"},"")))))))))+1, 1) * 10^ROW(INDIRECT("1:"&amp;LEN((LEFT(A463,SUM(LEN(A463)-LEN(SUBSTITUTE(A463,{"0","1","2"},""))))))))/10))*1+1&amp;""&amp;" to "&amp;""&amp;(SUMPRODUCT(MID(0&amp;(--TRIM(RIGHT(SUBSTITUTE(LEFT(A463,_xlfn.AGGREGATE(16,6,FIND({0,1,2,3,4,5,6,7,8,9},A463,ROW(INDIRECT("1:"&amp;LEN(A463)))),1))," ",REPT(" ",LEN(A463))),LEN(A463)))), LARGE(INDEX(ISNUMBER(--MID((--TRIM(RIGHT(SUBSTITUTE(LEFT(A463,_xlfn.AGGREGATE(16,6,FIND({0,1,2,3,4,5,6,7,8,9},A463,ROW(INDIRECT("1:"&amp;LEN(A463)))),1))," ",REPT(" ",LEN(A463))),LEN(A463)))), ROW(INDIRECT("1:"&amp;LEN((--TRIM(RIGHT(SUBSTITUTE(LEFT(A463,_xlfn.AGGREGATE(16,6,FIND({0,1,2,3,4,5,6,7,8,9},A463,ROW(INDIRECT("1:"&amp;LEN(A463)))),1))," ",REPT(" ",LEN(A463))),LEN(A463))))))), 1)) * ROW(INDIRECT("1:"&amp;LEN((--TRIM(RIGHT(SUBSTITUTE(LEFT(A463,_xlfn.AGGREGATE(16,6,FIND({0,1,2,3,4,5,6,7,8,9},A463,ROW(INDIRECT("1:"&amp;LEN(A463)))),1))," ",REPT(" ",LEN(A463))),LEN(A463))))))), 0), ROW(INDIRECT("1:"&amp;LEN((--TRIM(RIGHT(SUBSTITUTE(LEFT(A463,_xlfn.AGGREGATE(16,6,FIND({0,1,2,3,4,5,6,7,8,9},A463,ROW(INDIRECT("1:"&amp;LEN(A463)))),1))," ",REPT(" ",LEN(A463))),LEN(A463))))))))+1, 1) * 10^ROW(INDIRECT("1:"&amp;LEN((--TRIM(RIGHT(SUBSTITUTE(LEFT(A463,_xlfn.AGGREGATE(16,6,FIND({0,1,2,3,4,5,6,7,8,9},A463,ROW(INDIRECT("1:"&amp;LEN(A463)))),1))," ",REPT(" ",LEN(A463))),LEN(A463)))))))/10))*1+1</f>
        <v>202 to 502</v>
      </c>
      <c r="B464" s="75"/>
      <c r="C464" s="56"/>
      <c r="D464" s="43"/>
      <c r="E464" s="43">
        <v>0</v>
      </c>
      <c r="F464" s="43">
        <f>D464*(($F$167)+1)+(IF(E464&lt;101,E464,IF(E464&lt;201,E464/2,IF(E464&lt;=301,E464/3,E464/4))))</f>
        <v>0</v>
      </c>
      <c r="G464" s="74" t="str">
        <f>G463</f>
        <v>2nd to 5th Floor</v>
      </c>
      <c r="H464" s="75"/>
      <c r="I464" s="37"/>
    </row>
    <row r="465" spans="1:9" s="38" customFormat="1" hidden="1" x14ac:dyDescent="0.25">
      <c r="A465" s="74" t="str">
        <f ca="1">(SUMPRODUCT(MID(0&amp;(LEFT(A464,SUM(LEN(A464)-LEN(SUBSTITUTE(A464,{"0","1","2"},""))))), LARGE(INDEX(ISNUMBER(--MID((LEFT(A464,SUM(LEN(A464)-LEN(SUBSTITUTE(A464,{"0","1","2"},""))))), ROW(INDIRECT("1:"&amp;LEN((LEFT(A464,SUM(LEN(A464)-LEN(SUBSTITUTE(A464,{"0","1","2"},"")))))))), 1)) * ROW(INDIRECT("1:"&amp;LEN((LEFT(A464,SUM(LEN(A464)-LEN(SUBSTITUTE(A464,{"0","1","2"},"")))))))), 0), ROW(INDIRECT("1:"&amp;LEN((LEFT(A464,SUM(LEN(A464)-LEN(SUBSTITUTE(A464,{"0","1","2"},"")))))))))+1, 1) * 10^ROW(INDIRECT("1:"&amp;LEN((LEFT(A464,SUM(LEN(A464)-LEN(SUBSTITUTE(A464,{"0","1","2"},""))))))))/10))*1+1&amp;""&amp;" to "&amp;""&amp;(SUMPRODUCT(MID(0&amp;(--TRIM(RIGHT(SUBSTITUTE(LEFT(A464,_xlfn.AGGREGATE(16,6,FIND({0,1,2,3,4,5,6,7,8,9},A464,ROW(INDIRECT("1:"&amp;LEN(A464)))),1))," ",REPT(" ",LEN(A464))),LEN(A464)))), LARGE(INDEX(ISNUMBER(--MID((--TRIM(RIGHT(SUBSTITUTE(LEFT(A464,_xlfn.AGGREGATE(16,6,FIND({0,1,2,3,4,5,6,7,8,9},A464,ROW(INDIRECT("1:"&amp;LEN(A464)))),1))," ",REPT(" ",LEN(A464))),LEN(A464)))), ROW(INDIRECT("1:"&amp;LEN((--TRIM(RIGHT(SUBSTITUTE(LEFT(A464,_xlfn.AGGREGATE(16,6,FIND({0,1,2,3,4,5,6,7,8,9},A464,ROW(INDIRECT("1:"&amp;LEN(A464)))),1))," ",REPT(" ",LEN(A464))),LEN(A464))))))), 1)) * ROW(INDIRECT("1:"&amp;LEN((--TRIM(RIGHT(SUBSTITUTE(LEFT(A464,_xlfn.AGGREGATE(16,6,FIND({0,1,2,3,4,5,6,7,8,9},A464,ROW(INDIRECT("1:"&amp;LEN(A464)))),1))," ",REPT(" ",LEN(A464))),LEN(A464))))))), 0), ROW(INDIRECT("1:"&amp;LEN((--TRIM(RIGHT(SUBSTITUTE(LEFT(A464,_xlfn.AGGREGATE(16,6,FIND({0,1,2,3,4,5,6,7,8,9},A464,ROW(INDIRECT("1:"&amp;LEN(A464)))),1))," ",REPT(" ",LEN(A464))),LEN(A464))))))))+1, 1) * 10^ROW(INDIRECT("1:"&amp;LEN((--TRIM(RIGHT(SUBSTITUTE(LEFT(A464,_xlfn.AGGREGATE(16,6,FIND({0,1,2,3,4,5,6,7,8,9},A464,ROW(INDIRECT("1:"&amp;LEN(A464)))),1))," ",REPT(" ",LEN(A464))),LEN(A464)))))))/10))*1+1</f>
        <v>203 to 503</v>
      </c>
      <c r="B465" s="75"/>
      <c r="C465" s="56"/>
      <c r="D465" s="43"/>
      <c r="E465" s="43">
        <v>0</v>
      </c>
      <c r="F465" s="43">
        <f>D465*(($F$167)+1)+(IF(E465&lt;101,E465,IF(E465&lt;201,E465/2,IF(E465&lt;=301,E465/3,E465/4))))</f>
        <v>0</v>
      </c>
      <c r="G465" s="74" t="str">
        <f>G464</f>
        <v>2nd to 5th Floor</v>
      </c>
      <c r="H465" s="75"/>
      <c r="I465" s="37"/>
    </row>
    <row r="466" spans="1:9" s="38" customFormat="1" hidden="1" x14ac:dyDescent="0.25">
      <c r="A466" s="74" t="str">
        <f ca="1">(SUMPRODUCT(MID(0&amp;(LEFT(A465,SUM(LEN(A465)-LEN(SUBSTITUTE(A465,{"0","1","2"},""))))), LARGE(INDEX(ISNUMBER(--MID((LEFT(A465,SUM(LEN(A465)-LEN(SUBSTITUTE(A465,{"0","1","2"},""))))), ROW(INDIRECT("1:"&amp;LEN((LEFT(A465,SUM(LEN(A465)-LEN(SUBSTITUTE(A465,{"0","1","2"},"")))))))), 1)) * ROW(INDIRECT("1:"&amp;LEN((LEFT(A465,SUM(LEN(A465)-LEN(SUBSTITUTE(A465,{"0","1","2"},"")))))))), 0), ROW(INDIRECT("1:"&amp;LEN((LEFT(A465,SUM(LEN(A465)-LEN(SUBSTITUTE(A465,{"0","1","2"},"")))))))))+1, 1) * 10^ROW(INDIRECT("1:"&amp;LEN((LEFT(A465,SUM(LEN(A465)-LEN(SUBSTITUTE(A465,{"0","1","2"},""))))))))/10))*1+1&amp;""&amp;" to "&amp;""&amp;(SUMPRODUCT(MID(0&amp;(--TRIM(RIGHT(SUBSTITUTE(LEFT(A465,_xlfn.AGGREGATE(16,6,FIND({0,1,2,3,4,5,6,7,8,9},A465,ROW(INDIRECT("1:"&amp;LEN(A465)))),1))," ",REPT(" ",LEN(A465))),LEN(A465)))), LARGE(INDEX(ISNUMBER(--MID((--TRIM(RIGHT(SUBSTITUTE(LEFT(A465,_xlfn.AGGREGATE(16,6,FIND({0,1,2,3,4,5,6,7,8,9},A465,ROW(INDIRECT("1:"&amp;LEN(A465)))),1))," ",REPT(" ",LEN(A465))),LEN(A465)))), ROW(INDIRECT("1:"&amp;LEN((--TRIM(RIGHT(SUBSTITUTE(LEFT(A465,_xlfn.AGGREGATE(16,6,FIND({0,1,2,3,4,5,6,7,8,9},A465,ROW(INDIRECT("1:"&amp;LEN(A465)))),1))," ",REPT(" ",LEN(A465))),LEN(A465))))))), 1)) * ROW(INDIRECT("1:"&amp;LEN((--TRIM(RIGHT(SUBSTITUTE(LEFT(A465,_xlfn.AGGREGATE(16,6,FIND({0,1,2,3,4,5,6,7,8,9},A465,ROW(INDIRECT("1:"&amp;LEN(A465)))),1))," ",REPT(" ",LEN(A465))),LEN(A465))))))), 0), ROW(INDIRECT("1:"&amp;LEN((--TRIM(RIGHT(SUBSTITUTE(LEFT(A465,_xlfn.AGGREGATE(16,6,FIND({0,1,2,3,4,5,6,7,8,9},A465,ROW(INDIRECT("1:"&amp;LEN(A465)))),1))," ",REPT(" ",LEN(A465))),LEN(A465))))))))+1, 1) * 10^ROW(INDIRECT("1:"&amp;LEN((--TRIM(RIGHT(SUBSTITUTE(LEFT(A465,_xlfn.AGGREGATE(16,6,FIND({0,1,2,3,4,5,6,7,8,9},A465,ROW(INDIRECT("1:"&amp;LEN(A465)))),1))," ",REPT(" ",LEN(A465))),LEN(A465)))))))/10))*1+1</f>
        <v>204 to 504</v>
      </c>
      <c r="B466" s="75"/>
      <c r="C466" s="56"/>
      <c r="D466" s="43"/>
      <c r="E466" s="43">
        <v>0</v>
      </c>
      <c r="F466" s="43">
        <f>D466*(($F$167)+1)+(IF(E466&lt;101,E466,IF(E466&lt;201,E466/2,IF(E466&lt;=301,E466/3,E466/4))))</f>
        <v>0</v>
      </c>
      <c r="G466" s="74" t="str">
        <f>G465</f>
        <v>2nd to 5th Floor</v>
      </c>
      <c r="H466" s="75"/>
      <c r="I466" s="37"/>
    </row>
    <row r="467" spans="1:9" s="38" customFormat="1" hidden="1" x14ac:dyDescent="0.25">
      <c r="A467" s="74" t="str">
        <f ca="1">(SUMPRODUCT(MID(0&amp;(LEFT(A466,SUM(LEN(A466)-LEN(SUBSTITUTE(A466,{"0","1","2"},""))))), LARGE(INDEX(ISNUMBER(--MID((LEFT(A466,SUM(LEN(A466)-LEN(SUBSTITUTE(A466,{"0","1","2"},""))))), ROW(INDIRECT("1:"&amp;LEN((LEFT(A466,SUM(LEN(A466)-LEN(SUBSTITUTE(A466,{"0","1","2"},"")))))))), 1)) * ROW(INDIRECT("1:"&amp;LEN((LEFT(A466,SUM(LEN(A466)-LEN(SUBSTITUTE(A466,{"0","1","2"},"")))))))), 0), ROW(INDIRECT("1:"&amp;LEN((LEFT(A466,SUM(LEN(A466)-LEN(SUBSTITUTE(A466,{"0","1","2"},"")))))))))+1, 1) * 10^ROW(INDIRECT("1:"&amp;LEN((LEFT(A466,SUM(LEN(A466)-LEN(SUBSTITUTE(A466,{"0","1","2"},""))))))))/10))*1+1&amp;""&amp;" to "&amp;""&amp;(SUMPRODUCT(MID(0&amp;(--TRIM(RIGHT(SUBSTITUTE(LEFT(A466,_xlfn.AGGREGATE(16,6,FIND({0,1,2,3,4,5,6,7,8,9},A466,ROW(INDIRECT("1:"&amp;LEN(A466)))),1))," ",REPT(" ",LEN(A466))),LEN(A466)))), LARGE(INDEX(ISNUMBER(--MID((--TRIM(RIGHT(SUBSTITUTE(LEFT(A466,_xlfn.AGGREGATE(16,6,FIND({0,1,2,3,4,5,6,7,8,9},A466,ROW(INDIRECT("1:"&amp;LEN(A466)))),1))," ",REPT(" ",LEN(A466))),LEN(A466)))), ROW(INDIRECT("1:"&amp;LEN((--TRIM(RIGHT(SUBSTITUTE(LEFT(A466,_xlfn.AGGREGATE(16,6,FIND({0,1,2,3,4,5,6,7,8,9},A466,ROW(INDIRECT("1:"&amp;LEN(A466)))),1))," ",REPT(" ",LEN(A466))),LEN(A466))))))), 1)) * ROW(INDIRECT("1:"&amp;LEN((--TRIM(RIGHT(SUBSTITUTE(LEFT(A466,_xlfn.AGGREGATE(16,6,FIND({0,1,2,3,4,5,6,7,8,9},A466,ROW(INDIRECT("1:"&amp;LEN(A466)))),1))," ",REPT(" ",LEN(A466))),LEN(A466))))))), 0), ROW(INDIRECT("1:"&amp;LEN((--TRIM(RIGHT(SUBSTITUTE(LEFT(A466,_xlfn.AGGREGATE(16,6,FIND({0,1,2,3,4,5,6,7,8,9},A466,ROW(INDIRECT("1:"&amp;LEN(A466)))),1))," ",REPT(" ",LEN(A466))),LEN(A466))))))))+1, 1) * 10^ROW(INDIRECT("1:"&amp;LEN((--TRIM(RIGHT(SUBSTITUTE(LEFT(A466,_xlfn.AGGREGATE(16,6,FIND({0,1,2,3,4,5,6,7,8,9},A466,ROW(INDIRECT("1:"&amp;LEN(A466)))),1))," ",REPT(" ",LEN(A466))),LEN(A466)))))))/10))*1+1</f>
        <v>205 to 505</v>
      </c>
      <c r="B467" s="75"/>
      <c r="C467" s="56"/>
      <c r="D467" s="43"/>
      <c r="E467" s="43">
        <v>0</v>
      </c>
      <c r="F467" s="43">
        <f>D467*(($F$167)+1)+(IF(E467&lt;101,E467,IF(E467&lt;201,E467/2,IF(E467&lt;=301,E467/3,E467/4))))</f>
        <v>0</v>
      </c>
      <c r="G467" s="74" t="str">
        <f>G466</f>
        <v>2nd to 5th Floor</v>
      </c>
      <c r="H467" s="75"/>
      <c r="I467" s="37"/>
    </row>
    <row r="468" spans="1:9" s="38" customFormat="1" hidden="1" x14ac:dyDescent="0.25">
      <c r="A468" s="123" t="s">
        <v>152</v>
      </c>
      <c r="B468" s="124"/>
      <c r="C468" s="124"/>
      <c r="D468" s="124"/>
      <c r="E468" s="124"/>
      <c r="F468" s="124"/>
      <c r="G468" s="124"/>
      <c r="H468" s="125"/>
      <c r="I468" s="37"/>
    </row>
    <row r="469" spans="1:9" s="38" customFormat="1" hidden="1" x14ac:dyDescent="0.25">
      <c r="A469" s="74" t="str">
        <f ca="1">(SUMPRODUCT(MID(0&amp;(LEFT(A468,SUM(LEN(A468)-LEN(SUBSTITUTE(A468,{"0","1","2"},""))))), LARGE(INDEX(ISNUMBER(--MID((LEFT(A468,SUM(LEN(A468)-LEN(SUBSTITUTE(A468,{"0","1","2"},""))))), ROW(INDIRECT("1:"&amp;LEN((LEFT(A468,SUM(LEN(A468)-LEN(SUBSTITUTE(A468,{"0","1","2"},"")))))))), 1)) * ROW(INDIRECT("1:"&amp;LEN((LEFT(A468,SUM(LEN(A468)-LEN(SUBSTITUTE(A468,{"0","1","2"},"")))))))), 0), ROW(INDIRECT("1:"&amp;LEN((LEFT(A468,SUM(LEN(A468)-LEN(SUBSTITUTE(A468,{"0","1","2"},"")))))))))+1, 1) * 10^ROW(INDIRECT("1:"&amp;LEN((LEFT(A468,SUM(LEN(A468)-LEN(SUBSTITUTE(A468,{"0","1","2"},""))))))))/10))*100+1&amp;""&amp;" &amp; "&amp;""&amp;(SUMPRODUCT(MID(0&amp;(--TRIM(RIGHT(SUBSTITUTE(LEFT(A468,_xlfn.AGGREGATE(16,6,FIND({0,1,2,3,4,5,6,7,8,9},A468,ROW(INDIRECT("1:"&amp;LEN(A468)))),1))," ",REPT(" ",LEN(A468))),LEN(A468)))), LARGE(INDEX(ISNUMBER(--MID((--TRIM(RIGHT(SUBSTITUTE(LEFT(A468,_xlfn.AGGREGATE(16,6,FIND({0,1,2,3,4,5,6,7,8,9},A468,ROW(INDIRECT("1:"&amp;LEN(A468)))),1))," ",REPT(" ",LEN(A468))),LEN(A468)))), ROW(INDIRECT("1:"&amp;LEN((--TRIM(RIGHT(SUBSTITUTE(LEFT(A468,_xlfn.AGGREGATE(16,6,FIND({0,1,2,3,4,5,6,7,8,9},A468,ROW(INDIRECT("1:"&amp;LEN(A468)))),1))," ",REPT(" ",LEN(A468))),LEN(A468))))))), 1)) * ROW(INDIRECT("1:"&amp;LEN((--TRIM(RIGHT(SUBSTITUTE(LEFT(A468,_xlfn.AGGREGATE(16,6,FIND({0,1,2,3,4,5,6,7,8,9},A468,ROW(INDIRECT("1:"&amp;LEN(A468)))),1))," ",REPT(" ",LEN(A468))),LEN(A468))))))), 0), ROW(INDIRECT("1:"&amp;LEN((--TRIM(RIGHT(SUBSTITUTE(LEFT(A468,_xlfn.AGGREGATE(16,6,FIND({0,1,2,3,4,5,6,7,8,9},A468,ROW(INDIRECT("1:"&amp;LEN(A468)))),1))," ",REPT(" ",LEN(A468))),LEN(A468))))))))+1, 1) * 10^ROW(INDIRECT("1:"&amp;LEN((--TRIM(RIGHT(SUBSTITUTE(LEFT(A468,_xlfn.AGGREGATE(16,6,FIND({0,1,2,3,4,5,6,7,8,9},A468,ROW(INDIRECT("1:"&amp;LEN(A468)))),1))," ",REPT(" ",LEN(A468))),LEN(A468)))))))/10))*100+1</f>
        <v>201 &amp; 501</v>
      </c>
      <c r="B469" s="75"/>
      <c r="C469" s="56"/>
      <c r="D469" s="43"/>
      <c r="E469" s="43">
        <v>0</v>
      </c>
      <c r="F469" s="43">
        <f>D469*(($F$167)+1)+(IF(E469&lt;101,E469,IF(E469&lt;201,E469/2,IF(E469&lt;=301,E469/3,E469/4))))</f>
        <v>0</v>
      </c>
      <c r="G469" s="74" t="str">
        <f>A468</f>
        <v>2nd &amp; 5th Floor</v>
      </c>
      <c r="H469" s="75"/>
      <c r="I469" s="37"/>
    </row>
    <row r="470" spans="1:9" s="38" customFormat="1" hidden="1" x14ac:dyDescent="0.25">
      <c r="A470" s="74" t="str">
        <f ca="1">(SUMPRODUCT(MID(0&amp;(LEFT(A469,SUM(LEN(A469)-LEN(SUBSTITUTE(A469,{"0","1","2"},""))))), LARGE(INDEX(ISNUMBER(--MID((LEFT(A469,SUM(LEN(A469)-LEN(SUBSTITUTE(A469,{"0","1","2"},""))))), ROW(INDIRECT("1:"&amp;LEN((LEFT(A469,SUM(LEN(A469)-LEN(SUBSTITUTE(A469,{"0","1","2"},"")))))))), 1)) * ROW(INDIRECT("1:"&amp;LEN((LEFT(A469,SUM(LEN(A469)-LEN(SUBSTITUTE(A469,{"0","1","2"},"")))))))), 0), ROW(INDIRECT("1:"&amp;LEN((LEFT(A469,SUM(LEN(A469)-LEN(SUBSTITUTE(A469,{"0","1","2"},"")))))))))+1, 1) * 10^ROW(INDIRECT("1:"&amp;LEN((LEFT(A469,SUM(LEN(A469)-LEN(SUBSTITUTE(A469,{"0","1","2"},""))))))))/10))*1+1&amp;""&amp;" &amp; "&amp;""&amp;(SUMPRODUCT(MID(0&amp;(--TRIM(RIGHT(SUBSTITUTE(LEFT(A469,_xlfn.AGGREGATE(16,6,FIND({0,1,2,3,4,5,6,7,8,9},A469,ROW(INDIRECT("1:"&amp;LEN(A469)))),1))," ",REPT(" ",LEN(A469))),LEN(A469)))), LARGE(INDEX(ISNUMBER(--MID((--TRIM(RIGHT(SUBSTITUTE(LEFT(A469,_xlfn.AGGREGATE(16,6,FIND({0,1,2,3,4,5,6,7,8,9},A469,ROW(INDIRECT("1:"&amp;LEN(A469)))),1))," ",REPT(" ",LEN(A469))),LEN(A469)))), ROW(INDIRECT("1:"&amp;LEN((--TRIM(RIGHT(SUBSTITUTE(LEFT(A469,_xlfn.AGGREGATE(16,6,FIND({0,1,2,3,4,5,6,7,8,9},A469,ROW(INDIRECT("1:"&amp;LEN(A469)))),1))," ",REPT(" ",LEN(A469))),LEN(A469))))))), 1)) * ROW(INDIRECT("1:"&amp;LEN((--TRIM(RIGHT(SUBSTITUTE(LEFT(A469,_xlfn.AGGREGATE(16,6,FIND({0,1,2,3,4,5,6,7,8,9},A469,ROW(INDIRECT("1:"&amp;LEN(A469)))),1))," ",REPT(" ",LEN(A469))),LEN(A469))))))), 0), ROW(INDIRECT("1:"&amp;LEN((--TRIM(RIGHT(SUBSTITUTE(LEFT(A469,_xlfn.AGGREGATE(16,6,FIND({0,1,2,3,4,5,6,7,8,9},A469,ROW(INDIRECT("1:"&amp;LEN(A469)))),1))," ",REPT(" ",LEN(A469))),LEN(A469))))))))+1, 1) * 10^ROW(INDIRECT("1:"&amp;LEN((--TRIM(RIGHT(SUBSTITUTE(LEFT(A469,_xlfn.AGGREGATE(16,6,FIND({0,1,2,3,4,5,6,7,8,9},A469,ROW(INDIRECT("1:"&amp;LEN(A469)))),1))," ",REPT(" ",LEN(A469))),LEN(A469)))))))/10))*1+1</f>
        <v>202 &amp; 502</v>
      </c>
      <c r="B470" s="75"/>
      <c r="C470" s="56"/>
      <c r="D470" s="43"/>
      <c r="E470" s="43">
        <v>0</v>
      </c>
      <c r="F470" s="43">
        <f>D470*(($F$167)+1)+(IF(E470&lt;101,E470,IF(E470&lt;201,E470/2,IF(E470&lt;=301,E470/3,E470/4))))</f>
        <v>0</v>
      </c>
      <c r="G470" s="74" t="str">
        <f t="shared" ref="G470:G473" si="76">G469</f>
        <v>2nd &amp; 5th Floor</v>
      </c>
      <c r="H470" s="75"/>
      <c r="I470" s="37"/>
    </row>
    <row r="471" spans="1:9" s="38" customFormat="1" hidden="1" x14ac:dyDescent="0.25">
      <c r="A471" s="74" t="str">
        <f ca="1">(SUMPRODUCT(MID(0&amp;(LEFT(A470,SUM(LEN(A470)-LEN(SUBSTITUTE(A470,{"0","1","2"},""))))), LARGE(INDEX(ISNUMBER(--MID((LEFT(A470,SUM(LEN(A470)-LEN(SUBSTITUTE(A470,{"0","1","2"},""))))), ROW(INDIRECT("1:"&amp;LEN((LEFT(A470,SUM(LEN(A470)-LEN(SUBSTITUTE(A470,{"0","1","2"},"")))))))), 1)) * ROW(INDIRECT("1:"&amp;LEN((LEFT(A470,SUM(LEN(A470)-LEN(SUBSTITUTE(A470,{"0","1","2"},"")))))))), 0), ROW(INDIRECT("1:"&amp;LEN((LEFT(A470,SUM(LEN(A470)-LEN(SUBSTITUTE(A470,{"0","1","2"},"")))))))))+1, 1) * 10^ROW(INDIRECT("1:"&amp;LEN((LEFT(A470,SUM(LEN(A470)-LEN(SUBSTITUTE(A470,{"0","1","2"},""))))))))/10))*1+1&amp;""&amp;" &amp; "&amp;""&amp;(SUMPRODUCT(MID(0&amp;(--TRIM(RIGHT(SUBSTITUTE(LEFT(A470,_xlfn.AGGREGATE(16,6,FIND({0,1,2,3,4,5,6,7,8,9},A470,ROW(INDIRECT("1:"&amp;LEN(A470)))),1))," ",REPT(" ",LEN(A470))),LEN(A470)))), LARGE(INDEX(ISNUMBER(--MID((--TRIM(RIGHT(SUBSTITUTE(LEFT(A470,_xlfn.AGGREGATE(16,6,FIND({0,1,2,3,4,5,6,7,8,9},A470,ROW(INDIRECT("1:"&amp;LEN(A470)))),1))," ",REPT(" ",LEN(A470))),LEN(A470)))), ROW(INDIRECT("1:"&amp;LEN((--TRIM(RIGHT(SUBSTITUTE(LEFT(A470,_xlfn.AGGREGATE(16,6,FIND({0,1,2,3,4,5,6,7,8,9},A470,ROW(INDIRECT("1:"&amp;LEN(A470)))),1))," ",REPT(" ",LEN(A470))),LEN(A470))))))), 1)) * ROW(INDIRECT("1:"&amp;LEN((--TRIM(RIGHT(SUBSTITUTE(LEFT(A470,_xlfn.AGGREGATE(16,6,FIND({0,1,2,3,4,5,6,7,8,9},A470,ROW(INDIRECT("1:"&amp;LEN(A470)))),1))," ",REPT(" ",LEN(A470))),LEN(A470))))))), 0), ROW(INDIRECT("1:"&amp;LEN((--TRIM(RIGHT(SUBSTITUTE(LEFT(A470,_xlfn.AGGREGATE(16,6,FIND({0,1,2,3,4,5,6,7,8,9},A470,ROW(INDIRECT("1:"&amp;LEN(A470)))),1))," ",REPT(" ",LEN(A470))),LEN(A470))))))))+1, 1) * 10^ROW(INDIRECT("1:"&amp;LEN((--TRIM(RIGHT(SUBSTITUTE(LEFT(A470,_xlfn.AGGREGATE(16,6,FIND({0,1,2,3,4,5,6,7,8,9},A470,ROW(INDIRECT("1:"&amp;LEN(A470)))),1))," ",REPT(" ",LEN(A470))),LEN(A470)))))))/10))*1+1</f>
        <v>203 &amp; 503</v>
      </c>
      <c r="B471" s="75"/>
      <c r="C471" s="56"/>
      <c r="D471" s="43"/>
      <c r="E471" s="43">
        <v>0</v>
      </c>
      <c r="F471" s="43">
        <f>D471*(($F$167)+1)+(IF(E471&lt;101,E471,IF(E471&lt;201,E471/2,IF(E471&lt;=301,E471/3,E471/4))))</f>
        <v>0</v>
      </c>
      <c r="G471" s="74" t="str">
        <f t="shared" si="76"/>
        <v>2nd &amp; 5th Floor</v>
      </c>
      <c r="H471" s="75"/>
      <c r="I471" s="37"/>
    </row>
    <row r="472" spans="1:9" s="38" customFormat="1" hidden="1" x14ac:dyDescent="0.25">
      <c r="A472" s="74" t="str">
        <f ca="1">(SUMPRODUCT(MID(0&amp;(LEFT(A471,SUM(LEN(A471)-LEN(SUBSTITUTE(A471,{"0","1","2"},""))))), LARGE(INDEX(ISNUMBER(--MID((LEFT(A471,SUM(LEN(A471)-LEN(SUBSTITUTE(A471,{"0","1","2"},""))))), ROW(INDIRECT("1:"&amp;LEN((LEFT(A471,SUM(LEN(A471)-LEN(SUBSTITUTE(A471,{"0","1","2"},"")))))))), 1)) * ROW(INDIRECT("1:"&amp;LEN((LEFT(A471,SUM(LEN(A471)-LEN(SUBSTITUTE(A471,{"0","1","2"},"")))))))), 0), ROW(INDIRECT("1:"&amp;LEN((LEFT(A471,SUM(LEN(A471)-LEN(SUBSTITUTE(A471,{"0","1","2"},"")))))))))+1, 1) * 10^ROW(INDIRECT("1:"&amp;LEN((LEFT(A471,SUM(LEN(A471)-LEN(SUBSTITUTE(A471,{"0","1","2"},""))))))))/10))*1+1&amp;""&amp;" &amp; "&amp;""&amp;(SUMPRODUCT(MID(0&amp;(--TRIM(RIGHT(SUBSTITUTE(LEFT(A471,_xlfn.AGGREGATE(16,6,FIND({0,1,2,3,4,5,6,7,8,9},A471,ROW(INDIRECT("1:"&amp;LEN(A471)))),1))," ",REPT(" ",LEN(A471))),LEN(A471)))), LARGE(INDEX(ISNUMBER(--MID((--TRIM(RIGHT(SUBSTITUTE(LEFT(A471,_xlfn.AGGREGATE(16,6,FIND({0,1,2,3,4,5,6,7,8,9},A471,ROW(INDIRECT("1:"&amp;LEN(A471)))),1))," ",REPT(" ",LEN(A471))),LEN(A471)))), ROW(INDIRECT("1:"&amp;LEN((--TRIM(RIGHT(SUBSTITUTE(LEFT(A471,_xlfn.AGGREGATE(16,6,FIND({0,1,2,3,4,5,6,7,8,9},A471,ROW(INDIRECT("1:"&amp;LEN(A471)))),1))," ",REPT(" ",LEN(A471))),LEN(A471))))))), 1)) * ROW(INDIRECT("1:"&amp;LEN((--TRIM(RIGHT(SUBSTITUTE(LEFT(A471,_xlfn.AGGREGATE(16,6,FIND({0,1,2,3,4,5,6,7,8,9},A471,ROW(INDIRECT("1:"&amp;LEN(A471)))),1))," ",REPT(" ",LEN(A471))),LEN(A471))))))), 0), ROW(INDIRECT("1:"&amp;LEN((--TRIM(RIGHT(SUBSTITUTE(LEFT(A471,_xlfn.AGGREGATE(16,6,FIND({0,1,2,3,4,5,6,7,8,9},A471,ROW(INDIRECT("1:"&amp;LEN(A471)))),1))," ",REPT(" ",LEN(A471))),LEN(A471))))))))+1, 1) * 10^ROW(INDIRECT("1:"&amp;LEN((--TRIM(RIGHT(SUBSTITUTE(LEFT(A471,_xlfn.AGGREGATE(16,6,FIND({0,1,2,3,4,5,6,7,8,9},A471,ROW(INDIRECT("1:"&amp;LEN(A471)))),1))," ",REPT(" ",LEN(A471))),LEN(A471)))))))/10))*1+1</f>
        <v>204 &amp; 504</v>
      </c>
      <c r="B472" s="75"/>
      <c r="C472" s="56"/>
      <c r="D472" s="43"/>
      <c r="E472" s="43">
        <v>0</v>
      </c>
      <c r="F472" s="43">
        <f>D472*(($F$167)+1)+(IF(E472&lt;101,E472,IF(E472&lt;201,E472/2,IF(E472&lt;=301,E472/3,E472/4))))</f>
        <v>0</v>
      </c>
      <c r="G472" s="74" t="str">
        <f t="shared" si="76"/>
        <v>2nd &amp; 5th Floor</v>
      </c>
      <c r="H472" s="75"/>
      <c r="I472" s="37"/>
    </row>
    <row r="473" spans="1:9" s="38" customFormat="1" hidden="1" x14ac:dyDescent="0.25">
      <c r="A473" s="74" t="str">
        <f ca="1">(SUMPRODUCT(MID(0&amp;(LEFT(A472,SUM(LEN(A472)-LEN(SUBSTITUTE(A472,{"0","1","2"},""))))), LARGE(INDEX(ISNUMBER(--MID((LEFT(A472,SUM(LEN(A472)-LEN(SUBSTITUTE(A472,{"0","1","2"},""))))), ROW(INDIRECT("1:"&amp;LEN((LEFT(A472,SUM(LEN(A472)-LEN(SUBSTITUTE(A472,{"0","1","2"},"")))))))), 1)) * ROW(INDIRECT("1:"&amp;LEN((LEFT(A472,SUM(LEN(A472)-LEN(SUBSTITUTE(A472,{"0","1","2"},"")))))))), 0), ROW(INDIRECT("1:"&amp;LEN((LEFT(A472,SUM(LEN(A472)-LEN(SUBSTITUTE(A472,{"0","1","2"},"")))))))))+1, 1) * 10^ROW(INDIRECT("1:"&amp;LEN((LEFT(A472,SUM(LEN(A472)-LEN(SUBSTITUTE(A472,{"0","1","2"},""))))))))/10))*1+1&amp;""&amp;" &amp; "&amp;""&amp;(SUMPRODUCT(MID(0&amp;(--TRIM(RIGHT(SUBSTITUTE(LEFT(A472,_xlfn.AGGREGATE(16,6,FIND({0,1,2,3,4,5,6,7,8,9},A472,ROW(INDIRECT("1:"&amp;LEN(A472)))),1))," ",REPT(" ",LEN(A472))),LEN(A472)))), LARGE(INDEX(ISNUMBER(--MID((--TRIM(RIGHT(SUBSTITUTE(LEFT(A472,_xlfn.AGGREGATE(16,6,FIND({0,1,2,3,4,5,6,7,8,9},A472,ROW(INDIRECT("1:"&amp;LEN(A472)))),1))," ",REPT(" ",LEN(A472))),LEN(A472)))), ROW(INDIRECT("1:"&amp;LEN((--TRIM(RIGHT(SUBSTITUTE(LEFT(A472,_xlfn.AGGREGATE(16,6,FIND({0,1,2,3,4,5,6,7,8,9},A472,ROW(INDIRECT("1:"&amp;LEN(A472)))),1))," ",REPT(" ",LEN(A472))),LEN(A472))))))), 1)) * ROW(INDIRECT("1:"&amp;LEN((--TRIM(RIGHT(SUBSTITUTE(LEFT(A472,_xlfn.AGGREGATE(16,6,FIND({0,1,2,3,4,5,6,7,8,9},A472,ROW(INDIRECT("1:"&amp;LEN(A472)))),1))," ",REPT(" ",LEN(A472))),LEN(A472))))))), 0), ROW(INDIRECT("1:"&amp;LEN((--TRIM(RIGHT(SUBSTITUTE(LEFT(A472,_xlfn.AGGREGATE(16,6,FIND({0,1,2,3,4,5,6,7,8,9},A472,ROW(INDIRECT("1:"&amp;LEN(A472)))),1))," ",REPT(" ",LEN(A472))),LEN(A472))))))))+1, 1) * 10^ROW(INDIRECT("1:"&amp;LEN((--TRIM(RIGHT(SUBSTITUTE(LEFT(A472,_xlfn.AGGREGATE(16,6,FIND({0,1,2,3,4,5,6,7,8,9},A472,ROW(INDIRECT("1:"&amp;LEN(A472)))),1))," ",REPT(" ",LEN(A472))),LEN(A472)))))))/10))*1+1</f>
        <v>205 &amp; 505</v>
      </c>
      <c r="B473" s="75"/>
      <c r="C473" s="56"/>
      <c r="D473" s="43"/>
      <c r="E473" s="43">
        <v>0</v>
      </c>
      <c r="F473" s="43">
        <f>D473*(($F$167)+1)+(IF(E473&lt;101,E473,IF(E473&lt;201,E473/2,IF(E473&lt;=301,E473/3,E473/4))))</f>
        <v>0</v>
      </c>
      <c r="G473" s="74" t="str">
        <f t="shared" si="76"/>
        <v>2nd &amp; 5th Floor</v>
      </c>
      <c r="H473" s="75"/>
      <c r="I473" s="37"/>
    </row>
    <row r="474" spans="1:9" s="36" customFormat="1" x14ac:dyDescent="0.25">
      <c r="A474" s="192" t="s">
        <v>70</v>
      </c>
      <c r="B474" s="192"/>
      <c r="C474" s="192"/>
      <c r="D474" s="192"/>
      <c r="E474" s="192"/>
      <c r="F474" s="192"/>
      <c r="G474" s="192"/>
      <c r="H474" s="192"/>
    </row>
    <row r="475" spans="1:9" s="36" customFormat="1" x14ac:dyDescent="0.25">
      <c r="A475" s="48" t="s">
        <v>161</v>
      </c>
      <c r="B475" s="136" t="s">
        <v>261</v>
      </c>
      <c r="C475" s="137"/>
      <c r="D475" s="137"/>
      <c r="E475" s="137"/>
      <c r="F475" s="137"/>
      <c r="G475" s="137"/>
      <c r="H475" s="138"/>
    </row>
    <row r="476" spans="1:9" s="36" customFormat="1" x14ac:dyDescent="0.25">
      <c r="A476" s="48" t="s">
        <v>161</v>
      </c>
      <c r="B476" s="136" t="str">
        <f>(IF(F166="Saleable area Loading :","We have considered Saleable area of Flats as per our Calculation.","We considered Saleable area of Flat as per Builder area Sheet."))</f>
        <v>We have considered Saleable area of Flats as per our Calculation.</v>
      </c>
      <c r="C476" s="137"/>
      <c r="D476" s="137"/>
      <c r="E476" s="137"/>
      <c r="F476" s="137"/>
      <c r="G476" s="137"/>
      <c r="H476" s="138"/>
    </row>
    <row r="477" spans="1:9" s="36" customFormat="1" x14ac:dyDescent="0.25">
      <c r="A477" s="48" t="s">
        <v>161</v>
      </c>
      <c r="B477" s="136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77" s="137"/>
      <c r="D477" s="137"/>
      <c r="E477" s="137"/>
      <c r="F477" s="137"/>
      <c r="G477" s="137"/>
      <c r="H477" s="138"/>
    </row>
    <row r="478" spans="1:9" s="36" customFormat="1" x14ac:dyDescent="0.25">
      <c r="A478" s="48" t="s">
        <v>161</v>
      </c>
      <c r="B478" s="133" t="s">
        <v>128</v>
      </c>
      <c r="C478" s="134"/>
      <c r="D478" s="134"/>
      <c r="E478" s="134"/>
      <c r="F478" s="134"/>
      <c r="G478" s="134"/>
      <c r="H478" s="135"/>
    </row>
    <row r="479" spans="1:9" s="36" customFormat="1" x14ac:dyDescent="0.25">
      <c r="A479" s="48" t="s">
        <v>161</v>
      </c>
      <c r="B479" s="133" t="s">
        <v>249</v>
      </c>
      <c r="C479" s="134"/>
      <c r="D479" s="134"/>
      <c r="E479" s="134"/>
      <c r="F479" s="134"/>
      <c r="G479" s="134"/>
      <c r="H479" s="135"/>
    </row>
    <row r="480" spans="1:9" s="36" customFormat="1" x14ac:dyDescent="0.25">
      <c r="A480" s="48" t="s">
        <v>161</v>
      </c>
      <c r="B480" s="133" t="s">
        <v>160</v>
      </c>
      <c r="C480" s="134"/>
      <c r="D480" s="134"/>
      <c r="E480" s="134"/>
      <c r="F480" s="134"/>
      <c r="G480" s="134"/>
      <c r="H480" s="135"/>
    </row>
    <row r="481" spans="1:8" s="36" customFormat="1" x14ac:dyDescent="0.25">
      <c r="A481" s="48" t="s">
        <v>161</v>
      </c>
      <c r="B481" s="133" t="s">
        <v>129</v>
      </c>
      <c r="C481" s="134"/>
      <c r="D481" s="134"/>
      <c r="E481" s="134"/>
      <c r="F481" s="134"/>
      <c r="G481" s="134"/>
      <c r="H481" s="135"/>
    </row>
    <row r="482" spans="1:8" s="36" customFormat="1" ht="34.5" customHeight="1" x14ac:dyDescent="0.25">
      <c r="A482" s="48" t="s">
        <v>161</v>
      </c>
      <c r="B482" s="133" t="s">
        <v>162</v>
      </c>
      <c r="C482" s="134"/>
      <c r="D482" s="134"/>
      <c r="E482" s="134"/>
      <c r="F482" s="134"/>
      <c r="G482" s="134"/>
      <c r="H482" s="135"/>
    </row>
    <row r="483" spans="1:8" s="36" customFormat="1" x14ac:dyDescent="0.25">
      <c r="A483" s="48" t="s">
        <v>161</v>
      </c>
      <c r="B483" s="133" t="s">
        <v>130</v>
      </c>
      <c r="C483" s="134"/>
      <c r="D483" s="134"/>
      <c r="E483" s="134"/>
      <c r="F483" s="134"/>
      <c r="G483" s="134"/>
      <c r="H483" s="135"/>
    </row>
    <row r="484" spans="1:8" s="36" customFormat="1" x14ac:dyDescent="0.25">
      <c r="A484" s="59" t="s">
        <v>161</v>
      </c>
      <c r="B484" s="136" t="s">
        <v>248</v>
      </c>
      <c r="C484" s="137"/>
      <c r="D484" s="137"/>
      <c r="E484" s="137"/>
      <c r="F484" s="137"/>
      <c r="G484" s="137"/>
      <c r="H484" s="138"/>
    </row>
    <row r="485" spans="1:8" s="36" customFormat="1" ht="64.5" customHeight="1" x14ac:dyDescent="0.25">
      <c r="A485" s="59" t="s">
        <v>161</v>
      </c>
      <c r="B485" s="136" t="s">
        <v>253</v>
      </c>
      <c r="C485" s="137"/>
      <c r="D485" s="137"/>
      <c r="E485" s="137"/>
      <c r="F485" s="137"/>
      <c r="G485" s="137"/>
      <c r="H485" s="138"/>
    </row>
    <row r="486" spans="1:8" x14ac:dyDescent="0.25">
      <c r="A486" s="115" t="s">
        <v>63</v>
      </c>
      <c r="B486" s="115"/>
      <c r="C486" s="115"/>
      <c r="D486" s="115"/>
      <c r="E486" s="115"/>
      <c r="F486" s="115"/>
      <c r="G486" s="115"/>
      <c r="H486" s="115"/>
    </row>
    <row r="487" spans="1:8" x14ac:dyDescent="0.25">
      <c r="A487" s="72" t="s">
        <v>64</v>
      </c>
      <c r="B487" s="72"/>
      <c r="C487" s="72"/>
      <c r="D487" s="72"/>
      <c r="E487" s="72"/>
      <c r="F487" s="72"/>
      <c r="G487" s="72"/>
      <c r="H487" s="72"/>
    </row>
    <row r="488" spans="1:8" ht="15.75" customHeight="1" x14ac:dyDescent="0.25">
      <c r="A488" s="73" t="s">
        <v>65</v>
      </c>
      <c r="B488" s="73"/>
      <c r="C488" s="73"/>
      <c r="D488" s="73"/>
      <c r="E488" s="73"/>
      <c r="F488" s="73"/>
      <c r="G488" s="73"/>
      <c r="H488" s="73"/>
    </row>
    <row r="489" spans="1:8" x14ac:dyDescent="0.25">
      <c r="A489" s="72" t="s">
        <v>66</v>
      </c>
      <c r="B489" s="72"/>
      <c r="C489" s="72"/>
      <c r="D489" s="72"/>
      <c r="E489" s="72"/>
      <c r="F489" s="72"/>
      <c r="G489" s="72"/>
      <c r="H489" s="72"/>
    </row>
    <row r="490" spans="1:8" x14ac:dyDescent="0.25">
      <c r="A490" s="72" t="s">
        <v>67</v>
      </c>
      <c r="B490" s="72"/>
      <c r="C490" s="72"/>
      <c r="D490" s="72"/>
      <c r="E490" s="72"/>
      <c r="F490" s="72"/>
      <c r="G490" s="72"/>
      <c r="H490" s="72"/>
    </row>
    <row r="491" spans="1:8" x14ac:dyDescent="0.25">
      <c r="A491" s="72" t="s">
        <v>131</v>
      </c>
      <c r="B491" s="72"/>
      <c r="C491" s="72"/>
      <c r="D491" s="72"/>
      <c r="E491" s="72"/>
      <c r="F491" s="72"/>
      <c r="G491" s="72"/>
      <c r="H491" s="72"/>
    </row>
    <row r="492" spans="1:8" x14ac:dyDescent="0.25">
      <c r="A492" s="116" t="s">
        <v>132</v>
      </c>
      <c r="B492" s="116"/>
      <c r="C492" s="116"/>
      <c r="D492" s="116"/>
      <c r="E492" s="116"/>
      <c r="F492" s="116"/>
      <c r="G492" s="116"/>
      <c r="H492" s="116"/>
    </row>
    <row r="493" spans="1:8" x14ac:dyDescent="0.25">
      <c r="A493" s="141" t="s">
        <v>79</v>
      </c>
      <c r="B493" s="141"/>
      <c r="C493" s="141" t="s">
        <v>260</v>
      </c>
      <c r="D493" s="141"/>
      <c r="E493" s="141" t="s">
        <v>108</v>
      </c>
      <c r="F493" s="141"/>
      <c r="G493" s="141" t="s">
        <v>259</v>
      </c>
      <c r="H493" s="141"/>
    </row>
    <row r="494" spans="1:8" x14ac:dyDescent="0.25">
      <c r="A494" s="140" t="s">
        <v>81</v>
      </c>
      <c r="B494" s="140"/>
      <c r="C494" s="140"/>
      <c r="D494" s="140"/>
      <c r="E494" s="140"/>
      <c r="F494" s="140"/>
      <c r="G494" s="140"/>
      <c r="H494" s="140"/>
    </row>
    <row r="495" spans="1:8" x14ac:dyDescent="0.25">
      <c r="A495" s="140"/>
      <c r="B495" s="140"/>
      <c r="C495" s="140"/>
      <c r="D495" s="140"/>
      <c r="E495" s="140"/>
      <c r="F495" s="140"/>
      <c r="G495" s="140"/>
      <c r="H495" s="140"/>
    </row>
    <row r="496" spans="1:8" x14ac:dyDescent="0.25">
      <c r="A496" s="140"/>
      <c r="B496" s="140"/>
      <c r="C496" s="140"/>
      <c r="D496" s="140"/>
      <c r="E496" s="140"/>
      <c r="F496" s="140"/>
      <c r="G496" s="140"/>
      <c r="H496" s="140"/>
    </row>
    <row r="497" spans="1:8" x14ac:dyDescent="0.25">
      <c r="A497" s="140"/>
      <c r="B497" s="140"/>
      <c r="C497" s="140"/>
      <c r="D497" s="140"/>
      <c r="E497" s="140"/>
      <c r="F497" s="140"/>
      <c r="G497" s="140"/>
      <c r="H497" s="140"/>
    </row>
    <row r="498" spans="1:8" x14ac:dyDescent="0.25">
      <c r="A498" s="39" t="s">
        <v>68</v>
      </c>
      <c r="B498" s="40"/>
      <c r="C498" s="40"/>
      <c r="D498" s="39" t="str">
        <f>E8</f>
        <v>The Trellis</v>
      </c>
      <c r="F498" s="40"/>
      <c r="G498" s="40"/>
      <c r="H498" s="40"/>
    </row>
    <row r="499" spans="1:8" x14ac:dyDescent="0.25">
      <c r="A499" s="40"/>
      <c r="B499" s="40"/>
      <c r="C499" s="40"/>
      <c r="D499" s="40"/>
      <c r="E499" s="40"/>
      <c r="F499" s="40"/>
      <c r="G499" s="40"/>
      <c r="H499" s="40"/>
    </row>
    <row r="500" spans="1:8" x14ac:dyDescent="0.25">
      <c r="A500" s="40"/>
      <c r="B500" s="40"/>
      <c r="C500" s="40"/>
      <c r="D500" s="40"/>
      <c r="E500" s="40"/>
      <c r="F500" s="40"/>
      <c r="G500" s="40"/>
      <c r="H500" s="40"/>
    </row>
    <row r="501" spans="1:8" ht="15" customHeight="1" x14ac:dyDescent="0.25"/>
    <row r="540" spans="1:1" x14ac:dyDescent="0.25">
      <c r="A540" s="42" t="s">
        <v>175</v>
      </c>
    </row>
    <row r="578" spans="1:1" x14ac:dyDescent="0.25">
      <c r="A578" s="42" t="s">
        <v>69</v>
      </c>
    </row>
  </sheetData>
  <mergeCells count="736">
    <mergeCell ref="A135:A136"/>
    <mergeCell ref="C52:H52"/>
    <mergeCell ref="B485:H485"/>
    <mergeCell ref="A127:H127"/>
    <mergeCell ref="A128:B128"/>
    <mergeCell ref="C128:D128"/>
    <mergeCell ref="E128:F128"/>
    <mergeCell ref="G128:H128"/>
    <mergeCell ref="C129:D129"/>
    <mergeCell ref="E129:F129"/>
    <mergeCell ref="G129:H129"/>
    <mergeCell ref="C130:D130"/>
    <mergeCell ref="E130:F130"/>
    <mergeCell ref="G130:H130"/>
    <mergeCell ref="A129:B129"/>
    <mergeCell ref="C131:D131"/>
    <mergeCell ref="E131:F131"/>
    <mergeCell ref="G131:H131"/>
    <mergeCell ref="A286:H286"/>
    <mergeCell ref="C135:D135"/>
    <mergeCell ref="E135:F135"/>
    <mergeCell ref="G135:H135"/>
    <mergeCell ref="C136:D136"/>
    <mergeCell ref="E136:F136"/>
    <mergeCell ref="G136:H136"/>
    <mergeCell ref="A435:H435"/>
    <mergeCell ref="G436:H444"/>
    <mergeCell ref="L436:M436"/>
    <mergeCell ref="L437:M437"/>
    <mergeCell ref="L438:M438"/>
    <mergeCell ref="L439:M439"/>
    <mergeCell ref="L440:M440"/>
    <mergeCell ref="L441:M441"/>
    <mergeCell ref="L442:M442"/>
    <mergeCell ref="L443:M443"/>
    <mergeCell ref="L444:M444"/>
    <mergeCell ref="A425:H425"/>
    <mergeCell ref="G426:H434"/>
    <mergeCell ref="L426:M426"/>
    <mergeCell ref="L427:M427"/>
    <mergeCell ref="L428:M428"/>
    <mergeCell ref="L429:M429"/>
    <mergeCell ref="L430:M430"/>
    <mergeCell ref="L431:M431"/>
    <mergeCell ref="L432:M432"/>
    <mergeCell ref="L433:M433"/>
    <mergeCell ref="L434:M434"/>
    <mergeCell ref="B427:F427"/>
    <mergeCell ref="A415:H415"/>
    <mergeCell ref="G416:H424"/>
    <mergeCell ref="L416:M416"/>
    <mergeCell ref="L417:M417"/>
    <mergeCell ref="L418:M418"/>
    <mergeCell ref="L419:M419"/>
    <mergeCell ref="L420:M420"/>
    <mergeCell ref="L421:M421"/>
    <mergeCell ref="L422:M422"/>
    <mergeCell ref="L423:M423"/>
    <mergeCell ref="L424:M424"/>
    <mergeCell ref="A405:H405"/>
    <mergeCell ref="G406:H414"/>
    <mergeCell ref="L406:M406"/>
    <mergeCell ref="L407:M407"/>
    <mergeCell ref="L408:M408"/>
    <mergeCell ref="L409:M409"/>
    <mergeCell ref="L410:M410"/>
    <mergeCell ref="L411:M411"/>
    <mergeCell ref="L412:M412"/>
    <mergeCell ref="L413:M413"/>
    <mergeCell ref="L414:M414"/>
    <mergeCell ref="B407:F407"/>
    <mergeCell ref="A395:H395"/>
    <mergeCell ref="G396:H404"/>
    <mergeCell ref="L396:M396"/>
    <mergeCell ref="L397:M397"/>
    <mergeCell ref="L398:M398"/>
    <mergeCell ref="L399:M399"/>
    <mergeCell ref="L400:M400"/>
    <mergeCell ref="L401:M401"/>
    <mergeCell ref="L402:M402"/>
    <mergeCell ref="L403:M403"/>
    <mergeCell ref="L404:M404"/>
    <mergeCell ref="B484:H484"/>
    <mergeCell ref="A375:H375"/>
    <mergeCell ref="G376:H384"/>
    <mergeCell ref="L376:M376"/>
    <mergeCell ref="L377:M377"/>
    <mergeCell ref="L378:M378"/>
    <mergeCell ref="L379:M379"/>
    <mergeCell ref="L380:M380"/>
    <mergeCell ref="L381:M381"/>
    <mergeCell ref="L382:M382"/>
    <mergeCell ref="L383:M383"/>
    <mergeCell ref="L384:M384"/>
    <mergeCell ref="B377:F377"/>
    <mergeCell ref="A385:H385"/>
    <mergeCell ref="G386:H394"/>
    <mergeCell ref="L386:M386"/>
    <mergeCell ref="L387:M387"/>
    <mergeCell ref="L388:M388"/>
    <mergeCell ref="L389:M389"/>
    <mergeCell ref="L390:M390"/>
    <mergeCell ref="L391:M391"/>
    <mergeCell ref="L392:M392"/>
    <mergeCell ref="L393:M393"/>
    <mergeCell ref="L394:M394"/>
    <mergeCell ref="A365:H365"/>
    <mergeCell ref="G366:H374"/>
    <mergeCell ref="L366:M366"/>
    <mergeCell ref="L367:M367"/>
    <mergeCell ref="L368:M368"/>
    <mergeCell ref="L369:M369"/>
    <mergeCell ref="L370:M370"/>
    <mergeCell ref="L371:M371"/>
    <mergeCell ref="L372:M372"/>
    <mergeCell ref="L373:M373"/>
    <mergeCell ref="L374:M374"/>
    <mergeCell ref="A354:H354"/>
    <mergeCell ref="G355:H364"/>
    <mergeCell ref="L355:M355"/>
    <mergeCell ref="L356:M356"/>
    <mergeCell ref="L357:M357"/>
    <mergeCell ref="L358:M358"/>
    <mergeCell ref="L359:M359"/>
    <mergeCell ref="L360:M360"/>
    <mergeCell ref="L361:M361"/>
    <mergeCell ref="L362:M362"/>
    <mergeCell ref="L363:M363"/>
    <mergeCell ref="L364:M364"/>
    <mergeCell ref="B356:F356"/>
    <mergeCell ref="A343:H343"/>
    <mergeCell ref="G344:H353"/>
    <mergeCell ref="L344:M344"/>
    <mergeCell ref="L345:M345"/>
    <mergeCell ref="L346:M346"/>
    <mergeCell ref="L347:M347"/>
    <mergeCell ref="L348:M348"/>
    <mergeCell ref="L349:M349"/>
    <mergeCell ref="L350:M350"/>
    <mergeCell ref="L351:M351"/>
    <mergeCell ref="L352:M352"/>
    <mergeCell ref="L353:M353"/>
    <mergeCell ref="L329:M329"/>
    <mergeCell ref="L330:M330"/>
    <mergeCell ref="L331:M331"/>
    <mergeCell ref="G322:H331"/>
    <mergeCell ref="A332:H332"/>
    <mergeCell ref="G333:H342"/>
    <mergeCell ref="L333:M333"/>
    <mergeCell ref="L334:M334"/>
    <mergeCell ref="L335:M335"/>
    <mergeCell ref="L336:M336"/>
    <mergeCell ref="L337:M337"/>
    <mergeCell ref="L338:M338"/>
    <mergeCell ref="L339:M339"/>
    <mergeCell ref="L340:M340"/>
    <mergeCell ref="L341:M341"/>
    <mergeCell ref="L342:M342"/>
    <mergeCell ref="L325:M325"/>
    <mergeCell ref="L326:M326"/>
    <mergeCell ref="L327:M327"/>
    <mergeCell ref="L328:M328"/>
    <mergeCell ref="A321:H321"/>
    <mergeCell ref="L322:M322"/>
    <mergeCell ref="L323:M323"/>
    <mergeCell ref="L324:M324"/>
    <mergeCell ref="L298:M298"/>
    <mergeCell ref="B293:F298"/>
    <mergeCell ref="G289:H298"/>
    <mergeCell ref="G311:H320"/>
    <mergeCell ref="A299:H299"/>
    <mergeCell ref="G300:H309"/>
    <mergeCell ref="L300:M300"/>
    <mergeCell ref="L301:M301"/>
    <mergeCell ref="L302:M302"/>
    <mergeCell ref="L303:M303"/>
    <mergeCell ref="L304:M304"/>
    <mergeCell ref="L305:M305"/>
    <mergeCell ref="L306:M306"/>
    <mergeCell ref="L307:M307"/>
    <mergeCell ref="L308:M308"/>
    <mergeCell ref="L309:M309"/>
    <mergeCell ref="B305:F309"/>
    <mergeCell ref="L293:M293"/>
    <mergeCell ref="L294:M294"/>
    <mergeCell ref="L295:M295"/>
    <mergeCell ref="L296:M296"/>
    <mergeCell ref="L297:M297"/>
    <mergeCell ref="L290:M290"/>
    <mergeCell ref="L291:M291"/>
    <mergeCell ref="L292:M292"/>
    <mergeCell ref="A269:H269"/>
    <mergeCell ref="G270:H279"/>
    <mergeCell ref="L270:M270"/>
    <mergeCell ref="L271:M271"/>
    <mergeCell ref="L272:M272"/>
    <mergeCell ref="L273:M273"/>
    <mergeCell ref="L274:M274"/>
    <mergeCell ref="L275:M275"/>
    <mergeCell ref="L276:M276"/>
    <mergeCell ref="L277:M277"/>
    <mergeCell ref="L278:M278"/>
    <mergeCell ref="L279:M279"/>
    <mergeCell ref="B274:F278"/>
    <mergeCell ref="G283:H283"/>
    <mergeCell ref="L283:M283"/>
    <mergeCell ref="L265:M265"/>
    <mergeCell ref="L266:M266"/>
    <mergeCell ref="L267:M267"/>
    <mergeCell ref="L268:M268"/>
    <mergeCell ref="B267:F267"/>
    <mergeCell ref="G259:H268"/>
    <mergeCell ref="L260:M260"/>
    <mergeCell ref="L261:M261"/>
    <mergeCell ref="L262:M262"/>
    <mergeCell ref="L263:M263"/>
    <mergeCell ref="L264:M264"/>
    <mergeCell ref="L255:M255"/>
    <mergeCell ref="L256:M256"/>
    <mergeCell ref="L257:M257"/>
    <mergeCell ref="A258:H258"/>
    <mergeCell ref="L259:M259"/>
    <mergeCell ref="G248:H257"/>
    <mergeCell ref="L250:M250"/>
    <mergeCell ref="L251:M251"/>
    <mergeCell ref="L252:M252"/>
    <mergeCell ref="L253:M253"/>
    <mergeCell ref="L254:M254"/>
    <mergeCell ref="L245:M245"/>
    <mergeCell ref="L246:M246"/>
    <mergeCell ref="B245:F245"/>
    <mergeCell ref="A247:H247"/>
    <mergeCell ref="L248:M248"/>
    <mergeCell ref="L249:M249"/>
    <mergeCell ref="G237:H246"/>
    <mergeCell ref="L240:M240"/>
    <mergeCell ref="L241:M241"/>
    <mergeCell ref="L242:M242"/>
    <mergeCell ref="L243:M243"/>
    <mergeCell ref="L244:M244"/>
    <mergeCell ref="L235:M235"/>
    <mergeCell ref="A236:H236"/>
    <mergeCell ref="L237:M237"/>
    <mergeCell ref="L238:M238"/>
    <mergeCell ref="L239:M239"/>
    <mergeCell ref="G226:H235"/>
    <mergeCell ref="L230:M230"/>
    <mergeCell ref="L231:M231"/>
    <mergeCell ref="L232:M232"/>
    <mergeCell ref="L233:M233"/>
    <mergeCell ref="L234:M234"/>
    <mergeCell ref="A225:H225"/>
    <mergeCell ref="L226:M226"/>
    <mergeCell ref="L227:M227"/>
    <mergeCell ref="L228:M228"/>
    <mergeCell ref="L229:M229"/>
    <mergeCell ref="L221:M221"/>
    <mergeCell ref="L222:M222"/>
    <mergeCell ref="L223:M223"/>
    <mergeCell ref="L224:M224"/>
    <mergeCell ref="B223:F223"/>
    <mergeCell ref="G215:H224"/>
    <mergeCell ref="L216:M216"/>
    <mergeCell ref="L217:M217"/>
    <mergeCell ref="L218:M218"/>
    <mergeCell ref="L219:M219"/>
    <mergeCell ref="L220:M220"/>
    <mergeCell ref="L211:M211"/>
    <mergeCell ref="L212:M212"/>
    <mergeCell ref="L213:M213"/>
    <mergeCell ref="A214:H214"/>
    <mergeCell ref="L215:M215"/>
    <mergeCell ref="G204:H213"/>
    <mergeCell ref="L206:M206"/>
    <mergeCell ref="L207:M207"/>
    <mergeCell ref="L208:M208"/>
    <mergeCell ref="L209:M209"/>
    <mergeCell ref="L210:M210"/>
    <mergeCell ref="L201:M201"/>
    <mergeCell ref="L202:M202"/>
    <mergeCell ref="B201:F201"/>
    <mergeCell ref="A203:H203"/>
    <mergeCell ref="L204:M204"/>
    <mergeCell ref="L205:M205"/>
    <mergeCell ref="G193:H202"/>
    <mergeCell ref="L196:M196"/>
    <mergeCell ref="L197:M197"/>
    <mergeCell ref="L198:M198"/>
    <mergeCell ref="L199:M199"/>
    <mergeCell ref="L200:M200"/>
    <mergeCell ref="L191:M191"/>
    <mergeCell ref="A192:H192"/>
    <mergeCell ref="L193:M193"/>
    <mergeCell ref="L194:M194"/>
    <mergeCell ref="L195:M195"/>
    <mergeCell ref="G182:H191"/>
    <mergeCell ref="L186:M186"/>
    <mergeCell ref="L187:M187"/>
    <mergeCell ref="L188:M188"/>
    <mergeCell ref="L189:M189"/>
    <mergeCell ref="L190:M190"/>
    <mergeCell ref="A181:H181"/>
    <mergeCell ref="L182:M182"/>
    <mergeCell ref="L183:M183"/>
    <mergeCell ref="L184:M184"/>
    <mergeCell ref="L185:M185"/>
    <mergeCell ref="G449:H449"/>
    <mergeCell ref="L449:M449"/>
    <mergeCell ref="A287:H287"/>
    <mergeCell ref="A310:H310"/>
    <mergeCell ref="L311:M311"/>
    <mergeCell ref="L312:M312"/>
    <mergeCell ref="L313:M313"/>
    <mergeCell ref="L314:M314"/>
    <mergeCell ref="L315:M315"/>
    <mergeCell ref="L316:M316"/>
    <mergeCell ref="L317:M317"/>
    <mergeCell ref="A285:H285"/>
    <mergeCell ref="A445:H445"/>
    <mergeCell ref="G446:H446"/>
    <mergeCell ref="L446:M446"/>
    <mergeCell ref="G447:H447"/>
    <mergeCell ref="L447:M447"/>
    <mergeCell ref="G448:H448"/>
    <mergeCell ref="L448:M448"/>
    <mergeCell ref="L318:M318"/>
    <mergeCell ref="L319:M319"/>
    <mergeCell ref="L320:M320"/>
    <mergeCell ref="B316:F317"/>
    <mergeCell ref="B318:F320"/>
    <mergeCell ref="A288:H288"/>
    <mergeCell ref="L289:M289"/>
    <mergeCell ref="L178:M178"/>
    <mergeCell ref="L179:M179"/>
    <mergeCell ref="L180:M180"/>
    <mergeCell ref="G171:H180"/>
    <mergeCell ref="B175:F175"/>
    <mergeCell ref="B172:F174"/>
    <mergeCell ref="B171:F171"/>
    <mergeCell ref="L175:M175"/>
    <mergeCell ref="L177:M177"/>
    <mergeCell ref="L172:M172"/>
    <mergeCell ref="L173:M173"/>
    <mergeCell ref="L174:M174"/>
    <mergeCell ref="L284:M284"/>
    <mergeCell ref="G281:H281"/>
    <mergeCell ref="L281:M281"/>
    <mergeCell ref="G282:H282"/>
    <mergeCell ref="L282:M282"/>
    <mergeCell ref="A159:B159"/>
    <mergeCell ref="L159:M159"/>
    <mergeCell ref="G146:H159"/>
    <mergeCell ref="A144:H144"/>
    <mergeCell ref="A170:H170"/>
    <mergeCell ref="L171:M171"/>
    <mergeCell ref="A169:H169"/>
    <mergeCell ref="A156:B156"/>
    <mergeCell ref="L156:M156"/>
    <mergeCell ref="A157:B157"/>
    <mergeCell ref="L157:M157"/>
    <mergeCell ref="A158:B158"/>
    <mergeCell ref="L158:M158"/>
    <mergeCell ref="A153:B153"/>
    <mergeCell ref="L153:M153"/>
    <mergeCell ref="A154:B154"/>
    <mergeCell ref="L154:M154"/>
    <mergeCell ref="A155:B155"/>
    <mergeCell ref="L155:M155"/>
    <mergeCell ref="A168:H168"/>
    <mergeCell ref="A150:B150"/>
    <mergeCell ref="L150:M150"/>
    <mergeCell ref="A151:B151"/>
    <mergeCell ref="L151:M151"/>
    <mergeCell ref="A145:H145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L152:M152"/>
    <mergeCell ref="A114:E114"/>
    <mergeCell ref="A137:B137"/>
    <mergeCell ref="E137:F137"/>
    <mergeCell ref="A39:B39"/>
    <mergeCell ref="C39:H39"/>
    <mergeCell ref="B482:H482"/>
    <mergeCell ref="A48:B48"/>
    <mergeCell ref="C48:H48"/>
    <mergeCell ref="B480:H480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G458:H458"/>
    <mergeCell ref="G454:H454"/>
    <mergeCell ref="G451:H451"/>
    <mergeCell ref="D141:D142"/>
    <mergeCell ref="A113:E113"/>
    <mergeCell ref="A143:H143"/>
    <mergeCell ref="A162:B162"/>
    <mergeCell ref="A163:B163"/>
    <mergeCell ref="A83:B83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A152:B152"/>
    <mergeCell ref="C97:H97"/>
    <mergeCell ref="A98:B98"/>
    <mergeCell ref="E98:F98"/>
    <mergeCell ref="B478:H478"/>
    <mergeCell ref="B479:H479"/>
    <mergeCell ref="G469:H469"/>
    <mergeCell ref="G467:H467"/>
    <mergeCell ref="A474:H474"/>
    <mergeCell ref="A466:B466"/>
    <mergeCell ref="A467:B467"/>
    <mergeCell ref="G465:H465"/>
    <mergeCell ref="C141:C142"/>
    <mergeCell ref="B166:B167"/>
    <mergeCell ref="A462:H462"/>
    <mergeCell ref="A456:H456"/>
    <mergeCell ref="G459:H459"/>
    <mergeCell ref="G457:H457"/>
    <mergeCell ref="A164:B164"/>
    <mergeCell ref="A464:B464"/>
    <mergeCell ref="A465:B465"/>
    <mergeCell ref="A454:B454"/>
    <mergeCell ref="G455:H455"/>
    <mergeCell ref="G461:H461"/>
    <mergeCell ref="G460:H460"/>
    <mergeCell ref="G463:H463"/>
    <mergeCell ref="A461:B461"/>
    <mergeCell ref="E99:F108"/>
    <mergeCell ref="F109:H109"/>
    <mergeCell ref="F114:H114"/>
    <mergeCell ref="L450:M450"/>
    <mergeCell ref="A165:H165"/>
    <mergeCell ref="A166:A167"/>
    <mergeCell ref="A455:B455"/>
    <mergeCell ref="A452:B452"/>
    <mergeCell ref="A453:B453"/>
    <mergeCell ref="A120:E120"/>
    <mergeCell ref="G137:H137"/>
    <mergeCell ref="A126:B126"/>
    <mergeCell ref="C126:D126"/>
    <mergeCell ref="E126:F126"/>
    <mergeCell ref="G126:H126"/>
    <mergeCell ref="A131:B131"/>
    <mergeCell ref="C133:D133"/>
    <mergeCell ref="G133:H133"/>
    <mergeCell ref="F117:H117"/>
    <mergeCell ref="C124:D124"/>
    <mergeCell ref="G138:H138"/>
    <mergeCell ref="A161:B161"/>
    <mergeCell ref="A38:B38"/>
    <mergeCell ref="C38:H38"/>
    <mergeCell ref="A45:D45"/>
    <mergeCell ref="L164:M164"/>
    <mergeCell ref="L163:M163"/>
    <mergeCell ref="L162:M162"/>
    <mergeCell ref="L161:M161"/>
    <mergeCell ref="A78:B78"/>
    <mergeCell ref="C134:D134"/>
    <mergeCell ref="E134:F134"/>
    <mergeCell ref="G134:H134"/>
    <mergeCell ref="F116:H116"/>
    <mergeCell ref="A110:E110"/>
    <mergeCell ref="A95:B95"/>
    <mergeCell ref="C95:H95"/>
    <mergeCell ref="A160:H160"/>
    <mergeCell ref="E141:E142"/>
    <mergeCell ref="G141:H142"/>
    <mergeCell ref="A85:B85"/>
    <mergeCell ref="E85:F94"/>
    <mergeCell ref="A92:B92"/>
    <mergeCell ref="A93:B93"/>
    <mergeCell ref="A94:B94"/>
    <mergeCell ref="A99:B99"/>
    <mergeCell ref="A37:H37"/>
    <mergeCell ref="A36:B36"/>
    <mergeCell ref="C36:E36"/>
    <mergeCell ref="G99:H108"/>
    <mergeCell ref="A41:D41"/>
    <mergeCell ref="E41:H41"/>
    <mergeCell ref="F33:H33"/>
    <mergeCell ref="F34:H34"/>
    <mergeCell ref="A40:H40"/>
    <mergeCell ref="A60:C60"/>
    <mergeCell ref="A61:C61"/>
    <mergeCell ref="D60:H60"/>
    <mergeCell ref="E71:F80"/>
    <mergeCell ref="G71:H80"/>
    <mergeCell ref="A79:B79"/>
    <mergeCell ref="A80:B80"/>
    <mergeCell ref="D61:H61"/>
    <mergeCell ref="A43:D43"/>
    <mergeCell ref="E43:H43"/>
    <mergeCell ref="E44:H44"/>
    <mergeCell ref="E45:H45"/>
    <mergeCell ref="E46:H46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46:D46"/>
    <mergeCell ref="A47:H47"/>
    <mergeCell ref="D57:H57"/>
    <mergeCell ref="A57:C57"/>
    <mergeCell ref="G50:H50"/>
    <mergeCell ref="A51:B52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494:H497"/>
    <mergeCell ref="A493:B493"/>
    <mergeCell ref="E493:F493"/>
    <mergeCell ref="C493:D493"/>
    <mergeCell ref="G493:H493"/>
    <mergeCell ref="A123:H123"/>
    <mergeCell ref="A121:E121"/>
    <mergeCell ref="F121:H121"/>
    <mergeCell ref="A122:E122"/>
    <mergeCell ref="F122:H122"/>
    <mergeCell ref="A450:H450"/>
    <mergeCell ref="A130:B130"/>
    <mergeCell ref="A459:B459"/>
    <mergeCell ref="A125:B125"/>
    <mergeCell ref="A489:H489"/>
    <mergeCell ref="A132:H132"/>
    <mergeCell ref="A492:H492"/>
    <mergeCell ref="A490:H490"/>
    <mergeCell ref="A486:H486"/>
    <mergeCell ref="A487:H487"/>
    <mergeCell ref="E133:F133"/>
    <mergeCell ref="B483:H483"/>
    <mergeCell ref="G163:H163"/>
    <mergeCell ref="G161:H161"/>
    <mergeCell ref="G162:H162"/>
    <mergeCell ref="G164:H164"/>
    <mergeCell ref="B481:H481"/>
    <mergeCell ref="B477:H477"/>
    <mergeCell ref="A471:B471"/>
    <mergeCell ref="G471:H471"/>
    <mergeCell ref="G470:H470"/>
    <mergeCell ref="A468:H468"/>
    <mergeCell ref="A469:B469"/>
    <mergeCell ref="A470:B470"/>
    <mergeCell ref="A473:B473"/>
    <mergeCell ref="G473:H473"/>
    <mergeCell ref="A472:B472"/>
    <mergeCell ref="A139:H139"/>
    <mergeCell ref="G453:H453"/>
    <mergeCell ref="G472:H472"/>
    <mergeCell ref="B475:H475"/>
    <mergeCell ref="B476:H476"/>
    <mergeCell ref="A463:B463"/>
    <mergeCell ref="G464:H464"/>
    <mergeCell ref="F120:H120"/>
    <mergeCell ref="F118:H118"/>
    <mergeCell ref="A458:B458"/>
    <mergeCell ref="A140:H140"/>
    <mergeCell ref="G124:H124"/>
    <mergeCell ref="A119:E119"/>
    <mergeCell ref="C125:D125"/>
    <mergeCell ref="E125:F125"/>
    <mergeCell ref="G452:H452"/>
    <mergeCell ref="B141:B142"/>
    <mergeCell ref="A141:A142"/>
    <mergeCell ref="C166:C167"/>
    <mergeCell ref="C137:D137"/>
    <mergeCell ref="A280:H280"/>
    <mergeCell ref="A460:B460"/>
    <mergeCell ref="A457:B457"/>
    <mergeCell ref="G284:H284"/>
    <mergeCell ref="F119:H119"/>
    <mergeCell ref="E124:F124"/>
    <mergeCell ref="A124:B124"/>
    <mergeCell ref="A138:B138"/>
    <mergeCell ref="C138:D138"/>
    <mergeCell ref="E138:F138"/>
    <mergeCell ref="D55:H55"/>
    <mergeCell ref="C51:E51"/>
    <mergeCell ref="A58:C59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E42:H42"/>
    <mergeCell ref="A42:D42"/>
    <mergeCell ref="A491:H491"/>
    <mergeCell ref="A488:H488"/>
    <mergeCell ref="G466:H466"/>
    <mergeCell ref="A451:B451"/>
    <mergeCell ref="A133:B133"/>
    <mergeCell ref="D166:D167"/>
    <mergeCell ref="E166:E167"/>
    <mergeCell ref="G166:H167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49:B49"/>
    <mergeCell ref="C49:E49"/>
    <mergeCell ref="G49:H49"/>
    <mergeCell ref="G51:H51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497" max="16383" man="1"/>
    <brk id="539" max="16383" man="1"/>
    <brk id="57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9" t="s">
        <v>109</v>
      </c>
      <c r="C3" s="219"/>
      <c r="D3" s="219"/>
      <c r="E3" s="219"/>
      <c r="F3" s="219"/>
      <c r="G3" s="219"/>
      <c r="H3" s="219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2025-08-16T09:43:29Z</cp:lastPrinted>
  <dcterms:created xsi:type="dcterms:W3CDTF">2019-07-16T09:29:46Z</dcterms:created>
  <dcterms:modified xsi:type="dcterms:W3CDTF">2025-08-16T09:43:47Z</dcterms:modified>
</cp:coreProperties>
</file>