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PF\25-26\August 2025\MHF\NEW\Saurav\16979 - Palava - Signet 2\"/>
    </mc:Choice>
  </mc:AlternateContent>
  <bookViews>
    <workbookView xWindow="0" yWindow="0" windowWidth="16875" windowHeight="6990"/>
  </bookViews>
  <sheets>
    <sheet name="Report" sheetId="1" r:id="rId1"/>
    <sheet name="C%" sheetId="4" r:id="rId2"/>
  </sheets>
  <definedNames>
    <definedName name="_xlnm.Print_Area" localSheetId="0">Report!$A$1:$H$728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 l="1"/>
  <c r="I28" i="1"/>
  <c r="I110" i="1" l="1"/>
  <c r="D339" i="1"/>
  <c r="F339" i="1" s="1"/>
  <c r="H339" i="1" s="1"/>
  <c r="D338" i="1"/>
  <c r="F338" i="1" s="1"/>
  <c r="H338" i="1" s="1"/>
  <c r="D337" i="1"/>
  <c r="F337" i="1" s="1"/>
  <c r="H337" i="1" s="1"/>
  <c r="D336" i="1"/>
  <c r="F336" i="1" s="1"/>
  <c r="H336" i="1" s="1"/>
  <c r="D335" i="1"/>
  <c r="F335" i="1" s="1"/>
  <c r="H335" i="1" s="1"/>
  <c r="D334" i="1"/>
  <c r="F334" i="1" s="1"/>
  <c r="H334" i="1" s="1"/>
  <c r="D290" i="1"/>
  <c r="F290" i="1" s="1"/>
  <c r="H290" i="1" s="1"/>
  <c r="D289" i="1"/>
  <c r="F289" i="1" s="1"/>
  <c r="H289" i="1" s="1"/>
  <c r="D286" i="1"/>
  <c r="F286" i="1"/>
  <c r="H286" i="1" s="1"/>
  <c r="D287" i="1"/>
  <c r="F287" i="1" s="1"/>
  <c r="H287" i="1" s="1"/>
  <c r="D288" i="1"/>
  <c r="F288" i="1" s="1"/>
  <c r="H288" i="1" s="1"/>
  <c r="D285" i="1"/>
  <c r="F285" i="1" s="1"/>
  <c r="H285" i="1" s="1"/>
  <c r="I253" i="1"/>
  <c r="I267" i="1"/>
  <c r="D328" i="1"/>
  <c r="F328" i="1" s="1"/>
  <c r="H328" i="1" s="1"/>
  <c r="D319" i="1"/>
  <c r="F319" i="1" s="1"/>
  <c r="H319" i="1" s="1"/>
  <c r="D318" i="1"/>
  <c r="D312" i="1"/>
  <c r="F312" i="1" s="1"/>
  <c r="H312" i="1" s="1"/>
  <c r="D307" i="1"/>
  <c r="F307" i="1" s="1"/>
  <c r="H307" i="1" s="1"/>
  <c r="D308" i="1"/>
  <c r="F308" i="1" s="1"/>
  <c r="H308" i="1" s="1"/>
  <c r="D309" i="1"/>
  <c r="F309" i="1" s="1"/>
  <c r="H309" i="1" s="1"/>
  <c r="D306" i="1"/>
  <c r="F306" i="1" s="1"/>
  <c r="H306" i="1" s="1"/>
  <c r="D352" i="1"/>
  <c r="F352" i="1" s="1"/>
  <c r="H352" i="1" s="1"/>
  <c r="D351" i="1"/>
  <c r="F351" i="1" s="1"/>
  <c r="H351" i="1" s="1"/>
  <c r="D350" i="1"/>
  <c r="F350" i="1" s="1"/>
  <c r="H350" i="1" s="1"/>
  <c r="D349" i="1"/>
  <c r="F349" i="1" s="1"/>
  <c r="H349" i="1" s="1"/>
  <c r="D348" i="1"/>
  <c r="F348" i="1" s="1"/>
  <c r="H348" i="1" s="1"/>
  <c r="D347" i="1"/>
  <c r="F347" i="1" s="1"/>
  <c r="H347" i="1" s="1"/>
  <c r="D346" i="1"/>
  <c r="F346" i="1" s="1"/>
  <c r="H346" i="1" s="1"/>
  <c r="D345" i="1"/>
  <c r="F345" i="1" s="1"/>
  <c r="H345" i="1" s="1"/>
  <c r="D344" i="1"/>
  <c r="F344" i="1" s="1"/>
  <c r="H344" i="1" s="1"/>
  <c r="D343" i="1"/>
  <c r="F343" i="1" s="1"/>
  <c r="H343" i="1" s="1"/>
  <c r="D342" i="1"/>
  <c r="F342" i="1" s="1"/>
  <c r="H342" i="1" s="1"/>
  <c r="D341" i="1"/>
  <c r="F341" i="1" s="1"/>
  <c r="H341" i="1" s="1"/>
  <c r="D340" i="1"/>
  <c r="D333" i="1"/>
  <c r="F333" i="1" s="1"/>
  <c r="H333" i="1" s="1"/>
  <c r="D332" i="1"/>
  <c r="F332" i="1" s="1"/>
  <c r="H332" i="1" s="1"/>
  <c r="D331" i="1"/>
  <c r="F331" i="1" s="1"/>
  <c r="H331" i="1" s="1"/>
  <c r="D330" i="1"/>
  <c r="F330" i="1" s="1"/>
  <c r="H330" i="1" s="1"/>
  <c r="D329" i="1"/>
  <c r="D327" i="1"/>
  <c r="F327" i="1" s="1"/>
  <c r="H327" i="1" s="1"/>
  <c r="D326" i="1"/>
  <c r="F326" i="1" s="1"/>
  <c r="H326" i="1" s="1"/>
  <c r="D325" i="1"/>
  <c r="F325" i="1" s="1"/>
  <c r="H325" i="1" s="1"/>
  <c r="D324" i="1"/>
  <c r="F324" i="1" s="1"/>
  <c r="H324" i="1" s="1"/>
  <c r="D323" i="1"/>
  <c r="F323" i="1" s="1"/>
  <c r="H323" i="1" s="1"/>
  <c r="D322" i="1"/>
  <c r="F322" i="1" s="1"/>
  <c r="H322" i="1" s="1"/>
  <c r="D321" i="1"/>
  <c r="F321" i="1" s="1"/>
  <c r="H321" i="1" s="1"/>
  <c r="D320" i="1"/>
  <c r="F320" i="1" s="1"/>
  <c r="H320" i="1" s="1"/>
  <c r="F318" i="1"/>
  <c r="H318" i="1" s="1"/>
  <c r="D317" i="1"/>
  <c r="F317" i="1" s="1"/>
  <c r="H317" i="1" s="1"/>
  <c r="D316" i="1"/>
  <c r="F316" i="1" s="1"/>
  <c r="H316" i="1" s="1"/>
  <c r="D315" i="1"/>
  <c r="F315" i="1" s="1"/>
  <c r="H315" i="1" s="1"/>
  <c r="D314" i="1"/>
  <c r="F314" i="1" s="1"/>
  <c r="H314" i="1" s="1"/>
  <c r="D313" i="1"/>
  <c r="F313" i="1" s="1"/>
  <c r="H313" i="1" s="1"/>
  <c r="D311" i="1"/>
  <c r="F311" i="1" s="1"/>
  <c r="H311" i="1" s="1"/>
  <c r="I308" i="1" s="1"/>
  <c r="D310" i="1"/>
  <c r="F310" i="1" s="1"/>
  <c r="H310" i="1" s="1"/>
  <c r="D305" i="1"/>
  <c r="F305" i="1" s="1"/>
  <c r="H305" i="1" s="1"/>
  <c r="D303" i="1"/>
  <c r="F303" i="1" s="1"/>
  <c r="H303" i="1" s="1"/>
  <c r="D302" i="1"/>
  <c r="F302" i="1" s="1"/>
  <c r="H302" i="1" s="1"/>
  <c r="D301" i="1"/>
  <c r="F301" i="1" s="1"/>
  <c r="H301" i="1" s="1"/>
  <c r="D278" i="1"/>
  <c r="F278" i="1" s="1"/>
  <c r="H278" i="1" s="1"/>
  <c r="D279" i="1"/>
  <c r="F279" i="1" s="1"/>
  <c r="H279" i="1" s="1"/>
  <c r="D277" i="1"/>
  <c r="F277" i="1" s="1"/>
  <c r="H277" i="1" s="1"/>
  <c r="D275" i="1"/>
  <c r="F275" i="1" s="1"/>
  <c r="H275" i="1" s="1"/>
  <c r="D276" i="1"/>
  <c r="F276" i="1" s="1"/>
  <c r="H276" i="1" s="1"/>
  <c r="D273" i="1"/>
  <c r="F273" i="1" s="1"/>
  <c r="H273" i="1" s="1"/>
  <c r="D271" i="1"/>
  <c r="F271" i="1" s="1"/>
  <c r="H271" i="1" s="1"/>
  <c r="D269" i="1"/>
  <c r="F269" i="1" s="1"/>
  <c r="H269" i="1" s="1"/>
  <c r="D267" i="1"/>
  <c r="F267" i="1" s="1"/>
  <c r="H267" i="1" s="1"/>
  <c r="D266" i="1"/>
  <c r="F266" i="1" s="1"/>
  <c r="H266" i="1" s="1"/>
  <c r="D265" i="1"/>
  <c r="F265" i="1" s="1"/>
  <c r="H265" i="1" s="1"/>
  <c r="D262" i="1"/>
  <c r="F262" i="1" s="1"/>
  <c r="H262" i="1" s="1"/>
  <c r="D261" i="1"/>
  <c r="F261" i="1" s="1"/>
  <c r="H261" i="1" s="1"/>
  <c r="D219" i="1"/>
  <c r="D218" i="1"/>
  <c r="D260" i="1"/>
  <c r="F260" i="1" s="1"/>
  <c r="H260" i="1" s="1"/>
  <c r="D259" i="1"/>
  <c r="F259" i="1" s="1"/>
  <c r="H259" i="1" s="1"/>
  <c r="D257" i="1"/>
  <c r="F257" i="1" s="1"/>
  <c r="H257" i="1" s="1"/>
  <c r="A341" i="1"/>
  <c r="A342" i="1" s="1"/>
  <c r="A343" i="1" s="1"/>
  <c r="A344" i="1" s="1"/>
  <c r="A345" i="1" s="1"/>
  <c r="A346" i="1" s="1"/>
  <c r="A347" i="1" s="1"/>
  <c r="A348" i="1" s="1"/>
  <c r="A349" i="1" s="1"/>
  <c r="A350" i="1" s="1"/>
  <c r="A351" i="1" s="1"/>
  <c r="A352" i="1" s="1"/>
  <c r="F329" i="1"/>
  <c r="H329" i="1" s="1"/>
  <c r="A306" i="1"/>
  <c r="A307" i="1" s="1"/>
  <c r="A308" i="1" s="1"/>
  <c r="A309" i="1" s="1"/>
  <c r="A310" i="1" s="1"/>
  <c r="A311" i="1" s="1"/>
  <c r="A312" i="1" s="1"/>
  <c r="A313" i="1" s="1"/>
  <c r="A314"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D167" i="1"/>
  <c r="D253" i="1"/>
  <c r="D281" i="1"/>
  <c r="F281" i="1" s="1"/>
  <c r="H281" i="1" s="1"/>
  <c r="D280" i="1"/>
  <c r="F280" i="1" s="1"/>
  <c r="H280" i="1" s="1"/>
  <c r="D274" i="1"/>
  <c r="F274" i="1" s="1"/>
  <c r="H274" i="1" s="1"/>
  <c r="D272" i="1"/>
  <c r="F272" i="1" s="1"/>
  <c r="H272" i="1" s="1"/>
  <c r="D270" i="1"/>
  <c r="F270" i="1" s="1"/>
  <c r="H270" i="1" s="1"/>
  <c r="D263" i="1"/>
  <c r="F263" i="1" s="1"/>
  <c r="H263" i="1" s="1"/>
  <c r="D264" i="1"/>
  <c r="F264" i="1" s="1"/>
  <c r="H264" i="1" s="1"/>
  <c r="D256" i="1"/>
  <c r="F256" i="1" s="1"/>
  <c r="H256" i="1" s="1"/>
  <c r="D300" i="1"/>
  <c r="F300" i="1" s="1"/>
  <c r="H300" i="1" s="1"/>
  <c r="D299" i="1"/>
  <c r="F299" i="1" s="1"/>
  <c r="H299" i="1" s="1"/>
  <c r="D298" i="1"/>
  <c r="F298" i="1" s="1"/>
  <c r="H298" i="1" s="1"/>
  <c r="J295" i="1" s="1"/>
  <c r="D297" i="1"/>
  <c r="F297" i="1" s="1"/>
  <c r="H297" i="1" s="1"/>
  <c r="D296" i="1"/>
  <c r="F296" i="1" s="1"/>
  <c r="H296" i="1" s="1"/>
  <c r="D295" i="1"/>
  <c r="F295" i="1" s="1"/>
  <c r="H295" i="1" s="1"/>
  <c r="D294" i="1"/>
  <c r="F294" i="1" s="1"/>
  <c r="H294" i="1" s="1"/>
  <c r="D293" i="1"/>
  <c r="F293" i="1" s="1"/>
  <c r="H293" i="1" s="1"/>
  <c r="D292" i="1"/>
  <c r="F292" i="1" s="1"/>
  <c r="H292" i="1" s="1"/>
  <c r="A292" i="1"/>
  <c r="A293" i="1" s="1"/>
  <c r="A294" i="1" s="1"/>
  <c r="A295" i="1" s="1"/>
  <c r="A296" i="1" s="1"/>
  <c r="A297" i="1" s="1"/>
  <c r="A298" i="1" s="1"/>
  <c r="A299" i="1" s="1"/>
  <c r="A300" i="1" s="1"/>
  <c r="A301" i="1" s="1"/>
  <c r="A302" i="1" s="1"/>
  <c r="A303" i="1" s="1"/>
  <c r="D291" i="1"/>
  <c r="F291" i="1" s="1"/>
  <c r="H291" i="1" s="1"/>
  <c r="D284" i="1"/>
  <c r="F284" i="1" s="1"/>
  <c r="H284" i="1" s="1"/>
  <c r="D283" i="1"/>
  <c r="F283" i="1" s="1"/>
  <c r="H283" i="1" s="1"/>
  <c r="D282" i="1"/>
  <c r="F282" i="1" s="1"/>
  <c r="H282" i="1" s="1"/>
  <c r="D268" i="1"/>
  <c r="F268" i="1" s="1"/>
  <c r="H268" i="1" s="1"/>
  <c r="D258" i="1"/>
  <c r="F258" i="1" s="1"/>
  <c r="H258" i="1" s="1"/>
  <c r="A257" i="1"/>
  <c r="A258" i="1" s="1"/>
  <c r="A259" i="1" s="1"/>
  <c r="A260" i="1" s="1"/>
  <c r="A261" i="1" s="1"/>
  <c r="A262" i="1" s="1"/>
  <c r="A263" i="1" s="1"/>
  <c r="A264" i="1" s="1"/>
  <c r="A265"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I232" i="1"/>
  <c r="K278" i="1"/>
  <c r="J279" i="1"/>
  <c r="D410" i="1"/>
  <c r="J111" i="1"/>
  <c r="J109" i="1"/>
  <c r="I111" i="1"/>
  <c r="J360" i="1"/>
  <c r="I306" i="1"/>
  <c r="D489" i="1"/>
  <c r="F489" i="1" s="1"/>
  <c r="H489" i="1" s="1"/>
  <c r="A489" i="1"/>
  <c r="D488" i="1"/>
  <c r="F488" i="1" s="1"/>
  <c r="H488" i="1" s="1"/>
  <c r="D439" i="1"/>
  <c r="F439" i="1" s="1"/>
  <c r="H439" i="1" s="1"/>
  <c r="A439" i="1"/>
  <c r="D438" i="1"/>
  <c r="F438" i="1" s="1"/>
  <c r="H438" i="1" s="1"/>
  <c r="D389" i="1"/>
  <c r="F389" i="1" s="1"/>
  <c r="H389" i="1" s="1"/>
  <c r="A389" i="1"/>
  <c r="D388" i="1"/>
  <c r="F388" i="1" s="1"/>
  <c r="H388" i="1" s="1"/>
  <c r="I109" i="1"/>
  <c r="I123" i="1"/>
  <c r="I165" i="1"/>
  <c r="D450" i="1"/>
  <c r="D213" i="1"/>
  <c r="D210" i="1"/>
  <c r="F340" i="1" l="1"/>
  <c r="H340" i="1" s="1"/>
  <c r="G110" i="1" s="1"/>
  <c r="K253" i="1"/>
  <c r="G44" i="1"/>
  <c r="G45" i="1"/>
  <c r="C110" i="1" l="1"/>
  <c r="E110" i="1"/>
  <c r="J89" i="1"/>
  <c r="J88" i="1"/>
  <c r="J87" i="1"/>
  <c r="J86" i="1"/>
  <c r="H81" i="1"/>
  <c r="J83" i="1" l="1"/>
  <c r="E84" i="1" s="1"/>
  <c r="F84" i="1" s="1"/>
  <c r="F93" i="1"/>
  <c r="F91" i="1"/>
  <c r="F89" i="1"/>
  <c r="F87" i="1"/>
  <c r="J81" i="1"/>
  <c r="J84" i="1"/>
  <c r="J85" i="1" s="1"/>
  <c r="J90" i="1" s="1"/>
  <c r="J91" i="1" s="1"/>
  <c r="E85" i="1" s="1"/>
  <c r="F85" i="1" s="1"/>
  <c r="F90" i="1"/>
  <c r="F88" i="1"/>
  <c r="J82" i="1"/>
  <c r="F92" i="1"/>
  <c r="F86" i="1"/>
  <c r="I163" i="1"/>
  <c r="I206" i="1"/>
  <c r="I251" i="1"/>
  <c r="I301" i="1"/>
  <c r="I356" i="1"/>
  <c r="D501" i="1"/>
  <c r="F501" i="1" s="1"/>
  <c r="H501" i="1" s="1"/>
  <c r="D500" i="1"/>
  <c r="F500" i="1" s="1"/>
  <c r="H500" i="1" s="1"/>
  <c r="D499" i="1"/>
  <c r="F499" i="1" s="1"/>
  <c r="H499" i="1" s="1"/>
  <c r="D498" i="1"/>
  <c r="F498" i="1" s="1"/>
  <c r="H498" i="1" s="1"/>
  <c r="D497" i="1"/>
  <c r="F497" i="1" s="1"/>
  <c r="H497" i="1" s="1"/>
  <c r="D496" i="1"/>
  <c r="F496" i="1" s="1"/>
  <c r="H496" i="1" s="1"/>
  <c r="D495" i="1"/>
  <c r="F495" i="1" s="1"/>
  <c r="H495" i="1" s="1"/>
  <c r="D494" i="1"/>
  <c r="F494" i="1" s="1"/>
  <c r="H494" i="1" s="1"/>
  <c r="D493" i="1"/>
  <c r="F493" i="1" s="1"/>
  <c r="H493" i="1" s="1"/>
  <c r="D492" i="1"/>
  <c r="F492" i="1" s="1"/>
  <c r="H492" i="1" s="1"/>
  <c r="D491" i="1"/>
  <c r="F491" i="1" s="1"/>
  <c r="H491" i="1" s="1"/>
  <c r="A491" i="1"/>
  <c r="A492" i="1" s="1"/>
  <c r="A493" i="1" s="1"/>
  <c r="A494" i="1" s="1"/>
  <c r="A495" i="1" s="1"/>
  <c r="A496" i="1" s="1"/>
  <c r="A497" i="1" s="1"/>
  <c r="A498" i="1" s="1"/>
  <c r="A499" i="1" s="1"/>
  <c r="A500" i="1" s="1"/>
  <c r="A501" i="1" s="1"/>
  <c r="D490" i="1"/>
  <c r="F490" i="1" s="1"/>
  <c r="H490" i="1" s="1"/>
  <c r="D487" i="1"/>
  <c r="F487" i="1" s="1"/>
  <c r="H487" i="1" s="1"/>
  <c r="D486" i="1"/>
  <c r="F486" i="1" s="1"/>
  <c r="H486" i="1" s="1"/>
  <c r="D485" i="1"/>
  <c r="F485" i="1" s="1"/>
  <c r="H485" i="1" s="1"/>
  <c r="D484" i="1"/>
  <c r="F484" i="1" s="1"/>
  <c r="H484" i="1" s="1"/>
  <c r="D483" i="1"/>
  <c r="F483" i="1" s="1"/>
  <c r="H483" i="1" s="1"/>
  <c r="D482" i="1"/>
  <c r="F482" i="1" s="1"/>
  <c r="H482" i="1" s="1"/>
  <c r="D481" i="1"/>
  <c r="F481" i="1" s="1"/>
  <c r="H481" i="1" s="1"/>
  <c r="D480" i="1"/>
  <c r="F480" i="1" s="1"/>
  <c r="H480" i="1" s="1"/>
  <c r="D479" i="1"/>
  <c r="F479" i="1" s="1"/>
  <c r="H479" i="1" s="1"/>
  <c r="I387" i="1" s="1"/>
  <c r="D478" i="1"/>
  <c r="F478" i="1" s="1"/>
  <c r="H478" i="1" s="1"/>
  <c r="D477" i="1"/>
  <c r="F477" i="1" s="1"/>
  <c r="H477" i="1" s="1"/>
  <c r="D476" i="1"/>
  <c r="F476" i="1" s="1"/>
  <c r="H476" i="1" s="1"/>
  <c r="D475" i="1"/>
  <c r="F475" i="1" s="1"/>
  <c r="H475" i="1" s="1"/>
  <c r="D474" i="1"/>
  <c r="F474" i="1" s="1"/>
  <c r="H474" i="1" s="1"/>
  <c r="I474" i="1" s="1"/>
  <c r="D473" i="1"/>
  <c r="F473" i="1" s="1"/>
  <c r="H473" i="1" s="1"/>
  <c r="D472" i="1"/>
  <c r="F472" i="1" s="1"/>
  <c r="H472" i="1" s="1"/>
  <c r="D471" i="1"/>
  <c r="F471" i="1" s="1"/>
  <c r="H471" i="1" s="1"/>
  <c r="D470" i="1"/>
  <c r="F470" i="1" s="1"/>
  <c r="H470" i="1" s="1"/>
  <c r="D469" i="1"/>
  <c r="F469" i="1" s="1"/>
  <c r="H469" i="1" s="1"/>
  <c r="D468" i="1"/>
  <c r="F468" i="1" s="1"/>
  <c r="H468" i="1" s="1"/>
  <c r="A468" i="1"/>
  <c r="A469" i="1" s="1"/>
  <c r="A470" i="1" s="1"/>
  <c r="A471" i="1" s="1"/>
  <c r="A472" i="1" s="1"/>
  <c r="A473" i="1" s="1"/>
  <c r="A474" i="1" s="1"/>
  <c r="A475" i="1" s="1"/>
  <c r="A476" i="1" s="1"/>
  <c r="A477" i="1" s="1"/>
  <c r="A478" i="1" s="1"/>
  <c r="A479" i="1" s="1"/>
  <c r="A480" i="1" s="1"/>
  <c r="A481" i="1" s="1"/>
  <c r="A482" i="1" s="1"/>
  <c r="A483" i="1" s="1"/>
  <c r="A484" i="1" s="1"/>
  <c r="A485" i="1" s="1"/>
  <c r="A486" i="1" s="1"/>
  <c r="A487" i="1" s="1"/>
  <c r="D467" i="1"/>
  <c r="F467" i="1" s="1"/>
  <c r="H467" i="1" s="1"/>
  <c r="D466" i="1"/>
  <c r="F466" i="1" s="1"/>
  <c r="H466" i="1" s="1"/>
  <c r="A466" i="1"/>
  <c r="D465" i="1"/>
  <c r="F465" i="1" s="1"/>
  <c r="H465" i="1" s="1"/>
  <c r="D464" i="1"/>
  <c r="F464" i="1" s="1"/>
  <c r="H464" i="1" s="1"/>
  <c r="D463" i="1"/>
  <c r="F463" i="1" s="1"/>
  <c r="H463" i="1" s="1"/>
  <c r="D462" i="1"/>
  <c r="F462" i="1" s="1"/>
  <c r="H462" i="1" s="1"/>
  <c r="D461" i="1"/>
  <c r="F461" i="1" s="1"/>
  <c r="H461" i="1" s="1"/>
  <c r="D460" i="1"/>
  <c r="F460" i="1" s="1"/>
  <c r="H460" i="1" s="1"/>
  <c r="D459" i="1"/>
  <c r="F459" i="1" s="1"/>
  <c r="H459" i="1" s="1"/>
  <c r="D458" i="1"/>
  <c r="F458" i="1" s="1"/>
  <c r="H458" i="1" s="1"/>
  <c r="D457" i="1"/>
  <c r="F457" i="1" s="1"/>
  <c r="H457" i="1" s="1"/>
  <c r="D456" i="1"/>
  <c r="F456" i="1" s="1"/>
  <c r="H456" i="1" s="1"/>
  <c r="A456" i="1"/>
  <c r="A457" i="1" s="1"/>
  <c r="A458" i="1" s="1"/>
  <c r="A459" i="1" s="1"/>
  <c r="A460" i="1" s="1"/>
  <c r="A461" i="1" s="1"/>
  <c r="A462" i="1" s="1"/>
  <c r="A463" i="1" s="1"/>
  <c r="A464" i="1" s="1"/>
  <c r="D455" i="1"/>
  <c r="F455" i="1" s="1"/>
  <c r="H455" i="1" s="1"/>
  <c r="D454" i="1"/>
  <c r="F454" i="1" s="1"/>
  <c r="H454" i="1" s="1"/>
  <c r="D453" i="1"/>
  <c r="F453" i="1" s="1"/>
  <c r="H453" i="1" s="1"/>
  <c r="D403" i="1"/>
  <c r="F403" i="1" s="1"/>
  <c r="H403" i="1" s="1"/>
  <c r="D451" i="1"/>
  <c r="F451" i="1" s="1"/>
  <c r="H451" i="1" s="1"/>
  <c r="F450" i="1"/>
  <c r="H450" i="1" s="1"/>
  <c r="D449" i="1"/>
  <c r="F449" i="1" s="1"/>
  <c r="H449" i="1" s="1"/>
  <c r="D448" i="1"/>
  <c r="F448" i="1" s="1"/>
  <c r="H448" i="1" s="1"/>
  <c r="D447" i="1"/>
  <c r="F447" i="1" s="1"/>
  <c r="H447" i="1" s="1"/>
  <c r="D446" i="1"/>
  <c r="F446" i="1" s="1"/>
  <c r="H446" i="1" s="1"/>
  <c r="D445" i="1"/>
  <c r="F445" i="1" s="1"/>
  <c r="H445" i="1" s="1"/>
  <c r="D444" i="1"/>
  <c r="F444" i="1" s="1"/>
  <c r="H444" i="1" s="1"/>
  <c r="D443" i="1"/>
  <c r="F443" i="1" s="1"/>
  <c r="H443" i="1" s="1"/>
  <c r="D442" i="1"/>
  <c r="F442" i="1" s="1"/>
  <c r="H442" i="1" s="1"/>
  <c r="D441" i="1"/>
  <c r="F441" i="1" s="1"/>
  <c r="H441" i="1" s="1"/>
  <c r="A441" i="1"/>
  <c r="A442" i="1" s="1"/>
  <c r="A443" i="1" s="1"/>
  <c r="A444" i="1" s="1"/>
  <c r="A445" i="1" s="1"/>
  <c r="A446" i="1" s="1"/>
  <c r="A447" i="1" s="1"/>
  <c r="A448" i="1" s="1"/>
  <c r="A449" i="1" s="1"/>
  <c r="A450" i="1" s="1"/>
  <c r="A451" i="1" s="1"/>
  <c r="D440" i="1"/>
  <c r="F440" i="1" s="1"/>
  <c r="H440" i="1" s="1"/>
  <c r="D437" i="1"/>
  <c r="F437" i="1" s="1"/>
  <c r="H437" i="1" s="1"/>
  <c r="D436" i="1"/>
  <c r="F436" i="1" s="1"/>
  <c r="H436" i="1" s="1"/>
  <c r="D435" i="1"/>
  <c r="F435" i="1" s="1"/>
  <c r="H435" i="1" s="1"/>
  <c r="D434" i="1"/>
  <c r="F434" i="1" s="1"/>
  <c r="H434" i="1" s="1"/>
  <c r="D433" i="1"/>
  <c r="F433" i="1" s="1"/>
  <c r="H433" i="1" s="1"/>
  <c r="D432" i="1"/>
  <c r="F432" i="1" s="1"/>
  <c r="H432" i="1" s="1"/>
  <c r="D431" i="1"/>
  <c r="F431" i="1" s="1"/>
  <c r="H431" i="1" s="1"/>
  <c r="D430" i="1"/>
  <c r="F430" i="1" s="1"/>
  <c r="H430" i="1" s="1"/>
  <c r="D429" i="1"/>
  <c r="F429" i="1" s="1"/>
  <c r="H429" i="1" s="1"/>
  <c r="D428" i="1"/>
  <c r="F428" i="1" s="1"/>
  <c r="H428" i="1" s="1"/>
  <c r="D427" i="1"/>
  <c r="F427" i="1" s="1"/>
  <c r="H427" i="1" s="1"/>
  <c r="D426" i="1"/>
  <c r="F426" i="1" s="1"/>
  <c r="H426" i="1" s="1"/>
  <c r="D425" i="1"/>
  <c r="F425" i="1" s="1"/>
  <c r="H425" i="1" s="1"/>
  <c r="D424" i="1"/>
  <c r="F424" i="1" s="1"/>
  <c r="H424" i="1" s="1"/>
  <c r="D423" i="1"/>
  <c r="F423" i="1" s="1"/>
  <c r="H423" i="1" s="1"/>
  <c r="D422" i="1"/>
  <c r="F422" i="1" s="1"/>
  <c r="H422" i="1" s="1"/>
  <c r="D421" i="1"/>
  <c r="F421" i="1" s="1"/>
  <c r="H421" i="1" s="1"/>
  <c r="D420" i="1"/>
  <c r="F420" i="1" s="1"/>
  <c r="H420" i="1" s="1"/>
  <c r="D419" i="1"/>
  <c r="F419" i="1" s="1"/>
  <c r="H419" i="1" s="1"/>
  <c r="D418" i="1"/>
  <c r="F418" i="1" s="1"/>
  <c r="H418" i="1" s="1"/>
  <c r="A418" i="1"/>
  <c r="A419" i="1" s="1"/>
  <c r="A420" i="1" s="1"/>
  <c r="A421" i="1" s="1"/>
  <c r="A422" i="1" s="1"/>
  <c r="A423" i="1" s="1"/>
  <c r="A424" i="1" s="1"/>
  <c r="A425" i="1" s="1"/>
  <c r="A426" i="1" s="1"/>
  <c r="A427" i="1" s="1"/>
  <c r="A428" i="1" s="1"/>
  <c r="A429" i="1" s="1"/>
  <c r="A430" i="1" s="1"/>
  <c r="A431" i="1" s="1"/>
  <c r="A432" i="1" s="1"/>
  <c r="A433" i="1" s="1"/>
  <c r="A434" i="1" s="1"/>
  <c r="A435" i="1" s="1"/>
  <c r="A436" i="1" s="1"/>
  <c r="A437" i="1" s="1"/>
  <c r="A416" i="1"/>
  <c r="F410" i="1"/>
  <c r="D409" i="1"/>
  <c r="F409" i="1" s="1"/>
  <c r="H409" i="1" s="1"/>
  <c r="D408" i="1"/>
  <c r="F408" i="1" s="1"/>
  <c r="H408" i="1" s="1"/>
  <c r="D407" i="1"/>
  <c r="F407" i="1" s="1"/>
  <c r="H407" i="1" s="1"/>
  <c r="D406" i="1"/>
  <c r="F406" i="1" s="1"/>
  <c r="H406" i="1" s="1"/>
  <c r="A406" i="1"/>
  <c r="A407" i="1" s="1"/>
  <c r="A408" i="1" s="1"/>
  <c r="A409" i="1" s="1"/>
  <c r="A410" i="1" s="1"/>
  <c r="A411" i="1" s="1"/>
  <c r="A412" i="1" s="1"/>
  <c r="A413" i="1" s="1"/>
  <c r="A414" i="1" s="1"/>
  <c r="D405" i="1"/>
  <c r="F405" i="1" s="1"/>
  <c r="H405" i="1" s="1"/>
  <c r="D404" i="1"/>
  <c r="F404" i="1" s="1"/>
  <c r="H404" i="1" s="1"/>
  <c r="D401" i="1"/>
  <c r="F401" i="1" s="1"/>
  <c r="H401" i="1" s="1"/>
  <c r="D400" i="1"/>
  <c r="F400" i="1" s="1"/>
  <c r="H400" i="1" s="1"/>
  <c r="D381" i="1"/>
  <c r="F381" i="1" s="1"/>
  <c r="H381" i="1" s="1"/>
  <c r="D382" i="1"/>
  <c r="F382" i="1" s="1"/>
  <c r="H382" i="1" s="1"/>
  <c r="D383" i="1"/>
  <c r="F383" i="1" s="1"/>
  <c r="H383" i="1" s="1"/>
  <c r="D384" i="1"/>
  <c r="F384" i="1" s="1"/>
  <c r="H384" i="1" s="1"/>
  <c r="I286" i="1" s="1"/>
  <c r="D385" i="1"/>
  <c r="F385" i="1" s="1"/>
  <c r="H385" i="1" s="1"/>
  <c r="D386" i="1"/>
  <c r="F386" i="1" s="1"/>
  <c r="H386" i="1" s="1"/>
  <c r="D387" i="1"/>
  <c r="F387" i="1" s="1"/>
  <c r="H387" i="1" s="1"/>
  <c r="D390" i="1"/>
  <c r="F390" i="1" s="1"/>
  <c r="H390" i="1" s="1"/>
  <c r="D391" i="1"/>
  <c r="F391" i="1" s="1"/>
  <c r="H391" i="1" s="1"/>
  <c r="D392" i="1"/>
  <c r="F392" i="1" s="1"/>
  <c r="H392" i="1" s="1"/>
  <c r="D393" i="1"/>
  <c r="F393" i="1" s="1"/>
  <c r="H393" i="1" s="1"/>
  <c r="D394" i="1"/>
  <c r="F394" i="1" s="1"/>
  <c r="H394" i="1" s="1"/>
  <c r="D395" i="1"/>
  <c r="F395" i="1" s="1"/>
  <c r="H395" i="1" s="1"/>
  <c r="D396" i="1"/>
  <c r="F396" i="1" s="1"/>
  <c r="H396" i="1" s="1"/>
  <c r="D397" i="1"/>
  <c r="F397" i="1" s="1"/>
  <c r="H397" i="1" s="1"/>
  <c r="D398" i="1"/>
  <c r="F398" i="1" s="1"/>
  <c r="H398" i="1" s="1"/>
  <c r="D380" i="1"/>
  <c r="F380" i="1" s="1"/>
  <c r="H380" i="1" s="1"/>
  <c r="D377" i="1"/>
  <c r="F377" i="1" s="1"/>
  <c r="H377" i="1" s="1"/>
  <c r="D375" i="1"/>
  <c r="F375" i="1" s="1"/>
  <c r="H375" i="1" s="1"/>
  <c r="D373" i="1"/>
  <c r="F373" i="1" s="1"/>
  <c r="H373" i="1" s="1"/>
  <c r="D372" i="1"/>
  <c r="F372" i="1" s="1"/>
  <c r="H372" i="1" s="1"/>
  <c r="D370" i="1"/>
  <c r="F370" i="1" s="1"/>
  <c r="H370" i="1" s="1"/>
  <c r="D369" i="1"/>
  <c r="F369" i="1" s="1"/>
  <c r="H369" i="1" s="1"/>
  <c r="D368" i="1"/>
  <c r="F368" i="1" s="1"/>
  <c r="H368" i="1" s="1"/>
  <c r="D366" i="1"/>
  <c r="F366" i="1" s="1"/>
  <c r="H366" i="1" s="1"/>
  <c r="A366" i="1"/>
  <c r="D365" i="1"/>
  <c r="F365" i="1" s="1"/>
  <c r="H365" i="1" s="1"/>
  <c r="D364" i="1"/>
  <c r="F364" i="1" s="1"/>
  <c r="H364" i="1" s="1"/>
  <c r="D363" i="1"/>
  <c r="F363" i="1" s="1"/>
  <c r="H363" i="1" s="1"/>
  <c r="D362" i="1"/>
  <c r="F362" i="1" s="1"/>
  <c r="H362" i="1" s="1"/>
  <c r="D361" i="1"/>
  <c r="F361" i="1" s="1"/>
  <c r="H361" i="1" s="1"/>
  <c r="D360" i="1"/>
  <c r="F360" i="1" s="1"/>
  <c r="H360" i="1" s="1"/>
  <c r="D355" i="1"/>
  <c r="F355" i="1" s="1"/>
  <c r="H355" i="1" s="1"/>
  <c r="D354" i="1"/>
  <c r="F354" i="1" s="1"/>
  <c r="D399" i="1"/>
  <c r="F399" i="1" s="1"/>
  <c r="H399" i="1" s="1"/>
  <c r="A391" i="1"/>
  <c r="A392" i="1" s="1"/>
  <c r="A393" i="1" s="1"/>
  <c r="A394" i="1" s="1"/>
  <c r="A395" i="1" s="1"/>
  <c r="A396" i="1" s="1"/>
  <c r="A397" i="1" s="1"/>
  <c r="A398" i="1" s="1"/>
  <c r="A399" i="1" s="1"/>
  <c r="A400" i="1" s="1"/>
  <c r="A401" i="1" s="1"/>
  <c r="D379" i="1"/>
  <c r="F379" i="1" s="1"/>
  <c r="H379" i="1" s="1"/>
  <c r="D378" i="1"/>
  <c r="F378" i="1" s="1"/>
  <c r="H378" i="1" s="1"/>
  <c r="D376" i="1"/>
  <c r="F376" i="1" s="1"/>
  <c r="H376" i="1" s="1"/>
  <c r="D374" i="1"/>
  <c r="F374" i="1" s="1"/>
  <c r="H374" i="1" s="1"/>
  <c r="D371" i="1"/>
  <c r="F371" i="1" s="1"/>
  <c r="H371" i="1" s="1"/>
  <c r="A368" i="1"/>
  <c r="A369" i="1" s="1"/>
  <c r="A370" i="1" s="1"/>
  <c r="A371" i="1" s="1"/>
  <c r="A372" i="1" s="1"/>
  <c r="A373" i="1" s="1"/>
  <c r="A374" i="1" s="1"/>
  <c r="A375" i="1" s="1"/>
  <c r="A376" i="1" s="1"/>
  <c r="A377" i="1" s="1"/>
  <c r="A378" i="1" s="1"/>
  <c r="A379" i="1" s="1"/>
  <c r="A380" i="1" s="1"/>
  <c r="A381" i="1" s="1"/>
  <c r="A382" i="1" s="1"/>
  <c r="A383" i="1" s="1"/>
  <c r="A384" i="1" s="1"/>
  <c r="A385" i="1" s="1"/>
  <c r="A386" i="1" s="1"/>
  <c r="A387" i="1" s="1"/>
  <c r="D367" i="1"/>
  <c r="F367" i="1" s="1"/>
  <c r="H367" i="1" s="1"/>
  <c r="D359" i="1"/>
  <c r="F359" i="1" s="1"/>
  <c r="H359" i="1" s="1"/>
  <c r="D358" i="1"/>
  <c r="F358" i="1" s="1"/>
  <c r="H358" i="1" s="1"/>
  <c r="D357" i="1"/>
  <c r="F357" i="1" s="1"/>
  <c r="H357" i="1" s="1"/>
  <c r="D356" i="1"/>
  <c r="F356" i="1" s="1"/>
  <c r="H356" i="1" s="1"/>
  <c r="A356" i="1"/>
  <c r="A357" i="1" s="1"/>
  <c r="A358" i="1" s="1"/>
  <c r="A359" i="1" s="1"/>
  <c r="A360" i="1" s="1"/>
  <c r="A361" i="1" s="1"/>
  <c r="A362" i="1" s="1"/>
  <c r="A363" i="1" s="1"/>
  <c r="A364" i="1" s="1"/>
  <c r="D254" i="1"/>
  <c r="F254" i="1" s="1"/>
  <c r="H254" i="1" s="1"/>
  <c r="F253" i="1"/>
  <c r="H253" i="1" s="1"/>
  <c r="I250" i="1" s="1"/>
  <c r="D252" i="1"/>
  <c r="F252" i="1" s="1"/>
  <c r="H252" i="1" s="1"/>
  <c r="D251" i="1"/>
  <c r="F251" i="1" s="1"/>
  <c r="H251" i="1" s="1"/>
  <c r="D249" i="1"/>
  <c r="F249" i="1" s="1"/>
  <c r="H249" i="1" s="1"/>
  <c r="D247" i="1"/>
  <c r="F247" i="1" s="1"/>
  <c r="H247" i="1" s="1"/>
  <c r="D245" i="1"/>
  <c r="F245" i="1" s="1"/>
  <c r="H245" i="1" s="1"/>
  <c r="D243" i="1"/>
  <c r="F243" i="1" s="1"/>
  <c r="H243" i="1" s="1"/>
  <c r="D241" i="1"/>
  <c r="F241" i="1" s="1"/>
  <c r="H241" i="1" s="1"/>
  <c r="D239" i="1"/>
  <c r="F239" i="1" s="1"/>
  <c r="H239" i="1" s="1"/>
  <c r="D237" i="1"/>
  <c r="F237" i="1" s="1"/>
  <c r="H237" i="1" s="1"/>
  <c r="D250" i="1"/>
  <c r="F250" i="1" s="1"/>
  <c r="H250" i="1" s="1"/>
  <c r="D248" i="1"/>
  <c r="F248" i="1" s="1"/>
  <c r="H248" i="1" s="1"/>
  <c r="D246" i="1"/>
  <c r="F246" i="1" s="1"/>
  <c r="H246" i="1" s="1"/>
  <c r="D244" i="1"/>
  <c r="F244" i="1" s="1"/>
  <c r="H244" i="1" s="1"/>
  <c r="D242" i="1"/>
  <c r="F242" i="1" s="1"/>
  <c r="H242" i="1" s="1"/>
  <c r="D240" i="1"/>
  <c r="F240" i="1" s="1"/>
  <c r="H240" i="1" s="1"/>
  <c r="D238" i="1"/>
  <c r="F238" i="1" s="1"/>
  <c r="H238" i="1" s="1"/>
  <c r="D236" i="1"/>
  <c r="F236" i="1" s="1"/>
  <c r="H236" i="1" s="1"/>
  <c r="D235" i="1"/>
  <c r="F235" i="1" s="1"/>
  <c r="H235" i="1" s="1"/>
  <c r="D234" i="1"/>
  <c r="F234" i="1" s="1"/>
  <c r="H234" i="1" s="1"/>
  <c r="D233" i="1"/>
  <c r="F233" i="1" s="1"/>
  <c r="H233" i="1" s="1"/>
  <c r="D230" i="1"/>
  <c r="F230" i="1" s="1"/>
  <c r="H230" i="1" s="1"/>
  <c r="D229" i="1"/>
  <c r="F229" i="1" s="1"/>
  <c r="H229" i="1" s="1"/>
  <c r="D223" i="1"/>
  <c r="F223" i="1" s="1"/>
  <c r="H223" i="1" s="1"/>
  <c r="D224" i="1"/>
  <c r="F224" i="1" s="1"/>
  <c r="H224" i="1" s="1"/>
  <c r="D225" i="1"/>
  <c r="F225" i="1" s="1"/>
  <c r="H225" i="1" s="1"/>
  <c r="D226" i="1"/>
  <c r="F226" i="1" s="1"/>
  <c r="H226" i="1" s="1"/>
  <c r="D227" i="1"/>
  <c r="F227" i="1" s="1"/>
  <c r="H227" i="1" s="1"/>
  <c r="D222" i="1"/>
  <c r="F222" i="1" s="1"/>
  <c r="H222" i="1" s="1"/>
  <c r="D221" i="1"/>
  <c r="F221" i="1" s="1"/>
  <c r="H221" i="1" s="1"/>
  <c r="D220" i="1"/>
  <c r="F220" i="1" s="1"/>
  <c r="H220" i="1" s="1"/>
  <c r="F218" i="1"/>
  <c r="H218" i="1" s="1"/>
  <c r="F219" i="1"/>
  <c r="H219" i="1" s="1"/>
  <c r="D215" i="1"/>
  <c r="F215" i="1" s="1"/>
  <c r="H215" i="1" s="1"/>
  <c r="D216" i="1"/>
  <c r="F216" i="1" s="1"/>
  <c r="H216" i="1" s="1"/>
  <c r="D217" i="1"/>
  <c r="F217" i="1" s="1"/>
  <c r="H217" i="1" s="1"/>
  <c r="D214" i="1"/>
  <c r="F214" i="1" s="1"/>
  <c r="H214" i="1" s="1"/>
  <c r="D232" i="1"/>
  <c r="F232" i="1" s="1"/>
  <c r="H232" i="1" s="1"/>
  <c r="D231" i="1"/>
  <c r="F231" i="1" s="1"/>
  <c r="H231" i="1" s="1"/>
  <c r="D228" i="1"/>
  <c r="F228" i="1" s="1"/>
  <c r="H228" i="1" s="1"/>
  <c r="F213" i="1"/>
  <c r="H213" i="1" s="1"/>
  <c r="D212" i="1"/>
  <c r="F212" i="1" s="1"/>
  <c r="H212" i="1" s="1"/>
  <c r="A244" i="1"/>
  <c r="A245" i="1" s="1"/>
  <c r="A246" i="1" s="1"/>
  <c r="A247" i="1" s="1"/>
  <c r="A248" i="1" s="1"/>
  <c r="A249" i="1" s="1"/>
  <c r="A250" i="1" s="1"/>
  <c r="A251" i="1" s="1"/>
  <c r="A252" i="1" s="1"/>
  <c r="A253" i="1" s="1"/>
  <c r="A254" i="1" s="1"/>
  <c r="A223" i="1"/>
  <c r="A224" i="1" s="1"/>
  <c r="A225" i="1" s="1"/>
  <c r="A226" i="1" s="1"/>
  <c r="A227" i="1" s="1"/>
  <c r="A228" i="1" s="1"/>
  <c r="A229" i="1" s="1"/>
  <c r="A230" i="1" s="1"/>
  <c r="A231" i="1" s="1"/>
  <c r="A232" i="1" s="1"/>
  <c r="A233" i="1" s="1"/>
  <c r="A234" i="1" s="1"/>
  <c r="A235" i="1" s="1"/>
  <c r="A236" i="1" s="1"/>
  <c r="A237" i="1" s="1"/>
  <c r="A238" i="1" s="1"/>
  <c r="A239" i="1" s="1"/>
  <c r="A240" i="1" s="1"/>
  <c r="A241" i="1" s="1"/>
  <c r="A242" i="1" s="1"/>
  <c r="A214" i="1"/>
  <c r="A215" i="1" s="1"/>
  <c r="A216" i="1" s="1"/>
  <c r="A217" i="1" s="1"/>
  <c r="A218" i="1" s="1"/>
  <c r="A219" i="1" s="1"/>
  <c r="A220" i="1" s="1"/>
  <c r="F167" i="1"/>
  <c r="H167" i="1" s="1"/>
  <c r="F210" i="1"/>
  <c r="H210" i="1" s="1"/>
  <c r="D209" i="1"/>
  <c r="F209" i="1" s="1"/>
  <c r="H209" i="1" s="1"/>
  <c r="D207" i="1"/>
  <c r="F207" i="1" s="1"/>
  <c r="H207" i="1" s="1"/>
  <c r="D205" i="1"/>
  <c r="F205" i="1" s="1"/>
  <c r="H205" i="1" s="1"/>
  <c r="D203" i="1"/>
  <c r="F203" i="1" s="1"/>
  <c r="H203" i="1" s="1"/>
  <c r="D201" i="1"/>
  <c r="F201" i="1" s="1"/>
  <c r="H201" i="1" s="1"/>
  <c r="D208" i="1"/>
  <c r="F208" i="1" s="1"/>
  <c r="H208" i="1" s="1"/>
  <c r="D206" i="1"/>
  <c r="F206" i="1" s="1"/>
  <c r="H206" i="1" s="1"/>
  <c r="D204" i="1"/>
  <c r="F204" i="1" s="1"/>
  <c r="H204" i="1" s="1"/>
  <c r="D202" i="1"/>
  <c r="F202" i="1" s="1"/>
  <c r="H202" i="1" s="1"/>
  <c r="D200" i="1"/>
  <c r="F200" i="1" s="1"/>
  <c r="H200" i="1" s="1"/>
  <c r="D199" i="1"/>
  <c r="F199" i="1" s="1"/>
  <c r="H199" i="1" s="1"/>
  <c r="D198" i="1"/>
  <c r="F198" i="1" s="1"/>
  <c r="H198" i="1" s="1"/>
  <c r="D197" i="1"/>
  <c r="F197" i="1" s="1"/>
  <c r="H197" i="1" s="1"/>
  <c r="D196" i="1"/>
  <c r="F196" i="1" s="1"/>
  <c r="H196" i="1" s="1"/>
  <c r="D195" i="1"/>
  <c r="F195" i="1" s="1"/>
  <c r="H195" i="1" s="1"/>
  <c r="D194" i="1"/>
  <c r="F194" i="1" s="1"/>
  <c r="H194" i="1" s="1"/>
  <c r="D192" i="1"/>
  <c r="F192" i="1" s="1"/>
  <c r="H192" i="1" s="1"/>
  <c r="D191" i="1"/>
  <c r="F191" i="1" s="1"/>
  <c r="H191" i="1" s="1"/>
  <c r="D190" i="1"/>
  <c r="F190" i="1" s="1"/>
  <c r="H190" i="1" s="1"/>
  <c r="D193" i="1"/>
  <c r="F193" i="1" s="1"/>
  <c r="H193" i="1" s="1"/>
  <c r="D189" i="1"/>
  <c r="F189" i="1" s="1"/>
  <c r="H189" i="1" s="1"/>
  <c r="D188" i="1"/>
  <c r="F188" i="1" s="1"/>
  <c r="H188" i="1" s="1"/>
  <c r="D187" i="1"/>
  <c r="F187" i="1" s="1"/>
  <c r="H187" i="1" s="1"/>
  <c r="D186" i="1"/>
  <c r="F186" i="1" s="1"/>
  <c r="H186" i="1" s="1"/>
  <c r="D185" i="1"/>
  <c r="F185" i="1" s="1"/>
  <c r="H185" i="1" s="1"/>
  <c r="D184" i="1"/>
  <c r="F184" i="1" s="1"/>
  <c r="H184" i="1" s="1"/>
  <c r="D182" i="1"/>
  <c r="F182" i="1" s="1"/>
  <c r="H182" i="1" s="1"/>
  <c r="D183" i="1"/>
  <c r="F183" i="1" s="1"/>
  <c r="H183" i="1" s="1"/>
  <c r="D181" i="1"/>
  <c r="F181" i="1" s="1"/>
  <c r="H181" i="1" s="1"/>
  <c r="D180" i="1"/>
  <c r="F180" i="1" s="1"/>
  <c r="H180" i="1" s="1"/>
  <c r="D179" i="1"/>
  <c r="F179" i="1" s="1"/>
  <c r="H179" i="1" s="1"/>
  <c r="D178" i="1"/>
  <c r="F178" i="1" s="1"/>
  <c r="H178" i="1" s="1"/>
  <c r="D177" i="1"/>
  <c r="F177" i="1" s="1"/>
  <c r="H177" i="1" s="1"/>
  <c r="D176" i="1"/>
  <c r="F176" i="1" s="1"/>
  <c r="H176" i="1" s="1"/>
  <c r="D175" i="1"/>
  <c r="F175" i="1" s="1"/>
  <c r="H175" i="1" s="1"/>
  <c r="D171" i="1"/>
  <c r="F171" i="1" s="1"/>
  <c r="H171" i="1" s="1"/>
  <c r="D170" i="1"/>
  <c r="F170" i="1" s="1"/>
  <c r="H170" i="1" s="1"/>
  <c r="D169" i="1"/>
  <c r="F169" i="1" s="1"/>
  <c r="H169" i="1" s="1"/>
  <c r="A201" i="1"/>
  <c r="A202" i="1" s="1"/>
  <c r="A203" i="1" s="1"/>
  <c r="A204" i="1" s="1"/>
  <c r="A205" i="1" s="1"/>
  <c r="A206" i="1" s="1"/>
  <c r="A207" i="1" s="1"/>
  <c r="A208" i="1" s="1"/>
  <c r="A209" i="1" s="1"/>
  <c r="A210" i="1" s="1"/>
  <c r="A180" i="1"/>
  <c r="A181" i="1" s="1"/>
  <c r="A182" i="1" s="1"/>
  <c r="A183" i="1" s="1"/>
  <c r="A184" i="1" s="1"/>
  <c r="A185" i="1" s="1"/>
  <c r="A186" i="1" s="1"/>
  <c r="A187" i="1" s="1"/>
  <c r="A188" i="1" s="1"/>
  <c r="A189" i="1" s="1"/>
  <c r="A190" i="1" s="1"/>
  <c r="A191" i="1" s="1"/>
  <c r="A192" i="1" s="1"/>
  <c r="A193" i="1" s="1"/>
  <c r="A194" i="1" s="1"/>
  <c r="A195" i="1" s="1"/>
  <c r="A196" i="1" s="1"/>
  <c r="A197" i="1" s="1"/>
  <c r="A198" i="1" s="1"/>
  <c r="A199" i="1" s="1"/>
  <c r="D174" i="1"/>
  <c r="F174" i="1" s="1"/>
  <c r="H174" i="1" s="1"/>
  <c r="D173" i="1"/>
  <c r="F173" i="1" s="1"/>
  <c r="H173" i="1" s="1"/>
  <c r="D172" i="1"/>
  <c r="F172" i="1" s="1"/>
  <c r="H172" i="1" s="1"/>
  <c r="A171" i="1"/>
  <c r="A172" i="1" s="1"/>
  <c r="A173" i="1" s="1"/>
  <c r="A174" i="1" s="1"/>
  <c r="A175" i="1" s="1"/>
  <c r="A176" i="1" s="1"/>
  <c r="A177" i="1" s="1"/>
  <c r="D166" i="1"/>
  <c r="F166" i="1" s="1"/>
  <c r="H166" i="1" s="1"/>
  <c r="D165" i="1"/>
  <c r="F165" i="1" s="1"/>
  <c r="H165" i="1" s="1"/>
  <c r="D164" i="1"/>
  <c r="F164" i="1" s="1"/>
  <c r="H164" i="1" s="1"/>
  <c r="D163" i="1"/>
  <c r="F163" i="1" s="1"/>
  <c r="H163" i="1" s="1"/>
  <c r="D162" i="1"/>
  <c r="F162" i="1" s="1"/>
  <c r="H162" i="1" s="1"/>
  <c r="D161" i="1"/>
  <c r="F161" i="1" s="1"/>
  <c r="H161" i="1" s="1"/>
  <c r="D160" i="1"/>
  <c r="F160" i="1" s="1"/>
  <c r="H160" i="1" s="1"/>
  <c r="D159" i="1"/>
  <c r="F159" i="1" s="1"/>
  <c r="H159" i="1" s="1"/>
  <c r="D158" i="1"/>
  <c r="F158" i="1" s="1"/>
  <c r="H158" i="1" s="1"/>
  <c r="D157" i="1"/>
  <c r="F157" i="1" s="1"/>
  <c r="H157" i="1" s="1"/>
  <c r="D156" i="1"/>
  <c r="F156" i="1" s="1"/>
  <c r="H156" i="1" s="1"/>
  <c r="D155" i="1"/>
  <c r="F155" i="1" s="1"/>
  <c r="H155" i="1" s="1"/>
  <c r="D154" i="1"/>
  <c r="F154" i="1" s="1"/>
  <c r="H154" i="1" s="1"/>
  <c r="D153" i="1"/>
  <c r="F153" i="1" s="1"/>
  <c r="H153" i="1" s="1"/>
  <c r="D152" i="1"/>
  <c r="F152" i="1" s="1"/>
  <c r="H152" i="1" s="1"/>
  <c r="D151" i="1"/>
  <c r="F151" i="1" s="1"/>
  <c r="H151" i="1" s="1"/>
  <c r="D150" i="1"/>
  <c r="F150" i="1" s="1"/>
  <c r="H150" i="1" s="1"/>
  <c r="D149" i="1"/>
  <c r="F149" i="1" s="1"/>
  <c r="H149" i="1" s="1"/>
  <c r="D148" i="1"/>
  <c r="F148" i="1" s="1"/>
  <c r="H148" i="1" s="1"/>
  <c r="D147" i="1"/>
  <c r="F147" i="1" s="1"/>
  <c r="H147" i="1" s="1"/>
  <c r="D146" i="1"/>
  <c r="F146" i="1" s="1"/>
  <c r="H146" i="1" s="1"/>
  <c r="D145" i="1"/>
  <c r="F145" i="1" s="1"/>
  <c r="H145" i="1" s="1"/>
  <c r="D144" i="1"/>
  <c r="F144" i="1" s="1"/>
  <c r="H144" i="1" s="1"/>
  <c r="D143" i="1"/>
  <c r="F143" i="1" s="1"/>
  <c r="H143" i="1" s="1"/>
  <c r="D142" i="1"/>
  <c r="F142" i="1" s="1"/>
  <c r="H142" i="1" s="1"/>
  <c r="D141" i="1"/>
  <c r="F141" i="1" s="1"/>
  <c r="H141" i="1" s="1"/>
  <c r="D140" i="1"/>
  <c r="F140" i="1" s="1"/>
  <c r="H140" i="1" s="1"/>
  <c r="D139" i="1"/>
  <c r="F139" i="1" s="1"/>
  <c r="H139" i="1" s="1"/>
  <c r="D138" i="1"/>
  <c r="F138" i="1" s="1"/>
  <c r="H138" i="1" s="1"/>
  <c r="D137" i="1"/>
  <c r="F137" i="1" s="1"/>
  <c r="H137" i="1" s="1"/>
  <c r="D136" i="1"/>
  <c r="F136" i="1" s="1"/>
  <c r="H136" i="1" s="1"/>
  <c r="D135" i="1"/>
  <c r="F135" i="1" s="1"/>
  <c r="H135" i="1" s="1"/>
  <c r="D134" i="1"/>
  <c r="F134" i="1" s="1"/>
  <c r="H134" i="1" s="1"/>
  <c r="D133" i="1"/>
  <c r="D132" i="1"/>
  <c r="D131" i="1"/>
  <c r="D130" i="1"/>
  <c r="D129" i="1"/>
  <c r="D128" i="1"/>
  <c r="D127" i="1"/>
  <c r="D126" i="1"/>
  <c r="F126" i="1" s="1"/>
  <c r="H126" i="1" s="1"/>
  <c r="I117" i="1"/>
  <c r="G41" i="1"/>
  <c r="G40" i="1"/>
  <c r="C36" i="1"/>
  <c r="H354" i="1" l="1"/>
  <c r="E111" i="1"/>
  <c r="I360" i="1"/>
  <c r="H410" i="1"/>
  <c r="L306" i="1" s="1"/>
  <c r="C111" i="1"/>
  <c r="K166" i="1"/>
  <c r="C109" i="1"/>
  <c r="G84" i="1"/>
  <c r="I78" i="1" s="1"/>
  <c r="C82" i="1" s="1"/>
  <c r="C117" i="1"/>
  <c r="F568" i="1"/>
  <c r="A564" i="1"/>
  <c r="A565" i="1" s="1"/>
  <c r="A566" i="1" s="1"/>
  <c r="A567" i="1" s="1"/>
  <c r="A568" i="1" s="1"/>
  <c r="A569" i="1" s="1"/>
  <c r="A570" i="1" s="1"/>
  <c r="A547" i="1"/>
  <c r="A548" i="1" s="1"/>
  <c r="A549" i="1" s="1"/>
  <c r="A550" i="1" s="1"/>
  <c r="A551" i="1" s="1"/>
  <c r="A552" i="1" s="1"/>
  <c r="A553" i="1" s="1"/>
  <c r="A554" i="1" s="1"/>
  <c r="A555" i="1" s="1"/>
  <c r="A556" i="1" s="1"/>
  <c r="A557" i="1" s="1"/>
  <c r="A534" i="1"/>
  <c r="A535" i="1" s="1"/>
  <c r="A536" i="1" s="1"/>
  <c r="A537" i="1" s="1"/>
  <c r="A538" i="1" s="1"/>
  <c r="A539" i="1" s="1"/>
  <c r="A540" i="1" s="1"/>
  <c r="A541" i="1" s="1"/>
  <c r="A542" i="1" s="1"/>
  <c r="A543" i="1" s="1"/>
  <c r="A544" i="1" s="1"/>
  <c r="A521" i="1"/>
  <c r="A522" i="1" s="1"/>
  <c r="A523" i="1" s="1"/>
  <c r="A524" i="1" s="1"/>
  <c r="A525" i="1" s="1"/>
  <c r="A526" i="1" s="1"/>
  <c r="A527" i="1" s="1"/>
  <c r="A528" i="1" s="1"/>
  <c r="A529" i="1" s="1"/>
  <c r="A530" i="1" s="1"/>
  <c r="A531" i="1" s="1"/>
  <c r="A508" i="1"/>
  <c r="A509" i="1" s="1"/>
  <c r="A510" i="1" s="1"/>
  <c r="A511" i="1" s="1"/>
  <c r="A512" i="1" s="1"/>
  <c r="A513" i="1" s="1"/>
  <c r="A514" i="1" s="1"/>
  <c r="A515" i="1" s="1"/>
  <c r="A516" i="1" s="1"/>
  <c r="A517" i="1" s="1"/>
  <c r="A518" i="1" s="1"/>
  <c r="A127" i="1"/>
  <c r="A128" i="1" s="1"/>
  <c r="A129" i="1" s="1"/>
  <c r="A130" i="1" s="1"/>
  <c r="A131" i="1" s="1"/>
  <c r="A132" i="1" s="1"/>
  <c r="A133" i="1" s="1"/>
  <c r="F557" i="1"/>
  <c r="H557" i="1" s="1"/>
  <c r="F556" i="1"/>
  <c r="H556" i="1" s="1"/>
  <c r="F555" i="1"/>
  <c r="H555" i="1" s="1"/>
  <c r="F554" i="1"/>
  <c r="H554" i="1" s="1"/>
  <c r="F553" i="1"/>
  <c r="H553" i="1" s="1"/>
  <c r="F552" i="1"/>
  <c r="H552" i="1" s="1"/>
  <c r="F551" i="1"/>
  <c r="H551" i="1" s="1"/>
  <c r="F550" i="1"/>
  <c r="H550" i="1" s="1"/>
  <c r="F549" i="1"/>
  <c r="H549" i="1" s="1"/>
  <c r="F548" i="1"/>
  <c r="H548" i="1" s="1"/>
  <c r="F547" i="1"/>
  <c r="H547" i="1" s="1"/>
  <c r="F546" i="1"/>
  <c r="H546" i="1" s="1"/>
  <c r="F544" i="1"/>
  <c r="H544" i="1" s="1"/>
  <c r="F543" i="1"/>
  <c r="H543" i="1" s="1"/>
  <c r="F542" i="1"/>
  <c r="H542" i="1" s="1"/>
  <c r="F541" i="1"/>
  <c r="H541" i="1" s="1"/>
  <c r="F540" i="1"/>
  <c r="H540" i="1" s="1"/>
  <c r="F539" i="1"/>
  <c r="H539" i="1" s="1"/>
  <c r="F538" i="1"/>
  <c r="H538" i="1" s="1"/>
  <c r="F537" i="1"/>
  <c r="H537" i="1" s="1"/>
  <c r="F536" i="1"/>
  <c r="H536" i="1" s="1"/>
  <c r="F535" i="1"/>
  <c r="H535" i="1" s="1"/>
  <c r="F534" i="1"/>
  <c r="H534" i="1" s="1"/>
  <c r="F533" i="1"/>
  <c r="H533" i="1" s="1"/>
  <c r="F531" i="1"/>
  <c r="H531" i="1" s="1"/>
  <c r="F530" i="1"/>
  <c r="H530" i="1" s="1"/>
  <c r="F529" i="1"/>
  <c r="H529" i="1" s="1"/>
  <c r="F528" i="1"/>
  <c r="H528" i="1" s="1"/>
  <c r="F527" i="1"/>
  <c r="H527" i="1" s="1"/>
  <c r="F526" i="1"/>
  <c r="H526" i="1" s="1"/>
  <c r="F525" i="1"/>
  <c r="H525" i="1" s="1"/>
  <c r="F524" i="1"/>
  <c r="H524" i="1" s="1"/>
  <c r="F523" i="1"/>
  <c r="H523" i="1" s="1"/>
  <c r="F522" i="1"/>
  <c r="H522" i="1" s="1"/>
  <c r="F521" i="1"/>
  <c r="H521" i="1" s="1"/>
  <c r="F520" i="1"/>
  <c r="H520" i="1" s="1"/>
  <c r="F127" i="1"/>
  <c r="H127" i="1" s="1"/>
  <c r="F128" i="1"/>
  <c r="F129" i="1"/>
  <c r="F130" i="1"/>
  <c r="F131" i="1"/>
  <c r="F132" i="1"/>
  <c r="F133" i="1"/>
  <c r="F518" i="1"/>
  <c r="H518" i="1" s="1"/>
  <c r="F517" i="1"/>
  <c r="H517" i="1" s="1"/>
  <c r="F516" i="1"/>
  <c r="H516" i="1" s="1"/>
  <c r="F515" i="1"/>
  <c r="H515" i="1" s="1"/>
  <c r="F514" i="1"/>
  <c r="H514" i="1" s="1"/>
  <c r="F513" i="1"/>
  <c r="H513" i="1" s="1"/>
  <c r="F512" i="1"/>
  <c r="H512" i="1" s="1"/>
  <c r="F511" i="1"/>
  <c r="H511" i="1" s="1"/>
  <c r="F510" i="1"/>
  <c r="H510" i="1" s="1"/>
  <c r="F509" i="1"/>
  <c r="H509" i="1" s="1"/>
  <c r="F508" i="1"/>
  <c r="H508" i="1" s="1"/>
  <c r="F507" i="1"/>
  <c r="H507" i="1" s="1"/>
  <c r="C112" i="1" l="1"/>
  <c r="G111" i="1"/>
  <c r="E109" i="1"/>
  <c r="E112" i="1" s="1"/>
  <c r="A571" i="1"/>
  <c r="A135" i="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8" i="1" s="1"/>
  <c r="A159" i="1" s="1"/>
  <c r="A160" i="1" s="1"/>
  <c r="A161" i="1" s="1"/>
  <c r="A162" i="1" s="1"/>
  <c r="A163" i="1" s="1"/>
  <c r="A164" i="1" s="1"/>
  <c r="A165" i="1" s="1"/>
  <c r="A166" i="1" s="1"/>
  <c r="A167" i="1" s="1"/>
  <c r="C118" i="1"/>
  <c r="A572" i="1" l="1"/>
  <c r="A573" i="1" s="1"/>
  <c r="A574" i="1" s="1"/>
  <c r="E117" i="1"/>
  <c r="E118" i="1" s="1"/>
  <c r="C8" i="1"/>
  <c r="J75" i="1" l="1"/>
  <c r="J74" i="1"/>
  <c r="J73" i="1"/>
  <c r="J72" i="1"/>
  <c r="H67" i="1"/>
  <c r="J69" i="1" l="1"/>
  <c r="E70" i="1" s="1"/>
  <c r="F70" i="1" s="1"/>
  <c r="J67" i="1"/>
  <c r="F74" i="1"/>
  <c r="F79" i="1"/>
  <c r="F73" i="1"/>
  <c r="J70" i="1"/>
  <c r="J71" i="1" s="1"/>
  <c r="J76" i="1" s="1"/>
  <c r="J77" i="1" s="1"/>
  <c r="E71" i="1" s="1"/>
  <c r="F71" i="1" s="1"/>
  <c r="F75" i="1"/>
  <c r="F78" i="1"/>
  <c r="F72" i="1"/>
  <c r="F76" i="1"/>
  <c r="F77" i="1"/>
  <c r="J68" i="1"/>
  <c r="G70" i="1" l="1"/>
  <c r="I64" i="1" l="1"/>
  <c r="C68" i="1" s="1"/>
  <c r="E94" i="1"/>
  <c r="H128" i="1"/>
  <c r="H129" i="1"/>
  <c r="H130" i="1"/>
  <c r="H131" i="1"/>
  <c r="H132" i="1"/>
  <c r="H133" i="1"/>
  <c r="K123" i="1" l="1"/>
  <c r="G109" i="1"/>
  <c r="G112" i="1" s="1"/>
  <c r="G42" i="1"/>
  <c r="G117" i="1" l="1"/>
  <c r="G118" i="1" s="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575"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8" authorId="0" shapeId="0">
      <text>
        <r>
          <rPr>
            <b/>
            <sz val="9"/>
            <color indexed="81"/>
            <rFont val="Tahoma"/>
            <family val="2"/>
          </rPr>
          <t>height should also be mentioned</t>
        </r>
      </text>
    </comment>
    <comment ref="C64" authorId="0" shapeId="0">
      <text>
        <r>
          <rPr>
            <b/>
            <sz val="9"/>
            <color indexed="81"/>
            <rFont val="Tahoma"/>
            <family val="2"/>
          </rPr>
          <t>RERA Start date</t>
        </r>
      </text>
    </comment>
    <comment ref="H98" authorId="0" shapeId="0">
      <text>
        <r>
          <rPr>
            <b/>
            <sz val="9"/>
            <color indexed="81"/>
            <rFont val="Tahoma"/>
            <family val="2"/>
          </rPr>
          <t>if multiple buildings are in project and are connected internally</t>
        </r>
      </text>
    </comment>
    <comment ref="C100" authorId="0" shapeId="0">
      <text>
        <r>
          <rPr>
            <b/>
            <sz val="9"/>
            <color indexed="81"/>
            <rFont val="Tahoma"/>
            <family val="2"/>
          </rPr>
          <t>AAC Block or Brick</t>
        </r>
      </text>
    </comment>
    <comment ref="H102"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<sst xmlns="http://schemas.openxmlformats.org/spreadsheetml/2006/main" count="828" uniqueCount="309">
  <si>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</si>
  <si>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</si>
  <si>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</si>
  <si>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</si>
  <si>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</si>
  <si>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</si>
  <si>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</si>
  <si>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</si>
  <si>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</si>
  <si>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</si>
  <si>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</si>
  <si>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</si>
  <si>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</si>
  <si>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</si>
  <si>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</si>
  <si>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</si>
  <si>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</si>
  <si>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</si>
  <si>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</si>
  <si>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</si>
  <si>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</si>
  <si>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</si>
  <si>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</si>
  <si>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</si>
  <si>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</si>
  <si>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</si>
  <si>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</si>
  <si>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</si>
  <si>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</si>
  <si>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</si>
  <si>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</si>
  <si>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</si>
  <si>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</si>
  <si>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</si>
  <si>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</si>
  <si>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</si>
  <si>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</si>
  <si>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</si>
  <si>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</si>
  <si>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</si>
  <si>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</si>
  <si>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</si>
  <si>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</si>
  <si>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</si>
  <si>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</si>
  <si>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</si>
  <si>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</si>
  <si>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</si>
  <si>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</si>
  <si>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</si>
  <si>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</si>
  <si>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</si>
  <si>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</si>
  <si>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</si>
  <si>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</si>
  <si>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</si>
  <si>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</si>
  <si>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</si>
  <si>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</si>
  <si>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</si>
  <si>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</si>
  <si>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</si>
  <si>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</si>
  <si>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</si>
  <si>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</si>
  <si>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</si>
  <si>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</si>
  <si>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</si>
  <si>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</si>
  <si>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</si>
  <si>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</si>
  <si>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</si>
  <si>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</si>
  <si>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</si>
  <si>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</si>
  <si>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</si>
  <si>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</si>
  <si>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</si>
  <si>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</si>
  <si>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</si>
  <si>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</si>
  <si>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</si>
  <si>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</si>
  <si>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</si>
  <si>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</si>
  <si>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</si>
  <si>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</si>
  <si>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</si>
  <si>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</si>
  <si>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</si>
  <si>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</si>
  <si>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</si>
  <si>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</si>
  <si>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</si>
  <si>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</si>
  <si>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</si>
  <si>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</si>
  <si>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</si>
  <si>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</si>
  <si>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</si>
  <si>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</si>
  <si>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</si>
  <si>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</si>
  <si>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</si>
  <si>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</si>
  <si>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</si>
  <si>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</si>
  <si>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</si>
  <si>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</si>
  <si>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</si>
  <si>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</si>
  <si>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</si>
  <si>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</si>
  <si>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</si>
  <si>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</si>
  <si>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</si>
  <si>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</si>
  <si>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</si>
  <si>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</si>
  <si>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</si>
  <si>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</si>
  <si>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</si>
  <si>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</si>
  <si>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</si>
  <si>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</si>
  <si>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</si>
  <si>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</si>
  <si>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</si>
  <si>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</si>
  <si>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</si>
  <si>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</si>
  <si>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</si>
  <si>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</si>
  <si>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</si>
  <si>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</si>
  <si>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</si>
  <si>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</si>
  <si>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</si>
  <si>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</si>
  <si>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</si>
  <si>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</si>
  <si>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</si>
  <si>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</si>
  <si>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</si>
  <si>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</si>
  <si>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</si>
  <si>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</si>
  <si>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</si>
  <si>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</si>
  <si>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</si>
  <si>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</si>
  <si>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</si>
  <si>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</si>
  <si>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</si>
  <si>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</si>
  <si>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</si>
  <si>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</si>
  <si>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</si>
  <si>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</si>
  <si>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</si>
  <si>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</si>
  <si>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</si>
  <si>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</si>
  <si>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</si>
  <si>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</si>
  <si>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</si>
  <si>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</si>
  <si>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</si>
  <si>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</si>
  <si>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</si>
  <si>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</si>
  <si>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</si>
  <si>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</si>
  <si>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</si>
  <si>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</si>
  <si>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</si>
  <si>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</si>
  <si>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</si>
  <si>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</si>
  <si>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</si>
  <si>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</si>
  <si>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</si>
  <si>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</si>
  <si>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</si>
  <si>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</si>
  <si>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</si>
  <si>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</si>
  <si>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</si>
  <si>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</si>
  <si>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</si>
  <si>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</si>
  <si>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</si>
  <si>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</si>
  <si>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</si>
  <si>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</si>
  <si>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</si>
  <si>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</si>
  <si>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</si>
  <si>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</si>
  <si>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</si>
  <si>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</si>
  <si>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</si>
  <si>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</si>
  <si>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</si>
  <si>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</si>
  <si>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</si>
  <si>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Wing B</t>
  </si>
  <si>
    <t>Grand Total</t>
  </si>
  <si>
    <t>Approved No. of Floor</t>
  </si>
  <si>
    <t>Proposed No. of Floor</t>
  </si>
  <si>
    <t>Ground Floor</t>
  </si>
  <si>
    <t>Flat No.
(Approved
Plan)</t>
  </si>
  <si>
    <t>Flat No. (Sale Plan)</t>
  </si>
  <si>
    <t>Carpet area</t>
  </si>
  <si>
    <t>Fungible area</t>
  </si>
  <si>
    <t>Gross Carpet area</t>
  </si>
  <si>
    <t>Attached Terrace area</t>
  </si>
  <si>
    <t>Attached Loft area</t>
  </si>
  <si>
    <t>Shop</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</si>
  <si>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</si>
  <si>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</si>
  <si>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</si>
  <si>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</si>
  <si>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</si>
  <si>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</si>
  <si>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</si>
  <si>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</si>
  <si>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</si>
  <si>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</si>
  <si>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</si>
  <si>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</si>
  <si>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</si>
  <si>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Airport Noc No
Valid Up for: </t>
  </si>
  <si>
    <t xml:space="preserve">Date - - Valid For one Year
Area - </t>
  </si>
  <si>
    <t>``</t>
  </si>
  <si>
    <t>Validity &amp; Area mentioned:</t>
  </si>
  <si>
    <t>Mahindra Rural Housing Finance - Thane</t>
  </si>
  <si>
    <t>As Per RERA</t>
  </si>
  <si>
    <t>Gharivali &amp; Kole</t>
  </si>
  <si>
    <t>Kalyan Shilphata Road</t>
  </si>
  <si>
    <t>Dombivli East</t>
  </si>
  <si>
    <t>P51700054751</t>
  </si>
  <si>
    <t>19.179194,73.088917</t>
  </si>
  <si>
    <t>https://maps.app.goo.gl/oeqUKBmqcqnrFQpu9</t>
  </si>
  <si>
    <t>M/s. Macrotech Developers Limited</t>
  </si>
  <si>
    <t>412, 4th Floor, 17G, Vardhaman Chamber, Cawasji Patel Road, Hornimon Circle, Fort, Tal. Mumbai, Dist. Mumbai 400001.</t>
  </si>
  <si>
    <t>Bank Name - ICICI Bank
IFSC Code - ICIC0000323</t>
  </si>
  <si>
    <t>Town Planning Thane</t>
  </si>
  <si>
    <t xml:space="preserve">Survey No. 21, 76 (Pt), 26, 27, 46, 53, 59/1  </t>
  </si>
  <si>
    <t>Could'nt find BUA</t>
  </si>
  <si>
    <t>Ekatmikrut Nagarvasahat/Mauje Antarli,
Khoni, Hedutane, Kole, Gharivali, Katai &amp;
Mangaon Tal. Kalyan &amp; Mauje Umbroli,
Tal. Ambernath SSThane/4770</t>
  </si>
  <si>
    <t>SIA/MH/MIS/63043/2021</t>
  </si>
  <si>
    <t xml:space="preserve"> 12/02/2024</t>
  </si>
  <si>
    <t>Commercial Building Signet P2</t>
  </si>
  <si>
    <t>Commercial Building Signet P2 = Gr + 1st to 10th Floor (Height = 37.50 Mtrs)</t>
  </si>
  <si>
    <t>Height refered from Layout</t>
  </si>
  <si>
    <t>Ground Floor For Commercial, Entrance Lobby, Meter Room, Store Room &amp; Medical Area</t>
  </si>
  <si>
    <t>1st Floor For Commercial</t>
  </si>
  <si>
    <t>14 &amp; 15</t>
  </si>
  <si>
    <t>Office</t>
  </si>
  <si>
    <t>Refuge Area</t>
  </si>
  <si>
    <r>
      <t>Remark (</t>
    </r>
    <r>
      <rPr>
        <sz val="10"/>
        <rFont val="Times New Roman"/>
        <family val="1"/>
      </rPr>
      <t>Flat configuration /Bungalows, etc.)</t>
    </r>
  </si>
  <si>
    <t>Construction work is in process at the time of Visit (labour found).</t>
  </si>
  <si>
    <t xml:space="preserve">We considered Gross carpet area = Net carpet Area. </t>
  </si>
  <si>
    <t>12.00 M Wide Int. Road</t>
  </si>
  <si>
    <t>Other Plot</t>
  </si>
  <si>
    <t>Open Plot</t>
  </si>
  <si>
    <t>Internal Road</t>
  </si>
  <si>
    <t>11/08/2025 at 11:31</t>
  </si>
  <si>
    <t>1. 1.10 km from EuroSchool Dombivli 
2. 1.40 km from Ira Global School
3. 2.60 km from Bijankur Hospital
4. 3.90 km from Neptune Superspeciality Hospital
5. 2.00 km from RR Super Market
6. 2.10 km from Ashapura Super Market
7. 1.20 km from Mandapeshwar Shiva Mandir
8. 1.70 km from Ganpati Mandir
9. 0.70 km from Premier Company Bus stop
10. 5.40 km from Dombivli Railway Station</t>
  </si>
  <si>
    <t xml:space="preserve">Please check for Fire NOC. </t>
  </si>
  <si>
    <t>Mr. Krishna Kambali</t>
  </si>
  <si>
    <t>26(Pt), 27(Pt), 46(Pt), 53(Pt), 59/1(Pt) of Gharivali, 21(Pt), 76(Pt) of Kole</t>
  </si>
  <si>
    <t>Sector P - Commercial Bldg. Signet P2</t>
  </si>
  <si>
    <t>Yes, Approx 35ft</t>
  </si>
  <si>
    <t>Total Approved Builtup area of the Signet P2 (Sq.Mt)</t>
  </si>
  <si>
    <t>Construction/Building Permission
Valid Upto</t>
  </si>
  <si>
    <t xml:space="preserve">Average Progress % of Commercial Building Signet P2  </t>
  </si>
  <si>
    <t xml:space="preserve">Details of Commercials in Building   </t>
  </si>
  <si>
    <t>7th to 10th Floor</t>
  </si>
  <si>
    <t>5,00,000/-</t>
  </si>
  <si>
    <t>Commercial</t>
  </si>
  <si>
    <t>Medical</t>
  </si>
  <si>
    <t>Recommended rate of the Shop Per Sq. Ft. (on Saleable area)</t>
  </si>
  <si>
    <t>Recommended rate of the Office &amp; Medical Per Sq. Ft. (on Saleable area)</t>
  </si>
  <si>
    <t>Lodha Signet Palava-Signet 1</t>
  </si>
  <si>
    <t>Ekatmikrut Nagarvasahat/Mauje Antarli &amp; Others/ Sector "C, D, E, F, I1,I2, O &amp; P"/ SSThane /4770</t>
  </si>
  <si>
    <t>Sector P - Commercial Building Signet P2 = Gr + 1st to 10th Floor</t>
  </si>
  <si>
    <t>3rd Floor</t>
  </si>
  <si>
    <t>4th Floor</t>
  </si>
  <si>
    <t xml:space="preserve">Survey No (As per RERA) </t>
  </si>
  <si>
    <t>Shop = 127
Office = 286
Medical = 96</t>
  </si>
  <si>
    <t xml:space="preserve">We have referred approved layout plan from RERA Portal. </t>
  </si>
  <si>
    <t>```</t>
  </si>
  <si>
    <t xml:space="preserve">Fire Noc No.
Valid Up for: </t>
  </si>
  <si>
    <t>Sector P</t>
  </si>
  <si>
    <t>MFS/51/2024/75</t>
  </si>
  <si>
    <t>Sector P- Commercial Bldg Signet P2 = Gr + 1st to 10th Floor (Height = 37.50 Mtrs)</t>
  </si>
  <si>
    <t xml:space="preserve">ec survey no. not mentioned </t>
  </si>
  <si>
    <t>Fire Noc Sign not mentioned</t>
  </si>
  <si>
    <t>Palava Signet 2</t>
  </si>
  <si>
    <t xml:space="preserve">The provided approved EC dtd.26/02/2022 is registered to M/s. Macrotech Developers Limited.
But in the of EC does not consist of project survey numbers only mentioned village name.
</t>
  </si>
  <si>
    <t xml:space="preserve">Environmental Clearance Certificate (EC) No.
Valid Up for: </t>
  </si>
  <si>
    <t>Village - Gharivali &amp; Kole, Tal. Kalyan, Dist. Thane</t>
  </si>
  <si>
    <t xml:space="preserve">Sector P - Commercial Building Signet P2 = Gr + 1st to 10th Floor </t>
  </si>
  <si>
    <t>Sector P - Commercial Building Signet P2 (Part 1) = Gr + 1st to 10th Floor</t>
  </si>
  <si>
    <t>Sector P - Commercial Building Signet P2 (Part 2) = Gr + 1st to 10th Floor</t>
  </si>
  <si>
    <t>5th Floor</t>
  </si>
  <si>
    <t>6th Floor For (Part Refuge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</si>
</sst>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
      <patternFill patternType="solid">
        <fgColor theme="8" tint="0.39997558519241921"/>
        <bgColor indexed="64"/>
      </patternFill>
    </fill>
  </fills>
  <borders count="38">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309">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1" fontId="5" fillId="3" borderId="4"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9" fillId="2" borderId="14" xfId="0" applyFont="1" applyFill="1" applyBorder="1" applyAlignment="1">
      <alignment horizontal="center" vertical="top" wrapText="1"/>
    </xf>
    <xf numFmtId="9" fontId="12" fillId="2" borderId="13" xfId="2" applyFont="1" applyFill="1" applyBorder="1" applyAlignment="1" applyProtection="1">
      <alignment horizontal="center" vertical="top" wrapText="1"/>
      <protection locked="0"/>
    </xf>
    <xf numFmtId="9" fontId="9" fillId="2" borderId="20" xfId="0" applyNumberFormat="1" applyFont="1" applyFill="1" applyBorder="1" applyAlignment="1">
      <alignment horizontal="center" vertical="top" wrapText="1"/>
    </xf>
    <xf numFmtId="0" fontId="9" fillId="2" borderId="29" xfId="0" applyFont="1" applyFill="1" applyBorder="1" applyAlignment="1">
      <alignment horizontal="center" vertical="top" wrapText="1"/>
    </xf>
    <xf numFmtId="0" fontId="11" fillId="0" borderId="0" xfId="0" applyFont="1"/>
    <xf numFmtId="0" fontId="8" fillId="3" borderId="4" xfId="0" applyFont="1" applyFill="1" applyBorder="1" applyAlignment="1">
      <alignment horizontal="center" vertical="center" wrapText="1"/>
    </xf>
    <xf numFmtId="0" fontId="6" fillId="0" borderId="4" xfId="0" applyFont="1" applyBorder="1"/>
    <xf numFmtId="0" fontId="7" fillId="2" borderId="14" xfId="0" applyFont="1" applyFill="1" applyBorder="1" applyAlignment="1">
      <alignment horizontal="center" vertical="top" wrapText="1"/>
    </xf>
    <xf numFmtId="9" fontId="7" fillId="2" borderId="13" xfId="0" applyNumberFormat="1" applyFont="1" applyFill="1" applyBorder="1" applyAlignment="1">
      <alignment horizontal="center" vertical="top" wrapText="1"/>
    </xf>
    <xf numFmtId="9" fontId="7" fillId="2" borderId="13" xfId="2" applyFont="1" applyFill="1" applyBorder="1" applyAlignment="1" applyProtection="1">
      <alignment horizontal="center" vertical="top" wrapText="1"/>
      <protection locked="0"/>
    </xf>
    <xf numFmtId="9" fontId="7" fillId="3" borderId="8" xfId="0" applyNumberFormat="1" applyFont="1" applyFill="1" applyBorder="1" applyAlignment="1">
      <alignment horizontal="left" vertical="top" wrapText="1"/>
    </xf>
    <xf numFmtId="0" fontId="8" fillId="3" borderId="4" xfId="0" applyFont="1" applyFill="1" applyBorder="1" applyAlignment="1">
      <alignment horizontal="center" vertical="center"/>
    </xf>
    <xf numFmtId="0" fontId="7" fillId="2" borderId="4" xfId="0" applyFont="1" applyFill="1" applyBorder="1" applyAlignment="1">
      <alignment vertical="top" wrapText="1"/>
    </xf>
    <xf numFmtId="14" fontId="8" fillId="3" borderId="4" xfId="0" applyNumberFormat="1" applyFont="1" applyFill="1" applyBorder="1" applyAlignment="1">
      <alignment horizontal="left" vertical="top" wrapText="1"/>
    </xf>
    <xf numFmtId="0" fontId="12" fillId="2" borderId="4" xfId="0" applyFont="1" applyFill="1" applyBorder="1" applyAlignment="1">
      <alignment vertical="top" wrapText="1"/>
    </xf>
    <xf numFmtId="14" fontId="11" fillId="3" borderId="4" xfId="0" applyNumberFormat="1" applyFont="1" applyFill="1" applyBorder="1" applyAlignment="1">
      <alignment horizontal="left" vertical="top" wrapText="1"/>
    </xf>
    <xf numFmtId="0" fontId="6" fillId="3" borderId="14" xfId="1" applyFont="1" applyFill="1" applyBorder="1" applyAlignment="1" applyProtection="1">
      <alignment horizontal="center" wrapText="1"/>
      <protection locked="0"/>
    </xf>
    <xf numFmtId="9" fontId="6" fillId="3" borderId="14" xfId="1" applyNumberFormat="1" applyFont="1" applyFill="1" applyBorder="1" applyAlignment="1" applyProtection="1">
      <alignment horizontal="center" vertical="center" wrapText="1"/>
      <protection hidden="1"/>
    </xf>
    <xf numFmtId="1" fontId="8" fillId="3" borderId="4" xfId="0" applyNumberFormat="1" applyFont="1" applyFill="1" applyBorder="1" applyAlignment="1">
      <alignment horizontal="center" vertical="center"/>
    </xf>
    <xf numFmtId="1" fontId="6" fillId="0" borderId="0" xfId="0" applyNumberFormat="1" applyFont="1"/>
    <xf numFmtId="0" fontId="1" fillId="0" borderId="0" xfId="0" applyFont="1"/>
    <xf numFmtId="0" fontId="12" fillId="0" borderId="0" xfId="0" applyFont="1"/>
    <xf numFmtId="0" fontId="7" fillId="3" borderId="4" xfId="0" applyFont="1" applyFill="1" applyBorder="1" applyAlignment="1">
      <alignment horizontal="center" vertical="center" wrapText="1"/>
    </xf>
    <xf numFmtId="1" fontId="5"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9" fillId="6"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0" xfId="0" applyFont="1" applyFill="1" applyAlignment="1">
      <alignment horizontal="left" vertical="top" wrapText="1"/>
    </xf>
    <xf numFmtId="0" fontId="7" fillId="3" borderId="19" xfId="0" applyFont="1" applyFill="1" applyBorder="1" applyAlignment="1">
      <alignment horizontal="left" vertical="top"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9" fillId="3" borderId="4" xfId="0" applyFont="1" applyFill="1" applyBorder="1" applyAlignment="1">
      <alignment horizontal="center" vertical="center" wrapText="1"/>
    </xf>
    <xf numFmtId="0" fontId="5" fillId="3" borderId="8" xfId="0" applyFont="1" applyFill="1" applyBorder="1" applyAlignment="1">
      <alignment horizontal="center" vertical="center"/>
    </xf>
    <xf numFmtId="0" fontId="9" fillId="2" borderId="4" xfId="0" applyFont="1" applyFill="1" applyBorder="1" applyAlignment="1">
      <alignment horizontal="center" vertical="center"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12" fillId="2" borderId="14"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3" borderId="13" xfId="0" applyFont="1" applyFill="1" applyBorder="1" applyAlignment="1">
      <alignment horizontal="center" vertical="center" wrapText="1"/>
    </xf>
    <xf numFmtId="1" fontId="9" fillId="5" borderId="7" xfId="0" applyNumberFormat="1" applyFont="1" applyFill="1" applyBorder="1" applyAlignment="1">
      <alignment horizontal="center" vertical="center" wrapText="1"/>
    </xf>
    <xf numFmtId="0" fontId="9" fillId="5" borderId="1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3" borderId="4" xfId="0" applyFont="1" applyFill="1" applyBorder="1" applyAlignment="1">
      <alignment horizontal="center"/>
    </xf>
    <xf numFmtId="9" fontId="6" fillId="3" borderId="4" xfId="0" applyNumberFormat="1"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8" fillId="3" borderId="7"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0" xfId="0" applyFont="1" applyFill="1" applyBorder="1" applyAlignment="1">
      <alignment horizontal="left" vertical="top"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8" xfId="0" applyFont="1" applyFill="1" applyBorder="1" applyAlignment="1">
      <alignment horizontal="center" vertical="center" wrapText="1"/>
    </xf>
    <xf numFmtId="0" fontId="11"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10" xfId="0" applyFont="1" applyFill="1" applyBorder="1" applyAlignment="1">
      <alignment horizontal="left" vertical="top"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7" fillId="2" borderId="29"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2" xfId="0" applyFont="1" applyFill="1" applyBorder="1" applyAlignment="1">
      <alignment horizontal="left" vertical="top"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8"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1" fontId="9" fillId="2" borderId="4" xfId="0" applyNumberFormat="1"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2" fillId="2" borderId="7" xfId="0" applyFont="1" applyFill="1" applyBorder="1" applyAlignment="1">
      <alignment vertical="top" wrapText="1"/>
    </xf>
    <xf numFmtId="0" fontId="12" fillId="2" borderId="10" xfId="0" applyFont="1" applyFill="1" applyBorder="1" applyAlignment="1">
      <alignment vertical="top" wrapText="1"/>
    </xf>
    <xf numFmtId="165" fontId="8" fillId="3" borderId="4" xfId="0" applyNumberFormat="1" applyFont="1" applyFill="1" applyBorder="1" applyAlignment="1">
      <alignment horizontal="center" vertical="center"/>
    </xf>
    <xf numFmtId="2" fontId="8" fillId="3" borderId="4" xfId="0" applyNumberFormat="1" applyFont="1" applyFill="1" applyBorder="1" applyAlignment="1">
      <alignment horizontal="center" vertic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8" fillId="3" borderId="4" xfId="0" applyFont="1" applyFill="1" applyBorder="1" applyAlignment="1">
      <alignment horizontal="center" vertical="center"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9" fontId="6" fillId="3" borderId="12" xfId="0" applyNumberFormat="1" applyFont="1" applyFill="1" applyBorder="1" applyAlignment="1">
      <alignment horizontal="center"/>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9" fontId="6" fillId="3" borderId="14" xfId="1" applyNumberFormat="1" applyFont="1" applyFill="1" applyBorder="1" applyAlignment="1" applyProtection="1">
      <alignment horizontal="center" vertical="center" wrapText="1"/>
      <protection hidden="1"/>
    </xf>
    <xf numFmtId="9" fontId="6" fillId="3" borderId="37" xfId="1" applyNumberFormat="1" applyFont="1" applyFill="1" applyBorder="1" applyAlignment="1" applyProtection="1">
      <alignment horizontal="center" vertical="center" wrapText="1"/>
      <protection hidden="1"/>
    </xf>
    <xf numFmtId="0" fontId="5" fillId="3" borderId="4"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8" fillId="3" borderId="4" xfId="0" applyFont="1" applyFill="1" applyBorder="1" applyAlignment="1">
      <alignment vertical="top"/>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center"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center"/>
    </xf>
    <xf numFmtId="0" fontId="9" fillId="2" borderId="4" xfId="0" applyFont="1" applyFill="1" applyBorder="1" applyAlignment="1">
      <alignment horizontal="left" vertical="top" wrapText="1"/>
    </xf>
    <xf numFmtId="2" fontId="8" fillId="3" borderId="7" xfId="0" applyNumberFormat="1" applyFont="1" applyFill="1" applyBorder="1" applyAlignment="1">
      <alignment horizontal="center" vertical="center" wrapText="1"/>
    </xf>
    <xf numFmtId="2" fontId="8" fillId="3" borderId="10" xfId="0" applyNumberFormat="1" applyFont="1" applyFill="1" applyBorder="1" applyAlignment="1">
      <alignment horizontal="center" vertical="center" wrapText="1"/>
    </xf>
    <xf numFmtId="0" fontId="7" fillId="2" borderId="4" xfId="0" applyFont="1" applyFill="1" applyBorder="1" applyAlignment="1">
      <alignment horizontal="center" vertical="top" wrapText="1"/>
    </xf>
    <xf numFmtId="0" fontId="8" fillId="3" borderId="4" xfId="0" applyFont="1" applyFill="1" applyBorder="1" applyAlignment="1">
      <alignment horizontal="center" vertical="center"/>
    </xf>
    <xf numFmtId="0" fontId="9" fillId="2" borderId="8" xfId="0" applyFont="1" applyFill="1" applyBorder="1" applyAlignment="1">
      <alignment horizontal="center" vertical="center" wrapText="1"/>
    </xf>
    <xf numFmtId="1" fontId="5" fillId="3" borderId="29" xfId="0" applyNumberFormat="1" applyFont="1" applyFill="1" applyBorder="1" applyAlignment="1">
      <alignment horizontal="center" vertical="center"/>
    </xf>
    <xf numFmtId="1" fontId="5" fillId="3" borderId="25" xfId="0" applyNumberFormat="1" applyFont="1" applyFill="1" applyBorder="1" applyAlignment="1">
      <alignment horizontal="center" vertical="center"/>
    </xf>
    <xf numFmtId="1" fontId="5" fillId="3" borderId="24" xfId="0" applyNumberFormat="1" applyFont="1" applyFill="1" applyBorder="1" applyAlignment="1">
      <alignment horizontal="center" vertical="center"/>
    </xf>
    <xf numFmtId="1" fontId="5" fillId="3" borderId="18" xfId="0" applyNumberFormat="1" applyFont="1" applyFill="1" applyBorder="1" applyAlignment="1">
      <alignment horizontal="center" vertical="center"/>
    </xf>
    <xf numFmtId="1" fontId="5" fillId="3" borderId="0" xfId="0" applyNumberFormat="1" applyFont="1" applyFill="1" applyAlignment="1">
      <alignment horizontal="center" vertical="center"/>
    </xf>
    <xf numFmtId="1" fontId="5" fillId="3" borderId="19" xfId="0" applyNumberFormat="1" applyFont="1" applyFill="1" applyBorder="1" applyAlignment="1">
      <alignment horizontal="center" vertical="center"/>
    </xf>
    <xf numFmtId="1" fontId="5" fillId="3" borderId="20" xfId="0" applyNumberFormat="1" applyFont="1" applyFill="1" applyBorder="1" applyAlignment="1">
      <alignment horizontal="center" vertical="center"/>
    </xf>
    <xf numFmtId="1" fontId="5" fillId="3" borderId="21" xfId="0" applyNumberFormat="1" applyFont="1" applyFill="1" applyBorder="1" applyAlignment="1">
      <alignment horizontal="center" vertical="center"/>
    </xf>
    <xf numFmtId="1" fontId="5" fillId="3" borderId="22" xfId="0" applyNumberFormat="1" applyFont="1" applyFill="1" applyBorder="1" applyAlignment="1">
      <alignment horizontal="center" vertical="center"/>
    </xf>
    <xf numFmtId="0" fontId="7" fillId="2" borderId="29"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6" borderId="29" xfId="1" applyFont="1" applyFill="1" applyBorder="1" applyAlignment="1" applyProtection="1">
      <alignment horizontal="center" vertical="center" wrapText="1"/>
      <protection locked="0"/>
    </xf>
    <xf numFmtId="0" fontId="7" fillId="6" borderId="25" xfId="1" applyFont="1" applyFill="1" applyBorder="1" applyAlignment="1" applyProtection="1">
      <alignment horizontal="center" vertical="center" wrapText="1"/>
      <protection locked="0"/>
    </xf>
    <xf numFmtId="0" fontId="7" fillId="6" borderId="24" xfId="1" applyFont="1" applyFill="1" applyBorder="1" applyAlignment="1" applyProtection="1">
      <alignment horizontal="center" vertical="center" wrapText="1"/>
      <protection locked="0"/>
    </xf>
    <xf numFmtId="0" fontId="7" fillId="6" borderId="20" xfId="1" applyFont="1" applyFill="1" applyBorder="1" applyAlignment="1" applyProtection="1">
      <alignment horizontal="center" vertical="center" wrapText="1"/>
      <protection locked="0"/>
    </xf>
    <xf numFmtId="0" fontId="7" fillId="6" borderId="21" xfId="1" applyFont="1" applyFill="1" applyBorder="1" applyAlignment="1" applyProtection="1">
      <alignment horizontal="center" vertical="center" wrapText="1"/>
      <protection locked="0"/>
    </xf>
    <xf numFmtId="0" fontId="7" fillId="6" borderId="22" xfId="1" applyFont="1" applyFill="1" applyBorder="1" applyAlignment="1" applyProtection="1">
      <alignment horizontal="center" vertical="center" wrapText="1"/>
      <protection locked="0"/>
    </xf>
    <xf numFmtId="9" fontId="7" fillId="6" borderId="29" xfId="1" applyNumberFormat="1" applyFont="1" applyFill="1" applyBorder="1" applyAlignment="1" applyProtection="1">
      <alignment horizontal="center" vertical="center" wrapText="1"/>
      <protection locked="0"/>
    </xf>
    <xf numFmtId="0" fontId="6" fillId="3" borderId="36" xfId="1" applyFont="1" applyFill="1" applyBorder="1" applyAlignment="1" applyProtection="1">
      <alignment horizontal="center" vertical="top" wrapText="1"/>
      <protection locked="0"/>
    </xf>
    <xf numFmtId="0" fontId="6" fillId="3" borderId="14" xfId="1" applyFont="1" applyFill="1" applyBorder="1" applyAlignment="1" applyProtection="1">
      <alignment horizontal="center" vertical="top" wrapText="1"/>
      <protection locked="0"/>
    </xf>
    <xf numFmtId="9" fontId="6" fillId="3" borderId="14" xfId="0" applyNumberFormat="1" applyFont="1" applyFill="1" applyBorder="1" applyAlignment="1">
      <alignment horizontal="center"/>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xf numFmtId="0" fontId="7" fillId="3" borderId="4" xfId="0" applyFont="1" applyFill="1" applyBorder="1" applyAlignment="1">
      <alignment horizontal="left" vertical="top" wrapText="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455543</xdr:colOff>
      <xdr:row>41</xdr:row>
      <xdr:rowOff>107711</xdr:rowOff>
    </xdr:from>
    <xdr:to>
      <xdr:col>10</xdr:col>
      <xdr:colOff>282978</xdr:colOff>
      <xdr:row>46</xdr:row>
      <xdr:rowOff>441311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30717" y="12117494"/>
          <a:ext cx="1368000" cy="1153091"/>
        </a:xfrm>
        <a:prstGeom prst="rect">
          <a:avLst/>
        </a:prstGeom>
      </xdr:spPr>
    </xdr:pic>
    <xdr:clientData/>
  </xdr:twoCellAnchor>
  <xdr:twoCellAnchor editAs="oneCell">
    <xdr:from>
      <xdr:col>10</xdr:col>
      <xdr:colOff>372718</xdr:colOff>
      <xdr:row>46</xdr:row>
      <xdr:rowOff>306457</xdr:rowOff>
    </xdr:from>
    <xdr:to>
      <xdr:col>17</xdr:col>
      <xdr:colOff>53756</xdr:colOff>
      <xdr:row>76</xdr:row>
      <xdr:rowOff>133906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8688457" y="12978848"/>
          <a:ext cx="3971429" cy="5419048"/>
        </a:xfrm>
        <a:prstGeom prst="rect">
          <a:avLst/>
        </a:prstGeom>
      </xdr:spPr>
    </xdr:pic>
    <xdr:clientData/>
  </xdr:twoCellAnchor>
  <xdr:twoCellAnchor>
    <xdr:from>
      <xdr:col>0</xdr:col>
      <xdr:colOff>95250</xdr:colOff>
      <xdr:row>575</xdr:row>
      <xdr:rowOff>85725</xdr:rowOff>
    </xdr:from>
    <xdr:to>
      <xdr:col>7</xdr:col>
      <xdr:colOff>760800</xdr:colOff>
      <xdr:row>619</xdr:row>
      <xdr:rowOff>98168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95250" y="90199552"/>
          <a:ext cx="6549069" cy="7104904"/>
          <a:chOff x="-246793" y="0"/>
          <a:chExt cx="7351587" cy="7137143"/>
        </a:xfrm>
      </xdr:grpSpPr>
      <xdr:grpSp>
        <xdr:nvGrpSpPr>
          <xdr:cNvPr id="5" name="Group 4">
            <a:extLst>
              <a:ext uri="{FF2B5EF4-FFF2-40B4-BE49-F238E27FC236}">
                <a16:creationId xmlns:a16="http://schemas.microsoft.com/office/drawing/2014/main" id="{00000000-0008-0000-0000-000005000000}"/>
              </a:ext>
            </a:extLst>
          </xdr:cNvPr>
          <xdr:cNvGrpSpPr/>
        </xdr:nvGrpSpPr>
        <xdr:grpSpPr>
          <a:xfrm>
            <a:off x="-246793" y="5337143"/>
            <a:ext cx="7351587" cy="1800000"/>
            <a:chOff x="0" y="7344000"/>
            <a:chExt cx="7351587" cy="1800000"/>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53812" y="7344000"/>
              <a:ext cx="2397775" cy="180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76906" y="7344000"/>
              <a:ext cx="2397775"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7344000"/>
              <a:ext cx="2397775"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00000000-0008-0000-0000-000006000000}"/>
              </a:ext>
            </a:extLst>
          </xdr:cNvPr>
          <xdr:cNvGrpSpPr/>
        </xdr:nvGrpSpPr>
        <xdr:grpSpPr>
          <a:xfrm>
            <a:off x="1510776" y="0"/>
            <a:ext cx="3836449" cy="2880000"/>
            <a:chOff x="1510776" y="0"/>
            <a:chExt cx="3836449" cy="2880000"/>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10776" y="0"/>
              <a:ext cx="3836449" cy="2880000"/>
            </a:xfrm>
            <a:prstGeom prst="rect">
              <a:avLst/>
            </a:prstGeom>
            <a:ln>
              <a:solidFill>
                <a:schemeClr val="tx1"/>
              </a:solidFill>
            </a:ln>
          </xdr:spPr>
        </xdr:pic>
        <xdr:cxnSp macro="">
          <xdr:nvCxnSpPr>
            <xdr:cNvPr id="14" name="Straight Arrow Connector 13">
              <a:extLst>
                <a:ext uri="{FF2B5EF4-FFF2-40B4-BE49-F238E27FC236}">
                  <a16:creationId xmlns:a16="http://schemas.microsoft.com/office/drawing/2014/main" id="{00000000-0008-0000-0000-00000E000000}"/>
                </a:ext>
              </a:extLst>
            </xdr:cNvPr>
            <xdr:cNvCxnSpPr>
              <a:stCxn id="15" idx="2"/>
            </xdr:cNvCxnSpPr>
          </xdr:nvCxnSpPr>
          <xdr:spPr>
            <a:xfrm flipH="1">
              <a:off x="4013632" y="769393"/>
              <a:ext cx="367797" cy="609167"/>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TextBox 16">
              <a:extLst>
                <a:ext uri="{FF2B5EF4-FFF2-40B4-BE49-F238E27FC236}">
                  <a16:creationId xmlns:a16="http://schemas.microsoft.com/office/drawing/2014/main" id="{00000000-0008-0000-0000-00000F000000}"/>
                </a:ext>
              </a:extLst>
            </xdr:cNvPr>
            <xdr:cNvSpPr txBox="1"/>
          </xdr:nvSpPr>
          <xdr:spPr>
            <a:xfrm>
              <a:off x="3698246" y="520542"/>
              <a:ext cx="1366366" cy="24885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Signet P2 (Part 1)</a:t>
              </a:r>
              <a:endParaRPr lang="en-IN" sz="1000" b="1"/>
            </a:p>
          </xdr:txBody>
        </xdr:sp>
      </xdr:grpSp>
      <xdr:grpSp>
        <xdr:nvGrpSpPr>
          <xdr:cNvPr id="7" name="Group 6">
            <a:extLst>
              <a:ext uri="{FF2B5EF4-FFF2-40B4-BE49-F238E27FC236}">
                <a16:creationId xmlns:a16="http://schemas.microsoft.com/office/drawing/2014/main" id="{00000000-0008-0000-0000-000007000000}"/>
              </a:ext>
            </a:extLst>
          </xdr:cNvPr>
          <xdr:cNvGrpSpPr/>
        </xdr:nvGrpSpPr>
        <xdr:grpSpPr>
          <a:xfrm>
            <a:off x="137954" y="3032074"/>
            <a:ext cx="6207943" cy="2160000"/>
            <a:chOff x="137954" y="3032074"/>
            <a:chExt cx="6207943" cy="2160000"/>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68566" y="3032074"/>
              <a:ext cx="2877331" cy="2160000"/>
            </a:xfrm>
            <a:prstGeom prst="rect">
              <a:avLst/>
            </a:prstGeom>
            <a:ln>
              <a:solidFill>
                <a:schemeClr val="tx1"/>
              </a:solidFill>
            </a:ln>
          </xdr:spPr>
        </xdr:pic>
        <xdr:grpSp>
          <xdr:nvGrpSpPr>
            <xdr:cNvPr id="9" name="Group 8">
              <a:extLst>
                <a:ext uri="{FF2B5EF4-FFF2-40B4-BE49-F238E27FC236}">
                  <a16:creationId xmlns:a16="http://schemas.microsoft.com/office/drawing/2014/main" id="{00000000-0008-0000-0000-000009000000}"/>
                </a:ext>
              </a:extLst>
            </xdr:cNvPr>
            <xdr:cNvGrpSpPr/>
          </xdr:nvGrpSpPr>
          <xdr:grpSpPr>
            <a:xfrm>
              <a:off x="137954" y="3032074"/>
              <a:ext cx="3251481" cy="2160000"/>
              <a:chOff x="137954" y="3032074"/>
              <a:chExt cx="3251481" cy="2160000"/>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7954" y="3032074"/>
                <a:ext cx="3251481" cy="2160000"/>
              </a:xfrm>
              <a:prstGeom prst="rect">
                <a:avLst/>
              </a:prstGeom>
              <a:ln>
                <a:solidFill>
                  <a:schemeClr val="tx1"/>
                </a:solidFill>
              </a:ln>
            </xdr:spPr>
          </xdr:pic>
          <xdr:cxnSp macro="">
            <xdr:nvCxnSpPr>
              <xdr:cNvPr id="11" name="Straight Arrow Connector 10">
                <a:extLst>
                  <a:ext uri="{FF2B5EF4-FFF2-40B4-BE49-F238E27FC236}">
                    <a16:creationId xmlns:a16="http://schemas.microsoft.com/office/drawing/2014/main" id="{00000000-0008-0000-0000-00000B000000}"/>
                  </a:ext>
                </a:extLst>
              </xdr:cNvPr>
              <xdr:cNvCxnSpPr>
                <a:stCxn id="12" idx="2"/>
              </xdr:cNvCxnSpPr>
            </xdr:nvCxnSpPr>
            <xdr:spPr>
              <a:xfrm>
                <a:off x="1314380" y="3541168"/>
                <a:ext cx="590566" cy="585248"/>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TextBox 22">
                <a:extLst>
                  <a:ext uri="{FF2B5EF4-FFF2-40B4-BE49-F238E27FC236}">
                    <a16:creationId xmlns:a16="http://schemas.microsoft.com/office/drawing/2014/main" id="{00000000-0008-0000-0000-00000C000000}"/>
                  </a:ext>
                </a:extLst>
              </xdr:cNvPr>
              <xdr:cNvSpPr txBox="1"/>
            </xdr:nvSpPr>
            <xdr:spPr>
              <a:xfrm>
                <a:off x="631196" y="3292317"/>
                <a:ext cx="1366366" cy="24885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Signet P2 (Part 2)</a:t>
                </a:r>
                <a:endParaRPr lang="en-IN" sz="1000" b="1"/>
              </a:p>
            </xdr:txBody>
          </xdr:sp>
        </xdr:grpSp>
      </xdr:grpSp>
    </xdr:grpSp>
    <xdr:clientData/>
  </xdr:twoCellAnchor>
  <xdr:twoCellAnchor>
    <xdr:from>
      <xdr:col>0</xdr:col>
      <xdr:colOff>268357</xdr:colOff>
      <xdr:row>627</xdr:row>
      <xdr:rowOff>8282</xdr:rowOff>
    </xdr:from>
    <xdr:to>
      <xdr:col>7</xdr:col>
      <xdr:colOff>533400</xdr:colOff>
      <xdr:row>669</xdr:row>
      <xdr:rowOff>56322</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268357" y="98980359"/>
          <a:ext cx="6148562" cy="6818117"/>
          <a:chOff x="412750" y="0"/>
          <a:chExt cx="6445250" cy="6870420"/>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6019"/>
          <a:stretch/>
        </xdr:blipFill>
        <xdr:spPr>
          <a:xfrm>
            <a:off x="412750" y="0"/>
            <a:ext cx="6445250" cy="6870420"/>
          </a:xfrm>
          <a:prstGeom prst="rect">
            <a:avLst/>
          </a:prstGeom>
          <a:ln>
            <a:solidFill>
              <a:schemeClr val="tx1"/>
            </a:solidFill>
          </a:ln>
        </xdr:spPr>
      </xdr:pic>
      <xdr:sp macro="" textlink="">
        <xdr:nvSpPr>
          <xdr:cNvPr id="26" name="Rectangle 25">
            <a:extLst>
              <a:ext uri="{FF2B5EF4-FFF2-40B4-BE49-F238E27FC236}">
                <a16:creationId xmlns:a16="http://schemas.microsoft.com/office/drawing/2014/main" id="{00000000-0008-0000-0000-00001A000000}"/>
              </a:ext>
            </a:extLst>
          </xdr:cNvPr>
          <xdr:cNvSpPr/>
        </xdr:nvSpPr>
        <xdr:spPr>
          <a:xfrm rot="1800985">
            <a:off x="1472689" y="1894830"/>
            <a:ext cx="654117" cy="24349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FF0000"/>
              </a:solidFill>
            </a:endParaRPr>
          </a:p>
        </xdr:txBody>
      </xdr:sp>
      <xdr:sp macro="" textlink="">
        <xdr:nvSpPr>
          <xdr:cNvPr id="27" name="TextBox 8">
            <a:extLst>
              <a:ext uri="{FF2B5EF4-FFF2-40B4-BE49-F238E27FC236}">
                <a16:creationId xmlns:a16="http://schemas.microsoft.com/office/drawing/2014/main" id="{00000000-0008-0000-0000-00001B000000}"/>
              </a:ext>
            </a:extLst>
          </xdr:cNvPr>
          <xdr:cNvSpPr txBox="1"/>
        </xdr:nvSpPr>
        <xdr:spPr>
          <a:xfrm rot="1694268">
            <a:off x="898782" y="2069299"/>
            <a:ext cx="1509991" cy="41874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rgbClr val="FF0000"/>
                </a:solidFill>
                <a:latin typeface="Times New Roman" panose="02020603050405020304" pitchFamily="18" charset="0"/>
                <a:cs typeface="Times New Roman" panose="02020603050405020304" pitchFamily="18" charset="0"/>
              </a:rPr>
              <a:t>Commercial Building Signet</a:t>
            </a:r>
            <a:r>
              <a:rPr lang="en-US" sz="1200" b="1" baseline="0">
                <a:solidFill>
                  <a:srgbClr val="FF0000"/>
                </a:solidFill>
                <a:latin typeface="Times New Roman" panose="02020603050405020304" pitchFamily="18" charset="0"/>
                <a:cs typeface="Times New Roman" panose="02020603050405020304" pitchFamily="18" charset="0"/>
              </a:rPr>
              <a:t> </a:t>
            </a:r>
            <a:r>
              <a:rPr lang="en-US" sz="1200" b="1">
                <a:solidFill>
                  <a:srgbClr val="FF0000"/>
                </a:solidFill>
                <a:latin typeface="Times New Roman" panose="02020603050405020304" pitchFamily="18" charset="0"/>
                <a:cs typeface="Times New Roman" panose="02020603050405020304" pitchFamily="18" charset="0"/>
              </a:rPr>
              <a:t>P2</a:t>
            </a:r>
            <a:endParaRPr lang="en-IN" sz="1200" b="1">
              <a:solidFill>
                <a:srgbClr val="FF0000"/>
              </a:solidFill>
              <a:latin typeface="Times New Roman" panose="02020603050405020304" pitchFamily="18" charset="0"/>
              <a:cs typeface="Times New Roman" panose="02020603050405020304" pitchFamily="18" charset="0"/>
            </a:endParaRPr>
          </a:p>
        </xdr:txBody>
      </xdr:sp>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40147" y="5435086"/>
            <a:ext cx="1080000" cy="1080000"/>
          </a:xfrm>
          <a:prstGeom prst="rect">
            <a:avLst/>
          </a:prstGeom>
        </xdr:spPr>
      </xdr:pic>
    </xdr:grpSp>
    <xdr:clientData/>
  </xdr:twoCellAnchor>
  <xdr:twoCellAnchor>
    <xdr:from>
      <xdr:col>0</xdr:col>
      <xdr:colOff>705678</xdr:colOff>
      <xdr:row>678</xdr:row>
      <xdr:rowOff>157784</xdr:rowOff>
    </xdr:from>
    <xdr:to>
      <xdr:col>6</xdr:col>
      <xdr:colOff>496957</xdr:colOff>
      <xdr:row>726</xdr:row>
      <xdr:rowOff>58807</xdr:rowOff>
    </xdr:to>
    <xdr:grpSp>
      <xdr:nvGrpSpPr>
        <xdr:cNvPr id="29" name="Group 28">
          <a:extLst>
            <a:ext uri="{FF2B5EF4-FFF2-40B4-BE49-F238E27FC236}">
              <a16:creationId xmlns:a16="http://schemas.microsoft.com/office/drawing/2014/main" id="{00000000-0008-0000-0000-00001D000000}"/>
            </a:ext>
          </a:extLst>
        </xdr:cNvPr>
        <xdr:cNvGrpSpPr/>
      </xdr:nvGrpSpPr>
      <xdr:grpSpPr>
        <a:xfrm>
          <a:off x="705678" y="107350669"/>
          <a:ext cx="4817548" cy="7638253"/>
          <a:chOff x="1089000" y="130845"/>
          <a:chExt cx="4680000" cy="8072400"/>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11"/>
          <a:srcRect l="31113" t="17968" r="30966" b="12500"/>
          <a:stretch/>
        </xdr:blipFill>
        <xdr:spPr>
          <a:xfrm>
            <a:off x="1089000" y="130845"/>
            <a:ext cx="4680000" cy="3960000"/>
          </a:xfrm>
          <a:prstGeom prst="rect">
            <a:avLst/>
          </a:prstGeom>
          <a:ln>
            <a:solidFill>
              <a:schemeClr val="tx1"/>
            </a:solidFill>
          </a:ln>
        </xdr:spPr>
      </xdr:pic>
      <xdr:grpSp>
        <xdr:nvGrpSpPr>
          <xdr:cNvPr id="31" name="Group 30">
            <a:extLst>
              <a:ext uri="{FF2B5EF4-FFF2-40B4-BE49-F238E27FC236}">
                <a16:creationId xmlns:a16="http://schemas.microsoft.com/office/drawing/2014/main" id="{00000000-0008-0000-0000-00001F000000}"/>
              </a:ext>
            </a:extLst>
          </xdr:cNvPr>
          <xdr:cNvGrpSpPr/>
        </xdr:nvGrpSpPr>
        <xdr:grpSpPr>
          <a:xfrm>
            <a:off x="1089000" y="4243245"/>
            <a:ext cx="4680000" cy="3960000"/>
            <a:chOff x="1089000" y="4243245"/>
            <a:chExt cx="4680000" cy="3960000"/>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2"/>
            <a:srcRect l="26574" t="20052" r="24963" b="11718"/>
            <a:stretch/>
          </xdr:blipFill>
          <xdr:spPr>
            <a:xfrm>
              <a:off x="1089000" y="4243245"/>
              <a:ext cx="4680000" cy="3960000"/>
            </a:xfrm>
            <a:prstGeom prst="rect">
              <a:avLst/>
            </a:prstGeom>
            <a:ln>
              <a:solidFill>
                <a:schemeClr val="tx1"/>
              </a:solidFill>
            </a:ln>
          </xdr:spPr>
        </xdr:pic>
        <xdr:sp macro="" textlink="">
          <xdr:nvSpPr>
            <xdr:cNvPr id="33" name="Rectangle 13">
              <a:extLst>
                <a:ext uri="{FF2B5EF4-FFF2-40B4-BE49-F238E27FC236}">
                  <a16:creationId xmlns:a16="http://schemas.microsoft.com/office/drawing/2014/main" id="{00000000-0008-0000-0000-000021000000}"/>
                </a:ext>
              </a:extLst>
            </xdr:cNvPr>
            <xdr:cNvSpPr/>
          </xdr:nvSpPr>
          <xdr:spPr>
            <a:xfrm rot="1788612">
              <a:off x="3357301" y="6169621"/>
              <a:ext cx="1525760" cy="631072"/>
            </a:xfrm>
            <a:custGeom>
              <a:avLst/>
              <a:gdLst>
                <a:gd name="connsiteX0" fmla="*/ 0 w 1472584"/>
                <a:gd name="connsiteY0" fmla="*/ 0 h 606336"/>
                <a:gd name="connsiteX1" fmla="*/ 1472584 w 1472584"/>
                <a:gd name="connsiteY1" fmla="*/ 0 h 606336"/>
                <a:gd name="connsiteX2" fmla="*/ 1472584 w 1472584"/>
                <a:gd name="connsiteY2" fmla="*/ 606336 h 606336"/>
                <a:gd name="connsiteX3" fmla="*/ 0 w 1472584"/>
                <a:gd name="connsiteY3" fmla="*/ 606336 h 606336"/>
                <a:gd name="connsiteX4" fmla="*/ 0 w 1472584"/>
                <a:gd name="connsiteY4" fmla="*/ 0 h 606336"/>
                <a:gd name="connsiteX0" fmla="*/ 0 w 1472584"/>
                <a:gd name="connsiteY0" fmla="*/ 0 h 621287"/>
                <a:gd name="connsiteX1" fmla="*/ 1472584 w 1472584"/>
                <a:gd name="connsiteY1" fmla="*/ 0 h 621287"/>
                <a:gd name="connsiteX2" fmla="*/ 1472584 w 1472584"/>
                <a:gd name="connsiteY2" fmla="*/ 606336 h 621287"/>
                <a:gd name="connsiteX3" fmla="*/ 12226 w 1472584"/>
                <a:gd name="connsiteY3" fmla="*/ 621287 h 621287"/>
                <a:gd name="connsiteX4" fmla="*/ 0 w 1472584"/>
                <a:gd name="connsiteY4" fmla="*/ 0 h 621287"/>
                <a:gd name="connsiteX0" fmla="*/ 0 w 1525760"/>
                <a:gd name="connsiteY0" fmla="*/ 0 h 631072"/>
                <a:gd name="connsiteX1" fmla="*/ 1525760 w 1525760"/>
                <a:gd name="connsiteY1" fmla="*/ 9785 h 631072"/>
                <a:gd name="connsiteX2" fmla="*/ 1525760 w 1525760"/>
                <a:gd name="connsiteY2" fmla="*/ 616121 h 631072"/>
                <a:gd name="connsiteX3" fmla="*/ 65402 w 1525760"/>
                <a:gd name="connsiteY3" fmla="*/ 631072 h 631072"/>
                <a:gd name="connsiteX4" fmla="*/ 0 w 1525760"/>
                <a:gd name="connsiteY4" fmla="*/ 0 h 63107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25760" h="631072">
                  <a:moveTo>
                    <a:pt x="0" y="0"/>
                  </a:moveTo>
                  <a:lnTo>
                    <a:pt x="1525760" y="9785"/>
                  </a:lnTo>
                  <a:lnTo>
                    <a:pt x="1525760" y="616121"/>
                  </a:lnTo>
                  <a:lnTo>
                    <a:pt x="65402" y="631072"/>
                  </a:lnTo>
                  <a:lnTo>
                    <a:pt x="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14">
              <a:extLst>
                <a:ext uri="{FF2B5EF4-FFF2-40B4-BE49-F238E27FC236}">
                  <a16:creationId xmlns:a16="http://schemas.microsoft.com/office/drawing/2014/main" id="{00000000-0008-0000-0000-000022000000}"/>
                </a:ext>
              </a:extLst>
            </xdr:cNvPr>
            <xdr:cNvSpPr txBox="1"/>
          </xdr:nvSpPr>
          <xdr:spPr>
            <a:xfrm rot="1831556">
              <a:off x="3108124" y="6680109"/>
              <a:ext cx="161781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Palava Signet 2</a:t>
              </a:r>
              <a:endParaRPr lang="en-IN" b="1">
                <a:solidFill>
                  <a:srgbClr val="FFFF00"/>
                </a:solidFill>
              </a:endParaRPr>
            </a:p>
          </xdr:txBody>
        </xdr:sp>
      </xdr:grpSp>
    </xdr:grpSp>
    <xdr:clientData/>
  </xdr:twoCellAnchor>
  <xdr:twoCellAnchor editAs="oneCell">
    <xdr:from>
      <xdr:col>11</xdr:col>
      <xdr:colOff>178845</xdr:colOff>
      <xdr:row>300</xdr:row>
      <xdr:rowOff>99061</xdr:rowOff>
    </xdr:from>
    <xdr:to>
      <xdr:col>19</xdr:col>
      <xdr:colOff>215385</xdr:colOff>
      <xdr:row>323</xdr:row>
      <xdr:rowOff>47342</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a:stretch>
          <a:fillRect/>
        </a:stretch>
      </xdr:blipFill>
      <xdr:spPr>
        <a:xfrm>
          <a:off x="9330465" y="56342281"/>
          <a:ext cx="5035260" cy="3826863"/>
        </a:xfrm>
        <a:prstGeom prst="rect">
          <a:avLst/>
        </a:prstGeom>
      </xdr:spPr>
    </xdr:pic>
    <xdr:clientData/>
  </xdr:twoCellAnchor>
  <xdr:twoCellAnchor editAs="oneCell">
    <xdr:from>
      <xdr:col>11</xdr:col>
      <xdr:colOff>20011</xdr:colOff>
      <xdr:row>385</xdr:row>
      <xdr:rowOff>146477</xdr:rowOff>
    </xdr:from>
    <xdr:to>
      <xdr:col>26</xdr:col>
      <xdr:colOff>240943</xdr:colOff>
      <xdr:row>412</xdr:row>
      <xdr:rowOff>577</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4"/>
        <a:stretch>
          <a:fillRect/>
        </a:stretch>
      </xdr:blipFill>
      <xdr:spPr>
        <a:xfrm>
          <a:off x="8919082" y="67692334"/>
          <a:ext cx="9405754" cy="4262810"/>
        </a:xfrm>
        <a:prstGeom prst="rect">
          <a:avLst/>
        </a:prstGeom>
      </xdr:spPr>
    </xdr:pic>
    <xdr:clientData/>
  </xdr:twoCellAnchor>
  <xdr:twoCellAnchor editAs="oneCell">
    <xdr:from>
      <xdr:col>8</xdr:col>
      <xdr:colOff>225455</xdr:colOff>
      <xdr:row>2</xdr:row>
      <xdr:rowOff>139149</xdr:rowOff>
    </xdr:from>
    <xdr:to>
      <xdr:col>17</xdr:col>
      <xdr:colOff>235353</xdr:colOff>
      <xdr:row>15</xdr:row>
      <xdr:rowOff>170712</xdr:rowOff>
    </xdr:to>
    <xdr:pic>
      <xdr:nvPicPr>
        <xdr:cNvPr id="16" name="Picture 15">
          <a:extLst>
            <a:ext uri="{FF2B5EF4-FFF2-40B4-BE49-F238E27FC236}">
              <a16:creationId xmlns:a16="http://schemas.microsoft.com/office/drawing/2014/main" id="{FEABAFC7-B896-5B7F-E505-3E5A792F28B7}"/>
            </a:ext>
          </a:extLst>
        </xdr:cNvPr>
        <xdr:cNvPicPr>
          <a:picLocks noChangeAspect="1"/>
        </xdr:cNvPicPr>
      </xdr:nvPicPr>
      <xdr:blipFill>
        <a:blip xmlns:r="http://schemas.openxmlformats.org/officeDocument/2006/relationships" r:embed="rId15"/>
        <a:stretch>
          <a:fillRect/>
        </a:stretch>
      </xdr:blipFill>
      <xdr:spPr>
        <a:xfrm>
          <a:off x="7156342" y="828262"/>
          <a:ext cx="5946872" cy="3172328"/>
        </a:xfrm>
        <a:prstGeom prst="rect">
          <a:avLst/>
        </a:prstGeom>
      </xdr:spPr>
    </xdr:pic>
    <xdr:clientData/>
  </xdr:twoCellAnchor>
  <xdr:twoCellAnchor editAs="oneCell">
    <xdr:from>
      <xdr:col>8</xdr:col>
      <xdr:colOff>954156</xdr:colOff>
      <xdr:row>16</xdr:row>
      <xdr:rowOff>0</xdr:rowOff>
    </xdr:from>
    <xdr:to>
      <xdr:col>21</xdr:col>
      <xdr:colOff>413156</xdr:colOff>
      <xdr:row>22</xdr:row>
      <xdr:rowOff>207195</xdr:rowOff>
    </xdr:to>
    <xdr:pic>
      <xdr:nvPicPr>
        <xdr:cNvPr id="17" name="Picture 16">
          <a:extLst>
            <a:ext uri="{FF2B5EF4-FFF2-40B4-BE49-F238E27FC236}">
              <a16:creationId xmlns:a16="http://schemas.microsoft.com/office/drawing/2014/main" id="{11FDFCEC-AE15-B381-C0A9-733571CC55DD}"/>
            </a:ext>
          </a:extLst>
        </xdr:cNvPr>
        <xdr:cNvPicPr>
          <a:picLocks noChangeAspect="1"/>
        </xdr:cNvPicPr>
      </xdr:nvPicPr>
      <xdr:blipFill>
        <a:blip xmlns:r="http://schemas.openxmlformats.org/officeDocument/2006/relationships" r:embed="rId16"/>
        <a:stretch>
          <a:fillRect/>
        </a:stretch>
      </xdr:blipFill>
      <xdr:spPr>
        <a:xfrm>
          <a:off x="7885043" y="4015409"/>
          <a:ext cx="7887383" cy="14860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eqUKBmqcqnrFQpu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28"/>
  <sheetViews>
    <sheetView tabSelected="1" view="pageBreakPreview" topLeftCell="A501" zoomScale="130" zoomScaleNormal="115" zoomScaleSheetLayoutView="130" workbookViewId="0">
      <selection activeCell="J563" sqref="J563"/>
    </sheetView>
  </sheetViews>
  <sheetFormatPr defaultColWidth="9.140625"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249" t="s">
        <v>145</v>
      </c>
      <c r="B1" s="249"/>
      <c r="C1" s="250"/>
      <c r="D1" s="250"/>
      <c r="E1" s="250"/>
      <c r="F1" s="250"/>
      <c r="G1" s="250"/>
      <c r="H1" s="250"/>
    </row>
    <row r="2" spans="1:20" ht="14.25" x14ac:dyDescent="0.2">
      <c r="A2" s="257" t="s">
        <v>85</v>
      </c>
      <c r="B2" s="257"/>
      <c r="C2" s="257"/>
      <c r="D2" s="257"/>
      <c r="E2" s="257"/>
      <c r="F2" s="257"/>
      <c r="G2" s="257"/>
      <c r="H2" s="257"/>
    </row>
    <row r="3" spans="1:20" ht="25.5" x14ac:dyDescent="0.2">
      <c r="A3" s="12" t="s">
        <v>102</v>
      </c>
      <c r="B3" s="12"/>
      <c r="C3" s="186" t="s">
        <v>108</v>
      </c>
      <c r="D3" s="187"/>
      <c r="E3" s="188"/>
      <c r="F3" s="11" t="s">
        <v>103</v>
      </c>
      <c r="G3" s="190">
        <v>45877</v>
      </c>
      <c r="H3" s="190"/>
    </row>
    <row r="4" spans="1:20" ht="25.5" x14ac:dyDescent="0.2">
      <c r="A4" s="12" t="s">
        <v>106</v>
      </c>
      <c r="B4" s="12"/>
      <c r="C4" s="177" t="s">
        <v>236</v>
      </c>
      <c r="D4" s="189"/>
      <c r="E4" s="178"/>
      <c r="F4" s="11" t="s">
        <v>104</v>
      </c>
      <c r="G4" s="191" t="s">
        <v>268</v>
      </c>
      <c r="H4" s="191"/>
    </row>
    <row r="5" spans="1:20" ht="25.5" x14ac:dyDescent="0.2">
      <c r="A5" s="261" t="s">
        <v>107</v>
      </c>
      <c r="B5" s="262"/>
      <c r="C5" s="177" t="s">
        <v>230</v>
      </c>
      <c r="D5" s="189"/>
      <c r="E5" s="178"/>
      <c r="F5" s="11" t="s">
        <v>105</v>
      </c>
      <c r="G5" s="190" t="str">
        <f ca="1">TEXT(TODAY(),"DD/MM/YYYY")</f>
        <v>12/08/2025</v>
      </c>
      <c r="H5" s="190"/>
    </row>
    <row r="6" spans="1:20" ht="14.25" x14ac:dyDescent="0.2">
      <c r="A6" s="257" t="s">
        <v>101</v>
      </c>
      <c r="B6" s="257"/>
      <c r="C6" s="257"/>
      <c r="D6" s="257"/>
      <c r="E6" s="257"/>
      <c r="F6" s="257"/>
      <c r="G6" s="257"/>
      <c r="H6" s="257"/>
    </row>
    <row r="7" spans="1:20" ht="14.25" x14ac:dyDescent="0.2">
      <c r="A7" s="196" t="s">
        <v>0</v>
      </c>
      <c r="B7" s="197"/>
      <c r="C7" s="259" t="s">
        <v>300</v>
      </c>
      <c r="D7" s="259"/>
      <c r="E7" s="259"/>
      <c r="F7" s="259"/>
      <c r="G7" s="259"/>
      <c r="H7" s="259"/>
    </row>
    <row r="8" spans="1:20" ht="25.5" customHeight="1" x14ac:dyDescent="0.2">
      <c r="A8" s="196" t="s">
        <v>1</v>
      </c>
      <c r="B8" s="197"/>
      <c r="C8" s="258" t="str">
        <f>CONCATENATE((IF(OR(C7="",C7="NA"),"",C7)),", ",(IF(OR(A9="",A9="NA"),"",A9)),".",(IF(OR(C9="",C9="NA"),"",C9)),", near ",(IF(OR(C17="",C17="NA"),"",C17)),", ",(IF(OR(C11="",C11="NA"),"",C11)),", ",(IF(OR(C10="",C10="NA"),"",C10)),", ",(IF(OR(C12="",C12="NA"),"",C12)),", ",(IF(OR(C13="",C13="NA"),"",C13)),", ",(IF(OR(C14="",C14="NA"),"",C14))," - ",(IF(OR(C15="",C15="NA"),"",C15)),".")</f>
        <v>Palava Signet 2, Survey No (As per RERA) .26(Pt), 27(Pt), 46(Pt), 53(Pt), 59/1(Pt) of Gharivali, 21(Pt), 76(Pt) of Kole, near Lodha Signet Palava-Signet 1, Kalyan Shilphata Road, Gharivali &amp; Kole, Dombivli East, Kalyan, Thane - 421204.</v>
      </c>
      <c r="D8" s="258"/>
      <c r="E8" s="258"/>
      <c r="F8" s="258"/>
      <c r="G8" s="258"/>
      <c r="H8" s="258"/>
      <c r="P8" s="56" t="s">
        <v>149</v>
      </c>
      <c r="Q8" s="56" t="s">
        <v>150</v>
      </c>
      <c r="R8" s="56" t="s">
        <v>151</v>
      </c>
      <c r="S8" s="56" t="s">
        <v>152</v>
      </c>
      <c r="T8" s="56" t="s">
        <v>153</v>
      </c>
    </row>
    <row r="9" spans="1:20" ht="15" x14ac:dyDescent="0.2">
      <c r="A9" s="196" t="s">
        <v>290</v>
      </c>
      <c r="B9" s="197"/>
      <c r="C9" s="258" t="s">
        <v>272</v>
      </c>
      <c r="D9" s="258"/>
      <c r="E9" s="258"/>
      <c r="F9" s="258"/>
      <c r="G9" s="258"/>
      <c r="H9" s="258"/>
      <c r="I9" s="69" t="s">
        <v>237</v>
      </c>
      <c r="P9" s="56" t="s">
        <v>154</v>
      </c>
      <c r="Q9" s="56" t="s">
        <v>155</v>
      </c>
      <c r="R9" s="56" t="s">
        <v>156</v>
      </c>
      <c r="S9" s="56" t="s">
        <v>157</v>
      </c>
      <c r="T9" s="56" t="s">
        <v>158</v>
      </c>
    </row>
    <row r="10" spans="1:20" ht="15" x14ac:dyDescent="0.2">
      <c r="A10" s="196" t="s">
        <v>6</v>
      </c>
      <c r="B10" s="197"/>
      <c r="C10" s="256" t="s">
        <v>238</v>
      </c>
      <c r="D10" s="256"/>
      <c r="E10" s="256"/>
      <c r="F10" s="256"/>
      <c r="G10" s="256"/>
      <c r="H10" s="256"/>
      <c r="P10" s="56" t="s">
        <v>159</v>
      </c>
      <c r="Q10" s="56" t="s">
        <v>160</v>
      </c>
      <c r="R10" s="56" t="s">
        <v>161</v>
      </c>
      <c r="S10" s="56" t="s">
        <v>162</v>
      </c>
      <c r="T10" s="56" t="s">
        <v>163</v>
      </c>
    </row>
    <row r="11" spans="1:20" ht="15" x14ac:dyDescent="0.2">
      <c r="A11" s="196" t="s">
        <v>147</v>
      </c>
      <c r="B11" s="197"/>
      <c r="C11" s="256" t="s">
        <v>239</v>
      </c>
      <c r="D11" s="256"/>
      <c r="E11" s="256"/>
      <c r="F11" s="256"/>
      <c r="G11" s="256"/>
      <c r="H11" s="256"/>
      <c r="P11" s="56" t="s">
        <v>164</v>
      </c>
      <c r="Q11" s="56" t="s">
        <v>165</v>
      </c>
      <c r="R11" s="56" t="s">
        <v>166</v>
      </c>
      <c r="S11" s="56" t="s">
        <v>167</v>
      </c>
      <c r="T11" s="56" t="s">
        <v>168</v>
      </c>
    </row>
    <row r="12" spans="1:20" ht="15" x14ac:dyDescent="0.2">
      <c r="A12" s="196" t="s">
        <v>148</v>
      </c>
      <c r="B12" s="197"/>
      <c r="C12" s="252" t="s">
        <v>240</v>
      </c>
      <c r="D12" s="252"/>
      <c r="E12" s="252"/>
      <c r="F12" s="252"/>
      <c r="G12" s="252"/>
      <c r="H12" s="252"/>
      <c r="P12" s="56" t="s">
        <v>169</v>
      </c>
      <c r="Q12" s="56" t="s">
        <v>170</v>
      </c>
      <c r="R12" s="56" t="s">
        <v>151</v>
      </c>
      <c r="S12" s="56" t="s">
        <v>171</v>
      </c>
      <c r="T12" s="56" t="s">
        <v>172</v>
      </c>
    </row>
    <row r="13" spans="1:20" ht="15" x14ac:dyDescent="0.2">
      <c r="A13" s="196" t="s">
        <v>134</v>
      </c>
      <c r="B13" s="197"/>
      <c r="C13" s="252" t="s">
        <v>164</v>
      </c>
      <c r="D13" s="252"/>
      <c r="E13" s="252"/>
      <c r="F13" s="252"/>
      <c r="G13" s="252"/>
      <c r="H13" s="252"/>
      <c r="P13" s="56" t="s">
        <v>173</v>
      </c>
      <c r="Q13" s="56" t="s">
        <v>150</v>
      </c>
      <c r="R13" s="56"/>
      <c r="S13" s="56" t="s">
        <v>174</v>
      </c>
      <c r="T13" s="56" t="s">
        <v>175</v>
      </c>
    </row>
    <row r="14" spans="1:20" ht="15" x14ac:dyDescent="0.2">
      <c r="A14" s="196" t="s">
        <v>135</v>
      </c>
      <c r="B14" s="197"/>
      <c r="C14" s="252" t="s">
        <v>154</v>
      </c>
      <c r="D14" s="252"/>
      <c r="E14" s="252"/>
      <c r="F14" s="252"/>
      <c r="G14" s="252"/>
      <c r="H14" s="252"/>
      <c r="P14" s="56" t="s">
        <v>176</v>
      </c>
      <c r="Q14" s="56" t="s">
        <v>177</v>
      </c>
      <c r="R14" s="56"/>
      <c r="S14" s="56" t="s">
        <v>178</v>
      </c>
      <c r="T14" s="56" t="s">
        <v>179</v>
      </c>
    </row>
    <row r="15" spans="1:20" ht="15" x14ac:dyDescent="0.2">
      <c r="A15" s="196" t="s">
        <v>136</v>
      </c>
      <c r="B15" s="197"/>
      <c r="C15" s="253">
        <v>421204</v>
      </c>
      <c r="D15" s="253"/>
      <c r="E15" s="253"/>
      <c r="F15" s="253"/>
      <c r="G15" s="253"/>
      <c r="H15" s="253"/>
      <c r="P15" s="56" t="s">
        <v>180</v>
      </c>
      <c r="Q15" s="56" t="s">
        <v>181</v>
      </c>
      <c r="R15" s="56"/>
      <c r="S15" s="56" t="s">
        <v>182</v>
      </c>
      <c r="T15" s="56" t="s">
        <v>183</v>
      </c>
    </row>
    <row r="16" spans="1:20" ht="15" x14ac:dyDescent="0.2">
      <c r="A16" s="196" t="s">
        <v>48</v>
      </c>
      <c r="B16" s="197"/>
      <c r="C16" s="251" t="s">
        <v>241</v>
      </c>
      <c r="D16" s="251"/>
      <c r="E16" s="251"/>
      <c r="F16" s="251"/>
      <c r="G16" s="251"/>
      <c r="H16" s="251"/>
      <c r="P16" s="56"/>
      <c r="Q16" s="56"/>
      <c r="R16" s="56"/>
      <c r="S16" s="56" t="s">
        <v>184</v>
      </c>
      <c r="T16" s="56" t="s">
        <v>185</v>
      </c>
    </row>
    <row r="17" spans="1:20" ht="15" x14ac:dyDescent="0.2">
      <c r="A17" s="196" t="s">
        <v>90</v>
      </c>
      <c r="B17" s="197"/>
      <c r="C17" s="255" t="s">
        <v>285</v>
      </c>
      <c r="D17" s="255"/>
      <c r="E17" s="255"/>
      <c r="F17" s="255"/>
      <c r="G17" s="255"/>
      <c r="H17" s="255"/>
      <c r="P17" s="56"/>
      <c r="Q17" s="56"/>
      <c r="R17" s="56"/>
      <c r="S17" s="56" t="s">
        <v>186</v>
      </c>
      <c r="T17" s="56" t="s">
        <v>187</v>
      </c>
    </row>
    <row r="18" spans="1:20" ht="15" x14ac:dyDescent="0.2">
      <c r="A18" s="196" t="s">
        <v>89</v>
      </c>
      <c r="B18" s="197"/>
      <c r="C18" s="240" t="s">
        <v>146</v>
      </c>
      <c r="D18" s="241"/>
      <c r="E18" s="242"/>
      <c r="F18" s="240" t="s">
        <v>242</v>
      </c>
      <c r="G18" s="241"/>
      <c r="H18" s="242"/>
      <c r="P18" s="56"/>
      <c r="Q18" s="56"/>
      <c r="R18" s="56"/>
      <c r="S18" s="56" t="s">
        <v>188</v>
      </c>
      <c r="T18" s="56" t="s">
        <v>189</v>
      </c>
    </row>
    <row r="19" spans="1:20" ht="15" x14ac:dyDescent="0.2">
      <c r="A19" s="196" t="s">
        <v>137</v>
      </c>
      <c r="B19" s="197"/>
      <c r="C19" s="260" t="s">
        <v>243</v>
      </c>
      <c r="D19" s="241"/>
      <c r="E19" s="241"/>
      <c r="F19" s="241"/>
      <c r="G19" s="241"/>
      <c r="H19" s="242"/>
      <c r="P19" s="56"/>
      <c r="Q19" s="56"/>
      <c r="R19" s="56"/>
      <c r="S19" s="56" t="s">
        <v>190</v>
      </c>
      <c r="T19" s="56" t="s">
        <v>191</v>
      </c>
    </row>
    <row r="20" spans="1:20" ht="15" x14ac:dyDescent="0.2">
      <c r="A20" s="196" t="s">
        <v>2</v>
      </c>
      <c r="B20" s="197"/>
      <c r="C20" s="251" t="s">
        <v>244</v>
      </c>
      <c r="D20" s="251"/>
      <c r="E20" s="251"/>
      <c r="F20" s="251"/>
      <c r="G20" s="251"/>
      <c r="H20" s="251"/>
      <c r="P20" s="56"/>
      <c r="Q20" s="56"/>
      <c r="R20" s="56"/>
      <c r="S20" s="56" t="s">
        <v>192</v>
      </c>
      <c r="T20" s="56" t="s">
        <v>193</v>
      </c>
    </row>
    <row r="21" spans="1:20" ht="27" customHeight="1" x14ac:dyDescent="0.2">
      <c r="A21" s="196" t="s">
        <v>3</v>
      </c>
      <c r="B21" s="197"/>
      <c r="C21" s="258" t="s">
        <v>245</v>
      </c>
      <c r="D21" s="258"/>
      <c r="E21" s="258"/>
      <c r="F21" s="258"/>
      <c r="G21" s="258"/>
      <c r="H21" s="258"/>
      <c r="P21" s="56"/>
      <c r="Q21" s="56"/>
      <c r="R21" s="56"/>
      <c r="S21" s="56" t="s">
        <v>194</v>
      </c>
      <c r="T21" s="56" t="s">
        <v>195</v>
      </c>
    </row>
    <row r="22" spans="1:20" ht="15" customHeight="1" x14ac:dyDescent="0.2">
      <c r="A22" s="196" t="s">
        <v>109</v>
      </c>
      <c r="B22" s="197"/>
      <c r="C22" s="253" t="s">
        <v>52</v>
      </c>
      <c r="D22" s="253"/>
      <c r="E22" s="253"/>
      <c r="F22" s="253"/>
      <c r="G22" s="253"/>
      <c r="H22" s="253"/>
      <c r="P22" s="56"/>
      <c r="Q22" s="56"/>
      <c r="R22" s="56"/>
      <c r="S22" s="56" t="s">
        <v>196</v>
      </c>
      <c r="T22" s="56" t="s">
        <v>197</v>
      </c>
    </row>
    <row r="23" spans="1:20" ht="26.25" customHeight="1" x14ac:dyDescent="0.2">
      <c r="A23" s="196" t="s">
        <v>4</v>
      </c>
      <c r="B23" s="197"/>
      <c r="C23" s="251" t="s">
        <v>246</v>
      </c>
      <c r="D23" s="252"/>
      <c r="E23" s="252"/>
      <c r="F23" s="252"/>
      <c r="G23" s="252"/>
      <c r="H23" s="252"/>
    </row>
    <row r="24" spans="1:20" x14ac:dyDescent="0.2">
      <c r="A24" s="196" t="s">
        <v>5</v>
      </c>
      <c r="B24" s="197"/>
      <c r="C24" s="252" t="s">
        <v>230</v>
      </c>
      <c r="D24" s="252"/>
      <c r="E24" s="252"/>
      <c r="F24" s="252"/>
      <c r="G24" s="252"/>
      <c r="H24" s="252"/>
    </row>
    <row r="25" spans="1:20" ht="27.75" customHeight="1" x14ac:dyDescent="0.2">
      <c r="A25" s="196" t="s">
        <v>87</v>
      </c>
      <c r="B25" s="197"/>
      <c r="C25" s="252" t="s">
        <v>247</v>
      </c>
      <c r="D25" s="252"/>
      <c r="E25" s="252"/>
      <c r="F25" s="252"/>
      <c r="G25" s="252"/>
      <c r="H25" s="252"/>
    </row>
    <row r="26" spans="1:20" ht="45.75" customHeight="1" x14ac:dyDescent="0.2">
      <c r="A26" s="198" t="s">
        <v>88</v>
      </c>
      <c r="B26" s="199"/>
      <c r="C26" s="254" t="s">
        <v>281</v>
      </c>
      <c r="D26" s="254"/>
      <c r="E26" s="254"/>
      <c r="F26" s="254"/>
      <c r="G26" s="254"/>
      <c r="H26" s="254"/>
    </row>
    <row r="27" spans="1:20" ht="38.25" x14ac:dyDescent="0.2">
      <c r="A27" s="196" t="s">
        <v>92</v>
      </c>
      <c r="B27" s="197"/>
      <c r="C27" s="255" t="s">
        <v>273</v>
      </c>
      <c r="D27" s="255"/>
      <c r="E27" s="255"/>
      <c r="F27" s="308" t="s">
        <v>7</v>
      </c>
      <c r="G27" s="254" t="s">
        <v>91</v>
      </c>
      <c r="H27" s="254"/>
    </row>
    <row r="28" spans="1:20" ht="42.75" customHeight="1" x14ac:dyDescent="0.2">
      <c r="A28" s="198" t="s">
        <v>8</v>
      </c>
      <c r="B28" s="199"/>
      <c r="C28" s="255" t="s">
        <v>291</v>
      </c>
      <c r="D28" s="254"/>
      <c r="E28" s="254"/>
      <c r="F28" s="308" t="s">
        <v>123</v>
      </c>
      <c r="G28" s="254">
        <v>57</v>
      </c>
      <c r="H28" s="254"/>
      <c r="I28" s="6">
        <f>286+96</f>
        <v>382</v>
      </c>
      <c r="J28" s="6">
        <f>382*0.15</f>
        <v>57.3</v>
      </c>
    </row>
    <row r="29" spans="1:20" x14ac:dyDescent="0.2">
      <c r="A29" s="196" t="s">
        <v>208</v>
      </c>
      <c r="B29" s="197"/>
      <c r="C29" s="219" t="s">
        <v>304</v>
      </c>
      <c r="D29" s="220"/>
      <c r="E29" s="221"/>
      <c r="F29" s="221"/>
      <c r="G29" s="221"/>
      <c r="H29" s="222"/>
    </row>
    <row r="30" spans="1:20" ht="12.75" customHeight="1" x14ac:dyDescent="0.2">
      <c r="A30" s="196" t="s">
        <v>209</v>
      </c>
      <c r="B30" s="197"/>
      <c r="C30" s="219" t="s">
        <v>304</v>
      </c>
      <c r="D30" s="220"/>
      <c r="E30" s="221"/>
      <c r="F30" s="221"/>
      <c r="G30" s="221"/>
      <c r="H30" s="222"/>
    </row>
    <row r="31" spans="1:20" ht="12.75" customHeight="1" x14ac:dyDescent="0.2">
      <c r="A31" s="200" t="s">
        <v>9</v>
      </c>
      <c r="B31" s="201"/>
      <c r="C31" s="192" t="s">
        <v>93</v>
      </c>
      <c r="D31" s="193"/>
      <c r="E31" s="13" t="s">
        <v>12</v>
      </c>
      <c r="F31" s="13" t="s">
        <v>13</v>
      </c>
      <c r="G31" s="13" t="s">
        <v>14</v>
      </c>
      <c r="H31" s="13" t="s">
        <v>15</v>
      </c>
    </row>
    <row r="32" spans="1:20" ht="12.75" customHeight="1" x14ac:dyDescent="0.2">
      <c r="A32" s="202"/>
      <c r="B32" s="203"/>
      <c r="C32" s="194" t="s">
        <v>10</v>
      </c>
      <c r="D32" s="195"/>
      <c r="E32" s="14" t="s">
        <v>230</v>
      </c>
      <c r="F32" s="14" t="s">
        <v>230</v>
      </c>
      <c r="G32" s="14" t="s">
        <v>230</v>
      </c>
      <c r="H32" s="14" t="s">
        <v>230</v>
      </c>
    </row>
    <row r="33" spans="1:9" ht="26.25" customHeight="1" x14ac:dyDescent="0.2">
      <c r="A33" s="202"/>
      <c r="B33" s="203"/>
      <c r="C33" s="206" t="s">
        <v>86</v>
      </c>
      <c r="D33" s="207"/>
      <c r="E33" s="14" t="s">
        <v>265</v>
      </c>
      <c r="F33" s="14" t="s">
        <v>265</v>
      </c>
      <c r="G33" s="14" t="s">
        <v>264</v>
      </c>
      <c r="H33" s="14" t="s">
        <v>147</v>
      </c>
    </row>
    <row r="34" spans="1:9" ht="34.5" customHeight="1" x14ac:dyDescent="0.2">
      <c r="A34" s="204"/>
      <c r="B34" s="205"/>
      <c r="C34" s="206" t="s">
        <v>11</v>
      </c>
      <c r="D34" s="207"/>
      <c r="E34" s="14" t="s">
        <v>265</v>
      </c>
      <c r="F34" s="14" t="s">
        <v>266</v>
      </c>
      <c r="G34" s="14" t="s">
        <v>267</v>
      </c>
      <c r="H34" s="14" t="s">
        <v>239</v>
      </c>
    </row>
    <row r="35" spans="1:9" ht="29.25" customHeight="1" x14ac:dyDescent="0.2">
      <c r="A35" s="196" t="s">
        <v>16</v>
      </c>
      <c r="B35" s="197"/>
      <c r="C35" s="263" t="s">
        <v>248</v>
      </c>
      <c r="D35" s="263"/>
      <c r="E35" s="263"/>
      <c r="F35" s="263"/>
      <c r="G35" s="263"/>
      <c r="H35" s="263"/>
    </row>
    <row r="36" spans="1:9" ht="38.25" customHeight="1" x14ac:dyDescent="0.2">
      <c r="A36" s="196" t="s">
        <v>130</v>
      </c>
      <c r="B36" s="197"/>
      <c r="C36" s="266">
        <f>317291.12</f>
        <v>317291.12</v>
      </c>
      <c r="D36" s="267"/>
      <c r="E36" s="265" t="s">
        <v>131</v>
      </c>
      <c r="F36" s="265"/>
      <c r="G36" s="266">
        <v>101412.98</v>
      </c>
      <c r="H36" s="267"/>
    </row>
    <row r="37" spans="1:9" x14ac:dyDescent="0.2">
      <c r="A37" s="196" t="s">
        <v>17</v>
      </c>
      <c r="B37" s="197"/>
      <c r="C37" s="96" t="s">
        <v>274</v>
      </c>
      <c r="D37" s="96"/>
      <c r="E37" s="96"/>
      <c r="F37" s="96"/>
      <c r="G37" s="96"/>
      <c r="H37" s="96"/>
    </row>
    <row r="38" spans="1:9" ht="133.5" customHeight="1" x14ac:dyDescent="0.2">
      <c r="A38" s="196" t="s">
        <v>122</v>
      </c>
      <c r="B38" s="197"/>
      <c r="C38" s="255" t="s">
        <v>269</v>
      </c>
      <c r="D38" s="255"/>
      <c r="E38" s="254"/>
      <c r="F38" s="254"/>
      <c r="G38" s="254"/>
      <c r="H38" s="254"/>
      <c r="I38" s="63"/>
    </row>
    <row r="39" spans="1:9" x14ac:dyDescent="0.2">
      <c r="A39" s="268" t="s">
        <v>94</v>
      </c>
      <c r="B39" s="268"/>
      <c r="C39" s="268"/>
      <c r="D39" s="268"/>
      <c r="E39" s="268"/>
      <c r="F39" s="268"/>
      <c r="G39" s="268"/>
      <c r="H39" s="268"/>
    </row>
    <row r="40" spans="1:9" ht="12.75" customHeight="1" x14ac:dyDescent="0.2">
      <c r="A40" s="280" t="s">
        <v>19</v>
      </c>
      <c r="B40" s="281"/>
      <c r="C40" s="96" t="s">
        <v>95</v>
      </c>
      <c r="D40" s="96"/>
      <c r="E40" s="96"/>
      <c r="F40" s="96"/>
      <c r="G40" s="269">
        <f>101412.98</f>
        <v>101412.98</v>
      </c>
      <c r="H40" s="269"/>
    </row>
    <row r="41" spans="1:9" x14ac:dyDescent="0.2">
      <c r="A41" s="282"/>
      <c r="B41" s="283"/>
      <c r="C41" s="96" t="s">
        <v>96</v>
      </c>
      <c r="D41" s="96"/>
      <c r="E41" s="96"/>
      <c r="F41" s="96"/>
      <c r="G41" s="231">
        <f>1.8</f>
        <v>1.8</v>
      </c>
      <c r="H41" s="231"/>
    </row>
    <row r="42" spans="1:9" x14ac:dyDescent="0.2">
      <c r="A42" s="282"/>
      <c r="B42" s="283"/>
      <c r="C42" s="96" t="s">
        <v>97</v>
      </c>
      <c r="D42" s="96"/>
      <c r="E42" s="96"/>
      <c r="F42" s="96"/>
      <c r="G42" s="231">
        <f>G45/G40-G41</f>
        <v>0.83083847846695735</v>
      </c>
      <c r="H42" s="231"/>
    </row>
    <row r="43" spans="1:9" x14ac:dyDescent="0.2">
      <c r="A43" s="282"/>
      <c r="B43" s="283"/>
      <c r="C43" s="96" t="s">
        <v>98</v>
      </c>
      <c r="D43" s="96"/>
      <c r="E43" s="96"/>
      <c r="F43" s="96"/>
      <c r="G43" s="231">
        <f>G41+G42</f>
        <v>2.6308384784669574</v>
      </c>
      <c r="H43" s="231"/>
    </row>
    <row r="44" spans="1:9" x14ac:dyDescent="0.2">
      <c r="A44" s="282"/>
      <c r="B44" s="283"/>
      <c r="C44" s="96" t="s">
        <v>128</v>
      </c>
      <c r="D44" s="96"/>
      <c r="E44" s="96"/>
      <c r="F44" s="96"/>
      <c r="G44" s="232">
        <f>10614372.26</f>
        <v>10614372.26</v>
      </c>
      <c r="H44" s="232"/>
    </row>
    <row r="45" spans="1:9" x14ac:dyDescent="0.2">
      <c r="A45" s="282"/>
      <c r="B45" s="283"/>
      <c r="C45" s="96" t="s">
        <v>99</v>
      </c>
      <c r="D45" s="96"/>
      <c r="E45" s="96"/>
      <c r="F45" s="96"/>
      <c r="G45" s="232">
        <f>266801.17</f>
        <v>266801.17</v>
      </c>
      <c r="H45" s="232"/>
      <c r="I45" s="6" t="s">
        <v>249</v>
      </c>
    </row>
    <row r="46" spans="1:9" x14ac:dyDescent="0.2">
      <c r="A46" s="284"/>
      <c r="B46" s="285"/>
      <c r="C46" s="96" t="s">
        <v>275</v>
      </c>
      <c r="D46" s="96"/>
      <c r="E46" s="96"/>
      <c r="F46" s="96"/>
      <c r="G46" s="232">
        <v>22701.32</v>
      </c>
      <c r="H46" s="232"/>
    </row>
    <row r="47" spans="1:9" ht="53.25" customHeight="1" x14ac:dyDescent="0.2">
      <c r="A47" s="198" t="s">
        <v>100</v>
      </c>
      <c r="B47" s="199"/>
      <c r="C47" s="215" t="s">
        <v>250</v>
      </c>
      <c r="D47" s="216"/>
      <c r="E47" s="216"/>
      <c r="F47" s="217"/>
      <c r="G47" s="77" t="s">
        <v>228</v>
      </c>
      <c r="H47" s="78">
        <v>45656</v>
      </c>
    </row>
    <row r="48" spans="1:9" ht="32.25" customHeight="1" x14ac:dyDescent="0.2">
      <c r="A48" s="196" t="s">
        <v>20</v>
      </c>
      <c r="B48" s="197"/>
      <c r="C48" s="263" t="s">
        <v>254</v>
      </c>
      <c r="D48" s="263"/>
      <c r="E48" s="264"/>
      <c r="F48" s="264"/>
      <c r="G48" s="264"/>
      <c r="H48" s="264"/>
      <c r="I48" s="69" t="s">
        <v>255</v>
      </c>
    </row>
    <row r="49" spans="1:12" ht="42" customHeight="1" x14ac:dyDescent="0.2">
      <c r="A49" s="179" t="s">
        <v>276</v>
      </c>
      <c r="B49" s="180"/>
      <c r="C49" s="149" t="s">
        <v>286</v>
      </c>
      <c r="D49" s="150"/>
      <c r="E49" s="150"/>
      <c r="F49" s="151"/>
      <c r="G49" s="61" t="s">
        <v>228</v>
      </c>
      <c r="H49" s="62">
        <v>45656</v>
      </c>
    </row>
    <row r="50" spans="1:12" x14ac:dyDescent="0.2">
      <c r="A50" s="181"/>
      <c r="B50" s="182"/>
      <c r="C50" s="149" t="s">
        <v>287</v>
      </c>
      <c r="D50" s="150"/>
      <c r="E50" s="150"/>
      <c r="F50" s="150"/>
      <c r="G50" s="150"/>
      <c r="H50" s="151"/>
    </row>
    <row r="51" spans="1:12" x14ac:dyDescent="0.2">
      <c r="A51" s="223" t="s">
        <v>21</v>
      </c>
      <c r="B51" s="224"/>
      <c r="C51" s="134" t="s">
        <v>110</v>
      </c>
      <c r="D51" s="135"/>
      <c r="E51" s="96" t="s">
        <v>230</v>
      </c>
      <c r="F51" s="96"/>
      <c r="G51" s="96"/>
      <c r="H51" s="96"/>
    </row>
    <row r="52" spans="1:12" x14ac:dyDescent="0.2">
      <c r="A52" s="225"/>
      <c r="B52" s="226"/>
      <c r="C52" s="134" t="s">
        <v>111</v>
      </c>
      <c r="D52" s="135"/>
      <c r="E52" s="177" t="s">
        <v>230</v>
      </c>
      <c r="F52" s="178"/>
      <c r="G52" s="61" t="s">
        <v>228</v>
      </c>
      <c r="H52" s="64" t="s">
        <v>230</v>
      </c>
      <c r="J52" s="6" t="s">
        <v>234</v>
      </c>
    </row>
    <row r="53" spans="1:12" x14ac:dyDescent="0.2">
      <c r="A53" s="227"/>
      <c r="B53" s="228"/>
      <c r="C53" s="134" t="s">
        <v>235</v>
      </c>
      <c r="D53" s="91"/>
      <c r="E53" s="95" t="s">
        <v>230</v>
      </c>
      <c r="F53" s="96"/>
      <c r="G53" s="96"/>
      <c r="H53" s="96"/>
      <c r="I53" s="95" t="s">
        <v>233</v>
      </c>
      <c r="J53" s="96"/>
      <c r="K53" s="96"/>
      <c r="L53" s="96"/>
    </row>
    <row r="54" spans="1:12" x14ac:dyDescent="0.2">
      <c r="A54" s="97" t="s">
        <v>229</v>
      </c>
      <c r="B54" s="99"/>
      <c r="C54" s="134"/>
      <c r="D54" s="161"/>
      <c r="E54" s="161"/>
      <c r="F54" s="161"/>
      <c r="G54" s="161"/>
      <c r="H54" s="135"/>
    </row>
    <row r="55" spans="1:12" ht="36" hidden="1" customHeight="1" x14ac:dyDescent="0.2">
      <c r="A55" s="229" t="s">
        <v>231</v>
      </c>
      <c r="B55" s="230"/>
      <c r="C55" s="152"/>
      <c r="D55" s="153"/>
      <c r="E55" s="153"/>
      <c r="F55" s="154"/>
      <c r="G55" s="61" t="s">
        <v>228</v>
      </c>
      <c r="H55" s="62"/>
    </row>
    <row r="56" spans="1:12" hidden="1" x14ac:dyDescent="0.2">
      <c r="A56" s="165" t="s">
        <v>294</v>
      </c>
      <c r="B56" s="166"/>
      <c r="C56" s="183" t="s">
        <v>296</v>
      </c>
      <c r="D56" s="184"/>
      <c r="E56" s="184"/>
      <c r="F56" s="185"/>
      <c r="G56" s="79" t="s">
        <v>228</v>
      </c>
      <c r="H56" s="80">
        <v>44618</v>
      </c>
      <c r="I56" s="6" t="s">
        <v>299</v>
      </c>
    </row>
    <row r="57" spans="1:12" ht="13.9" hidden="1" customHeight="1" x14ac:dyDescent="0.2">
      <c r="A57" s="167"/>
      <c r="B57" s="168"/>
      <c r="C57" s="162" t="s">
        <v>297</v>
      </c>
      <c r="D57" s="163"/>
      <c r="E57" s="163"/>
      <c r="F57" s="163"/>
      <c r="G57" s="163"/>
      <c r="H57" s="164"/>
    </row>
    <row r="58" spans="1:12" x14ac:dyDescent="0.2">
      <c r="A58" s="179" t="s">
        <v>302</v>
      </c>
      <c r="B58" s="180"/>
      <c r="C58" s="149" t="s">
        <v>251</v>
      </c>
      <c r="D58" s="150"/>
      <c r="E58" s="150"/>
      <c r="F58" s="151"/>
      <c r="G58" s="77" t="s">
        <v>228</v>
      </c>
      <c r="H58" s="78">
        <v>44618</v>
      </c>
      <c r="I58" s="6" t="s">
        <v>298</v>
      </c>
    </row>
    <row r="59" spans="1:12" ht="28.9" customHeight="1" x14ac:dyDescent="0.2">
      <c r="A59" s="181"/>
      <c r="B59" s="182"/>
      <c r="C59" s="149" t="s">
        <v>303</v>
      </c>
      <c r="D59" s="150"/>
      <c r="E59" s="150"/>
      <c r="F59" s="150"/>
      <c r="G59" s="150"/>
      <c r="H59" s="151"/>
    </row>
    <row r="60" spans="1:12" ht="28.9" hidden="1" customHeight="1" x14ac:dyDescent="0.2">
      <c r="A60" s="165" t="s">
        <v>232</v>
      </c>
      <c r="B60" s="166"/>
      <c r="C60" s="171"/>
      <c r="D60" s="172"/>
      <c r="E60" s="172"/>
      <c r="F60" s="173"/>
      <c r="G60" s="61" t="s">
        <v>228</v>
      </c>
      <c r="H60" s="62"/>
    </row>
    <row r="61" spans="1:12" ht="28.9" hidden="1" customHeight="1" x14ac:dyDescent="0.2">
      <c r="A61" s="169"/>
      <c r="B61" s="170"/>
      <c r="C61" s="174"/>
      <c r="D61" s="175"/>
      <c r="E61" s="175"/>
      <c r="F61" s="176"/>
      <c r="G61" s="77" t="s">
        <v>293</v>
      </c>
      <c r="H61" s="62"/>
    </row>
    <row r="62" spans="1:12" ht="28.9" hidden="1" customHeight="1" x14ac:dyDescent="0.2">
      <c r="A62" s="167"/>
      <c r="B62" s="168"/>
      <c r="C62" s="134"/>
      <c r="D62" s="161"/>
      <c r="E62" s="161"/>
      <c r="F62" s="161"/>
      <c r="G62" s="161"/>
      <c r="H62" s="135"/>
    </row>
    <row r="63" spans="1:12" ht="13.5" thickBot="1" x14ac:dyDescent="0.25">
      <c r="A63" s="121" t="s">
        <v>22</v>
      </c>
      <c r="B63" s="121"/>
      <c r="C63" s="121"/>
      <c r="D63" s="121"/>
      <c r="E63" s="121"/>
      <c r="F63" s="121"/>
      <c r="G63" s="121"/>
      <c r="H63" s="121"/>
    </row>
    <row r="64" spans="1:12" x14ac:dyDescent="0.2">
      <c r="A64" s="97" t="s">
        <v>23</v>
      </c>
      <c r="B64" s="99"/>
      <c r="C64" s="147" t="s">
        <v>252</v>
      </c>
      <c r="D64" s="148"/>
      <c r="E64" s="97" t="s">
        <v>24</v>
      </c>
      <c r="F64" s="99"/>
      <c r="G64" s="145">
        <v>46599</v>
      </c>
      <c r="H64" s="146"/>
      <c r="I64" s="38" t="str">
        <f ca="1">(IF(G70&gt;99%,"All work completed. Please provide OC.",IF(G70&gt;89.8%,"Plinth, RCC, Brick, Plaster, Flooring, Painting work Completed. Finishing work is in process.",IF(G70&lt;94%,(IF(E70=0,"Work not yet Started.",IF(F70=25%,"Piling work in process",IF(F70=50%,"Excavation work in process",IF(F70=100%,"Excavation work Completed. ","0")))&amp;(IF(E71=0%,"",IF(E71=J70,"Footing work is process",IF(E71=J71,"Footing work Completed",IF(E71=J72,"1st Basement Completed",IF(E71=J73,"1st &amp; 2nd Basement Completed",IF(E71=J74,"1st to 3rd Basement Completed",IF(E71=J75,"1st to 4th Basement Completed",IF(E71=J76,"Plinth work is process",IF(E71=J77,"Plinth work completed","0")))))))))))&amp;(IF(E72=(F67+G67+H67),", RCC Slab",IF(E72&gt;0,", RCC upto "&amp;E72&amp;" Slab",""))&amp;(IF(E73=H67,", Brickwork",IF(E73&gt;0,", Brickwork upto "&amp;E73&amp;" Floor",""))&amp;(IF(E74=H67,", Internal Plaster",IF(E74&gt;0,", Internal Plaster upto "&amp;E74&amp;" Floor",""))&amp;(IF(E75=H67,", External Plaster",IF(E75&gt;0,", External Plaster upto "&amp;E75&amp;" Floor",""))&amp;(IF(E76=H67,", Flooring",IF(E76&gt;0,", Flooring upto "&amp;E76&amp;" Floor",""))&amp;(IF(E77=H67,", Painting",IF(E77&gt;0,", Painting upto "&amp;E77&amp;" Floor",""))&amp;(IF(E78&gt;0,", Finishing upto "&amp;E78&amp;" Floor","")&amp;(IF(E72&gt;0.5," Completed",""))))))))))))))</f>
        <v>Excavation work Completed. Plinth work completed, RCC upto 1 Slab Completed</v>
      </c>
      <c r="J64" s="39"/>
    </row>
    <row r="65" spans="1:10" ht="13.5" thickBot="1" x14ac:dyDescent="0.25">
      <c r="A65" s="144" t="s">
        <v>57</v>
      </c>
      <c r="B65" s="144"/>
      <c r="C65" s="144"/>
      <c r="D65" s="144"/>
      <c r="E65" s="144"/>
      <c r="F65" s="144"/>
      <c r="G65" s="144"/>
      <c r="H65" s="144"/>
      <c r="I65" s="42"/>
      <c r="J65" s="43"/>
    </row>
    <row r="66" spans="1:10" ht="15" customHeight="1" x14ac:dyDescent="0.2">
      <c r="A66" s="155" t="s">
        <v>305</v>
      </c>
      <c r="B66" s="156"/>
      <c r="C66" s="156"/>
      <c r="D66" s="157"/>
      <c r="E66" s="36" t="s">
        <v>58</v>
      </c>
      <c r="F66" s="36" t="s">
        <v>59</v>
      </c>
      <c r="G66" s="36" t="s">
        <v>60</v>
      </c>
      <c r="H66" s="37" t="s">
        <v>46</v>
      </c>
      <c r="I66" s="42" t="s">
        <v>139</v>
      </c>
      <c r="J66" s="43"/>
    </row>
    <row r="67" spans="1:10" ht="15" customHeight="1" x14ac:dyDescent="0.2">
      <c r="A67" s="158"/>
      <c r="B67" s="159"/>
      <c r="C67" s="159"/>
      <c r="D67" s="160"/>
      <c r="E67" s="40">
        <v>0</v>
      </c>
      <c r="F67" s="40">
        <v>1</v>
      </c>
      <c r="G67" s="40">
        <v>0</v>
      </c>
      <c r="H67" s="41">
        <f ca="1">--TRIM(RIGHT(SUBSTITUTE(LEFT(A66,_xlfn.AGGREGATE(16,6,FIND({0,1,2,3,4,5,6,7,8,9},A66,ROW(INDIRECT("1:"&amp;LEN(A66)))),1))," ",REPT(" ",LEN(A66))),LEN(A66)))</f>
        <v>10</v>
      </c>
      <c r="I67" s="1" t="s">
        <v>64</v>
      </c>
      <c r="J67" s="45">
        <f ca="1">H67*25%</f>
        <v>2.5</v>
      </c>
    </row>
    <row r="68" spans="1:10" ht="15" customHeight="1" x14ac:dyDescent="0.2">
      <c r="A68" s="58" t="s">
        <v>138</v>
      </c>
      <c r="B68" s="57"/>
      <c r="C68" s="138" t="str">
        <f ca="1">I64</f>
        <v>Excavation work Completed. Plinth work completed, RCC upto 1 Slab Completed</v>
      </c>
      <c r="D68" s="138"/>
      <c r="E68" s="138"/>
      <c r="F68" s="138"/>
      <c r="G68" s="138"/>
      <c r="H68" s="139"/>
      <c r="I68" s="1" t="s">
        <v>66</v>
      </c>
      <c r="J68" s="48">
        <f ca="1">H67*50%</f>
        <v>5</v>
      </c>
    </row>
    <row r="69" spans="1:10" ht="15" customHeight="1" x14ac:dyDescent="0.2">
      <c r="A69" s="140" t="s">
        <v>61</v>
      </c>
      <c r="B69" s="141"/>
      <c r="C69" s="136" t="s">
        <v>140</v>
      </c>
      <c r="D69" s="136"/>
      <c r="E69" s="44" t="s">
        <v>62</v>
      </c>
      <c r="F69" s="44" t="s">
        <v>63</v>
      </c>
      <c r="G69" s="233" t="s">
        <v>56</v>
      </c>
      <c r="H69" s="234"/>
      <c r="I69" s="1" t="s">
        <v>68</v>
      </c>
      <c r="J69" s="48">
        <f ca="1">H67</f>
        <v>10</v>
      </c>
    </row>
    <row r="70" spans="1:10" ht="15" customHeight="1" x14ac:dyDescent="0.2">
      <c r="A70" s="140" t="s">
        <v>65</v>
      </c>
      <c r="B70" s="141"/>
      <c r="C70" s="137">
        <v>0</v>
      </c>
      <c r="D70" s="137"/>
      <c r="E70" s="46">
        <f ca="1">J69</f>
        <v>10</v>
      </c>
      <c r="F70" s="47">
        <f ca="1">((100/H67)*E70)/100</f>
        <v>1</v>
      </c>
      <c r="G70" s="235">
        <f ca="1">(((E71/H67*10)+(40/(F67+G67+H67)*E72)+(15/(H67)*E73)+(5/(H67)*E74)+(5/H67*E75)+(10/H67*E76)+(5/H67*E77)+(5/H67*E78)+(5/H67*E79))/100)</f>
        <v>0.13636363636363635</v>
      </c>
      <c r="H70" s="236"/>
      <c r="I70" s="1" t="s">
        <v>70</v>
      </c>
      <c r="J70" s="50">
        <f ca="1">(IF(E67&gt;1,(H67/(E67+2)),H67/4))</f>
        <v>2.5</v>
      </c>
    </row>
    <row r="71" spans="1:10" ht="15" customHeight="1" x14ac:dyDescent="0.2">
      <c r="A71" s="140" t="s">
        <v>67</v>
      </c>
      <c r="B71" s="141"/>
      <c r="C71" s="137">
        <v>0.1</v>
      </c>
      <c r="D71" s="137"/>
      <c r="E71" s="49">
        <f ca="1">J77</f>
        <v>10</v>
      </c>
      <c r="F71" s="47">
        <f ca="1">((100/H67)*E71)/100</f>
        <v>1</v>
      </c>
      <c r="G71" s="235"/>
      <c r="H71" s="236"/>
      <c r="I71" s="1" t="s">
        <v>72</v>
      </c>
      <c r="J71" s="50">
        <f ca="1">(IF(E67&gt;1,(H67/(E67+2)+J70),H67/4+J70))</f>
        <v>5</v>
      </c>
    </row>
    <row r="72" spans="1:10" ht="15" customHeight="1" x14ac:dyDescent="0.2">
      <c r="A72" s="140" t="s">
        <v>69</v>
      </c>
      <c r="B72" s="141"/>
      <c r="C72" s="137">
        <v>0.4</v>
      </c>
      <c r="D72" s="137"/>
      <c r="E72" s="49">
        <v>1</v>
      </c>
      <c r="F72" s="47">
        <f ca="1">((100/(F67+G67+H67))*E72)/100</f>
        <v>9.0909090909090912E-2</v>
      </c>
      <c r="G72" s="235"/>
      <c r="H72" s="236"/>
      <c r="I72" s="1" t="s">
        <v>74</v>
      </c>
      <c r="J72" s="50">
        <f>(IF(E67&gt;1,(H67/(E67+2)+J71),0))</f>
        <v>0</v>
      </c>
    </row>
    <row r="73" spans="1:10" ht="15" customHeight="1" x14ac:dyDescent="0.2">
      <c r="A73" s="140" t="s">
        <v>71</v>
      </c>
      <c r="B73" s="141"/>
      <c r="C73" s="137">
        <v>0.15</v>
      </c>
      <c r="D73" s="137"/>
      <c r="E73" s="46">
        <v>0</v>
      </c>
      <c r="F73" s="47">
        <f ca="1">((100/H67)*E73)/100</f>
        <v>0</v>
      </c>
      <c r="G73" s="235"/>
      <c r="H73" s="236"/>
      <c r="I73" s="1" t="s">
        <v>76</v>
      </c>
      <c r="J73" s="50">
        <f>(IF(E67&gt;2,(H67/(E67+2)+J72),0))</f>
        <v>0</v>
      </c>
    </row>
    <row r="74" spans="1:10" ht="15" customHeight="1" x14ac:dyDescent="0.2">
      <c r="A74" s="140" t="s">
        <v>73</v>
      </c>
      <c r="B74" s="141"/>
      <c r="C74" s="137">
        <v>0.05</v>
      </c>
      <c r="D74" s="137"/>
      <c r="E74" s="46">
        <v>0</v>
      </c>
      <c r="F74" s="47">
        <f ca="1">((100/H67)*E74)/100</f>
        <v>0</v>
      </c>
      <c r="G74" s="235"/>
      <c r="H74" s="236"/>
      <c r="I74" s="1" t="s">
        <v>78</v>
      </c>
      <c r="J74" s="51">
        <f>(IF(E67&gt;3,(H67/(E67+2)+J73),0))</f>
        <v>0</v>
      </c>
    </row>
    <row r="75" spans="1:10" ht="15.75" customHeight="1" x14ac:dyDescent="0.2">
      <c r="A75" s="140" t="s">
        <v>75</v>
      </c>
      <c r="B75" s="141"/>
      <c r="C75" s="137">
        <v>0.05</v>
      </c>
      <c r="D75" s="137"/>
      <c r="E75" s="46">
        <v>0</v>
      </c>
      <c r="F75" s="47">
        <f ca="1">((100/(H67))*E75)/100</f>
        <v>0</v>
      </c>
      <c r="G75" s="235"/>
      <c r="H75" s="236"/>
      <c r="I75" s="1" t="s">
        <v>80</v>
      </c>
      <c r="J75" s="50">
        <f>(IF(E67&gt;4,(H67/(E67+2)+J74),0))</f>
        <v>0</v>
      </c>
    </row>
    <row r="76" spans="1:10" x14ac:dyDescent="0.2">
      <c r="A76" s="140" t="s">
        <v>77</v>
      </c>
      <c r="B76" s="141"/>
      <c r="C76" s="137">
        <v>0.1</v>
      </c>
      <c r="D76" s="137"/>
      <c r="E76" s="46">
        <v>0</v>
      </c>
      <c r="F76" s="47">
        <f ca="1">((100/H67)*E76)/100</f>
        <v>0</v>
      </c>
      <c r="G76" s="235"/>
      <c r="H76" s="236"/>
      <c r="I76" s="1" t="s">
        <v>82</v>
      </c>
      <c r="J76" s="50">
        <f ca="1">(IF(E67=1,(H67/(E67+3)+J71),IF(E67=0,(H67/4+J71),IF(E67&gt;1,0))))</f>
        <v>7.5</v>
      </c>
    </row>
    <row r="77" spans="1:10" ht="13.5" thickBot="1" x14ac:dyDescent="0.25">
      <c r="A77" s="140" t="s">
        <v>79</v>
      </c>
      <c r="B77" s="141"/>
      <c r="C77" s="137">
        <v>0.05</v>
      </c>
      <c r="D77" s="137"/>
      <c r="E77" s="46">
        <v>0</v>
      </c>
      <c r="F77" s="47">
        <f ca="1">((100/H67)*E77)/100</f>
        <v>0</v>
      </c>
      <c r="G77" s="235"/>
      <c r="H77" s="236"/>
      <c r="I77" s="54" t="s">
        <v>84</v>
      </c>
      <c r="J77" s="55">
        <f ca="1">(IF(E67&gt;1.5,(H67/(E67+2)+J71+MAX(0,J72-J71)+MAX(0,J73-J72)+MAX(0,J74-J73)+MAX(0,J75-J74)+MAX(0,J76-J75)),IF(E67=1,(H67/(E67+3)+J76),IF(E67=0,H67/4+J76))))</f>
        <v>10</v>
      </c>
    </row>
    <row r="78" spans="1:10" x14ac:dyDescent="0.2">
      <c r="A78" s="140" t="s">
        <v>81</v>
      </c>
      <c r="B78" s="141"/>
      <c r="C78" s="137">
        <v>0.05</v>
      </c>
      <c r="D78" s="137"/>
      <c r="E78" s="46">
        <v>0</v>
      </c>
      <c r="F78" s="47">
        <f ca="1">((100/(H67))*E78)/100</f>
        <v>0</v>
      </c>
      <c r="G78" s="235"/>
      <c r="H78" s="236"/>
      <c r="I78" s="38" t="str">
        <f ca="1">(IF(G84&gt;99%,"All work completed. Please provide OC.",IF(G84&gt;89.8%,"Plinth, RCC, Brick, Plaster, Flooring, Painting work Completed. Finishing work is in process.",IF(G84&lt;94%,(IF(E84=0,"Work not yet Started.",IF(F84=25%,"Piling work in process",IF(F84=50%,"Excavation work in process",IF(F84=100%,"Excavation work Completed. ","0")))&amp;(IF(E85=0%,"",IF(E85=J84,"Footing work is process",IF(E85=J85,"Footing work Completed",IF(E85=J86,"1st Basement Completed",IF(E85=J87,"1st &amp; 2nd Basement Completed",IF(E85=J88,"1st to 3rd Basement Completed",IF(E85=J89,"1st to 4th Basement Completed",IF(E85=J90,"Plinth work is process",IF(E85=J91,"Plinth work completed","0")))))))))))&amp;(IF(E86=(F81+G81+H81),", RCC Slab",IF(E86&gt;0,", RCC upto "&amp;E86&amp;" Slab",""))&amp;(IF(E87=H81,", Brickwork",IF(E87&gt;0,", Brickwork upto "&amp;E87&amp;" Floor",""))&amp;(IF(E88=H81,", Internal Plaster",IF(E88&gt;0,", Internal Plaster upto "&amp;E88&amp;" Floor",""))&amp;(IF(E89=H81,", External Plaster",IF(E89&gt;0,", External Plaster upto "&amp;E89&amp;" Floor",""))&amp;(IF(E90=H81,", Flooring",IF(E90&gt;0,", Flooring upto "&amp;E90&amp;" Floor",""))&amp;(IF(E91=H81,", Painting",IF(E91&gt;0,", Painting upto "&amp;E91&amp;" Floor",""))&amp;(IF(E92&gt;0,", Finishing upto "&amp;E92&amp;" Floor","")&amp;(IF(E86&gt;0.5," Completed",""))))))))))))))</f>
        <v>Excavation work Completed. Plinth work completed</v>
      </c>
      <c r="J78" s="39"/>
    </row>
    <row r="79" spans="1:10" ht="13.5" thickBot="1" x14ac:dyDescent="0.25">
      <c r="A79" s="211" t="s">
        <v>83</v>
      </c>
      <c r="B79" s="212"/>
      <c r="C79" s="243">
        <v>0.05</v>
      </c>
      <c r="D79" s="243"/>
      <c r="E79" s="52">
        <v>0</v>
      </c>
      <c r="F79" s="53">
        <f ca="1">((100/(H67))*E79)/100</f>
        <v>0</v>
      </c>
      <c r="G79" s="237"/>
      <c r="H79" s="238"/>
      <c r="I79" s="42"/>
      <c r="J79" s="43"/>
    </row>
    <row r="80" spans="1:10" ht="15" customHeight="1" x14ac:dyDescent="0.2">
      <c r="A80" s="155" t="s">
        <v>306</v>
      </c>
      <c r="B80" s="156"/>
      <c r="C80" s="156"/>
      <c r="D80" s="157"/>
      <c r="E80" s="36" t="s">
        <v>58</v>
      </c>
      <c r="F80" s="36" t="s">
        <v>59</v>
      </c>
      <c r="G80" s="36" t="s">
        <v>60</v>
      </c>
      <c r="H80" s="37" t="s">
        <v>46</v>
      </c>
      <c r="I80" s="42" t="s">
        <v>139</v>
      </c>
      <c r="J80" s="43"/>
    </row>
    <row r="81" spans="1:10" ht="15" customHeight="1" x14ac:dyDescent="0.2">
      <c r="A81" s="158"/>
      <c r="B81" s="159"/>
      <c r="C81" s="159"/>
      <c r="D81" s="160"/>
      <c r="E81" s="40">
        <v>0</v>
      </c>
      <c r="F81" s="40">
        <v>1</v>
      </c>
      <c r="G81" s="40">
        <v>0</v>
      </c>
      <c r="H81" s="41">
        <f ca="1">--TRIM(RIGHT(SUBSTITUTE(LEFT(A80,_xlfn.AGGREGATE(16,6,FIND({0,1,2,3,4,5,6,7,8,9},A80,ROW(INDIRECT("1:"&amp;LEN(A80)))),1))," ",REPT(" ",LEN(A80))),LEN(A80)))</f>
        <v>10</v>
      </c>
      <c r="I81" s="1" t="s">
        <v>64</v>
      </c>
      <c r="J81" s="45">
        <f ca="1">H81*25%</f>
        <v>2.5</v>
      </c>
    </row>
    <row r="82" spans="1:10" ht="15" customHeight="1" x14ac:dyDescent="0.2">
      <c r="A82" s="58" t="s">
        <v>138</v>
      </c>
      <c r="B82" s="57"/>
      <c r="C82" s="138" t="str">
        <f ca="1">I78</f>
        <v>Excavation work Completed. Plinth work completed</v>
      </c>
      <c r="D82" s="138"/>
      <c r="E82" s="138"/>
      <c r="F82" s="138"/>
      <c r="G82" s="138"/>
      <c r="H82" s="139"/>
      <c r="I82" s="1" t="s">
        <v>66</v>
      </c>
      <c r="J82" s="48">
        <f ca="1">H81*50%</f>
        <v>5</v>
      </c>
    </row>
    <row r="83" spans="1:10" ht="15" customHeight="1" x14ac:dyDescent="0.2">
      <c r="A83" s="140" t="s">
        <v>61</v>
      </c>
      <c r="B83" s="141"/>
      <c r="C83" s="136" t="s">
        <v>140</v>
      </c>
      <c r="D83" s="136"/>
      <c r="E83" s="44" t="s">
        <v>62</v>
      </c>
      <c r="F83" s="44" t="s">
        <v>63</v>
      </c>
      <c r="G83" s="233" t="s">
        <v>56</v>
      </c>
      <c r="H83" s="234"/>
      <c r="I83" s="1" t="s">
        <v>68</v>
      </c>
      <c r="J83" s="48">
        <f ca="1">H81</f>
        <v>10</v>
      </c>
    </row>
    <row r="84" spans="1:10" ht="15" customHeight="1" x14ac:dyDescent="0.2">
      <c r="A84" s="140" t="s">
        <v>65</v>
      </c>
      <c r="B84" s="141"/>
      <c r="C84" s="137">
        <v>0</v>
      </c>
      <c r="D84" s="137"/>
      <c r="E84" s="46">
        <f ca="1">J83</f>
        <v>10</v>
      </c>
      <c r="F84" s="47">
        <f ca="1">((100/H81)*E84)/100</f>
        <v>1</v>
      </c>
      <c r="G84" s="235">
        <f ca="1">(((E85/H81*10)+(40/(F81+G81+H81)*E86)+(15/(H81)*E87)+(5/(H81)*E88)+(5/H81*E89)+(10/H81*E90)+(5/H81*E91)+(5/H81*E92)+(5/H81*E93))/100)</f>
        <v>0.1</v>
      </c>
      <c r="H84" s="236"/>
      <c r="I84" s="1" t="s">
        <v>70</v>
      </c>
      <c r="J84" s="50">
        <f ca="1">(IF(E81&gt;1,(H81/(E81+2)),H81/4))</f>
        <v>2.5</v>
      </c>
    </row>
    <row r="85" spans="1:10" ht="15" customHeight="1" x14ac:dyDescent="0.2">
      <c r="A85" s="140" t="s">
        <v>67</v>
      </c>
      <c r="B85" s="141"/>
      <c r="C85" s="137">
        <v>0.1</v>
      </c>
      <c r="D85" s="137"/>
      <c r="E85" s="49">
        <f ca="1">J91</f>
        <v>10</v>
      </c>
      <c r="F85" s="47">
        <f ca="1">((100/H81)*E85)/100</f>
        <v>1</v>
      </c>
      <c r="G85" s="235"/>
      <c r="H85" s="236"/>
      <c r="I85" s="1" t="s">
        <v>72</v>
      </c>
      <c r="J85" s="50">
        <f ca="1">(IF(E81&gt;1,(H81/(E81+2)+J84),H81/4+J84))</f>
        <v>5</v>
      </c>
    </row>
    <row r="86" spans="1:10" ht="15" customHeight="1" x14ac:dyDescent="0.2">
      <c r="A86" s="140" t="s">
        <v>69</v>
      </c>
      <c r="B86" s="141"/>
      <c r="C86" s="137">
        <v>0.4</v>
      </c>
      <c r="D86" s="137"/>
      <c r="E86" s="49">
        <v>0</v>
      </c>
      <c r="F86" s="47">
        <f ca="1">((100/(F81+G81+H81))*E86)/100</f>
        <v>0</v>
      </c>
      <c r="G86" s="235"/>
      <c r="H86" s="236"/>
      <c r="I86" s="1" t="s">
        <v>74</v>
      </c>
      <c r="J86" s="50">
        <f>(IF(E81&gt;1,(H81/(E81+2)+J85),0))</f>
        <v>0</v>
      </c>
    </row>
    <row r="87" spans="1:10" ht="15" customHeight="1" x14ac:dyDescent="0.2">
      <c r="A87" s="140" t="s">
        <v>71</v>
      </c>
      <c r="B87" s="141"/>
      <c r="C87" s="137">
        <v>0.15</v>
      </c>
      <c r="D87" s="137"/>
      <c r="E87" s="46">
        <v>0</v>
      </c>
      <c r="F87" s="47">
        <f ca="1">((100/H81)*E87)/100</f>
        <v>0</v>
      </c>
      <c r="G87" s="235"/>
      <c r="H87" s="236"/>
      <c r="I87" s="1" t="s">
        <v>76</v>
      </c>
      <c r="J87" s="50">
        <f>(IF(E81&gt;2,(H81/(E81+2)+J86),0))</f>
        <v>0</v>
      </c>
    </row>
    <row r="88" spans="1:10" ht="15" customHeight="1" x14ac:dyDescent="0.2">
      <c r="A88" s="140" t="s">
        <v>73</v>
      </c>
      <c r="B88" s="141"/>
      <c r="C88" s="137">
        <v>0.05</v>
      </c>
      <c r="D88" s="137"/>
      <c r="E88" s="46">
        <v>0</v>
      </c>
      <c r="F88" s="47">
        <f ca="1">((100/H81)*E88)/100</f>
        <v>0</v>
      </c>
      <c r="G88" s="235"/>
      <c r="H88" s="236"/>
      <c r="I88" s="1" t="s">
        <v>78</v>
      </c>
      <c r="J88" s="51">
        <f>(IF(E81&gt;3,(H81/(E81+2)+J87),0))</f>
        <v>0</v>
      </c>
    </row>
    <row r="89" spans="1:10" ht="15.75" customHeight="1" x14ac:dyDescent="0.2">
      <c r="A89" s="140" t="s">
        <v>75</v>
      </c>
      <c r="B89" s="141"/>
      <c r="C89" s="137">
        <v>0.05</v>
      </c>
      <c r="D89" s="137"/>
      <c r="E89" s="46">
        <v>0</v>
      </c>
      <c r="F89" s="47">
        <f ca="1">((100/(H81))*E89)/100</f>
        <v>0</v>
      </c>
      <c r="G89" s="235"/>
      <c r="H89" s="236"/>
      <c r="I89" s="1" t="s">
        <v>80</v>
      </c>
      <c r="J89" s="50">
        <f>(IF(E81&gt;4,(H81/(E81+2)+J88),0))</f>
        <v>0</v>
      </c>
    </row>
    <row r="90" spans="1:10" x14ac:dyDescent="0.2">
      <c r="A90" s="140" t="s">
        <v>77</v>
      </c>
      <c r="B90" s="141"/>
      <c r="C90" s="137">
        <v>0.1</v>
      </c>
      <c r="D90" s="137"/>
      <c r="E90" s="46">
        <v>0</v>
      </c>
      <c r="F90" s="47">
        <f ca="1">((100/H81)*E90)/100</f>
        <v>0</v>
      </c>
      <c r="G90" s="235"/>
      <c r="H90" s="236"/>
      <c r="I90" s="1" t="s">
        <v>82</v>
      </c>
      <c r="J90" s="50">
        <f ca="1">(IF(E81=1,(H81/(E81+3)+J85),IF(E81=0,(H81/4+J85),IF(E81&gt;1,0))))</f>
        <v>7.5</v>
      </c>
    </row>
    <row r="91" spans="1:10" ht="13.5" thickBot="1" x14ac:dyDescent="0.25">
      <c r="A91" s="140" t="s">
        <v>79</v>
      </c>
      <c r="B91" s="141"/>
      <c r="C91" s="137">
        <v>0.05</v>
      </c>
      <c r="D91" s="137"/>
      <c r="E91" s="46">
        <v>0</v>
      </c>
      <c r="F91" s="47">
        <f ca="1">((100/H81)*E91)/100</f>
        <v>0</v>
      </c>
      <c r="G91" s="235"/>
      <c r="H91" s="236"/>
      <c r="I91" s="54" t="s">
        <v>84</v>
      </c>
      <c r="J91" s="55">
        <f ca="1">(IF(E81&gt;1.5,(H81/(E81+2)+J85+MAX(0,J86-J85)+MAX(0,J87-J86)+MAX(0,J88-J87)+MAX(0,J89-J88)+MAX(0,J90-J89)),IF(E81=1,(H81/(E81+3)+J90),IF(E81=0,H81/4+J90))))</f>
        <v>10</v>
      </c>
    </row>
    <row r="92" spans="1:10" ht="12.75" customHeight="1" x14ac:dyDescent="0.2">
      <c r="A92" s="140" t="s">
        <v>81</v>
      </c>
      <c r="B92" s="141"/>
      <c r="C92" s="137">
        <v>0.05</v>
      </c>
      <c r="D92" s="137"/>
      <c r="E92" s="46">
        <v>0</v>
      </c>
      <c r="F92" s="47">
        <f ca="1">((100/(H81))*E92)/100</f>
        <v>0</v>
      </c>
      <c r="G92" s="235"/>
      <c r="H92" s="236"/>
    </row>
    <row r="93" spans="1:10" x14ac:dyDescent="0.2">
      <c r="A93" s="293" t="s">
        <v>83</v>
      </c>
      <c r="B93" s="294"/>
      <c r="C93" s="295">
        <v>0.05</v>
      </c>
      <c r="D93" s="295"/>
      <c r="E93" s="81">
        <v>0</v>
      </c>
      <c r="F93" s="82">
        <f ca="1">((100/(H81))*E93)/100</f>
        <v>0</v>
      </c>
      <c r="G93" s="246"/>
      <c r="H93" s="247"/>
    </row>
    <row r="94" spans="1:10" x14ac:dyDescent="0.2">
      <c r="A94" s="286" t="s">
        <v>277</v>
      </c>
      <c r="B94" s="287"/>
      <c r="C94" s="287"/>
      <c r="D94" s="288"/>
      <c r="E94" s="292">
        <f ca="1">AVERAGE(G70,G84)</f>
        <v>0.11818181818181818</v>
      </c>
      <c r="F94" s="287"/>
      <c r="G94" s="287"/>
      <c r="H94" s="288"/>
    </row>
    <row r="95" spans="1:10" x14ac:dyDescent="0.2">
      <c r="A95" s="289"/>
      <c r="B95" s="290"/>
      <c r="C95" s="290"/>
      <c r="D95" s="291"/>
      <c r="E95" s="289"/>
      <c r="F95" s="290"/>
      <c r="G95" s="290"/>
      <c r="H95" s="291"/>
    </row>
    <row r="96" spans="1:10" x14ac:dyDescent="0.2">
      <c r="A96" s="121" t="s">
        <v>25</v>
      </c>
      <c r="B96" s="121"/>
      <c r="C96" s="96" t="s">
        <v>113</v>
      </c>
      <c r="D96" s="96"/>
      <c r="E96" s="96"/>
      <c r="F96" s="96"/>
      <c r="G96" s="96"/>
      <c r="H96" s="96"/>
    </row>
    <row r="97" spans="1:10" x14ac:dyDescent="0.2">
      <c r="A97" s="121" t="s">
        <v>26</v>
      </c>
      <c r="B97" s="121"/>
      <c r="C97" s="121"/>
      <c r="D97" s="121"/>
      <c r="E97" s="121"/>
      <c r="F97" s="121"/>
      <c r="G97" s="121"/>
      <c r="H97" s="121"/>
    </row>
    <row r="98" spans="1:10" x14ac:dyDescent="0.2">
      <c r="A98" s="213" t="s">
        <v>27</v>
      </c>
      <c r="B98" s="214"/>
      <c r="C98" s="244" t="s">
        <v>50</v>
      </c>
      <c r="D98" s="245"/>
      <c r="E98" s="248" t="s">
        <v>28</v>
      </c>
      <c r="F98" s="248"/>
      <c r="G98" s="14" t="s">
        <v>18</v>
      </c>
      <c r="H98" s="70" t="s">
        <v>52</v>
      </c>
    </row>
    <row r="99" spans="1:10" x14ac:dyDescent="0.2">
      <c r="A99" s="213" t="s">
        <v>29</v>
      </c>
      <c r="B99" s="214"/>
      <c r="C99" s="244" t="s">
        <v>49</v>
      </c>
      <c r="D99" s="245"/>
      <c r="E99" s="248" t="s">
        <v>30</v>
      </c>
      <c r="F99" s="248"/>
      <c r="G99" s="14" t="s">
        <v>18</v>
      </c>
      <c r="H99" s="70" t="s">
        <v>52</v>
      </c>
    </row>
    <row r="100" spans="1:10" x14ac:dyDescent="0.2">
      <c r="A100" s="213" t="s">
        <v>31</v>
      </c>
      <c r="B100" s="214"/>
      <c r="C100" s="244" t="s">
        <v>141</v>
      </c>
      <c r="D100" s="245"/>
      <c r="E100" s="239" t="s">
        <v>32</v>
      </c>
      <c r="F100" s="239"/>
      <c r="G100" s="14" t="s">
        <v>18</v>
      </c>
      <c r="H100" s="70" t="s">
        <v>51</v>
      </c>
    </row>
    <row r="101" spans="1:10" x14ac:dyDescent="0.2">
      <c r="A101" s="213" t="s">
        <v>33</v>
      </c>
      <c r="B101" s="214"/>
      <c r="C101" s="244" t="s">
        <v>120</v>
      </c>
      <c r="D101" s="245"/>
      <c r="E101" s="239" t="s">
        <v>34</v>
      </c>
      <c r="F101" s="239"/>
      <c r="G101" s="14" t="s">
        <v>18</v>
      </c>
      <c r="H101" s="70" t="s">
        <v>51</v>
      </c>
    </row>
    <row r="102" spans="1:10" x14ac:dyDescent="0.2">
      <c r="A102" s="213" t="s">
        <v>35</v>
      </c>
      <c r="B102" s="214"/>
      <c r="C102" s="244" t="s">
        <v>127</v>
      </c>
      <c r="D102" s="245"/>
      <c r="E102" s="239" t="s">
        <v>36</v>
      </c>
      <c r="F102" s="239"/>
      <c r="G102" s="14" t="s">
        <v>18</v>
      </c>
      <c r="H102" s="70" t="s">
        <v>52</v>
      </c>
    </row>
    <row r="103" spans="1:10" x14ac:dyDescent="0.2">
      <c r="A103" s="213" t="s">
        <v>37</v>
      </c>
      <c r="B103" s="214"/>
      <c r="C103" s="244" t="s">
        <v>142</v>
      </c>
      <c r="D103" s="245"/>
      <c r="E103" s="248" t="s">
        <v>38</v>
      </c>
      <c r="F103" s="248"/>
      <c r="G103" s="14" t="s">
        <v>18</v>
      </c>
      <c r="H103" s="70" t="s">
        <v>52</v>
      </c>
    </row>
    <row r="104" spans="1:10" x14ac:dyDescent="0.2">
      <c r="A104" s="213" t="s">
        <v>39</v>
      </c>
      <c r="B104" s="214"/>
      <c r="C104" s="244" t="s">
        <v>121</v>
      </c>
      <c r="D104" s="245"/>
      <c r="E104" s="248" t="s">
        <v>40</v>
      </c>
      <c r="F104" s="248"/>
      <c r="G104" s="14" t="s">
        <v>18</v>
      </c>
      <c r="H104" s="70" t="s">
        <v>52</v>
      </c>
    </row>
    <row r="105" spans="1:10" x14ac:dyDescent="0.2">
      <c r="A105" s="100" t="s">
        <v>41</v>
      </c>
      <c r="B105" s="101"/>
      <c r="C105" s="244" t="s">
        <v>126</v>
      </c>
      <c r="D105" s="245"/>
      <c r="E105" s="121" t="s">
        <v>42</v>
      </c>
      <c r="F105" s="121"/>
      <c r="G105" s="239" t="s">
        <v>52</v>
      </c>
      <c r="H105" s="239"/>
    </row>
    <row r="106" spans="1:10" x14ac:dyDescent="0.2">
      <c r="A106" s="100" t="s">
        <v>43</v>
      </c>
      <c r="B106" s="101"/>
      <c r="C106" s="206" t="s">
        <v>54</v>
      </c>
      <c r="D106" s="207"/>
      <c r="E106" s="121" t="s">
        <v>44</v>
      </c>
      <c r="F106" s="121"/>
      <c r="G106" s="248" t="s">
        <v>53</v>
      </c>
      <c r="H106" s="248"/>
    </row>
    <row r="107" spans="1:10" x14ac:dyDescent="0.2">
      <c r="A107" s="208" t="s">
        <v>198</v>
      </c>
      <c r="B107" s="209"/>
      <c r="C107" s="209"/>
      <c r="D107" s="209"/>
      <c r="E107" s="209"/>
      <c r="F107" s="209"/>
      <c r="G107" s="209"/>
      <c r="H107" s="210"/>
    </row>
    <row r="108" spans="1:10" x14ac:dyDescent="0.2">
      <c r="A108" s="121" t="s">
        <v>199</v>
      </c>
      <c r="B108" s="121"/>
      <c r="C108" s="100" t="s">
        <v>200</v>
      </c>
      <c r="D108" s="101"/>
      <c r="E108" s="121" t="s">
        <v>201</v>
      </c>
      <c r="F108" s="121"/>
      <c r="G108" s="121" t="s">
        <v>202</v>
      </c>
      <c r="H108" s="121"/>
    </row>
    <row r="109" spans="1:10" x14ac:dyDescent="0.2">
      <c r="A109" s="93" t="s">
        <v>218</v>
      </c>
      <c r="B109" s="93"/>
      <c r="C109" s="88">
        <f>COUNT(D126:D167)+COUNT(D169:D210)+COUNT(D212:D254)</f>
        <v>127</v>
      </c>
      <c r="D109" s="89"/>
      <c r="E109" s="88">
        <f t="shared" ref="E109" si="0">SUM(F126:F167)+SUM(F169:F210)+SUM(F212:F254)</f>
        <v>46281.66725519998</v>
      </c>
      <c r="F109" s="89"/>
      <c r="G109" s="88">
        <f>SUM(H126:H167)+SUM(H169:H210)+SUM(H212:H254)</f>
        <v>69422.500882800014</v>
      </c>
      <c r="H109" s="89"/>
      <c r="I109" s="85">
        <f>49-7+49-7+50-7</f>
        <v>127</v>
      </c>
      <c r="J109" s="6">
        <f>1+1+2+1+3+5+1+8+10+1+1+1+2+1+1+2+4+1+1+14+16+15+1+2+1+2+1</f>
        <v>99</v>
      </c>
    </row>
    <row r="110" spans="1:10" x14ac:dyDescent="0.2">
      <c r="A110" s="93" t="s">
        <v>282</v>
      </c>
      <c r="B110" s="93"/>
      <c r="C110" s="88">
        <f>COUNT(F256:F303)+COUNT(F305:F352)</f>
        <v>96</v>
      </c>
      <c r="D110" s="89"/>
      <c r="E110" s="88">
        <f>SUM(F256:F303)+SUM(F305:F352)</f>
        <v>31917.484918799986</v>
      </c>
      <c r="F110" s="89"/>
      <c r="G110" s="88">
        <f>SUM(H256:H303)+SUM(H305:H352)</f>
        <v>47876.227378199997</v>
      </c>
      <c r="H110" s="89"/>
      <c r="I110" s="85">
        <f>(51-3)*(2)</f>
        <v>96</v>
      </c>
    </row>
    <row r="111" spans="1:10" x14ac:dyDescent="0.2">
      <c r="A111" s="93" t="s">
        <v>259</v>
      </c>
      <c r="B111" s="93"/>
      <c r="C111" s="88">
        <f>COUNT(F354:F401)+COUNT(F403:F410,F418:F451)+COUNT(F453:F501)*4</f>
        <v>286</v>
      </c>
      <c r="D111" s="89"/>
      <c r="E111" s="88">
        <f>SUM(F354:F401)+SUM(F403:F410,F418:F451)+SUM(F453:F501)*4</f>
        <v>95006.641953599945</v>
      </c>
      <c r="F111" s="89"/>
      <c r="G111" s="88">
        <f>SUM(H354:H401)+SUM(H403:H410,H418:H451)+SUM(H453:H501)*4</f>
        <v>142509.96293040004</v>
      </c>
      <c r="H111" s="89"/>
      <c r="I111" s="85">
        <f>50-2+50-8+49*4</f>
        <v>286</v>
      </c>
      <c r="J111" s="6">
        <f>2+1+3+6+2+5+1+22+88+1+5+26+5+1+18+5+32+2+1+4+6+5+5+4+3+1+8+2+2+1+5+13+1+1+5+1+2</f>
        <v>295</v>
      </c>
    </row>
    <row r="112" spans="1:10" x14ac:dyDescent="0.2">
      <c r="A112" s="121" t="s">
        <v>204</v>
      </c>
      <c r="B112" s="121"/>
      <c r="C112" s="129">
        <f t="shared" ref="C112:G112" si="1">SUM(C109:D111)</f>
        <v>509</v>
      </c>
      <c r="D112" s="130"/>
      <c r="E112" s="142">
        <f t="shared" si="1"/>
        <v>173205.79412759992</v>
      </c>
      <c r="F112" s="143"/>
      <c r="G112" s="142">
        <f t="shared" si="1"/>
        <v>259808.69119140005</v>
      </c>
      <c r="H112" s="143"/>
    </row>
    <row r="113" spans="1:11" ht="15.75" hidden="1" customHeight="1" x14ac:dyDescent="0.2">
      <c r="A113" s="121" t="s">
        <v>205</v>
      </c>
      <c r="B113" s="121"/>
      <c r="C113" s="121"/>
      <c r="D113" s="121"/>
      <c r="E113" s="121"/>
      <c r="F113" s="121"/>
      <c r="G113" s="121"/>
      <c r="H113" s="121"/>
    </row>
    <row r="114" spans="1:11" hidden="1" x14ac:dyDescent="0.2">
      <c r="A114" s="121" t="s">
        <v>199</v>
      </c>
      <c r="B114" s="121"/>
      <c r="C114" s="100" t="s">
        <v>200</v>
      </c>
      <c r="D114" s="101"/>
      <c r="E114" s="121" t="s">
        <v>201</v>
      </c>
      <c r="F114" s="121"/>
      <c r="G114" s="121" t="s">
        <v>202</v>
      </c>
      <c r="H114" s="121"/>
    </row>
    <row r="115" spans="1:11" hidden="1" x14ac:dyDescent="0.2">
      <c r="A115" s="93" t="s">
        <v>203</v>
      </c>
      <c r="B115" s="93"/>
      <c r="C115" s="131"/>
      <c r="D115" s="132"/>
      <c r="E115" s="88"/>
      <c r="F115" s="88"/>
      <c r="G115" s="88"/>
      <c r="H115" s="88"/>
    </row>
    <row r="116" spans="1:11" hidden="1" x14ac:dyDescent="0.2">
      <c r="A116" s="93" t="s">
        <v>206</v>
      </c>
      <c r="B116" s="93"/>
      <c r="C116" s="131"/>
      <c r="D116" s="132"/>
      <c r="E116" s="88"/>
      <c r="F116" s="88"/>
      <c r="G116" s="88"/>
      <c r="H116" s="88"/>
    </row>
    <row r="117" spans="1:11" hidden="1" x14ac:dyDescent="0.2">
      <c r="A117" s="121" t="s">
        <v>204</v>
      </c>
      <c r="B117" s="121"/>
      <c r="C117" s="133">
        <f>SUM(C115:C116)</f>
        <v>0</v>
      </c>
      <c r="D117" s="130"/>
      <c r="E117" s="142">
        <f>SUM(E115:E116)</f>
        <v>0</v>
      </c>
      <c r="F117" s="143"/>
      <c r="G117" s="142">
        <f>SUM(G115:G116)</f>
        <v>0</v>
      </c>
      <c r="H117" s="143"/>
      <c r="I117" s="71">
        <f>10.764</f>
        <v>10.763999999999999</v>
      </c>
    </row>
    <row r="118" spans="1:11" hidden="1" x14ac:dyDescent="0.2">
      <c r="A118" s="121" t="s">
        <v>207</v>
      </c>
      <c r="B118" s="121"/>
      <c r="C118" s="100">
        <f>C112+C117</f>
        <v>509</v>
      </c>
      <c r="D118" s="101"/>
      <c r="E118" s="218">
        <f>E112+E117</f>
        <v>173205.79412759992</v>
      </c>
      <c r="F118" s="218"/>
      <c r="G118" s="218">
        <f>G112+G117</f>
        <v>259808.69119140005</v>
      </c>
      <c r="H118" s="218"/>
    </row>
    <row r="119" spans="1:11" x14ac:dyDescent="0.2">
      <c r="A119" s="121" t="s">
        <v>45</v>
      </c>
      <c r="B119" s="121"/>
      <c r="C119" s="121"/>
      <c r="D119" s="121"/>
      <c r="E119" s="121"/>
      <c r="F119" s="121"/>
      <c r="G119" s="121"/>
      <c r="H119" s="121"/>
    </row>
    <row r="120" spans="1:11" x14ac:dyDescent="0.2">
      <c r="A120" s="121" t="s">
        <v>278</v>
      </c>
      <c r="B120" s="121"/>
      <c r="C120" s="121"/>
      <c r="D120" s="121"/>
      <c r="E120" s="121"/>
      <c r="F120" s="121"/>
      <c r="G120" s="121"/>
      <c r="H120" s="121"/>
    </row>
    <row r="121" spans="1:11" ht="38.25" x14ac:dyDescent="0.2">
      <c r="A121" s="122" t="s">
        <v>219</v>
      </c>
      <c r="B121" s="122" t="s">
        <v>220</v>
      </c>
      <c r="C121" s="122" t="s">
        <v>261</v>
      </c>
      <c r="D121" s="122" t="s">
        <v>213</v>
      </c>
      <c r="E121" s="122" t="s">
        <v>217</v>
      </c>
      <c r="F121" s="122" t="s">
        <v>215</v>
      </c>
      <c r="G121" s="72" t="s">
        <v>216</v>
      </c>
      <c r="H121" s="72" t="s">
        <v>143</v>
      </c>
    </row>
    <row r="122" spans="1:11" x14ac:dyDescent="0.2">
      <c r="A122" s="123"/>
      <c r="B122" s="123"/>
      <c r="C122" s="123"/>
      <c r="D122" s="123"/>
      <c r="E122" s="123"/>
      <c r="F122" s="123"/>
      <c r="G122" s="73"/>
      <c r="H122" s="74">
        <v>0.5</v>
      </c>
    </row>
    <row r="123" spans="1:11" x14ac:dyDescent="0.2">
      <c r="A123" s="92" t="s">
        <v>295</v>
      </c>
      <c r="B123" s="92"/>
      <c r="C123" s="92"/>
      <c r="D123" s="92"/>
      <c r="E123" s="92"/>
      <c r="F123" s="92"/>
      <c r="G123" s="92"/>
      <c r="H123" s="92"/>
      <c r="I123" s="6">
        <f>49-7</f>
        <v>42</v>
      </c>
      <c r="K123" s="84">
        <f>COUNT(H126:H167)</f>
        <v>42</v>
      </c>
    </row>
    <row r="124" spans="1:11" x14ac:dyDescent="0.2">
      <c r="A124" s="121" t="s">
        <v>253</v>
      </c>
      <c r="B124" s="121"/>
      <c r="C124" s="121"/>
      <c r="D124" s="121"/>
      <c r="E124" s="121"/>
      <c r="F124" s="121"/>
      <c r="G124" s="121"/>
      <c r="H124" s="121"/>
    </row>
    <row r="125" spans="1:11" x14ac:dyDescent="0.2">
      <c r="A125" s="119" t="s">
        <v>256</v>
      </c>
      <c r="B125" s="119"/>
      <c r="C125" s="119"/>
      <c r="D125" s="119"/>
      <c r="E125" s="119"/>
      <c r="F125" s="119"/>
      <c r="G125" s="119"/>
      <c r="H125" s="119"/>
    </row>
    <row r="126" spans="1:11" x14ac:dyDescent="0.2">
      <c r="A126" s="90">
        <v>3</v>
      </c>
      <c r="B126" s="91"/>
      <c r="C126" s="16" t="s">
        <v>218</v>
      </c>
      <c r="D126" s="15">
        <f>(4.54*6.41+2.24*2.35+0.57*1.6+1.63*1.5+0.6*0.3)*(10.764)</f>
        <v>407.9814336</v>
      </c>
      <c r="E126" s="15">
        <v>0</v>
      </c>
      <c r="F126" s="15">
        <f t="shared" ref="F126" si="2">D126+(IF(E126&lt;201,E126,IF(E126&lt;301,E126/2,E126/3)))</f>
        <v>407.9814336</v>
      </c>
      <c r="G126" s="15">
        <v>0</v>
      </c>
      <c r="H126" s="15">
        <f t="shared" ref="H126" si="3">F126*(($H$122)+1)+(IF(G126&lt;101,G126,IF(G126&lt;201,G126/2,IF(G126&lt;=301,G126/3,G126/4))))</f>
        <v>611.97215040000003</v>
      </c>
    </row>
    <row r="127" spans="1:11" x14ac:dyDescent="0.2">
      <c r="A127" s="90">
        <f t="shared" ref="A127:A167" si="4">A126+1</f>
        <v>4</v>
      </c>
      <c r="B127" s="91"/>
      <c r="C127" s="16" t="s">
        <v>218</v>
      </c>
      <c r="D127" s="15">
        <f>(3.35*7.31+1.7*1.45+1.48*0.9+0.73*0.45)*(10.764)</f>
        <v>308.00109599999996</v>
      </c>
      <c r="E127" s="15">
        <v>0</v>
      </c>
      <c r="F127" s="15">
        <f t="shared" ref="F127:F133" si="5">D127+(IF(E127&lt;201,E127,IF(E127&lt;301,E127/2,E127/3)))</f>
        <v>308.00109599999996</v>
      </c>
      <c r="G127" s="15">
        <v>0</v>
      </c>
      <c r="H127" s="15">
        <f t="shared" ref="H127:H133" si="6">F127*(($H$122)+1)+(IF(G127&lt;101,G127,IF(G127&lt;201,G127/2,IF(G127&lt;=301,G127/3,G127/4))))</f>
        <v>462.00164399999994</v>
      </c>
    </row>
    <row r="128" spans="1:11" x14ac:dyDescent="0.2">
      <c r="A128" s="90">
        <f t="shared" si="4"/>
        <v>5</v>
      </c>
      <c r="B128" s="91"/>
      <c r="C128" s="16" t="s">
        <v>218</v>
      </c>
      <c r="D128" s="15">
        <f>(3.35*7.31+1.7*1.45+1.48*0.9+0.73*0.45)*(10.764)</f>
        <v>308.00109599999996</v>
      </c>
      <c r="E128" s="15">
        <v>0</v>
      </c>
      <c r="F128" s="15">
        <f t="shared" si="5"/>
        <v>308.00109599999996</v>
      </c>
      <c r="G128" s="15">
        <v>0</v>
      </c>
      <c r="H128" s="15">
        <f t="shared" si="6"/>
        <v>462.00164399999994</v>
      </c>
    </row>
    <row r="129" spans="1:8" x14ac:dyDescent="0.2">
      <c r="A129" s="90">
        <f t="shared" si="4"/>
        <v>6</v>
      </c>
      <c r="B129" s="91"/>
      <c r="C129" s="16" t="s">
        <v>218</v>
      </c>
      <c r="D129" s="15">
        <f>(3.35*7.31+1.7*1.45+1.48*0.9+0.73*0.45)*(10.764)</f>
        <v>308.00109599999996</v>
      </c>
      <c r="E129" s="15">
        <v>0</v>
      </c>
      <c r="F129" s="15">
        <f t="shared" si="5"/>
        <v>308.00109599999996</v>
      </c>
      <c r="G129" s="15">
        <v>0</v>
      </c>
      <c r="H129" s="15">
        <f t="shared" si="6"/>
        <v>462.00164399999994</v>
      </c>
    </row>
    <row r="130" spans="1:8" x14ac:dyDescent="0.2">
      <c r="A130" s="90">
        <f t="shared" si="4"/>
        <v>7</v>
      </c>
      <c r="B130" s="91"/>
      <c r="C130" s="16" t="s">
        <v>218</v>
      </c>
      <c r="D130" s="15">
        <f>(3.35*7.31+1.7*1.45+1.48*0.9+0.73*0.45)*(10.764)</f>
        <v>308.00109599999996</v>
      </c>
      <c r="E130" s="15">
        <v>0</v>
      </c>
      <c r="F130" s="15">
        <f t="shared" si="5"/>
        <v>308.00109599999996</v>
      </c>
      <c r="G130" s="15">
        <v>0</v>
      </c>
      <c r="H130" s="15">
        <f t="shared" si="6"/>
        <v>462.00164399999994</v>
      </c>
    </row>
    <row r="131" spans="1:8" x14ac:dyDescent="0.2">
      <c r="A131" s="90">
        <f t="shared" si="4"/>
        <v>8</v>
      </c>
      <c r="B131" s="91"/>
      <c r="C131" s="16" t="s">
        <v>218</v>
      </c>
      <c r="D131" s="15">
        <f>(3.35*6.41+1.77*1.6+1.48*1.5+0.63*0.3+1.2*0.75)*(10.764)</f>
        <v>297.24247800000001</v>
      </c>
      <c r="E131" s="15">
        <v>0</v>
      </c>
      <c r="F131" s="15">
        <f t="shared" si="5"/>
        <v>297.24247800000001</v>
      </c>
      <c r="G131" s="15">
        <v>0</v>
      </c>
      <c r="H131" s="15">
        <f t="shared" si="6"/>
        <v>445.86371700000001</v>
      </c>
    </row>
    <row r="132" spans="1:8" x14ac:dyDescent="0.2">
      <c r="A132" s="90">
        <f t="shared" si="4"/>
        <v>9</v>
      </c>
      <c r="B132" s="91"/>
      <c r="C132" s="16" t="s">
        <v>218</v>
      </c>
      <c r="D132" s="15">
        <f>(3.35*6.41+1.7*1.6+1.55*1.5+0.63*0.3+1.2*0.75)*(10.764)</f>
        <v>297.16712999999999</v>
      </c>
      <c r="E132" s="15">
        <v>0</v>
      </c>
      <c r="F132" s="15">
        <f t="shared" si="5"/>
        <v>297.16712999999999</v>
      </c>
      <c r="G132" s="15">
        <v>0</v>
      </c>
      <c r="H132" s="15">
        <f t="shared" si="6"/>
        <v>445.75069499999995</v>
      </c>
    </row>
    <row r="133" spans="1:8" x14ac:dyDescent="0.2">
      <c r="A133" s="90">
        <f t="shared" si="4"/>
        <v>10</v>
      </c>
      <c r="B133" s="91"/>
      <c r="C133" s="16" t="s">
        <v>218</v>
      </c>
      <c r="D133" s="15">
        <f>(3.43*7.31+1.7*1.45+1.48*0.9+0.73*0.45)*(10.764)</f>
        <v>314.29588319999999</v>
      </c>
      <c r="E133" s="15">
        <v>0</v>
      </c>
      <c r="F133" s="15">
        <f t="shared" si="5"/>
        <v>314.29588319999999</v>
      </c>
      <c r="G133" s="15">
        <v>0</v>
      </c>
      <c r="H133" s="15">
        <f t="shared" si="6"/>
        <v>471.44382480000002</v>
      </c>
    </row>
    <row r="134" spans="1:8" x14ac:dyDescent="0.2">
      <c r="A134" s="90">
        <v>14</v>
      </c>
      <c r="B134" s="91"/>
      <c r="C134" s="16" t="s">
        <v>218</v>
      </c>
      <c r="D134" s="15">
        <f>(3.43*7.31+1.7*1.45+1.48*0.9+0.73*0.45)*(10.764)</f>
        <v>314.29588319999999</v>
      </c>
      <c r="E134" s="15">
        <v>0</v>
      </c>
      <c r="F134" s="15">
        <f t="shared" ref="F134:F144" si="7">D134+(IF(E134&lt;201,E134,IF(E134&lt;301,E134/2,E134/3)))</f>
        <v>314.29588319999999</v>
      </c>
      <c r="G134" s="15">
        <v>0</v>
      </c>
      <c r="H134" s="15">
        <f t="shared" ref="H134:H156" si="8">F134*(($H$122)+1)+(IF(G134&lt;101,G134,IF(G134&lt;201,G134/2,IF(G134&lt;=301,G134/3,G134/4))))</f>
        <v>471.44382480000002</v>
      </c>
    </row>
    <row r="135" spans="1:8" x14ac:dyDescent="0.2">
      <c r="A135" s="90">
        <f t="shared" si="4"/>
        <v>15</v>
      </c>
      <c r="B135" s="91"/>
      <c r="C135" s="16" t="s">
        <v>218</v>
      </c>
      <c r="D135" s="15">
        <f t="shared" ref="D135:D141" si="9">(3.35*7.31+1.7*1.45+1.48*0.9+0.73*0.45)*(10.764)</f>
        <v>308.00109599999996</v>
      </c>
      <c r="E135" s="15">
        <v>0</v>
      </c>
      <c r="F135" s="15">
        <f t="shared" si="7"/>
        <v>308.00109599999996</v>
      </c>
      <c r="G135" s="15">
        <v>0</v>
      </c>
      <c r="H135" s="15">
        <f t="shared" si="8"/>
        <v>462.00164399999994</v>
      </c>
    </row>
    <row r="136" spans="1:8" x14ac:dyDescent="0.2">
      <c r="A136" s="90">
        <f t="shared" si="4"/>
        <v>16</v>
      </c>
      <c r="B136" s="91"/>
      <c r="C136" s="16" t="s">
        <v>218</v>
      </c>
      <c r="D136" s="15">
        <f t="shared" si="9"/>
        <v>308.00109599999996</v>
      </c>
      <c r="E136" s="15">
        <v>0</v>
      </c>
      <c r="F136" s="15">
        <f t="shared" si="7"/>
        <v>308.00109599999996</v>
      </c>
      <c r="G136" s="15">
        <v>0</v>
      </c>
      <c r="H136" s="15">
        <f t="shared" si="8"/>
        <v>462.00164399999994</v>
      </c>
    </row>
    <row r="137" spans="1:8" x14ac:dyDescent="0.2">
      <c r="A137" s="90">
        <f t="shared" si="4"/>
        <v>17</v>
      </c>
      <c r="B137" s="91"/>
      <c r="C137" s="16" t="s">
        <v>218</v>
      </c>
      <c r="D137" s="15">
        <f t="shared" si="9"/>
        <v>308.00109599999996</v>
      </c>
      <c r="E137" s="15">
        <v>0</v>
      </c>
      <c r="F137" s="15">
        <f t="shared" si="7"/>
        <v>308.00109599999996</v>
      </c>
      <c r="G137" s="15">
        <v>0</v>
      </c>
      <c r="H137" s="15">
        <f t="shared" si="8"/>
        <v>462.00164399999994</v>
      </c>
    </row>
    <row r="138" spans="1:8" x14ac:dyDescent="0.2">
      <c r="A138" s="90">
        <f t="shared" si="4"/>
        <v>18</v>
      </c>
      <c r="B138" s="91"/>
      <c r="C138" s="16" t="s">
        <v>218</v>
      </c>
      <c r="D138" s="15">
        <f t="shared" si="9"/>
        <v>308.00109599999996</v>
      </c>
      <c r="E138" s="15">
        <v>0</v>
      </c>
      <c r="F138" s="15">
        <f t="shared" si="7"/>
        <v>308.00109599999996</v>
      </c>
      <c r="G138" s="15">
        <v>0</v>
      </c>
      <c r="H138" s="15">
        <f t="shared" si="8"/>
        <v>462.00164399999994</v>
      </c>
    </row>
    <row r="139" spans="1:8" x14ac:dyDescent="0.2">
      <c r="A139" s="90">
        <f t="shared" si="4"/>
        <v>19</v>
      </c>
      <c r="B139" s="91"/>
      <c r="C139" s="16" t="s">
        <v>218</v>
      </c>
      <c r="D139" s="15">
        <f t="shared" si="9"/>
        <v>308.00109599999996</v>
      </c>
      <c r="E139" s="15">
        <v>0</v>
      </c>
      <c r="F139" s="15">
        <f t="shared" si="7"/>
        <v>308.00109599999996</v>
      </c>
      <c r="G139" s="15">
        <v>0</v>
      </c>
      <c r="H139" s="15">
        <f t="shared" si="8"/>
        <v>462.00164399999994</v>
      </c>
    </row>
    <row r="140" spans="1:8" x14ac:dyDescent="0.2">
      <c r="A140" s="90">
        <f t="shared" si="4"/>
        <v>20</v>
      </c>
      <c r="B140" s="91"/>
      <c r="C140" s="16" t="s">
        <v>218</v>
      </c>
      <c r="D140" s="15">
        <f t="shared" si="9"/>
        <v>308.00109599999996</v>
      </c>
      <c r="E140" s="15">
        <v>0</v>
      </c>
      <c r="F140" s="15">
        <f t="shared" si="7"/>
        <v>308.00109599999996</v>
      </c>
      <c r="G140" s="15">
        <v>0</v>
      </c>
      <c r="H140" s="15">
        <f t="shared" si="8"/>
        <v>462.00164399999994</v>
      </c>
    </row>
    <row r="141" spans="1:8" x14ac:dyDescent="0.2">
      <c r="A141" s="90">
        <f t="shared" si="4"/>
        <v>21</v>
      </c>
      <c r="B141" s="91"/>
      <c r="C141" s="16" t="s">
        <v>218</v>
      </c>
      <c r="D141" s="15">
        <f t="shared" si="9"/>
        <v>308.00109599999996</v>
      </c>
      <c r="E141" s="15">
        <v>0</v>
      </c>
      <c r="F141" s="15">
        <f t="shared" si="7"/>
        <v>308.00109599999996</v>
      </c>
      <c r="G141" s="15">
        <v>0</v>
      </c>
      <c r="H141" s="15">
        <f t="shared" si="8"/>
        <v>462.00164399999994</v>
      </c>
    </row>
    <row r="142" spans="1:8" x14ac:dyDescent="0.2">
      <c r="A142" s="90">
        <f t="shared" si="4"/>
        <v>22</v>
      </c>
      <c r="B142" s="91"/>
      <c r="C142" s="16" t="s">
        <v>218</v>
      </c>
      <c r="D142" s="15">
        <f>(6.3*4.5+2.4*1.88+1.7*0.9+1.2*1.55+1.1*0.8)*(10.764)</f>
        <v>399.68884799999995</v>
      </c>
      <c r="E142" s="15">
        <v>0</v>
      </c>
      <c r="F142" s="15">
        <f t="shared" si="7"/>
        <v>399.68884799999995</v>
      </c>
      <c r="G142" s="15">
        <v>0</v>
      </c>
      <c r="H142" s="15">
        <f t="shared" si="8"/>
        <v>599.5332719999999</v>
      </c>
    </row>
    <row r="143" spans="1:8" x14ac:dyDescent="0.2">
      <c r="A143" s="90">
        <f t="shared" si="4"/>
        <v>23</v>
      </c>
      <c r="B143" s="91"/>
      <c r="C143" s="16" t="s">
        <v>218</v>
      </c>
      <c r="D143" s="15">
        <f>(6.3*4.45+2.4*2.8+1.2*1.55+1.1*0.8)*(10.764)</f>
        <v>403.59618</v>
      </c>
      <c r="E143" s="15">
        <v>0</v>
      </c>
      <c r="F143" s="15">
        <f t="shared" si="7"/>
        <v>403.59618</v>
      </c>
      <c r="G143" s="15">
        <v>0</v>
      </c>
      <c r="H143" s="15">
        <f t="shared" si="8"/>
        <v>605.39427000000001</v>
      </c>
    </row>
    <row r="144" spans="1:8" x14ac:dyDescent="0.2">
      <c r="A144" s="90">
        <f t="shared" si="4"/>
        <v>24</v>
      </c>
      <c r="B144" s="91"/>
      <c r="C144" s="16" t="s">
        <v>218</v>
      </c>
      <c r="D144" s="15">
        <f>(6.3*4.47+2.4*2.82+1.2*1.55+1.1*0.8)*(10.764)</f>
        <v>405.46911599999993</v>
      </c>
      <c r="E144" s="15">
        <v>0</v>
      </c>
      <c r="F144" s="15">
        <f t="shared" si="7"/>
        <v>405.46911599999993</v>
      </c>
      <c r="G144" s="15">
        <v>0</v>
      </c>
      <c r="H144" s="15">
        <f t="shared" si="8"/>
        <v>608.20367399999986</v>
      </c>
    </row>
    <row r="145" spans="1:8" x14ac:dyDescent="0.2">
      <c r="A145" s="90">
        <f t="shared" si="4"/>
        <v>25</v>
      </c>
      <c r="B145" s="91"/>
      <c r="C145" s="16" t="s">
        <v>218</v>
      </c>
      <c r="D145" s="15">
        <f>(6.3*4.45+2.4*2.8+1.2*1.55+1.1*0.8)*(10.764)</f>
        <v>403.59618</v>
      </c>
      <c r="E145" s="15">
        <v>0</v>
      </c>
      <c r="F145" s="15">
        <f>D145+(IF(E145&lt;201,E145,IF(E145&lt;301,E145/2,E145/3)))</f>
        <v>403.59618</v>
      </c>
      <c r="G145" s="15">
        <v>0</v>
      </c>
      <c r="H145" s="15">
        <f t="shared" si="8"/>
        <v>605.39427000000001</v>
      </c>
    </row>
    <row r="146" spans="1:8" x14ac:dyDescent="0.2">
      <c r="A146" s="90">
        <f t="shared" si="4"/>
        <v>26</v>
      </c>
      <c r="B146" s="91"/>
      <c r="C146" s="16" t="s">
        <v>218</v>
      </c>
      <c r="D146" s="15">
        <f>(6.3*4.5+2.4*1.62+1.7*1+1.15*1.6+0.45*0.8)*(10.764)</f>
        <v>388.98943200000002</v>
      </c>
      <c r="E146" s="15">
        <v>0</v>
      </c>
      <c r="F146" s="15">
        <f t="shared" ref="F146:F156" si="10">D146+(IF(E146&lt;201,E146,IF(E146&lt;301,E146/2,E146/3)))</f>
        <v>388.98943200000002</v>
      </c>
      <c r="G146" s="15">
        <v>0</v>
      </c>
      <c r="H146" s="15">
        <f t="shared" si="8"/>
        <v>583.484148</v>
      </c>
    </row>
    <row r="147" spans="1:8" x14ac:dyDescent="0.2">
      <c r="A147" s="90">
        <f t="shared" si="4"/>
        <v>27</v>
      </c>
      <c r="B147" s="91"/>
      <c r="C147" s="16" t="s">
        <v>218</v>
      </c>
      <c r="D147" s="15">
        <f>(3.35*9.8+1.7*2.4+1.55*1.2+0.8*1.1)*(10.764)</f>
        <v>426.79260000000005</v>
      </c>
      <c r="E147" s="15">
        <v>0</v>
      </c>
      <c r="F147" s="15">
        <f t="shared" si="10"/>
        <v>426.79260000000005</v>
      </c>
      <c r="G147" s="15">
        <v>0</v>
      </c>
      <c r="H147" s="15">
        <f t="shared" si="8"/>
        <v>640.1889000000001</v>
      </c>
    </row>
    <row r="148" spans="1:8" x14ac:dyDescent="0.2">
      <c r="A148" s="90">
        <f t="shared" si="4"/>
        <v>28</v>
      </c>
      <c r="B148" s="91"/>
      <c r="C148" s="16" t="s">
        <v>218</v>
      </c>
      <c r="D148" s="15">
        <f>(3.35*9.8+1.78*2.4+1.55*1.2+0.8*1.1)*(10.764)</f>
        <v>428.85928800000005</v>
      </c>
      <c r="E148" s="15">
        <v>0</v>
      </c>
      <c r="F148" s="15">
        <f t="shared" si="10"/>
        <v>428.85928800000005</v>
      </c>
      <c r="G148" s="15">
        <v>0</v>
      </c>
      <c r="H148" s="15">
        <f t="shared" si="8"/>
        <v>643.28893200000005</v>
      </c>
    </row>
    <row r="149" spans="1:8" x14ac:dyDescent="0.2">
      <c r="A149" s="90">
        <f t="shared" si="4"/>
        <v>29</v>
      </c>
      <c r="B149" s="91"/>
      <c r="C149" s="16" t="s">
        <v>218</v>
      </c>
      <c r="D149" s="15">
        <f>(3.35*9.8+1.63*2.4+1.55*1.2+0.8*1.1)*(10.764)</f>
        <v>424.98424800000004</v>
      </c>
      <c r="E149" s="15">
        <v>0</v>
      </c>
      <c r="F149" s="15">
        <f t="shared" si="10"/>
        <v>424.98424800000004</v>
      </c>
      <c r="G149" s="15">
        <v>0</v>
      </c>
      <c r="H149" s="15">
        <f t="shared" si="8"/>
        <v>637.47637200000008</v>
      </c>
    </row>
    <row r="150" spans="1:8" x14ac:dyDescent="0.2">
      <c r="A150" s="90">
        <f t="shared" si="4"/>
        <v>30</v>
      </c>
      <c r="B150" s="91"/>
      <c r="C150" s="16" t="s">
        <v>218</v>
      </c>
      <c r="D150" s="15">
        <f>(3.35*9.8+1.78*2.4+1.55*1.2+0.8*1.1)*(10.764)</f>
        <v>428.85928800000005</v>
      </c>
      <c r="E150" s="15">
        <v>0</v>
      </c>
      <c r="F150" s="15">
        <f t="shared" si="10"/>
        <v>428.85928800000005</v>
      </c>
      <c r="G150" s="15">
        <v>0</v>
      </c>
      <c r="H150" s="15">
        <f t="shared" si="8"/>
        <v>643.28893200000005</v>
      </c>
    </row>
    <row r="151" spans="1:8" x14ac:dyDescent="0.2">
      <c r="A151" s="90">
        <f t="shared" si="4"/>
        <v>31</v>
      </c>
      <c r="B151" s="91"/>
      <c r="C151" s="16" t="s">
        <v>218</v>
      </c>
      <c r="D151" s="15">
        <f>(3.35*9.8+1.63*2.4+1.55*1.2+0.8*1.1)*(10.764)</f>
        <v>424.98424800000004</v>
      </c>
      <c r="E151" s="15">
        <v>0</v>
      </c>
      <c r="F151" s="15">
        <f t="shared" si="10"/>
        <v>424.98424800000004</v>
      </c>
      <c r="G151" s="15">
        <v>0</v>
      </c>
      <c r="H151" s="15">
        <f t="shared" si="8"/>
        <v>637.47637200000008</v>
      </c>
    </row>
    <row r="152" spans="1:8" x14ac:dyDescent="0.2">
      <c r="A152" s="90">
        <f t="shared" si="4"/>
        <v>32</v>
      </c>
      <c r="B152" s="91"/>
      <c r="C152" s="16" t="s">
        <v>218</v>
      </c>
      <c r="D152" s="15">
        <f>(3.35*9.8+1.78*2.4+1.55*1.2+0.8*1.1)*(10.764)</f>
        <v>428.85928800000005</v>
      </c>
      <c r="E152" s="15">
        <v>0</v>
      </c>
      <c r="F152" s="15">
        <f t="shared" si="10"/>
        <v>428.85928800000005</v>
      </c>
      <c r="G152" s="15">
        <v>0</v>
      </c>
      <c r="H152" s="15">
        <f t="shared" si="8"/>
        <v>643.28893200000005</v>
      </c>
    </row>
    <row r="153" spans="1:8" x14ac:dyDescent="0.2">
      <c r="A153" s="90">
        <f t="shared" si="4"/>
        <v>33</v>
      </c>
      <c r="B153" s="91"/>
      <c r="C153" s="16" t="s">
        <v>218</v>
      </c>
      <c r="D153" s="15">
        <f>(3.35*9.8+1.63*2.4+1.55*1.2+0.8*1.1)*(10.764)</f>
        <v>424.98424800000004</v>
      </c>
      <c r="E153" s="15">
        <v>0</v>
      </c>
      <c r="F153" s="15">
        <f t="shared" si="10"/>
        <v>424.98424800000004</v>
      </c>
      <c r="G153" s="15">
        <v>0</v>
      </c>
      <c r="H153" s="15">
        <f t="shared" si="8"/>
        <v>637.47637200000008</v>
      </c>
    </row>
    <row r="154" spans="1:8" x14ac:dyDescent="0.2">
      <c r="A154" s="90">
        <f t="shared" si="4"/>
        <v>34</v>
      </c>
      <c r="B154" s="91"/>
      <c r="C154" s="16" t="s">
        <v>218</v>
      </c>
      <c r="D154" s="15">
        <f>(3.35*9.8+1.78*2.4+1.55*1.2+0.8*1.1)*(10.764)</f>
        <v>428.85928800000005</v>
      </c>
      <c r="E154" s="15">
        <v>0</v>
      </c>
      <c r="F154" s="15">
        <f t="shared" si="10"/>
        <v>428.85928800000005</v>
      </c>
      <c r="G154" s="15">
        <v>0</v>
      </c>
      <c r="H154" s="15">
        <f t="shared" si="8"/>
        <v>643.28893200000005</v>
      </c>
    </row>
    <row r="155" spans="1:8" x14ac:dyDescent="0.2">
      <c r="A155" s="90">
        <f t="shared" si="4"/>
        <v>35</v>
      </c>
      <c r="B155" s="91"/>
      <c r="C155" s="16" t="s">
        <v>218</v>
      </c>
      <c r="D155" s="15">
        <f>(3.35*9.8+1.63*2.4+1.55*1.2+0.8*1.1)*(10.764)</f>
        <v>424.98424800000004</v>
      </c>
      <c r="E155" s="15">
        <v>0</v>
      </c>
      <c r="F155" s="15">
        <f t="shared" si="10"/>
        <v>424.98424800000004</v>
      </c>
      <c r="G155" s="15">
        <v>0</v>
      </c>
      <c r="H155" s="15">
        <f t="shared" si="8"/>
        <v>637.47637200000008</v>
      </c>
    </row>
    <row r="156" spans="1:8" x14ac:dyDescent="0.2">
      <c r="A156" s="90">
        <f t="shared" si="4"/>
        <v>36</v>
      </c>
      <c r="B156" s="91"/>
      <c r="C156" s="16" t="s">
        <v>218</v>
      </c>
      <c r="D156" s="15">
        <f>(3.35*9.8+1.7*2.4+1.55*1.2+0.8*1.1)*(10.764)</f>
        <v>426.79260000000005</v>
      </c>
      <c r="E156" s="15">
        <v>0</v>
      </c>
      <c r="F156" s="15">
        <f t="shared" si="10"/>
        <v>426.79260000000005</v>
      </c>
      <c r="G156" s="15">
        <v>0</v>
      </c>
      <c r="H156" s="15">
        <f t="shared" si="8"/>
        <v>640.1889000000001</v>
      </c>
    </row>
    <row r="157" spans="1:8" x14ac:dyDescent="0.2">
      <c r="A157" s="90">
        <v>39</v>
      </c>
      <c r="B157" s="91"/>
      <c r="C157" s="16" t="s">
        <v>218</v>
      </c>
      <c r="D157" s="15">
        <f>(3.35*9.8+1.63*2.4+1.55*1.2+0.8*1.1)*(10.764)</f>
        <v>424.98424800000004</v>
      </c>
      <c r="E157" s="15">
        <v>0</v>
      </c>
      <c r="F157" s="15">
        <f t="shared" ref="F157:F167" si="11">D157+(IF(E157&lt;201,E157,IF(E157&lt;301,E157/2,E157/3)))</f>
        <v>424.98424800000004</v>
      </c>
      <c r="G157" s="15">
        <v>0</v>
      </c>
      <c r="H157" s="15">
        <f t="shared" ref="H157:H167" si="12">F157*(($H$122)+1)+(IF(G157&lt;101,G157,IF(G157&lt;201,G157/2,IF(G157&lt;=301,G157/3,G157/4))))</f>
        <v>637.47637200000008</v>
      </c>
    </row>
    <row r="158" spans="1:8" x14ac:dyDescent="0.2">
      <c r="A158" s="90">
        <f t="shared" si="4"/>
        <v>40</v>
      </c>
      <c r="B158" s="91"/>
      <c r="C158" s="16" t="s">
        <v>218</v>
      </c>
      <c r="D158" s="15">
        <f>(3.35*9.8+1.78*2.4+1.55*1.2+0.8*1.1)*(10.764)</f>
        <v>428.85928800000005</v>
      </c>
      <c r="E158" s="15">
        <v>0</v>
      </c>
      <c r="F158" s="15">
        <f t="shared" si="11"/>
        <v>428.85928800000005</v>
      </c>
      <c r="G158" s="15">
        <v>0</v>
      </c>
      <c r="H158" s="15">
        <f t="shared" si="12"/>
        <v>643.28893200000005</v>
      </c>
    </row>
    <row r="159" spans="1:8" x14ac:dyDescent="0.2">
      <c r="A159" s="90">
        <f t="shared" si="4"/>
        <v>41</v>
      </c>
      <c r="B159" s="91"/>
      <c r="C159" s="16" t="s">
        <v>218</v>
      </c>
      <c r="D159" s="15">
        <f>(3.35*9.8+1.63*2.4+1.55*1.2+0.8*1.1)*(10.764)</f>
        <v>424.98424800000004</v>
      </c>
      <c r="E159" s="15">
        <v>0</v>
      </c>
      <c r="F159" s="15">
        <f t="shared" si="11"/>
        <v>424.98424800000004</v>
      </c>
      <c r="G159" s="15">
        <v>0</v>
      </c>
      <c r="H159" s="15">
        <f t="shared" si="12"/>
        <v>637.47637200000008</v>
      </c>
    </row>
    <row r="160" spans="1:8" x14ac:dyDescent="0.2">
      <c r="A160" s="90">
        <f t="shared" si="4"/>
        <v>42</v>
      </c>
      <c r="B160" s="91"/>
      <c r="C160" s="16" t="s">
        <v>218</v>
      </c>
      <c r="D160" s="15">
        <f>(3.35*9.8+1.78*2.4+1.55*1.2+0.8*1.1)*(10.764)</f>
        <v>428.85928800000005</v>
      </c>
      <c r="E160" s="15">
        <v>0</v>
      </c>
      <c r="F160" s="15">
        <f t="shared" si="11"/>
        <v>428.85928800000005</v>
      </c>
      <c r="G160" s="15">
        <v>0</v>
      </c>
      <c r="H160" s="15">
        <f t="shared" si="12"/>
        <v>643.28893200000005</v>
      </c>
    </row>
    <row r="161" spans="1:11" x14ac:dyDescent="0.2">
      <c r="A161" s="90">
        <f t="shared" si="4"/>
        <v>43</v>
      </c>
      <c r="B161" s="91"/>
      <c r="C161" s="16" t="s">
        <v>218</v>
      </c>
      <c r="D161" s="15">
        <f>(3.35*9.8+1.63*2.4+1.55*1.2+0.8*1.1)*(10.764)</f>
        <v>424.98424800000004</v>
      </c>
      <c r="E161" s="15">
        <v>0</v>
      </c>
      <c r="F161" s="15">
        <f t="shared" si="11"/>
        <v>424.98424800000004</v>
      </c>
      <c r="G161" s="15">
        <v>0</v>
      </c>
      <c r="H161" s="15">
        <f t="shared" si="12"/>
        <v>637.47637200000008</v>
      </c>
    </row>
    <row r="162" spans="1:11" x14ac:dyDescent="0.2">
      <c r="A162" s="90">
        <f t="shared" si="4"/>
        <v>44</v>
      </c>
      <c r="B162" s="91"/>
      <c r="C162" s="16" t="s">
        <v>218</v>
      </c>
      <c r="D162" s="15">
        <f>(3.35*9.8+1.78*2.4+1.55*1.2+0.8*1.1)*(10.764)</f>
        <v>428.85928800000005</v>
      </c>
      <c r="E162" s="15">
        <v>0</v>
      </c>
      <c r="F162" s="15">
        <f t="shared" si="11"/>
        <v>428.85928800000005</v>
      </c>
      <c r="G162" s="15">
        <v>0</v>
      </c>
      <c r="H162" s="15">
        <f t="shared" si="12"/>
        <v>643.28893200000005</v>
      </c>
    </row>
    <row r="163" spans="1:11" x14ac:dyDescent="0.2">
      <c r="A163" s="90">
        <f t="shared" si="4"/>
        <v>45</v>
      </c>
      <c r="B163" s="91"/>
      <c r="C163" s="16" t="s">
        <v>218</v>
      </c>
      <c r="D163" s="15">
        <f>(3.35*9.8+1.63*2.4+1.55*1.2+0.8*1.1)*(10.764)</f>
        <v>424.98424800000004</v>
      </c>
      <c r="E163" s="15">
        <v>0</v>
      </c>
      <c r="F163" s="15">
        <f t="shared" si="11"/>
        <v>424.98424800000004</v>
      </c>
      <c r="G163" s="15">
        <v>0</v>
      </c>
      <c r="H163" s="15">
        <f t="shared" si="12"/>
        <v>637.47637200000008</v>
      </c>
      <c r="I163" s="69">
        <f>1</f>
        <v>1</v>
      </c>
    </row>
    <row r="164" spans="1:11" x14ac:dyDescent="0.2">
      <c r="A164" s="90">
        <f t="shared" si="4"/>
        <v>46</v>
      </c>
      <c r="B164" s="91"/>
      <c r="C164" s="16" t="s">
        <v>218</v>
      </c>
      <c r="D164" s="15">
        <f>(3.35*9.8+1.78*2.4+1.55*1.2+0.8*1.1)*(10.764)</f>
        <v>428.85928800000005</v>
      </c>
      <c r="E164" s="15">
        <v>0</v>
      </c>
      <c r="F164" s="15">
        <f t="shared" si="11"/>
        <v>428.85928800000005</v>
      </c>
      <c r="G164" s="15">
        <v>0</v>
      </c>
      <c r="H164" s="15">
        <f t="shared" si="12"/>
        <v>643.28893200000005</v>
      </c>
    </row>
    <row r="165" spans="1:11" x14ac:dyDescent="0.2">
      <c r="A165" s="90">
        <f t="shared" si="4"/>
        <v>47</v>
      </c>
      <c r="B165" s="91"/>
      <c r="C165" s="16" t="s">
        <v>218</v>
      </c>
      <c r="D165" s="15">
        <f>(3.35*9.8+1.63*2.4+1.55*1.2+0.8*1.1)*(10.764)</f>
        <v>424.98424800000004</v>
      </c>
      <c r="E165" s="15">
        <v>0</v>
      </c>
      <c r="F165" s="15">
        <f t="shared" si="11"/>
        <v>424.98424800000004</v>
      </c>
      <c r="G165" s="15">
        <v>0</v>
      </c>
      <c r="H165" s="15">
        <f t="shared" si="12"/>
        <v>637.47637200000008</v>
      </c>
      <c r="I165" s="6">
        <f>49-7</f>
        <v>42</v>
      </c>
    </row>
    <row r="166" spans="1:11" x14ac:dyDescent="0.2">
      <c r="A166" s="90">
        <f t="shared" si="4"/>
        <v>48</v>
      </c>
      <c r="B166" s="91"/>
      <c r="C166" s="16" t="s">
        <v>218</v>
      </c>
      <c r="D166" s="15">
        <f>(3.35*9.8+1.75*2.4+1.55*1.2+0.8*1.1)*(10.764)</f>
        <v>428.08428000000009</v>
      </c>
      <c r="E166" s="15">
        <v>0</v>
      </c>
      <c r="F166" s="15">
        <f t="shared" si="11"/>
        <v>428.08428000000009</v>
      </c>
      <c r="G166" s="15">
        <v>0</v>
      </c>
      <c r="H166" s="15">
        <f t="shared" si="12"/>
        <v>642.12642000000017</v>
      </c>
      <c r="K166" s="84">
        <f>COUNT(H169:H210)</f>
        <v>42</v>
      </c>
    </row>
    <row r="167" spans="1:11" x14ac:dyDescent="0.2">
      <c r="A167" s="90">
        <f t="shared" si="4"/>
        <v>49</v>
      </c>
      <c r="B167" s="91"/>
      <c r="C167" s="16" t="s">
        <v>218</v>
      </c>
      <c r="D167" s="15">
        <f>(6.72*4.15+2.3*1.5+1.6*0.89+1.05*1.55+0.45*0.91)*(10.764)</f>
        <v>374.57643599999994</v>
      </c>
      <c r="E167" s="15">
        <v>0</v>
      </c>
      <c r="F167" s="15">
        <f t="shared" si="11"/>
        <v>374.57643599999994</v>
      </c>
      <c r="G167" s="15">
        <v>0</v>
      </c>
      <c r="H167" s="15">
        <f t="shared" si="12"/>
        <v>561.86465399999997</v>
      </c>
    </row>
    <row r="168" spans="1:11" x14ac:dyDescent="0.2">
      <c r="A168" s="94" t="s">
        <v>257</v>
      </c>
      <c r="B168" s="94"/>
      <c r="C168" s="94"/>
      <c r="D168" s="94"/>
      <c r="E168" s="94"/>
      <c r="F168" s="94"/>
      <c r="G168" s="94"/>
      <c r="H168" s="94"/>
    </row>
    <row r="169" spans="1:11" x14ac:dyDescent="0.2">
      <c r="A169" s="90">
        <v>2</v>
      </c>
      <c r="B169" s="91"/>
      <c r="C169" s="16" t="s">
        <v>218</v>
      </c>
      <c r="D169" s="15">
        <f>(5.38*4.2+1.35*3.1+1.65*2.35+1.05*1.55+0.45*0.8+2.38*2.55+1.2*0.8)*(10.764)</f>
        <v>427.06170000000003</v>
      </c>
      <c r="E169" s="15">
        <v>0</v>
      </c>
      <c r="F169" s="15">
        <f t="shared" ref="F169" si="13">D169+(IF(E169&lt;201,E169,IF(E169&lt;301,E169/2,E169/3)))</f>
        <v>427.06170000000003</v>
      </c>
      <c r="G169" s="15">
        <v>0</v>
      </c>
      <c r="H169" s="15">
        <f t="shared" ref="H169" si="14">F169*(($H$122)+1)+(IF(G169&lt;101,G169,IF(G169&lt;201,G169/2,IF(G169&lt;=301,G169/3,G169/4))))</f>
        <v>640.59255000000007</v>
      </c>
    </row>
    <row r="170" spans="1:11" x14ac:dyDescent="0.2">
      <c r="A170" s="90">
        <v>3</v>
      </c>
      <c r="B170" s="91"/>
      <c r="C170" s="16" t="s">
        <v>218</v>
      </c>
      <c r="D170" s="15">
        <f>(4.54*6.41+2.24*2.35+0.67*1.6)*(10.764)</f>
        <v>381.44817360000002</v>
      </c>
      <c r="E170" s="15">
        <v>0</v>
      </c>
      <c r="F170" s="15">
        <f t="shared" ref="F170:F188" si="15">D170+(IF(E170&lt;201,E170,IF(E170&lt;301,E170/2,E170/3)))</f>
        <v>381.44817360000002</v>
      </c>
      <c r="G170" s="15">
        <v>0</v>
      </c>
      <c r="H170" s="15">
        <f t="shared" ref="H170:H209" si="16">F170*(($H$122)+1)+(IF(G170&lt;101,G170,IF(G170&lt;201,G170/2,IF(G170&lt;=301,G170/3,G170/4))))</f>
        <v>572.17226040000003</v>
      </c>
    </row>
    <row r="171" spans="1:11" x14ac:dyDescent="0.2">
      <c r="A171" s="90">
        <f t="shared" ref="A171:A210" si="17">A170+1</f>
        <v>4</v>
      </c>
      <c r="B171" s="91"/>
      <c r="C171" s="16" t="s">
        <v>218</v>
      </c>
      <c r="D171" s="15">
        <f>(3.35*7.16+1.77*1.6+1.4*1.05+0.65*0.45)*(10.764)</f>
        <v>307.64050199999997</v>
      </c>
      <c r="E171" s="15">
        <v>0</v>
      </c>
      <c r="F171" s="15">
        <f t="shared" si="15"/>
        <v>307.64050199999997</v>
      </c>
      <c r="G171" s="15">
        <v>0</v>
      </c>
      <c r="H171" s="15">
        <f t="shared" si="16"/>
        <v>461.46075299999995</v>
      </c>
    </row>
    <row r="172" spans="1:11" x14ac:dyDescent="0.2">
      <c r="A172" s="90">
        <f t="shared" si="17"/>
        <v>5</v>
      </c>
      <c r="B172" s="91"/>
      <c r="C172" s="16" t="s">
        <v>218</v>
      </c>
      <c r="D172" s="15">
        <f>(3.35*7.31+1.7*1.45+1.48*0.9+0.73*0.45)*(10.764)</f>
        <v>308.00109599999996</v>
      </c>
      <c r="E172" s="15">
        <v>0</v>
      </c>
      <c r="F172" s="15">
        <f t="shared" si="15"/>
        <v>308.00109599999996</v>
      </c>
      <c r="G172" s="15">
        <v>0</v>
      </c>
      <c r="H172" s="15">
        <f t="shared" si="16"/>
        <v>462.00164399999994</v>
      </c>
    </row>
    <row r="173" spans="1:11" x14ac:dyDescent="0.2">
      <c r="A173" s="90">
        <f t="shared" si="17"/>
        <v>6</v>
      </c>
      <c r="B173" s="91"/>
      <c r="C173" s="16" t="s">
        <v>218</v>
      </c>
      <c r="D173" s="15">
        <f>(3.35*7.31+1.7*1.45+1.48*0.9+0.73*0.45)*(10.764)</f>
        <v>308.00109599999996</v>
      </c>
      <c r="E173" s="15">
        <v>0</v>
      </c>
      <c r="F173" s="15">
        <f t="shared" si="15"/>
        <v>308.00109599999996</v>
      </c>
      <c r="G173" s="15">
        <v>0</v>
      </c>
      <c r="H173" s="15">
        <f t="shared" si="16"/>
        <v>462.00164399999994</v>
      </c>
    </row>
    <row r="174" spans="1:11" x14ac:dyDescent="0.2">
      <c r="A174" s="90">
        <f t="shared" si="17"/>
        <v>7</v>
      </c>
      <c r="B174" s="91"/>
      <c r="C174" s="16" t="s">
        <v>218</v>
      </c>
      <c r="D174" s="15">
        <f>(3.35*7.31+1.7*1.45+1.48*0.9+0.73*0.45)*(10.764)</f>
        <v>308.00109599999996</v>
      </c>
      <c r="E174" s="15">
        <v>0</v>
      </c>
      <c r="F174" s="15">
        <f t="shared" si="15"/>
        <v>308.00109599999996</v>
      </c>
      <c r="G174" s="15">
        <v>0</v>
      </c>
      <c r="H174" s="15">
        <f t="shared" si="16"/>
        <v>462.00164399999994</v>
      </c>
    </row>
    <row r="175" spans="1:11" x14ac:dyDescent="0.2">
      <c r="A175" s="90">
        <f t="shared" si="17"/>
        <v>8</v>
      </c>
      <c r="B175" s="91"/>
      <c r="C175" s="16" t="s">
        <v>218</v>
      </c>
      <c r="D175" s="15">
        <f>(3.35*6.41+1.7*1.6+1.2*0.75)*(10.764)</f>
        <v>270.10643399999998</v>
      </c>
      <c r="E175" s="15">
        <v>0</v>
      </c>
      <c r="F175" s="15">
        <f t="shared" si="15"/>
        <v>270.10643399999998</v>
      </c>
      <c r="G175" s="15">
        <v>0</v>
      </c>
      <c r="H175" s="15">
        <f t="shared" si="16"/>
        <v>405.15965099999994</v>
      </c>
    </row>
    <row r="176" spans="1:11" x14ac:dyDescent="0.2">
      <c r="A176" s="90">
        <f t="shared" si="17"/>
        <v>9</v>
      </c>
      <c r="B176" s="91"/>
      <c r="C176" s="16" t="s">
        <v>218</v>
      </c>
      <c r="D176" s="15">
        <f>(3.35*6.41+1.62*1.6+1.2*0.75)*(10.764)</f>
        <v>268.72864199999998</v>
      </c>
      <c r="E176" s="15">
        <v>0</v>
      </c>
      <c r="F176" s="15">
        <f t="shared" si="15"/>
        <v>268.72864199999998</v>
      </c>
      <c r="G176" s="15">
        <v>0</v>
      </c>
      <c r="H176" s="15">
        <f t="shared" si="16"/>
        <v>403.09296299999994</v>
      </c>
    </row>
    <row r="177" spans="1:8" x14ac:dyDescent="0.2">
      <c r="A177" s="90">
        <f t="shared" si="17"/>
        <v>10</v>
      </c>
      <c r="B177" s="91"/>
      <c r="C177" s="16" t="s">
        <v>218</v>
      </c>
      <c r="D177" s="15">
        <f>(3.42*7.16+1.77*1.6+1.4*1.05+0.65*0.45)*(10.764)</f>
        <v>313.0354188</v>
      </c>
      <c r="E177" s="15">
        <v>0</v>
      </c>
      <c r="F177" s="15">
        <f t="shared" si="15"/>
        <v>313.0354188</v>
      </c>
      <c r="G177" s="15">
        <v>0</v>
      </c>
      <c r="H177" s="15">
        <f t="shared" si="16"/>
        <v>469.5531282</v>
      </c>
    </row>
    <row r="178" spans="1:8" x14ac:dyDescent="0.2">
      <c r="A178" s="90" t="s">
        <v>258</v>
      </c>
      <c r="B178" s="91"/>
      <c r="C178" s="16" t="s">
        <v>218</v>
      </c>
      <c r="D178" s="15">
        <f>(6.77*7.01+3.36*1.15+1.77*1.6+1.4*1.05+0.65*0.45)*(10.764)</f>
        <v>601.88197679999985</v>
      </c>
      <c r="E178" s="15">
        <v>0</v>
      </c>
      <c r="F178" s="15">
        <f t="shared" si="15"/>
        <v>601.88197679999985</v>
      </c>
      <c r="G178" s="15">
        <v>0</v>
      </c>
      <c r="H178" s="15">
        <f t="shared" si="16"/>
        <v>902.82296519999977</v>
      </c>
    </row>
    <row r="179" spans="1:8" x14ac:dyDescent="0.2">
      <c r="A179" s="90">
        <v>16</v>
      </c>
      <c r="B179" s="91"/>
      <c r="C179" s="16" t="s">
        <v>218</v>
      </c>
      <c r="D179" s="15">
        <f>(3.35*7.16+1.77*1.6+1.4*1.05+0.65*0.45)*(10.764)</f>
        <v>307.64050199999997</v>
      </c>
      <c r="E179" s="15">
        <v>0</v>
      </c>
      <c r="F179" s="15">
        <f t="shared" si="15"/>
        <v>307.64050199999997</v>
      </c>
      <c r="G179" s="15">
        <v>0</v>
      </c>
      <c r="H179" s="15">
        <f t="shared" si="16"/>
        <v>461.46075299999995</v>
      </c>
    </row>
    <row r="180" spans="1:8" x14ac:dyDescent="0.2">
      <c r="A180" s="90">
        <f t="shared" si="17"/>
        <v>17</v>
      </c>
      <c r="B180" s="91"/>
      <c r="C180" s="16" t="s">
        <v>218</v>
      </c>
      <c r="D180" s="15">
        <f>(3.35*7.16+1.77*1.6+1.4*1.05+0.65*0.45)*(10.764)</f>
        <v>307.64050199999997</v>
      </c>
      <c r="E180" s="15">
        <v>0</v>
      </c>
      <c r="F180" s="15">
        <f t="shared" si="15"/>
        <v>307.64050199999997</v>
      </c>
      <c r="G180" s="15">
        <v>0</v>
      </c>
      <c r="H180" s="15">
        <f t="shared" si="16"/>
        <v>461.46075299999995</v>
      </c>
    </row>
    <row r="181" spans="1:8" x14ac:dyDescent="0.2">
      <c r="A181" s="90">
        <f t="shared" si="17"/>
        <v>18</v>
      </c>
      <c r="B181" s="91"/>
      <c r="C181" s="16" t="s">
        <v>218</v>
      </c>
      <c r="D181" s="15">
        <f>(3.35*7.16+1.77*1.6+1.4*1.05+0.65*0.45)*(10.764)</f>
        <v>307.64050199999997</v>
      </c>
      <c r="E181" s="15">
        <v>0</v>
      </c>
      <c r="F181" s="15">
        <f t="shared" si="15"/>
        <v>307.64050199999997</v>
      </c>
      <c r="G181" s="15">
        <v>0</v>
      </c>
      <c r="H181" s="15">
        <f t="shared" si="16"/>
        <v>461.46075299999995</v>
      </c>
    </row>
    <row r="182" spans="1:8" x14ac:dyDescent="0.2">
      <c r="A182" s="90">
        <f t="shared" si="17"/>
        <v>19</v>
      </c>
      <c r="B182" s="91"/>
      <c r="C182" s="16" t="s">
        <v>218</v>
      </c>
      <c r="D182" s="15">
        <f t="shared" ref="D182:D183" si="18">(3.35*7.16+1.77*1.6+1.4*1.05+0.65*0.45)*(10.764)</f>
        <v>307.64050199999997</v>
      </c>
      <c r="E182" s="15">
        <v>0</v>
      </c>
      <c r="F182" s="15">
        <f t="shared" si="15"/>
        <v>307.64050199999997</v>
      </c>
      <c r="G182" s="15">
        <v>0</v>
      </c>
      <c r="H182" s="15">
        <f t="shared" si="16"/>
        <v>461.46075299999995</v>
      </c>
    </row>
    <row r="183" spans="1:8" x14ac:dyDescent="0.2">
      <c r="A183" s="90">
        <f t="shared" si="17"/>
        <v>20</v>
      </c>
      <c r="B183" s="91"/>
      <c r="C183" s="16" t="s">
        <v>218</v>
      </c>
      <c r="D183" s="15">
        <f t="shared" si="18"/>
        <v>307.64050199999997</v>
      </c>
      <c r="E183" s="15">
        <v>0</v>
      </c>
      <c r="F183" s="15">
        <f t="shared" si="15"/>
        <v>307.64050199999997</v>
      </c>
      <c r="G183" s="15">
        <v>0</v>
      </c>
      <c r="H183" s="15">
        <f t="shared" si="16"/>
        <v>461.46075299999995</v>
      </c>
    </row>
    <row r="184" spans="1:8" x14ac:dyDescent="0.2">
      <c r="A184" s="90">
        <f t="shared" si="17"/>
        <v>21</v>
      </c>
      <c r="B184" s="91"/>
      <c r="C184" s="16" t="s">
        <v>218</v>
      </c>
      <c r="D184" s="15">
        <f>(3.35*7.16+1.85*1.6+1.4*1.05+0.65*0.45)*(10.764)</f>
        <v>309.01829399999997</v>
      </c>
      <c r="E184" s="15">
        <v>0</v>
      </c>
      <c r="F184" s="15">
        <f t="shared" si="15"/>
        <v>309.01829399999997</v>
      </c>
      <c r="G184" s="15">
        <v>0</v>
      </c>
      <c r="H184" s="15">
        <f t="shared" si="16"/>
        <v>463.52744099999995</v>
      </c>
    </row>
    <row r="185" spans="1:8" x14ac:dyDescent="0.2">
      <c r="A185" s="90">
        <f t="shared" si="17"/>
        <v>22</v>
      </c>
      <c r="B185" s="91"/>
      <c r="C185" s="16" t="s">
        <v>218</v>
      </c>
      <c r="D185" s="15">
        <f>(6.3*4.5+1.75*2.92+1.2*1.4+0.45*0.65)*(10.764)</f>
        <v>381.39542999999986</v>
      </c>
      <c r="E185" s="15">
        <v>0</v>
      </c>
      <c r="F185" s="15">
        <f t="shared" si="15"/>
        <v>381.39542999999986</v>
      </c>
      <c r="G185" s="15">
        <v>0</v>
      </c>
      <c r="H185" s="15">
        <f t="shared" si="16"/>
        <v>572.09314499999982</v>
      </c>
    </row>
    <row r="186" spans="1:8" x14ac:dyDescent="0.2">
      <c r="A186" s="90">
        <f t="shared" si="17"/>
        <v>23</v>
      </c>
      <c r="B186" s="91"/>
      <c r="C186" s="16" t="s">
        <v>218</v>
      </c>
      <c r="D186" s="15">
        <f>(6.3*4.47+1.75*2.8+1.2*1.4+0.45*0.65)*(10.764)</f>
        <v>377.10059399999994</v>
      </c>
      <c r="E186" s="15">
        <v>0</v>
      </c>
      <c r="F186" s="15">
        <f t="shared" si="15"/>
        <v>377.10059399999994</v>
      </c>
      <c r="G186" s="15">
        <v>0</v>
      </c>
      <c r="H186" s="15">
        <f t="shared" si="16"/>
        <v>565.65089099999989</v>
      </c>
    </row>
    <row r="187" spans="1:8" x14ac:dyDescent="0.2">
      <c r="A187" s="90">
        <f t="shared" si="17"/>
        <v>24</v>
      </c>
      <c r="B187" s="91"/>
      <c r="C187" s="16" t="s">
        <v>218</v>
      </c>
      <c r="D187" s="15">
        <f>(6.3*4.45+1.75*2.8+1.2*1.4+0.45*0.65)*(10.764)</f>
        <v>375.74432999999999</v>
      </c>
      <c r="E187" s="15">
        <v>0</v>
      </c>
      <c r="F187" s="15">
        <f t="shared" si="15"/>
        <v>375.74432999999999</v>
      </c>
      <c r="G187" s="15">
        <v>0</v>
      </c>
      <c r="H187" s="15">
        <f t="shared" si="16"/>
        <v>563.61649499999999</v>
      </c>
    </row>
    <row r="188" spans="1:8" x14ac:dyDescent="0.2">
      <c r="A188" s="90">
        <f t="shared" si="17"/>
        <v>25</v>
      </c>
      <c r="B188" s="91"/>
      <c r="C188" s="16" t="s">
        <v>218</v>
      </c>
      <c r="D188" s="15">
        <f>(6.3*4.45+1.75*2.8+1.2*1.4+0.45*0.65)*(10.764)</f>
        <v>375.74432999999999</v>
      </c>
      <c r="E188" s="15">
        <v>0</v>
      </c>
      <c r="F188" s="15">
        <f t="shared" si="15"/>
        <v>375.74432999999999</v>
      </c>
      <c r="G188" s="15">
        <v>0</v>
      </c>
      <c r="H188" s="15">
        <f t="shared" si="16"/>
        <v>563.61649499999999</v>
      </c>
    </row>
    <row r="189" spans="1:8" x14ac:dyDescent="0.2">
      <c r="A189" s="90">
        <f t="shared" si="17"/>
        <v>26</v>
      </c>
      <c r="B189" s="91"/>
      <c r="C189" s="16" t="s">
        <v>218</v>
      </c>
      <c r="D189" s="15">
        <f>(6.3*4.5+1.75*1.62+1.7*1.15+1.15*1.4+0.65*0.45)*(10.764)</f>
        <v>377.19746999999995</v>
      </c>
      <c r="E189" s="15">
        <v>0</v>
      </c>
      <c r="F189" s="15">
        <f>D189+(IF(E189&lt;201,E189,IF(E189&lt;301,E189/2,E189/3)))</f>
        <v>377.19746999999995</v>
      </c>
      <c r="G189" s="15">
        <v>0</v>
      </c>
      <c r="H189" s="15">
        <f t="shared" si="16"/>
        <v>565.79620499999987</v>
      </c>
    </row>
    <row r="190" spans="1:8" x14ac:dyDescent="0.2">
      <c r="A190" s="90">
        <f t="shared" si="17"/>
        <v>27</v>
      </c>
      <c r="B190" s="91"/>
      <c r="C190" s="16" t="s">
        <v>218</v>
      </c>
      <c r="D190" s="15">
        <f>(3.35*9.8+1.85*1.75+1.4*1.2+0.65*0.45)*(10.764)</f>
        <v>409.46255999999994</v>
      </c>
      <c r="E190" s="15">
        <v>0</v>
      </c>
      <c r="F190" s="15">
        <f t="shared" ref="F190:F209" si="19">D190+(IF(E190&lt;201,E190,IF(E190&lt;301,E190/2,E190/3)))</f>
        <v>409.46255999999994</v>
      </c>
      <c r="G190" s="15">
        <v>0</v>
      </c>
      <c r="H190" s="15">
        <f t="shared" si="16"/>
        <v>614.19383999999991</v>
      </c>
    </row>
    <row r="191" spans="1:8" x14ac:dyDescent="0.2">
      <c r="A191" s="90">
        <f t="shared" si="17"/>
        <v>28</v>
      </c>
      <c r="B191" s="91"/>
      <c r="C191" s="16" t="s">
        <v>218</v>
      </c>
      <c r="D191" s="15">
        <f>(3.35*9.8+1.78*1.75+1.4*1.2+0.65*0.45)*(10.764)</f>
        <v>408.14397000000002</v>
      </c>
      <c r="E191" s="15">
        <v>0</v>
      </c>
      <c r="F191" s="15">
        <f t="shared" si="19"/>
        <v>408.14397000000002</v>
      </c>
      <c r="G191" s="15">
        <v>0</v>
      </c>
      <c r="H191" s="15">
        <f t="shared" si="16"/>
        <v>612.21595500000001</v>
      </c>
    </row>
    <row r="192" spans="1:8" x14ac:dyDescent="0.2">
      <c r="A192" s="90">
        <f t="shared" si="17"/>
        <v>29</v>
      </c>
      <c r="B192" s="91"/>
      <c r="C192" s="16" t="s">
        <v>218</v>
      </c>
      <c r="D192" s="15">
        <f>(3.35*9.8+1.77*1.75+1.4*1.2+0.65*0.45)*(10.764)</f>
        <v>407.95560000000006</v>
      </c>
      <c r="E192" s="15">
        <v>0</v>
      </c>
      <c r="F192" s="15">
        <f t="shared" si="19"/>
        <v>407.95560000000006</v>
      </c>
      <c r="G192" s="15">
        <v>0</v>
      </c>
      <c r="H192" s="15">
        <f t="shared" si="16"/>
        <v>611.93340000000012</v>
      </c>
    </row>
    <row r="193" spans="1:9" x14ac:dyDescent="0.2">
      <c r="A193" s="90">
        <f t="shared" si="17"/>
        <v>30</v>
      </c>
      <c r="B193" s="91"/>
      <c r="C193" s="16" t="s">
        <v>218</v>
      </c>
      <c r="D193" s="15">
        <f>(3.35*9.8+1.78*2.4+1.55*1.2+0.8*1.1)*(10.764)</f>
        <v>428.85928800000005</v>
      </c>
      <c r="E193" s="15">
        <v>0</v>
      </c>
      <c r="F193" s="15">
        <f t="shared" si="19"/>
        <v>428.85928800000005</v>
      </c>
      <c r="G193" s="15">
        <v>0</v>
      </c>
      <c r="H193" s="15">
        <f t="shared" si="16"/>
        <v>643.28893200000005</v>
      </c>
    </row>
    <row r="194" spans="1:9" x14ac:dyDescent="0.2">
      <c r="A194" s="90">
        <f t="shared" si="17"/>
        <v>31</v>
      </c>
      <c r="B194" s="91"/>
      <c r="C194" s="16" t="s">
        <v>218</v>
      </c>
      <c r="D194" s="15">
        <f t="shared" ref="D194:D200" si="20">(3.35*9.8+1.77*1.75+1.4*1.2+0.65*0.45)*(10.764)</f>
        <v>407.95560000000006</v>
      </c>
      <c r="E194" s="15">
        <v>0</v>
      </c>
      <c r="F194" s="15">
        <f t="shared" si="19"/>
        <v>407.95560000000006</v>
      </c>
      <c r="G194" s="15">
        <v>0</v>
      </c>
      <c r="H194" s="15">
        <f t="shared" si="16"/>
        <v>611.93340000000012</v>
      </c>
    </row>
    <row r="195" spans="1:9" x14ac:dyDescent="0.2">
      <c r="A195" s="90">
        <f t="shared" si="17"/>
        <v>32</v>
      </c>
      <c r="B195" s="91"/>
      <c r="C195" s="16" t="s">
        <v>218</v>
      </c>
      <c r="D195" s="15">
        <f t="shared" si="20"/>
        <v>407.95560000000006</v>
      </c>
      <c r="E195" s="15">
        <v>0</v>
      </c>
      <c r="F195" s="15">
        <f t="shared" si="19"/>
        <v>407.95560000000006</v>
      </c>
      <c r="G195" s="15">
        <v>0</v>
      </c>
      <c r="H195" s="15">
        <f t="shared" si="16"/>
        <v>611.93340000000012</v>
      </c>
    </row>
    <row r="196" spans="1:9" x14ac:dyDescent="0.2">
      <c r="A196" s="90">
        <f t="shared" si="17"/>
        <v>33</v>
      </c>
      <c r="B196" s="91"/>
      <c r="C196" s="16" t="s">
        <v>218</v>
      </c>
      <c r="D196" s="15">
        <f t="shared" si="20"/>
        <v>407.95560000000006</v>
      </c>
      <c r="E196" s="15">
        <v>0</v>
      </c>
      <c r="F196" s="15">
        <f t="shared" si="19"/>
        <v>407.95560000000006</v>
      </c>
      <c r="G196" s="15">
        <v>0</v>
      </c>
      <c r="H196" s="15">
        <f t="shared" si="16"/>
        <v>611.93340000000012</v>
      </c>
    </row>
    <row r="197" spans="1:9" x14ac:dyDescent="0.2">
      <c r="A197" s="90">
        <f t="shared" si="17"/>
        <v>34</v>
      </c>
      <c r="B197" s="91"/>
      <c r="C197" s="16" t="s">
        <v>218</v>
      </c>
      <c r="D197" s="15">
        <f t="shared" si="20"/>
        <v>407.95560000000006</v>
      </c>
      <c r="E197" s="15">
        <v>0</v>
      </c>
      <c r="F197" s="15">
        <f t="shared" si="19"/>
        <v>407.95560000000006</v>
      </c>
      <c r="G197" s="15">
        <v>0</v>
      </c>
      <c r="H197" s="15">
        <f t="shared" si="16"/>
        <v>611.93340000000012</v>
      </c>
    </row>
    <row r="198" spans="1:9" x14ac:dyDescent="0.2">
      <c r="A198" s="90">
        <f t="shared" si="17"/>
        <v>35</v>
      </c>
      <c r="B198" s="91"/>
      <c r="C198" s="16" t="s">
        <v>218</v>
      </c>
      <c r="D198" s="15">
        <f t="shared" si="20"/>
        <v>407.95560000000006</v>
      </c>
      <c r="E198" s="15">
        <v>0</v>
      </c>
      <c r="F198" s="15">
        <f t="shared" si="19"/>
        <v>407.95560000000006</v>
      </c>
      <c r="G198" s="15">
        <v>0</v>
      </c>
      <c r="H198" s="15">
        <f t="shared" si="16"/>
        <v>611.93340000000012</v>
      </c>
    </row>
    <row r="199" spans="1:9" x14ac:dyDescent="0.2">
      <c r="A199" s="90">
        <f t="shared" si="17"/>
        <v>36</v>
      </c>
      <c r="B199" s="91"/>
      <c r="C199" s="16" t="s">
        <v>218</v>
      </c>
      <c r="D199" s="15">
        <f t="shared" si="20"/>
        <v>407.95560000000006</v>
      </c>
      <c r="E199" s="15">
        <v>0</v>
      </c>
      <c r="F199" s="15">
        <f t="shared" si="19"/>
        <v>407.95560000000006</v>
      </c>
      <c r="G199" s="15">
        <v>0</v>
      </c>
      <c r="H199" s="15">
        <f t="shared" si="16"/>
        <v>611.93340000000012</v>
      </c>
    </row>
    <row r="200" spans="1:9" x14ac:dyDescent="0.2">
      <c r="A200" s="90">
        <v>39</v>
      </c>
      <c r="B200" s="91"/>
      <c r="C200" s="16" t="s">
        <v>218</v>
      </c>
      <c r="D200" s="15">
        <f t="shared" si="20"/>
        <v>407.95560000000006</v>
      </c>
      <c r="E200" s="15">
        <v>0</v>
      </c>
      <c r="F200" s="15">
        <f t="shared" si="19"/>
        <v>407.95560000000006</v>
      </c>
      <c r="G200" s="15">
        <v>0</v>
      </c>
      <c r="H200" s="15">
        <f t="shared" si="16"/>
        <v>611.93340000000012</v>
      </c>
    </row>
    <row r="201" spans="1:9" x14ac:dyDescent="0.2">
      <c r="A201" s="90">
        <f t="shared" si="17"/>
        <v>40</v>
      </c>
      <c r="B201" s="91"/>
      <c r="C201" s="16" t="s">
        <v>218</v>
      </c>
      <c r="D201" s="15">
        <f>(3.35*9.8+1.78*1.75+1.4*1.2+0.65*0.45)*(10.764)</f>
        <v>408.14397000000002</v>
      </c>
      <c r="E201" s="15">
        <v>0</v>
      </c>
      <c r="F201" s="15">
        <f t="shared" si="19"/>
        <v>408.14397000000002</v>
      </c>
      <c r="G201" s="15">
        <v>0</v>
      </c>
      <c r="H201" s="15">
        <f t="shared" si="16"/>
        <v>612.21595500000001</v>
      </c>
    </row>
    <row r="202" spans="1:9" x14ac:dyDescent="0.2">
      <c r="A202" s="90">
        <f t="shared" si="17"/>
        <v>41</v>
      </c>
      <c r="B202" s="91"/>
      <c r="C202" s="16" t="s">
        <v>218</v>
      </c>
      <c r="D202" s="15">
        <f>(3.35*9.8+1.77*1.75+1.4*1.2+0.65*0.45)*(10.764)</f>
        <v>407.95560000000006</v>
      </c>
      <c r="E202" s="15">
        <v>0</v>
      </c>
      <c r="F202" s="15">
        <f t="shared" si="19"/>
        <v>407.95560000000006</v>
      </c>
      <c r="G202" s="15">
        <v>0</v>
      </c>
      <c r="H202" s="15">
        <f t="shared" si="16"/>
        <v>611.93340000000012</v>
      </c>
    </row>
    <row r="203" spans="1:9" x14ac:dyDescent="0.2">
      <c r="A203" s="90">
        <f t="shared" si="17"/>
        <v>42</v>
      </c>
      <c r="B203" s="91"/>
      <c r="C203" s="16" t="s">
        <v>218</v>
      </c>
      <c r="D203" s="15">
        <f>(3.35*9.8+1.78*1.75+1.4*1.2+0.65*0.45)*(10.764)</f>
        <v>408.14397000000002</v>
      </c>
      <c r="E203" s="15">
        <v>0</v>
      </c>
      <c r="F203" s="15">
        <f t="shared" si="19"/>
        <v>408.14397000000002</v>
      </c>
      <c r="G203" s="15">
        <v>0</v>
      </c>
      <c r="H203" s="15">
        <f t="shared" si="16"/>
        <v>612.21595500000001</v>
      </c>
    </row>
    <row r="204" spans="1:9" x14ac:dyDescent="0.2">
      <c r="A204" s="90">
        <f t="shared" si="17"/>
        <v>43</v>
      </c>
      <c r="B204" s="91"/>
      <c r="C204" s="16" t="s">
        <v>218</v>
      </c>
      <c r="D204" s="15">
        <f>(3.35*9.8+1.77*1.75+1.4*1.2+0.65*0.45)*(10.764)</f>
        <v>407.95560000000006</v>
      </c>
      <c r="E204" s="15">
        <v>0</v>
      </c>
      <c r="F204" s="15">
        <f t="shared" si="19"/>
        <v>407.95560000000006</v>
      </c>
      <c r="G204" s="15">
        <v>0</v>
      </c>
      <c r="H204" s="15">
        <f t="shared" si="16"/>
        <v>611.93340000000012</v>
      </c>
    </row>
    <row r="205" spans="1:9" x14ac:dyDescent="0.2">
      <c r="A205" s="90">
        <f t="shared" si="17"/>
        <v>44</v>
      </c>
      <c r="B205" s="91"/>
      <c r="C205" s="16" t="s">
        <v>218</v>
      </c>
      <c r="D205" s="15">
        <f>(3.35*9.8+1.78*1.75+1.4*1.2+0.65*0.45)*(10.764)</f>
        <v>408.14397000000002</v>
      </c>
      <c r="E205" s="15">
        <v>0</v>
      </c>
      <c r="F205" s="15">
        <f t="shared" si="19"/>
        <v>408.14397000000002</v>
      </c>
      <c r="G205" s="15">
        <v>0</v>
      </c>
      <c r="H205" s="15">
        <f t="shared" si="16"/>
        <v>612.21595500000001</v>
      </c>
    </row>
    <row r="206" spans="1:9" x14ac:dyDescent="0.2">
      <c r="A206" s="90">
        <f t="shared" si="17"/>
        <v>45</v>
      </c>
      <c r="B206" s="91"/>
      <c r="C206" s="16" t="s">
        <v>218</v>
      </c>
      <c r="D206" s="15">
        <f>(3.35*9.8+1.77*1.75+1.4*1.2+0.65*0.45)*(10.764)</f>
        <v>407.95560000000006</v>
      </c>
      <c r="E206" s="15">
        <v>0</v>
      </c>
      <c r="F206" s="15">
        <f t="shared" si="19"/>
        <v>407.95560000000006</v>
      </c>
      <c r="G206" s="15">
        <v>0</v>
      </c>
      <c r="H206" s="15">
        <f t="shared" si="16"/>
        <v>611.93340000000012</v>
      </c>
      <c r="I206" s="69">
        <f>1</f>
        <v>1</v>
      </c>
    </row>
    <row r="207" spans="1:9" x14ac:dyDescent="0.2">
      <c r="A207" s="90">
        <f t="shared" si="17"/>
        <v>46</v>
      </c>
      <c r="B207" s="91"/>
      <c r="C207" s="16" t="s">
        <v>218</v>
      </c>
      <c r="D207" s="15">
        <f>(3.35*9.8+1.78*1.75+1.4*1.2+0.65*0.45)*(10.764)</f>
        <v>408.14397000000002</v>
      </c>
      <c r="E207" s="15">
        <v>0</v>
      </c>
      <c r="F207" s="15">
        <f t="shared" si="19"/>
        <v>408.14397000000002</v>
      </c>
      <c r="G207" s="15">
        <v>0</v>
      </c>
      <c r="H207" s="15">
        <f t="shared" si="16"/>
        <v>612.21595500000001</v>
      </c>
    </row>
    <row r="208" spans="1:9" x14ac:dyDescent="0.2">
      <c r="A208" s="90">
        <f t="shared" si="17"/>
        <v>47</v>
      </c>
      <c r="B208" s="91"/>
      <c r="C208" s="16" t="s">
        <v>218</v>
      </c>
      <c r="D208" s="15">
        <f>(3.35*9.8+1.77*1.75+1.4*1.2+0.65*0.45)*(10.764)</f>
        <v>407.95560000000006</v>
      </c>
      <c r="E208" s="15">
        <v>0</v>
      </c>
      <c r="F208" s="15">
        <f t="shared" si="19"/>
        <v>407.95560000000006</v>
      </c>
      <c r="G208" s="15">
        <v>0</v>
      </c>
      <c r="H208" s="15">
        <f t="shared" si="16"/>
        <v>611.93340000000012</v>
      </c>
    </row>
    <row r="209" spans="1:8" x14ac:dyDescent="0.2">
      <c r="A209" s="90">
        <f t="shared" si="17"/>
        <v>48</v>
      </c>
      <c r="B209" s="91"/>
      <c r="C209" s="16" t="s">
        <v>218</v>
      </c>
      <c r="D209" s="15">
        <f>(3.35*9.8+1.78*1.75+1.4*1.2+0.65*0.45)*(10.764)</f>
        <v>408.14397000000002</v>
      </c>
      <c r="E209" s="15">
        <v>0</v>
      </c>
      <c r="F209" s="15">
        <f t="shared" si="19"/>
        <v>408.14397000000002</v>
      </c>
      <c r="G209" s="15">
        <v>0</v>
      </c>
      <c r="H209" s="15">
        <f t="shared" si="16"/>
        <v>612.21595500000001</v>
      </c>
    </row>
    <row r="210" spans="1:8" x14ac:dyDescent="0.2">
      <c r="A210" s="90">
        <f t="shared" si="17"/>
        <v>49</v>
      </c>
      <c r="B210" s="91"/>
      <c r="C210" s="16" t="s">
        <v>218</v>
      </c>
      <c r="D210" s="15">
        <f>(6.72*4.15+1.65*1.35+1.6*0.89)*(10.764)</f>
        <v>339.49117799999999</v>
      </c>
      <c r="E210" s="15">
        <v>0</v>
      </c>
      <c r="F210" s="15">
        <f t="shared" ref="F210" si="21">D210+(IF(E210&lt;201,E210,IF(E210&lt;301,E210/2,E210/3)))</f>
        <v>339.49117799999999</v>
      </c>
      <c r="G210" s="15">
        <v>0</v>
      </c>
      <c r="H210" s="15">
        <f t="shared" ref="H210" si="22">F210*(($H$122)+1)+(IF(G210&lt;101,G210,IF(G210&lt;201,G210/2,IF(G210&lt;=301,G210/3,G210/4))))</f>
        <v>509.23676699999999</v>
      </c>
    </row>
    <row r="211" spans="1:8" x14ac:dyDescent="0.2">
      <c r="A211" s="119" t="s">
        <v>125</v>
      </c>
      <c r="B211" s="119"/>
      <c r="C211" s="119"/>
      <c r="D211" s="119"/>
      <c r="E211" s="119"/>
      <c r="F211" s="119"/>
      <c r="G211" s="119"/>
      <c r="H211" s="119"/>
    </row>
    <row r="212" spans="1:8" x14ac:dyDescent="0.2">
      <c r="A212" s="90">
        <v>2</v>
      </c>
      <c r="B212" s="91"/>
      <c r="C212" s="16" t="s">
        <v>218</v>
      </c>
      <c r="D212" s="15">
        <f>(6.72*3.05+1.65*1.2+1.05*1.55+0.45*0.8+2.86*1.15+2.38*2.7)*(10.764)</f>
        <v>367.89737399999996</v>
      </c>
      <c r="E212" s="15">
        <v>0</v>
      </c>
      <c r="F212" s="15">
        <f t="shared" ref="F212:F231" si="23">D212+(IF(E212&lt;201,E212,IF(E212&lt;301,E212/2,E212/3)))</f>
        <v>367.89737399999996</v>
      </c>
      <c r="G212" s="15">
        <v>0</v>
      </c>
      <c r="H212" s="15">
        <f t="shared" ref="H212:H253" si="24">F212*(($H$122)+1)+(IF(G212&lt;101,G212,IF(G212&lt;201,G212/2,IF(G212&lt;=301,G212/3,G212/4))))</f>
        <v>551.84606099999996</v>
      </c>
    </row>
    <row r="213" spans="1:8" x14ac:dyDescent="0.2">
      <c r="A213" s="90">
        <v>3</v>
      </c>
      <c r="B213" s="91"/>
      <c r="C213" s="16" t="s">
        <v>218</v>
      </c>
      <c r="D213" s="15">
        <f>(4.54*5.31+2.24*2.35+0.67*1.6+1.53*1.5+0.6*0.3)*(10.764)</f>
        <v>354.33365759999998</v>
      </c>
      <c r="E213" s="15">
        <v>0</v>
      </c>
      <c r="F213" s="15">
        <f t="shared" si="23"/>
        <v>354.33365759999998</v>
      </c>
      <c r="G213" s="15">
        <v>0</v>
      </c>
      <c r="H213" s="15">
        <f t="shared" si="24"/>
        <v>531.5004864</v>
      </c>
    </row>
    <row r="214" spans="1:8" x14ac:dyDescent="0.2">
      <c r="A214" s="90">
        <f t="shared" ref="A214:A254" si="25">A213+1</f>
        <v>4</v>
      </c>
      <c r="B214" s="91"/>
      <c r="C214" s="16" t="s">
        <v>218</v>
      </c>
      <c r="D214" s="15">
        <f>(3.35*6.06+1.77*1.6+1.4*1.05+0.65*0.45)*(10.764)</f>
        <v>267.97516199999995</v>
      </c>
      <c r="E214" s="15">
        <v>0</v>
      </c>
      <c r="F214" s="15">
        <f t="shared" si="23"/>
        <v>267.97516199999995</v>
      </c>
      <c r="G214" s="15">
        <v>0</v>
      </c>
      <c r="H214" s="15">
        <f t="shared" si="24"/>
        <v>401.96274299999993</v>
      </c>
    </row>
    <row r="215" spans="1:8" x14ac:dyDescent="0.2">
      <c r="A215" s="90">
        <f t="shared" si="25"/>
        <v>5</v>
      </c>
      <c r="B215" s="91"/>
      <c r="C215" s="16" t="s">
        <v>218</v>
      </c>
      <c r="D215" s="15">
        <f t="shared" ref="D215:D217" si="26">(3.35*6.06+1.77*1.6+1.4*1.05+0.65*0.45)*(10.764)</f>
        <v>267.97516199999995</v>
      </c>
      <c r="E215" s="15">
        <v>0</v>
      </c>
      <c r="F215" s="15">
        <f t="shared" si="23"/>
        <v>267.97516199999995</v>
      </c>
      <c r="G215" s="15">
        <v>0</v>
      </c>
      <c r="H215" s="15">
        <f t="shared" si="24"/>
        <v>401.96274299999993</v>
      </c>
    </row>
    <row r="216" spans="1:8" x14ac:dyDescent="0.2">
      <c r="A216" s="90">
        <f t="shared" si="25"/>
        <v>6</v>
      </c>
      <c r="B216" s="91"/>
      <c r="C216" s="16" t="s">
        <v>218</v>
      </c>
      <c r="D216" s="15">
        <f t="shared" si="26"/>
        <v>267.97516199999995</v>
      </c>
      <c r="E216" s="15">
        <v>0</v>
      </c>
      <c r="F216" s="15">
        <f t="shared" si="23"/>
        <v>267.97516199999995</v>
      </c>
      <c r="G216" s="15">
        <v>0</v>
      </c>
      <c r="H216" s="15">
        <f t="shared" si="24"/>
        <v>401.96274299999993</v>
      </c>
    </row>
    <row r="217" spans="1:8" x14ac:dyDescent="0.2">
      <c r="A217" s="90">
        <f t="shared" si="25"/>
        <v>7</v>
      </c>
      <c r="B217" s="91"/>
      <c r="C217" s="16" t="s">
        <v>218</v>
      </c>
      <c r="D217" s="15">
        <f t="shared" si="26"/>
        <v>267.97516199999995</v>
      </c>
      <c r="E217" s="15">
        <v>0</v>
      </c>
      <c r="F217" s="15">
        <f t="shared" si="23"/>
        <v>267.97516199999995</v>
      </c>
      <c r="G217" s="15">
        <v>0</v>
      </c>
      <c r="H217" s="15">
        <f t="shared" si="24"/>
        <v>401.96274299999993</v>
      </c>
    </row>
    <row r="218" spans="1:8" x14ac:dyDescent="0.2">
      <c r="A218" s="90">
        <f t="shared" si="25"/>
        <v>8</v>
      </c>
      <c r="B218" s="91"/>
      <c r="C218" s="16" t="s">
        <v>218</v>
      </c>
      <c r="D218" s="15">
        <f>(3.35*5.31+1.7*1.6+1.55*1.05+1.2*0.75+0.65*0.3)*(10.764)</f>
        <v>250.05848399999996</v>
      </c>
      <c r="E218" s="15">
        <v>0</v>
      </c>
      <c r="F218" s="15">
        <f t="shared" si="23"/>
        <v>250.05848399999996</v>
      </c>
      <c r="G218" s="15">
        <v>0</v>
      </c>
      <c r="H218" s="15">
        <f t="shared" si="24"/>
        <v>375.08772599999998</v>
      </c>
    </row>
    <row r="219" spans="1:8" x14ac:dyDescent="0.2">
      <c r="A219" s="90">
        <f t="shared" si="25"/>
        <v>9</v>
      </c>
      <c r="B219" s="91"/>
      <c r="C219" s="16" t="s">
        <v>218</v>
      </c>
      <c r="D219" s="15">
        <f>(3.35*5.31+1.62*1.6+1.63*1.05+1.2*0.75+0.6*0.3)*(10.764)</f>
        <v>249.42340799999997</v>
      </c>
      <c r="E219" s="15">
        <v>0</v>
      </c>
      <c r="F219" s="15">
        <f t="shared" si="23"/>
        <v>249.42340799999997</v>
      </c>
      <c r="G219" s="15">
        <v>0</v>
      </c>
      <c r="H219" s="15">
        <f t="shared" si="24"/>
        <v>374.13511199999994</v>
      </c>
    </row>
    <row r="220" spans="1:8" x14ac:dyDescent="0.2">
      <c r="A220" s="90">
        <f t="shared" si="25"/>
        <v>10</v>
      </c>
      <c r="B220" s="91"/>
      <c r="C220" s="16" t="s">
        <v>218</v>
      </c>
      <c r="D220" s="15">
        <f>(3.42*6.06+1.77*1.6+1.4*1.05+0.65*0.45)*(10.764)</f>
        <v>272.54125079999994</v>
      </c>
      <c r="E220" s="15">
        <v>0</v>
      </c>
      <c r="F220" s="15">
        <f t="shared" si="23"/>
        <v>272.54125079999994</v>
      </c>
      <c r="G220" s="15">
        <v>0</v>
      </c>
      <c r="H220" s="15">
        <f t="shared" si="24"/>
        <v>408.81187619999992</v>
      </c>
    </row>
    <row r="221" spans="1:8" x14ac:dyDescent="0.2">
      <c r="A221" s="90" t="s">
        <v>258</v>
      </c>
      <c r="B221" s="91"/>
      <c r="C221" s="16" t="s">
        <v>218</v>
      </c>
      <c r="D221" s="15">
        <f>(6.77*4.91+3.36*1.15+1.77*1.6+1.4*1.05+0.65*0.45)*(10.764)</f>
        <v>448.8501887999999</v>
      </c>
      <c r="E221" s="15">
        <v>0</v>
      </c>
      <c r="F221" s="15">
        <f t="shared" si="23"/>
        <v>448.8501887999999</v>
      </c>
      <c r="G221" s="15">
        <v>0</v>
      </c>
      <c r="H221" s="15">
        <f t="shared" si="24"/>
        <v>673.27528319999988</v>
      </c>
    </row>
    <row r="222" spans="1:8" x14ac:dyDescent="0.2">
      <c r="A222" s="90">
        <v>16</v>
      </c>
      <c r="B222" s="91"/>
      <c r="C222" s="16" t="s">
        <v>218</v>
      </c>
      <c r="D222" s="15">
        <f>(3.35*6.06+1.77*1.6+1.4*1.05+0.65*0.45)*(10.764)</f>
        <v>267.97516199999995</v>
      </c>
      <c r="E222" s="15">
        <v>0</v>
      </c>
      <c r="F222" s="15">
        <f t="shared" si="23"/>
        <v>267.97516199999995</v>
      </c>
      <c r="G222" s="15">
        <v>0</v>
      </c>
      <c r="H222" s="15">
        <f t="shared" si="24"/>
        <v>401.96274299999993</v>
      </c>
    </row>
    <row r="223" spans="1:8" x14ac:dyDescent="0.2">
      <c r="A223" s="90">
        <f t="shared" si="25"/>
        <v>17</v>
      </c>
      <c r="B223" s="91"/>
      <c r="C223" s="16" t="s">
        <v>218</v>
      </c>
      <c r="D223" s="15">
        <f t="shared" ref="D223:D227" si="27">(3.35*6.06+1.77*1.6+1.4*1.05+0.65*0.45)*(10.764)</f>
        <v>267.97516199999995</v>
      </c>
      <c r="E223" s="15">
        <v>0</v>
      </c>
      <c r="F223" s="15">
        <f t="shared" si="23"/>
        <v>267.97516199999995</v>
      </c>
      <c r="G223" s="15">
        <v>0</v>
      </c>
      <c r="H223" s="15">
        <f t="shared" si="24"/>
        <v>401.96274299999993</v>
      </c>
    </row>
    <row r="224" spans="1:8" x14ac:dyDescent="0.2">
      <c r="A224" s="90">
        <f t="shared" si="25"/>
        <v>18</v>
      </c>
      <c r="B224" s="91"/>
      <c r="C224" s="16" t="s">
        <v>218</v>
      </c>
      <c r="D224" s="15">
        <f t="shared" si="27"/>
        <v>267.97516199999995</v>
      </c>
      <c r="E224" s="15">
        <v>0</v>
      </c>
      <c r="F224" s="15">
        <f t="shared" si="23"/>
        <v>267.97516199999995</v>
      </c>
      <c r="G224" s="15">
        <v>0</v>
      </c>
      <c r="H224" s="15">
        <f t="shared" si="24"/>
        <v>401.96274299999993</v>
      </c>
    </row>
    <row r="225" spans="1:9" x14ac:dyDescent="0.2">
      <c r="A225" s="90">
        <f t="shared" si="25"/>
        <v>19</v>
      </c>
      <c r="B225" s="91"/>
      <c r="C225" s="16" t="s">
        <v>218</v>
      </c>
      <c r="D225" s="15">
        <f t="shared" si="27"/>
        <v>267.97516199999995</v>
      </c>
      <c r="E225" s="15">
        <v>0</v>
      </c>
      <c r="F225" s="15">
        <f t="shared" si="23"/>
        <v>267.97516199999995</v>
      </c>
      <c r="G225" s="15">
        <v>0</v>
      </c>
      <c r="H225" s="15">
        <f t="shared" si="24"/>
        <v>401.96274299999993</v>
      </c>
    </row>
    <row r="226" spans="1:9" x14ac:dyDescent="0.2">
      <c r="A226" s="90">
        <f t="shared" si="25"/>
        <v>20</v>
      </c>
      <c r="B226" s="91"/>
      <c r="C226" s="16" t="s">
        <v>218</v>
      </c>
      <c r="D226" s="15">
        <f t="shared" si="27"/>
        <v>267.97516199999995</v>
      </c>
      <c r="E226" s="15">
        <v>0</v>
      </c>
      <c r="F226" s="15">
        <f t="shared" si="23"/>
        <v>267.97516199999995</v>
      </c>
      <c r="G226" s="15">
        <v>0</v>
      </c>
      <c r="H226" s="15">
        <f t="shared" si="24"/>
        <v>401.96274299999993</v>
      </c>
    </row>
    <row r="227" spans="1:9" x14ac:dyDescent="0.2">
      <c r="A227" s="90">
        <f t="shared" si="25"/>
        <v>21</v>
      </c>
      <c r="B227" s="91"/>
      <c r="C227" s="16" t="s">
        <v>218</v>
      </c>
      <c r="D227" s="15">
        <f t="shared" si="27"/>
        <v>267.97516199999995</v>
      </c>
      <c r="E227" s="15">
        <v>0</v>
      </c>
      <c r="F227" s="15">
        <f t="shared" si="23"/>
        <v>267.97516199999995</v>
      </c>
      <c r="G227" s="15">
        <v>0</v>
      </c>
      <c r="H227" s="15">
        <f t="shared" si="24"/>
        <v>401.96274299999993</v>
      </c>
    </row>
    <row r="228" spans="1:9" x14ac:dyDescent="0.2">
      <c r="A228" s="90">
        <f t="shared" si="25"/>
        <v>22</v>
      </c>
      <c r="B228" s="91"/>
      <c r="C228" s="16" t="s">
        <v>218</v>
      </c>
      <c r="D228" s="15">
        <f>(6.3*4.5+1.75*2.92+1.2*1.4+0.45*0.65)*(10.764)</f>
        <v>381.39542999999986</v>
      </c>
      <c r="E228" s="15">
        <v>0</v>
      </c>
      <c r="F228" s="15">
        <f t="shared" si="23"/>
        <v>381.39542999999986</v>
      </c>
      <c r="G228" s="15">
        <v>0</v>
      </c>
      <c r="H228" s="15">
        <f t="shared" si="24"/>
        <v>572.09314499999982</v>
      </c>
    </row>
    <row r="229" spans="1:9" x14ac:dyDescent="0.2">
      <c r="A229" s="90">
        <f t="shared" si="25"/>
        <v>23</v>
      </c>
      <c r="B229" s="91"/>
      <c r="C229" s="16" t="s">
        <v>218</v>
      </c>
      <c r="D229" s="15">
        <f>(6.3*4.45+1.75*2.8+1.2*1.4+0.45*0.65)*(10.764)</f>
        <v>375.74432999999999</v>
      </c>
      <c r="E229" s="15">
        <v>0</v>
      </c>
      <c r="F229" s="15">
        <f t="shared" si="23"/>
        <v>375.74432999999999</v>
      </c>
      <c r="G229" s="15">
        <v>0</v>
      </c>
      <c r="H229" s="15">
        <f t="shared" si="24"/>
        <v>563.61649499999999</v>
      </c>
    </row>
    <row r="230" spans="1:9" x14ac:dyDescent="0.2">
      <c r="A230" s="90">
        <f t="shared" si="25"/>
        <v>24</v>
      </c>
      <c r="B230" s="91"/>
      <c r="C230" s="16" t="s">
        <v>218</v>
      </c>
      <c r="D230" s="15">
        <f>(6.3*4.47+1.75*2.81+1.2*1.4+0.45*0.65)*(10.764)</f>
        <v>377.28896399999991</v>
      </c>
      <c r="E230" s="15">
        <v>0</v>
      </c>
      <c r="F230" s="15">
        <f t="shared" si="23"/>
        <v>377.28896399999991</v>
      </c>
      <c r="G230" s="15">
        <v>0</v>
      </c>
      <c r="H230" s="15">
        <f t="shared" si="24"/>
        <v>565.93344599999989</v>
      </c>
    </row>
    <row r="231" spans="1:9" x14ac:dyDescent="0.2">
      <c r="A231" s="90">
        <f t="shared" si="25"/>
        <v>25</v>
      </c>
      <c r="B231" s="91"/>
      <c r="C231" s="16" t="s">
        <v>218</v>
      </c>
      <c r="D231" s="15">
        <f>(6.3*4.45+1.75*2.8+1.2*1.4+0.45*0.65)*(10.764)</f>
        <v>375.74432999999999</v>
      </c>
      <c r="E231" s="15">
        <v>0</v>
      </c>
      <c r="F231" s="15">
        <f t="shared" si="23"/>
        <v>375.74432999999999</v>
      </c>
      <c r="G231" s="15">
        <v>0</v>
      </c>
      <c r="H231" s="15">
        <f t="shared" si="24"/>
        <v>563.61649499999999</v>
      </c>
    </row>
    <row r="232" spans="1:9" x14ac:dyDescent="0.2">
      <c r="A232" s="90">
        <f t="shared" si="25"/>
        <v>26</v>
      </c>
      <c r="B232" s="91"/>
      <c r="C232" s="16" t="s">
        <v>218</v>
      </c>
      <c r="D232" s="15">
        <f>(6.3*4.5+1.75*1.62+1.7*1.15+1.15*1.4+0.65*0.45)*(10.764)</f>
        <v>377.19746999999995</v>
      </c>
      <c r="E232" s="15">
        <v>0</v>
      </c>
      <c r="F232" s="15">
        <f>D232+(IF(E232&lt;201,E232,IF(E232&lt;301,E232/2,E232/3)))</f>
        <v>377.19746999999995</v>
      </c>
      <c r="G232" s="15">
        <v>0</v>
      </c>
      <c r="H232" s="15">
        <f t="shared" si="24"/>
        <v>565.79620499999987</v>
      </c>
      <c r="I232" s="6">
        <f>(3.35*8.7+1.78*1.75+1.4*1.2+0.65*0.45)*10.764</f>
        <v>368.4786299999999</v>
      </c>
    </row>
    <row r="233" spans="1:9" x14ac:dyDescent="0.2">
      <c r="A233" s="90">
        <f t="shared" si="25"/>
        <v>27</v>
      </c>
      <c r="B233" s="91"/>
      <c r="C233" s="16" t="s">
        <v>218</v>
      </c>
      <c r="D233" s="15">
        <f>(3.35*8.7+1.85*1.75+1.4*1.2+0.65*0.45)*(10.764)</f>
        <v>369.79721999999992</v>
      </c>
      <c r="E233" s="15">
        <v>0</v>
      </c>
      <c r="F233" s="15">
        <f t="shared" ref="F233:F253" si="28">D233+(IF(E233&lt;201,E233,IF(E233&lt;301,E233/2,E233/3)))</f>
        <v>369.79721999999992</v>
      </c>
      <c r="G233" s="15">
        <v>0</v>
      </c>
      <c r="H233" s="15">
        <f t="shared" si="24"/>
        <v>554.69582999999989</v>
      </c>
    </row>
    <row r="234" spans="1:9" x14ac:dyDescent="0.2">
      <c r="A234" s="90">
        <f t="shared" si="25"/>
        <v>28</v>
      </c>
      <c r="B234" s="91"/>
      <c r="C234" s="16" t="s">
        <v>218</v>
      </c>
      <c r="D234" s="15">
        <f>(3.35*8.7+1.78*1.75+1.4*1.2+0.65*0.45)*(10.764)</f>
        <v>368.4786299999999</v>
      </c>
      <c r="E234" s="15">
        <v>0</v>
      </c>
      <c r="F234" s="15">
        <f t="shared" si="28"/>
        <v>368.4786299999999</v>
      </c>
      <c r="G234" s="15">
        <v>0</v>
      </c>
      <c r="H234" s="15">
        <f t="shared" si="24"/>
        <v>552.71794499999987</v>
      </c>
    </row>
    <row r="235" spans="1:9" x14ac:dyDescent="0.2">
      <c r="A235" s="90">
        <f t="shared" si="25"/>
        <v>29</v>
      </c>
      <c r="B235" s="91"/>
      <c r="C235" s="16" t="s">
        <v>218</v>
      </c>
      <c r="D235" s="15">
        <f>(3.35*8.7+1.77*1.75+1.4*1.2+0.65*0.45)*(10.764)</f>
        <v>368.29025999999993</v>
      </c>
      <c r="E235" s="15">
        <v>0</v>
      </c>
      <c r="F235" s="15">
        <f t="shared" si="28"/>
        <v>368.29025999999993</v>
      </c>
      <c r="G235" s="15">
        <v>0</v>
      </c>
      <c r="H235" s="15">
        <f t="shared" si="24"/>
        <v>552.43538999999987</v>
      </c>
    </row>
    <row r="236" spans="1:9" x14ac:dyDescent="0.2">
      <c r="A236" s="90">
        <f t="shared" si="25"/>
        <v>30</v>
      </c>
      <c r="B236" s="91"/>
      <c r="C236" s="16" t="s">
        <v>218</v>
      </c>
      <c r="D236" s="15">
        <f>(3.35*8.7+1.78*1.75+1.4*1.2+0.65*0.45)*(10.764)</f>
        <v>368.4786299999999</v>
      </c>
      <c r="E236" s="15">
        <v>0</v>
      </c>
      <c r="F236" s="15">
        <f t="shared" si="28"/>
        <v>368.4786299999999</v>
      </c>
      <c r="G236" s="15">
        <v>0</v>
      </c>
      <c r="H236" s="15">
        <f t="shared" si="24"/>
        <v>552.71794499999987</v>
      </c>
    </row>
    <row r="237" spans="1:9" x14ac:dyDescent="0.2">
      <c r="A237" s="90">
        <f t="shared" si="25"/>
        <v>31</v>
      </c>
      <c r="B237" s="91"/>
      <c r="C237" s="16" t="s">
        <v>218</v>
      </c>
      <c r="D237" s="15">
        <f>(3.35*8.7+1.77*1.75+1.4*1.2+0.65*0.45)*(10.764)</f>
        <v>368.29025999999993</v>
      </c>
      <c r="E237" s="15">
        <v>0</v>
      </c>
      <c r="F237" s="15">
        <f t="shared" si="28"/>
        <v>368.29025999999993</v>
      </c>
      <c r="G237" s="15">
        <v>0</v>
      </c>
      <c r="H237" s="15">
        <f t="shared" si="24"/>
        <v>552.43538999999987</v>
      </c>
    </row>
    <row r="238" spans="1:9" x14ac:dyDescent="0.2">
      <c r="A238" s="90">
        <f t="shared" si="25"/>
        <v>32</v>
      </c>
      <c r="B238" s="91"/>
      <c r="C238" s="16" t="s">
        <v>218</v>
      </c>
      <c r="D238" s="15">
        <f>(3.35*8.7+1.78*1.75+1.4*1.2+0.65*0.45)*(10.764)</f>
        <v>368.4786299999999</v>
      </c>
      <c r="E238" s="15">
        <v>0</v>
      </c>
      <c r="F238" s="15">
        <f t="shared" si="28"/>
        <v>368.4786299999999</v>
      </c>
      <c r="G238" s="15">
        <v>0</v>
      </c>
      <c r="H238" s="15">
        <f t="shared" si="24"/>
        <v>552.71794499999987</v>
      </c>
    </row>
    <row r="239" spans="1:9" x14ac:dyDescent="0.2">
      <c r="A239" s="90">
        <f t="shared" si="25"/>
        <v>33</v>
      </c>
      <c r="B239" s="91"/>
      <c r="C239" s="16" t="s">
        <v>218</v>
      </c>
      <c r="D239" s="15">
        <f>(3.35*8.7+1.77*1.75+1.4*1.2+0.65*0.45)*(10.764)</f>
        <v>368.29025999999993</v>
      </c>
      <c r="E239" s="15">
        <v>0</v>
      </c>
      <c r="F239" s="15">
        <f t="shared" si="28"/>
        <v>368.29025999999993</v>
      </c>
      <c r="G239" s="15">
        <v>0</v>
      </c>
      <c r="H239" s="15">
        <f t="shared" si="24"/>
        <v>552.43538999999987</v>
      </c>
    </row>
    <row r="240" spans="1:9" x14ac:dyDescent="0.2">
      <c r="A240" s="90">
        <f t="shared" si="25"/>
        <v>34</v>
      </c>
      <c r="B240" s="91"/>
      <c r="C240" s="16" t="s">
        <v>218</v>
      </c>
      <c r="D240" s="15">
        <f>(3.35*8.7+1.78*1.75+1.4*1.2+0.65*0.45)*(10.764)</f>
        <v>368.4786299999999</v>
      </c>
      <c r="E240" s="15">
        <v>0</v>
      </c>
      <c r="F240" s="15">
        <f t="shared" si="28"/>
        <v>368.4786299999999</v>
      </c>
      <c r="G240" s="15">
        <v>0</v>
      </c>
      <c r="H240" s="15">
        <f t="shared" si="24"/>
        <v>552.71794499999987</v>
      </c>
    </row>
    <row r="241" spans="1:11" x14ac:dyDescent="0.2">
      <c r="A241" s="90">
        <f t="shared" si="25"/>
        <v>35</v>
      </c>
      <c r="B241" s="91"/>
      <c r="C241" s="16" t="s">
        <v>218</v>
      </c>
      <c r="D241" s="15">
        <f>(3.35*8.7+1.77*1.75+1.4*1.2+0.65*0.45)*(10.764)</f>
        <v>368.29025999999993</v>
      </c>
      <c r="E241" s="15">
        <v>0</v>
      </c>
      <c r="F241" s="15">
        <f t="shared" si="28"/>
        <v>368.29025999999993</v>
      </c>
      <c r="G241" s="15">
        <v>0</v>
      </c>
      <c r="H241" s="15">
        <f t="shared" si="24"/>
        <v>552.43538999999987</v>
      </c>
    </row>
    <row r="242" spans="1:11" x14ac:dyDescent="0.2">
      <c r="A242" s="90">
        <f t="shared" si="25"/>
        <v>36</v>
      </c>
      <c r="B242" s="91"/>
      <c r="C242" s="16" t="s">
        <v>218</v>
      </c>
      <c r="D242" s="15">
        <f>(3.35*8.7+1.78*1.75+1.4*1.2+0.65*0.45)*(10.764)</f>
        <v>368.4786299999999</v>
      </c>
      <c r="E242" s="15">
        <v>0</v>
      </c>
      <c r="F242" s="15">
        <f t="shared" si="28"/>
        <v>368.4786299999999</v>
      </c>
      <c r="G242" s="15">
        <v>0</v>
      </c>
      <c r="H242" s="15">
        <f t="shared" si="24"/>
        <v>552.71794499999987</v>
      </c>
    </row>
    <row r="243" spans="1:11" x14ac:dyDescent="0.2">
      <c r="A243" s="90">
        <v>39</v>
      </c>
      <c r="B243" s="91"/>
      <c r="C243" s="16" t="s">
        <v>218</v>
      </c>
      <c r="D243" s="15">
        <f>(3.35*8.7+1.77*1.75+1.4*1.2+0.65*0.45)*(10.764)</f>
        <v>368.29025999999993</v>
      </c>
      <c r="E243" s="15">
        <v>0</v>
      </c>
      <c r="F243" s="15">
        <f t="shared" si="28"/>
        <v>368.29025999999993</v>
      </c>
      <c r="G243" s="15">
        <v>0</v>
      </c>
      <c r="H243" s="15">
        <f t="shared" si="24"/>
        <v>552.43538999999987</v>
      </c>
    </row>
    <row r="244" spans="1:11" x14ac:dyDescent="0.2">
      <c r="A244" s="90">
        <f t="shared" si="25"/>
        <v>40</v>
      </c>
      <c r="B244" s="91"/>
      <c r="C244" s="16" t="s">
        <v>218</v>
      </c>
      <c r="D244" s="15">
        <f>(3.35*8.7+1.78*1.75+1.4*1.2+0.65*0.45)*(10.764)</f>
        <v>368.4786299999999</v>
      </c>
      <c r="E244" s="15">
        <v>0</v>
      </c>
      <c r="F244" s="15">
        <f t="shared" si="28"/>
        <v>368.4786299999999</v>
      </c>
      <c r="G244" s="15">
        <v>0</v>
      </c>
      <c r="H244" s="15">
        <f t="shared" si="24"/>
        <v>552.71794499999987</v>
      </c>
    </row>
    <row r="245" spans="1:11" x14ac:dyDescent="0.2">
      <c r="A245" s="90">
        <f t="shared" si="25"/>
        <v>41</v>
      </c>
      <c r="B245" s="91"/>
      <c r="C245" s="16" t="s">
        <v>218</v>
      </c>
      <c r="D245" s="15">
        <f>(3.35*8.7+1.77*1.75+1.4*1.2+0.65*0.45)*(10.764)</f>
        <v>368.29025999999993</v>
      </c>
      <c r="E245" s="15">
        <v>0</v>
      </c>
      <c r="F245" s="15">
        <f t="shared" si="28"/>
        <v>368.29025999999993</v>
      </c>
      <c r="G245" s="15">
        <v>0</v>
      </c>
      <c r="H245" s="15">
        <f t="shared" si="24"/>
        <v>552.43538999999987</v>
      </c>
    </row>
    <row r="246" spans="1:11" x14ac:dyDescent="0.2">
      <c r="A246" s="90">
        <f t="shared" si="25"/>
        <v>42</v>
      </c>
      <c r="B246" s="91"/>
      <c r="C246" s="16" t="s">
        <v>218</v>
      </c>
      <c r="D246" s="15">
        <f>(3.35*8.7+1.78*1.75+1.4*1.2+0.65*0.45)*(10.764)</f>
        <v>368.4786299999999</v>
      </c>
      <c r="E246" s="15">
        <v>0</v>
      </c>
      <c r="F246" s="15">
        <f t="shared" si="28"/>
        <v>368.4786299999999</v>
      </c>
      <c r="G246" s="15">
        <v>0</v>
      </c>
      <c r="H246" s="15">
        <f t="shared" si="24"/>
        <v>552.71794499999987</v>
      </c>
    </row>
    <row r="247" spans="1:11" x14ac:dyDescent="0.2">
      <c r="A247" s="90">
        <f t="shared" si="25"/>
        <v>43</v>
      </c>
      <c r="B247" s="91"/>
      <c r="C247" s="16" t="s">
        <v>218</v>
      </c>
      <c r="D247" s="15">
        <f>(3.35*8.7+1.77*1.75+1.4*1.2+0.65*0.45)*(10.764)</f>
        <v>368.29025999999993</v>
      </c>
      <c r="E247" s="15">
        <v>0</v>
      </c>
      <c r="F247" s="15">
        <f t="shared" si="28"/>
        <v>368.29025999999993</v>
      </c>
      <c r="G247" s="15">
        <v>0</v>
      </c>
      <c r="H247" s="15">
        <f t="shared" si="24"/>
        <v>552.43538999999987</v>
      </c>
    </row>
    <row r="248" spans="1:11" x14ac:dyDescent="0.2">
      <c r="A248" s="90">
        <f t="shared" si="25"/>
        <v>44</v>
      </c>
      <c r="B248" s="91"/>
      <c r="C248" s="16" t="s">
        <v>218</v>
      </c>
      <c r="D248" s="15">
        <f>(3.35*8.7+1.78*1.75+1.4*1.2+0.65*0.45)*(10.764)</f>
        <v>368.4786299999999</v>
      </c>
      <c r="E248" s="15">
        <v>0</v>
      </c>
      <c r="F248" s="15">
        <f t="shared" si="28"/>
        <v>368.4786299999999</v>
      </c>
      <c r="G248" s="15">
        <v>0</v>
      </c>
      <c r="H248" s="15">
        <f t="shared" si="24"/>
        <v>552.71794499999987</v>
      </c>
    </row>
    <row r="249" spans="1:11" x14ac:dyDescent="0.2">
      <c r="A249" s="90">
        <f t="shared" si="25"/>
        <v>45</v>
      </c>
      <c r="B249" s="91"/>
      <c r="C249" s="16" t="s">
        <v>218</v>
      </c>
      <c r="D249" s="15">
        <f>(3.35*8.7+1.77*1.75+1.4*1.2+0.65*0.45)*(10.764)</f>
        <v>368.29025999999993</v>
      </c>
      <c r="E249" s="15">
        <v>0</v>
      </c>
      <c r="F249" s="15">
        <f t="shared" si="28"/>
        <v>368.29025999999993</v>
      </c>
      <c r="G249" s="15">
        <v>0</v>
      </c>
      <c r="H249" s="15">
        <f t="shared" si="24"/>
        <v>552.43538999999987</v>
      </c>
    </row>
    <row r="250" spans="1:11" x14ac:dyDescent="0.2">
      <c r="A250" s="90">
        <f t="shared" si="25"/>
        <v>46</v>
      </c>
      <c r="B250" s="91"/>
      <c r="C250" s="16" t="s">
        <v>218</v>
      </c>
      <c r="D250" s="15">
        <f>(3.35*8.7+1.78*1.75+1.4*1.2+0.65*0.45)*(10.764)</f>
        <v>368.4786299999999</v>
      </c>
      <c r="E250" s="15">
        <v>0</v>
      </c>
      <c r="F250" s="15">
        <f t="shared" si="28"/>
        <v>368.4786299999999</v>
      </c>
      <c r="G250" s="15">
        <v>0</v>
      </c>
      <c r="H250" s="15">
        <f t="shared" si="24"/>
        <v>552.71794499999987</v>
      </c>
      <c r="I250" s="86">
        <f>7200000/H253</f>
        <v>13281.041225663466</v>
      </c>
    </row>
    <row r="251" spans="1:11" x14ac:dyDescent="0.2">
      <c r="A251" s="90">
        <f t="shared" si="25"/>
        <v>47</v>
      </c>
      <c r="B251" s="91"/>
      <c r="C251" s="16" t="s">
        <v>218</v>
      </c>
      <c r="D251" s="15">
        <f>(3.35*8.7+1.77*1.75+1.4*1.2+0.65*0.45)*(10.764)</f>
        <v>368.29025999999993</v>
      </c>
      <c r="E251" s="15">
        <v>0</v>
      </c>
      <c r="F251" s="15">
        <f t="shared" si="28"/>
        <v>368.29025999999993</v>
      </c>
      <c r="G251" s="15">
        <v>0</v>
      </c>
      <c r="H251" s="15">
        <f t="shared" si="24"/>
        <v>552.43538999999987</v>
      </c>
      <c r="I251" s="69">
        <f>1</f>
        <v>1</v>
      </c>
    </row>
    <row r="252" spans="1:11" x14ac:dyDescent="0.2">
      <c r="A252" s="90">
        <f t="shared" si="25"/>
        <v>48</v>
      </c>
      <c r="B252" s="91"/>
      <c r="C252" s="16" t="s">
        <v>218</v>
      </c>
      <c r="D252" s="15">
        <f>(3.35*8.7+1.85*1.75+1.4*1.2+0.65*0.45)*(10.764)</f>
        <v>369.79721999999992</v>
      </c>
      <c r="E252" s="15">
        <v>0</v>
      </c>
      <c r="F252" s="15">
        <f t="shared" si="28"/>
        <v>369.79721999999992</v>
      </c>
      <c r="G252" s="15">
        <v>0</v>
      </c>
      <c r="H252" s="15">
        <f t="shared" si="24"/>
        <v>554.69582999999989</v>
      </c>
    </row>
    <row r="253" spans="1:11" x14ac:dyDescent="0.2">
      <c r="A253" s="90">
        <f t="shared" si="25"/>
        <v>49</v>
      </c>
      <c r="B253" s="91"/>
      <c r="C253" s="16" t="s">
        <v>218</v>
      </c>
      <c r="D253" s="15">
        <f>(6.72*4.15+1.65*1.35+1.6*0.89+1.05*1.55+0.45*0.91)*(10.764)</f>
        <v>361.41744599999998</v>
      </c>
      <c r="E253" s="15">
        <v>0</v>
      </c>
      <c r="F253" s="15">
        <f t="shared" si="28"/>
        <v>361.41744599999998</v>
      </c>
      <c r="G253" s="15">
        <v>0</v>
      </c>
      <c r="H253" s="15">
        <f t="shared" si="24"/>
        <v>542.126169</v>
      </c>
      <c r="I253" s="6">
        <f>51-3</f>
        <v>48</v>
      </c>
      <c r="K253" s="84">
        <f>COUNT(F256:F303)</f>
        <v>48</v>
      </c>
    </row>
    <row r="254" spans="1:11" x14ac:dyDescent="0.2">
      <c r="A254" s="90">
        <f t="shared" si="25"/>
        <v>50</v>
      </c>
      <c r="B254" s="91"/>
      <c r="C254" s="16" t="s">
        <v>218</v>
      </c>
      <c r="D254" s="15">
        <f>(6.72*4.01+1.65*2.52+1.05*1.55+0.45*0.91)*(10.764)</f>
        <v>356.74264079999995</v>
      </c>
      <c r="E254" s="15">
        <v>0</v>
      </c>
      <c r="F254" s="15">
        <f t="shared" ref="F254" si="29">D254+(IF(E254&lt;201,E254,IF(E254&lt;301,E254/2,E254/3)))</f>
        <v>356.74264079999995</v>
      </c>
      <c r="G254" s="15">
        <v>0</v>
      </c>
      <c r="H254" s="15">
        <f t="shared" ref="H254" si="30">F254*(($H$122)+1)+(IF(G254&lt;101,G254,IF(G254&lt;201,G254/2,IF(G254&lt;=301,G254/3,G254/4))))</f>
        <v>535.11396119999995</v>
      </c>
    </row>
    <row r="255" spans="1:11" x14ac:dyDescent="0.2">
      <c r="A255" s="94" t="s">
        <v>288</v>
      </c>
      <c r="B255" s="94"/>
      <c r="C255" s="94"/>
      <c r="D255" s="94"/>
      <c r="E255" s="94"/>
      <c r="F255" s="94"/>
      <c r="G255" s="94"/>
      <c r="H255" s="94"/>
    </row>
    <row r="256" spans="1:11" x14ac:dyDescent="0.2">
      <c r="A256" s="90">
        <v>3</v>
      </c>
      <c r="B256" s="91"/>
      <c r="C256" s="16" t="s">
        <v>282</v>
      </c>
      <c r="D256" s="15">
        <f>(4.49*5.31+2.24*2.35+0.5*1.6+1.55*1.5+0.6*0.3)*(10.764)</f>
        <v>348.87092759999996</v>
      </c>
      <c r="E256" s="15">
        <v>0</v>
      </c>
      <c r="F256" s="15">
        <f t="shared" ref="F256:F273" si="31">D256+(IF(E256&lt;201,E256,IF(E256&lt;301,E256/2,E256/3)))</f>
        <v>348.87092759999996</v>
      </c>
      <c r="G256" s="15">
        <v>0</v>
      </c>
      <c r="H256" s="15">
        <f t="shared" ref="H256:H285" si="32">F256*(($H$122)+1)+(IF(G256&lt;101,G256,IF(G256&lt;201,G256/2,IF(G256&lt;=301,G256/3,G256/4))))</f>
        <v>523.30639139999994</v>
      </c>
    </row>
    <row r="257" spans="1:9" x14ac:dyDescent="0.2">
      <c r="A257" s="90">
        <f t="shared" ref="A257:A303" si="33">A256+1</f>
        <v>4</v>
      </c>
      <c r="B257" s="91"/>
      <c r="C257" s="16" t="s">
        <v>282</v>
      </c>
      <c r="D257" s="15">
        <f>(3.35*6.06+1.78*1.6+1.4*1.05+0.65*0.45)*(10.764)</f>
        <v>268.14738599999993</v>
      </c>
      <c r="E257" s="15">
        <v>0</v>
      </c>
      <c r="F257" s="15">
        <f t="shared" si="31"/>
        <v>268.14738599999993</v>
      </c>
      <c r="G257" s="15">
        <v>0</v>
      </c>
      <c r="H257" s="15">
        <f t="shared" si="32"/>
        <v>402.22107899999992</v>
      </c>
    </row>
    <row r="258" spans="1:9" x14ac:dyDescent="0.2">
      <c r="A258" s="90">
        <f t="shared" si="33"/>
        <v>5</v>
      </c>
      <c r="B258" s="91"/>
      <c r="C258" s="16" t="s">
        <v>282</v>
      </c>
      <c r="D258" s="15">
        <f t="shared" ref="D258:D264" si="34">(3.35*6.06+1.77*1.6+1.4*1.05+0.65*0.45)*(10.764)</f>
        <v>267.97516199999995</v>
      </c>
      <c r="E258" s="15">
        <v>0</v>
      </c>
      <c r="F258" s="15">
        <f t="shared" si="31"/>
        <v>267.97516199999995</v>
      </c>
      <c r="G258" s="15">
        <v>0</v>
      </c>
      <c r="H258" s="15">
        <f t="shared" si="32"/>
        <v>401.96274299999993</v>
      </c>
    </row>
    <row r="259" spans="1:9" x14ac:dyDescent="0.2">
      <c r="A259" s="90">
        <f t="shared" si="33"/>
        <v>6</v>
      </c>
      <c r="B259" s="91"/>
      <c r="C259" s="16" t="s">
        <v>282</v>
      </c>
      <c r="D259" s="15">
        <f>(3.35*6.06+1.78*1.6+1.4*1.05+0.65*0.45)*(10.764)</f>
        <v>268.14738599999993</v>
      </c>
      <c r="E259" s="15">
        <v>0</v>
      </c>
      <c r="F259" s="15">
        <f t="shared" si="31"/>
        <v>268.14738599999993</v>
      </c>
      <c r="G259" s="15">
        <v>0</v>
      </c>
      <c r="H259" s="15">
        <f t="shared" si="32"/>
        <v>402.22107899999992</v>
      </c>
    </row>
    <row r="260" spans="1:9" x14ac:dyDescent="0.2">
      <c r="A260" s="90">
        <f t="shared" si="33"/>
        <v>7</v>
      </c>
      <c r="B260" s="91"/>
      <c r="C260" s="16" t="s">
        <v>282</v>
      </c>
      <c r="D260" s="15">
        <f t="shared" si="34"/>
        <v>267.97516199999995</v>
      </c>
      <c r="E260" s="15">
        <v>0</v>
      </c>
      <c r="F260" s="15">
        <f t="shared" si="31"/>
        <v>267.97516199999995</v>
      </c>
      <c r="G260" s="15">
        <v>0</v>
      </c>
      <c r="H260" s="15">
        <f t="shared" si="32"/>
        <v>401.96274299999993</v>
      </c>
    </row>
    <row r="261" spans="1:9" x14ac:dyDescent="0.2">
      <c r="A261" s="90">
        <f t="shared" si="33"/>
        <v>8</v>
      </c>
      <c r="B261" s="91"/>
      <c r="C261" s="16" t="s">
        <v>282</v>
      </c>
      <c r="D261" s="15">
        <f>(3.35*5.31+1.7*1.6+1.55*1.05+1.2*0.75+0.65*0.3)*(10.764)</f>
        <v>250.05848399999996</v>
      </c>
      <c r="E261" s="15">
        <v>0</v>
      </c>
      <c r="F261" s="15">
        <f t="shared" si="31"/>
        <v>250.05848399999996</v>
      </c>
      <c r="G261" s="15">
        <v>0</v>
      </c>
      <c r="H261" s="15">
        <f t="shared" si="32"/>
        <v>375.08772599999998</v>
      </c>
    </row>
    <row r="262" spans="1:9" x14ac:dyDescent="0.2">
      <c r="A262" s="90">
        <f t="shared" si="33"/>
        <v>9</v>
      </c>
      <c r="B262" s="91"/>
      <c r="C262" s="16" t="s">
        <v>282</v>
      </c>
      <c r="D262" s="15">
        <f>(3.35*5.31+1.62*1.6+1.63*1.05+1.2*0.75+0.6*0.3)*(10.764)</f>
        <v>249.42340799999997</v>
      </c>
      <c r="E262" s="15">
        <v>0</v>
      </c>
      <c r="F262" s="15">
        <f t="shared" si="31"/>
        <v>249.42340799999997</v>
      </c>
      <c r="G262" s="15">
        <v>0</v>
      </c>
      <c r="H262" s="15">
        <f t="shared" si="32"/>
        <v>374.13511199999994</v>
      </c>
    </row>
    <row r="263" spans="1:9" x14ac:dyDescent="0.2">
      <c r="A263" s="90">
        <f t="shared" si="33"/>
        <v>10</v>
      </c>
      <c r="B263" s="91"/>
      <c r="C263" s="16" t="s">
        <v>282</v>
      </c>
      <c r="D263" s="15">
        <f>(3.35*6.06+1.78*1.6+1.4*1.05+0.65*0.45)*(10.764)</f>
        <v>268.14738599999993</v>
      </c>
      <c r="E263" s="15">
        <v>0</v>
      </c>
      <c r="F263" s="15">
        <f t="shared" si="31"/>
        <v>268.14738599999993</v>
      </c>
      <c r="G263" s="15">
        <v>0</v>
      </c>
      <c r="H263" s="15">
        <f t="shared" si="32"/>
        <v>402.22107899999992</v>
      </c>
    </row>
    <row r="264" spans="1:9" x14ac:dyDescent="0.2">
      <c r="A264" s="90">
        <f t="shared" si="33"/>
        <v>11</v>
      </c>
      <c r="B264" s="91"/>
      <c r="C264" s="16" t="s">
        <v>282</v>
      </c>
      <c r="D264" s="15">
        <f t="shared" si="34"/>
        <v>267.97516199999995</v>
      </c>
      <c r="E264" s="15">
        <v>0</v>
      </c>
      <c r="F264" s="15">
        <f t="shared" si="31"/>
        <v>267.97516199999995</v>
      </c>
      <c r="G264" s="15">
        <v>0</v>
      </c>
      <c r="H264" s="15">
        <f t="shared" si="32"/>
        <v>401.96274299999993</v>
      </c>
    </row>
    <row r="265" spans="1:9" x14ac:dyDescent="0.2">
      <c r="A265" s="90">
        <f t="shared" si="33"/>
        <v>12</v>
      </c>
      <c r="B265" s="91"/>
      <c r="C265" s="16" t="s">
        <v>282</v>
      </c>
      <c r="D265" s="15">
        <f>(3.35*6.06+1.85*1.6+1.4*1.05+0.65*0.45)*(10.764)</f>
        <v>269.35295399999995</v>
      </c>
      <c r="E265" s="15">
        <v>0</v>
      </c>
      <c r="F265" s="15">
        <f t="shared" si="31"/>
        <v>269.35295399999995</v>
      </c>
      <c r="G265" s="15">
        <v>0</v>
      </c>
      <c r="H265" s="15">
        <f t="shared" si="32"/>
        <v>404.02943099999993</v>
      </c>
    </row>
    <row r="266" spans="1:9" x14ac:dyDescent="0.2">
      <c r="A266" s="90">
        <v>14</v>
      </c>
      <c r="B266" s="91"/>
      <c r="C266" s="16" t="s">
        <v>282</v>
      </c>
      <c r="D266" s="15">
        <f>(3.35*6.06+1.7*1.6+1.4*1.05+0.65*0.45)*(10.764)</f>
        <v>266.76959399999993</v>
      </c>
      <c r="E266" s="15">
        <v>0</v>
      </c>
      <c r="F266" s="15">
        <f t="shared" si="31"/>
        <v>266.76959399999993</v>
      </c>
      <c r="G266" s="15">
        <v>0</v>
      </c>
      <c r="H266" s="15">
        <f t="shared" si="32"/>
        <v>400.15439099999992</v>
      </c>
    </row>
    <row r="267" spans="1:9" x14ac:dyDescent="0.2">
      <c r="A267" s="90">
        <f t="shared" si="33"/>
        <v>15</v>
      </c>
      <c r="B267" s="91"/>
      <c r="C267" s="16" t="s">
        <v>282</v>
      </c>
      <c r="D267" s="15">
        <f>(3.35*6.06+1.78*1.6+1.4*1.05+0.65*0.45)*(10.764)</f>
        <v>268.14738599999993</v>
      </c>
      <c r="E267" s="15">
        <v>0</v>
      </c>
      <c r="F267" s="15">
        <f t="shared" si="31"/>
        <v>268.14738599999993</v>
      </c>
      <c r="G267" s="15">
        <v>0</v>
      </c>
      <c r="H267" s="15">
        <f t="shared" si="32"/>
        <v>402.22107899999992</v>
      </c>
      <c r="I267" s="85">
        <f>82*500</f>
        <v>41000</v>
      </c>
    </row>
    <row r="268" spans="1:9" x14ac:dyDescent="0.2">
      <c r="A268" s="90">
        <f t="shared" si="33"/>
        <v>16</v>
      </c>
      <c r="B268" s="91"/>
      <c r="C268" s="16" t="s">
        <v>282</v>
      </c>
      <c r="D268" s="15">
        <f t="shared" ref="D268:D272" si="35">(3.35*6.06+1.77*1.6+1.4*1.05+0.65*0.45)*(10.764)</f>
        <v>267.97516199999995</v>
      </c>
      <c r="E268" s="15">
        <v>0</v>
      </c>
      <c r="F268" s="15">
        <f t="shared" si="31"/>
        <v>267.97516199999995</v>
      </c>
      <c r="G268" s="15">
        <v>0</v>
      </c>
      <c r="H268" s="15">
        <f t="shared" si="32"/>
        <v>401.96274299999993</v>
      </c>
    </row>
    <row r="269" spans="1:9" x14ac:dyDescent="0.2">
      <c r="A269" s="90">
        <f t="shared" si="33"/>
        <v>17</v>
      </c>
      <c r="B269" s="91"/>
      <c r="C269" s="16" t="s">
        <v>282</v>
      </c>
      <c r="D269" s="15">
        <f>(3.35*6.06+1.78*1.6+1.4*1.05+0.65*0.45)*(10.764)</f>
        <v>268.14738599999993</v>
      </c>
      <c r="E269" s="15">
        <v>0</v>
      </c>
      <c r="F269" s="15">
        <f t="shared" si="31"/>
        <v>268.14738599999993</v>
      </c>
      <c r="G269" s="15">
        <v>0</v>
      </c>
      <c r="H269" s="15">
        <f t="shared" si="32"/>
        <v>402.22107899999992</v>
      </c>
    </row>
    <row r="270" spans="1:9" x14ac:dyDescent="0.2">
      <c r="A270" s="90">
        <f t="shared" si="33"/>
        <v>18</v>
      </c>
      <c r="B270" s="91"/>
      <c r="C270" s="16" t="s">
        <v>282</v>
      </c>
      <c r="D270" s="15">
        <f t="shared" si="35"/>
        <v>267.97516199999995</v>
      </c>
      <c r="E270" s="15">
        <v>0</v>
      </c>
      <c r="F270" s="15">
        <f t="shared" si="31"/>
        <v>267.97516199999995</v>
      </c>
      <c r="G270" s="15">
        <v>0</v>
      </c>
      <c r="H270" s="15">
        <f t="shared" si="32"/>
        <v>401.96274299999993</v>
      </c>
    </row>
    <row r="271" spans="1:9" x14ac:dyDescent="0.2">
      <c r="A271" s="90">
        <f t="shared" si="33"/>
        <v>19</v>
      </c>
      <c r="B271" s="91"/>
      <c r="C271" s="16" t="s">
        <v>282</v>
      </c>
      <c r="D271" s="15">
        <f>(3.35*6.06+1.78*1.6+1.4*1.05+0.65*0.45)*(10.764)</f>
        <v>268.14738599999993</v>
      </c>
      <c r="E271" s="15">
        <v>0</v>
      </c>
      <c r="F271" s="15">
        <f t="shared" si="31"/>
        <v>268.14738599999993</v>
      </c>
      <c r="G271" s="15">
        <v>0</v>
      </c>
      <c r="H271" s="15">
        <f t="shared" si="32"/>
        <v>402.22107899999992</v>
      </c>
    </row>
    <row r="272" spans="1:9" x14ac:dyDescent="0.2">
      <c r="A272" s="90">
        <f t="shared" si="33"/>
        <v>20</v>
      </c>
      <c r="B272" s="91"/>
      <c r="C272" s="16" t="s">
        <v>282</v>
      </c>
      <c r="D272" s="15">
        <f t="shared" si="35"/>
        <v>267.97516199999995</v>
      </c>
      <c r="E272" s="15">
        <v>0</v>
      </c>
      <c r="F272" s="15">
        <f t="shared" si="31"/>
        <v>267.97516199999995</v>
      </c>
      <c r="G272" s="15">
        <v>0</v>
      </c>
      <c r="H272" s="15">
        <f t="shared" si="32"/>
        <v>401.96274299999993</v>
      </c>
    </row>
    <row r="273" spans="1:11" x14ac:dyDescent="0.2">
      <c r="A273" s="90">
        <f t="shared" si="33"/>
        <v>21</v>
      </c>
      <c r="B273" s="91"/>
      <c r="C273" s="16" t="s">
        <v>282</v>
      </c>
      <c r="D273" s="15">
        <f>(3.35*6.06+1.85*1.6+1.4*1.05+0.65*0.45)*(10.764)</f>
        <v>269.35295399999995</v>
      </c>
      <c r="E273" s="15">
        <v>0</v>
      </c>
      <c r="F273" s="15">
        <f t="shared" si="31"/>
        <v>269.35295399999995</v>
      </c>
      <c r="G273" s="15">
        <v>0</v>
      </c>
      <c r="H273" s="15">
        <f t="shared" si="32"/>
        <v>404.02943099999993</v>
      </c>
    </row>
    <row r="274" spans="1:11" x14ac:dyDescent="0.2">
      <c r="A274" s="90">
        <f t="shared" si="33"/>
        <v>22</v>
      </c>
      <c r="B274" s="91"/>
      <c r="C274" s="16" t="s">
        <v>282</v>
      </c>
      <c r="D274" s="15">
        <f>(6.3*4.5+1.75*2.93+1.2*1.4+0.45*0.65)*(10.764)</f>
        <v>381.58379999999994</v>
      </c>
      <c r="E274" s="15">
        <v>0</v>
      </c>
      <c r="F274" s="15">
        <f>D274+(IF(E274&lt;201,E274,IF(E274&lt;301,E274/2,E274/3)))</f>
        <v>381.58379999999994</v>
      </c>
      <c r="G274" s="15">
        <v>0</v>
      </c>
      <c r="H274" s="15">
        <f t="shared" si="32"/>
        <v>572.37569999999994</v>
      </c>
    </row>
    <row r="275" spans="1:11" x14ac:dyDescent="0.2">
      <c r="A275" s="90">
        <f t="shared" si="33"/>
        <v>23</v>
      </c>
      <c r="B275" s="91"/>
      <c r="C275" s="16" t="s">
        <v>282</v>
      </c>
      <c r="D275" s="15">
        <f>(6.3*4.45+1.75*2.8+1.2*1.4+0.45*0.65)*(10.764)</f>
        <v>375.74432999999999</v>
      </c>
      <c r="E275" s="15">
        <v>0</v>
      </c>
      <c r="F275" s="15">
        <f t="shared" ref="F275:F302" si="36">D275+(IF(E275&lt;201,E275,IF(E275&lt;301,E275/2,E275/3)))</f>
        <v>375.74432999999999</v>
      </c>
      <c r="G275" s="15">
        <v>0</v>
      </c>
      <c r="H275" s="15">
        <f t="shared" si="32"/>
        <v>563.61649499999999</v>
      </c>
    </row>
    <row r="276" spans="1:11" x14ac:dyDescent="0.2">
      <c r="A276" s="90">
        <f t="shared" si="33"/>
        <v>24</v>
      </c>
      <c r="B276" s="91"/>
      <c r="C276" s="16" t="s">
        <v>282</v>
      </c>
      <c r="D276" s="15">
        <f>(6.3*4.47+1.75*2.93+1.2*1.4+0.45*0.65)*(10.764)</f>
        <v>379.54940399999992</v>
      </c>
      <c r="E276" s="15">
        <v>0</v>
      </c>
      <c r="F276" s="15">
        <f t="shared" si="36"/>
        <v>379.54940399999992</v>
      </c>
      <c r="G276" s="15">
        <v>0</v>
      </c>
      <c r="H276" s="15">
        <f t="shared" si="32"/>
        <v>569.32410599999992</v>
      </c>
    </row>
    <row r="277" spans="1:11" x14ac:dyDescent="0.2">
      <c r="A277" s="90">
        <f t="shared" si="33"/>
        <v>25</v>
      </c>
      <c r="B277" s="91"/>
      <c r="C277" s="16" t="s">
        <v>282</v>
      </c>
      <c r="D277" s="15">
        <f>(6.3*4.45+1.75*2.8+1.2*1.4+0.45*0.65)*(10.764)</f>
        <v>375.74432999999999</v>
      </c>
      <c r="E277" s="15">
        <v>0</v>
      </c>
      <c r="F277" s="15">
        <f t="shared" si="36"/>
        <v>375.74432999999999</v>
      </c>
      <c r="G277" s="15">
        <v>0</v>
      </c>
      <c r="H277" s="15">
        <f t="shared" si="32"/>
        <v>563.61649499999999</v>
      </c>
    </row>
    <row r="278" spans="1:11" x14ac:dyDescent="0.2">
      <c r="A278" s="90">
        <f t="shared" si="33"/>
        <v>26</v>
      </c>
      <c r="B278" s="91"/>
      <c r="C278" s="16" t="s">
        <v>282</v>
      </c>
      <c r="D278" s="15">
        <f>(6.3*4.5+1.75*1.63+1.7*1.15+1.15*1.4+0.45*0.65)*(10.764)</f>
        <v>377.38583999999992</v>
      </c>
      <c r="E278" s="15">
        <v>0</v>
      </c>
      <c r="F278" s="15">
        <f t="shared" si="36"/>
        <v>377.38583999999992</v>
      </c>
      <c r="G278" s="15">
        <v>0</v>
      </c>
      <c r="H278" s="15">
        <f t="shared" si="32"/>
        <v>566.07875999999987</v>
      </c>
      <c r="K278" s="6">
        <f>36000/1.5</f>
        <v>24000</v>
      </c>
    </row>
    <row r="279" spans="1:11" x14ac:dyDescent="0.2">
      <c r="A279" s="90">
        <f t="shared" si="33"/>
        <v>27</v>
      </c>
      <c r="B279" s="91"/>
      <c r="C279" s="16" t="s">
        <v>282</v>
      </c>
      <c r="D279" s="15">
        <f>(3.35*8.7+1.78*1.75+1.4*1.2+0.65*0.45)*(10.764)</f>
        <v>368.4786299999999</v>
      </c>
      <c r="E279" s="15">
        <v>0</v>
      </c>
      <c r="F279" s="15">
        <f t="shared" si="36"/>
        <v>368.4786299999999</v>
      </c>
      <c r="G279" s="15">
        <v>0</v>
      </c>
      <c r="H279" s="15">
        <f t="shared" si="32"/>
        <v>552.71794499999987</v>
      </c>
      <c r="J279" s="6">
        <f>10400000/283</f>
        <v>36749.116607773853</v>
      </c>
    </row>
    <row r="280" spans="1:11" x14ac:dyDescent="0.2">
      <c r="A280" s="90">
        <f t="shared" si="33"/>
        <v>28</v>
      </c>
      <c r="B280" s="91"/>
      <c r="C280" s="16" t="s">
        <v>282</v>
      </c>
      <c r="D280" s="15">
        <f>(3.35*8.7+1.78*1.75+1.4*1.2+0.65*0.45)*(10.764)</f>
        <v>368.4786299999999</v>
      </c>
      <c r="E280" s="15">
        <v>0</v>
      </c>
      <c r="F280" s="15">
        <f t="shared" si="36"/>
        <v>368.4786299999999</v>
      </c>
      <c r="G280" s="15">
        <v>0</v>
      </c>
      <c r="H280" s="15">
        <f t="shared" si="32"/>
        <v>552.71794499999987</v>
      </c>
    </row>
    <row r="281" spans="1:11" x14ac:dyDescent="0.2">
      <c r="A281" s="90">
        <f t="shared" si="33"/>
        <v>29</v>
      </c>
      <c r="B281" s="91"/>
      <c r="C281" s="16" t="s">
        <v>282</v>
      </c>
      <c r="D281" s="15">
        <f>(3.35*8.7+1.78*1.75+1.4*1.2+0.65*0.45)*(10.764)</f>
        <v>368.4786299999999</v>
      </c>
      <c r="E281" s="15">
        <v>0</v>
      </c>
      <c r="F281" s="15">
        <f t="shared" si="36"/>
        <v>368.4786299999999</v>
      </c>
      <c r="G281" s="15">
        <v>0</v>
      </c>
      <c r="H281" s="15">
        <f t="shared" si="32"/>
        <v>552.71794499999987</v>
      </c>
    </row>
    <row r="282" spans="1:11" x14ac:dyDescent="0.2">
      <c r="A282" s="90">
        <f t="shared" si="33"/>
        <v>30</v>
      </c>
      <c r="B282" s="91"/>
      <c r="C282" s="16" t="s">
        <v>282</v>
      </c>
      <c r="D282" s="15">
        <f>(3.35*8.7+1.78*1.75+1.4*1.2+0.65*0.45)*(10.764)</f>
        <v>368.4786299999999</v>
      </c>
      <c r="E282" s="15">
        <v>0</v>
      </c>
      <c r="F282" s="15">
        <f t="shared" si="36"/>
        <v>368.4786299999999</v>
      </c>
      <c r="G282" s="15">
        <v>0</v>
      </c>
      <c r="H282" s="15">
        <f t="shared" si="32"/>
        <v>552.71794499999987</v>
      </c>
    </row>
    <row r="283" spans="1:11" x14ac:dyDescent="0.2">
      <c r="A283" s="90">
        <f t="shared" si="33"/>
        <v>31</v>
      </c>
      <c r="B283" s="91"/>
      <c r="C283" s="16" t="s">
        <v>282</v>
      </c>
      <c r="D283" s="15">
        <f>(3.35*8.7+1.77*1.75+1.4*1.2+0.65*0.45)*(10.764)</f>
        <v>368.29025999999993</v>
      </c>
      <c r="E283" s="15">
        <v>0</v>
      </c>
      <c r="F283" s="15">
        <f t="shared" si="36"/>
        <v>368.29025999999993</v>
      </c>
      <c r="G283" s="15">
        <v>0</v>
      </c>
      <c r="H283" s="15">
        <f t="shared" si="32"/>
        <v>552.43538999999987</v>
      </c>
    </row>
    <row r="284" spans="1:11" x14ac:dyDescent="0.2">
      <c r="A284" s="90">
        <f t="shared" si="33"/>
        <v>32</v>
      </c>
      <c r="B284" s="91"/>
      <c r="C284" s="16" t="s">
        <v>282</v>
      </c>
      <c r="D284" s="15">
        <f>(3.35*8.7+1.78*1.75+1.4*1.2+0.65*0.45)*(10.764)</f>
        <v>368.4786299999999</v>
      </c>
      <c r="E284" s="15">
        <v>0</v>
      </c>
      <c r="F284" s="15">
        <f t="shared" si="36"/>
        <v>368.4786299999999</v>
      </c>
      <c r="G284" s="15">
        <v>0</v>
      </c>
      <c r="H284" s="15">
        <f t="shared" si="32"/>
        <v>552.71794499999987</v>
      </c>
    </row>
    <row r="285" spans="1:11" x14ac:dyDescent="0.2">
      <c r="A285" s="90">
        <f t="shared" si="33"/>
        <v>33</v>
      </c>
      <c r="B285" s="91"/>
      <c r="C285" s="16" t="s">
        <v>282</v>
      </c>
      <c r="D285" s="15">
        <f>(3.35*8.7+1.78*1.75+1.4*1.2+0.65*0.45)*(10.764)</f>
        <v>368.4786299999999</v>
      </c>
      <c r="E285" s="15">
        <v>0</v>
      </c>
      <c r="F285" s="15">
        <f t="shared" ref="F285" si="37">D285+(IF(E285&lt;201,E285,IF(E285&lt;301,E285/2,E285/3)))</f>
        <v>368.4786299999999</v>
      </c>
      <c r="G285" s="15">
        <v>0</v>
      </c>
      <c r="H285" s="15">
        <f t="shared" si="32"/>
        <v>552.71794499999987</v>
      </c>
    </row>
    <row r="286" spans="1:11" x14ac:dyDescent="0.2">
      <c r="A286" s="90">
        <f t="shared" si="33"/>
        <v>34</v>
      </c>
      <c r="B286" s="91"/>
      <c r="C286" s="16" t="s">
        <v>282</v>
      </c>
      <c r="D286" s="15">
        <f t="shared" ref="D286:D290" si="38">(3.35*8.7+1.78*1.75+1.4*1.2+0.65*0.45)*(10.764)</f>
        <v>368.4786299999999</v>
      </c>
      <c r="E286" s="15">
        <v>0</v>
      </c>
      <c r="F286" s="15">
        <f t="shared" ref="F286:F288" si="39">D286+(IF(E286&lt;201,E286,IF(E286&lt;301,E286/2,E286/3)))</f>
        <v>368.4786299999999</v>
      </c>
      <c r="G286" s="15">
        <v>0</v>
      </c>
      <c r="H286" s="15">
        <f t="shared" ref="H286:H288" si="40">F286*(($H$122)+1)+(IF(G286&lt;101,G286,IF(G286&lt;201,G286/2,IF(G286&lt;=301,G286/3,G286/4))))</f>
        <v>552.71794499999987</v>
      </c>
      <c r="I286" s="85">
        <f>12000000/H384</f>
        <v>21710.892704958227</v>
      </c>
    </row>
    <row r="287" spans="1:11" x14ac:dyDescent="0.2">
      <c r="A287" s="90">
        <f t="shared" si="33"/>
        <v>35</v>
      </c>
      <c r="B287" s="91"/>
      <c r="C287" s="16" t="s">
        <v>282</v>
      </c>
      <c r="D287" s="15">
        <f t="shared" si="38"/>
        <v>368.4786299999999</v>
      </c>
      <c r="E287" s="15">
        <v>0</v>
      </c>
      <c r="F287" s="15">
        <f t="shared" si="39"/>
        <v>368.4786299999999</v>
      </c>
      <c r="G287" s="15">
        <v>0</v>
      </c>
      <c r="H287" s="15">
        <f t="shared" si="40"/>
        <v>552.71794499999987</v>
      </c>
    </row>
    <row r="288" spans="1:11" x14ac:dyDescent="0.2">
      <c r="A288" s="90">
        <f t="shared" si="33"/>
        <v>36</v>
      </c>
      <c r="B288" s="91"/>
      <c r="C288" s="16" t="s">
        <v>282</v>
      </c>
      <c r="D288" s="15">
        <f t="shared" si="38"/>
        <v>368.4786299999999</v>
      </c>
      <c r="E288" s="15">
        <v>0</v>
      </c>
      <c r="F288" s="15">
        <f t="shared" si="39"/>
        <v>368.4786299999999</v>
      </c>
      <c r="G288" s="15">
        <v>0</v>
      </c>
      <c r="H288" s="15">
        <f t="shared" si="40"/>
        <v>552.71794499999987</v>
      </c>
    </row>
    <row r="289" spans="1:10" x14ac:dyDescent="0.2">
      <c r="A289" s="90">
        <f t="shared" si="33"/>
        <v>37</v>
      </c>
      <c r="B289" s="91"/>
      <c r="C289" s="16" t="s">
        <v>282</v>
      </c>
      <c r="D289" s="15">
        <f t="shared" si="38"/>
        <v>368.4786299999999</v>
      </c>
      <c r="E289" s="15">
        <v>0</v>
      </c>
      <c r="F289" s="15">
        <f t="shared" ref="F289:F290" si="41">D289+(IF(E289&lt;201,E289,IF(E289&lt;301,E289/2,E289/3)))</f>
        <v>368.4786299999999</v>
      </c>
      <c r="G289" s="15">
        <v>0</v>
      </c>
      <c r="H289" s="15">
        <f t="shared" ref="H289:H290" si="42">F289*(($H$122)+1)+(IF(G289&lt;101,G289,IF(G289&lt;201,G289/2,IF(G289&lt;=301,G289/3,G289/4))))</f>
        <v>552.71794499999987</v>
      </c>
    </row>
    <row r="290" spans="1:10" x14ac:dyDescent="0.2">
      <c r="A290" s="90">
        <f t="shared" si="33"/>
        <v>38</v>
      </c>
      <c r="B290" s="91"/>
      <c r="C290" s="16" t="s">
        <v>282</v>
      </c>
      <c r="D290" s="15">
        <f t="shared" si="38"/>
        <v>368.4786299999999</v>
      </c>
      <c r="E290" s="15">
        <v>0</v>
      </c>
      <c r="F290" s="15">
        <f t="shared" si="41"/>
        <v>368.4786299999999</v>
      </c>
      <c r="G290" s="15">
        <v>0</v>
      </c>
      <c r="H290" s="15">
        <f t="shared" si="42"/>
        <v>552.71794499999987</v>
      </c>
    </row>
    <row r="291" spans="1:10" x14ac:dyDescent="0.2">
      <c r="A291" s="90">
        <v>39</v>
      </c>
      <c r="B291" s="91"/>
      <c r="C291" s="16" t="s">
        <v>282</v>
      </c>
      <c r="D291" s="15">
        <f>(3.35*8.7+1.77*1.75+1.4*1.2+0.65*0.45)*(10.764)</f>
        <v>368.29025999999993</v>
      </c>
      <c r="E291" s="15">
        <v>0</v>
      </c>
      <c r="F291" s="15">
        <f t="shared" si="36"/>
        <v>368.29025999999993</v>
      </c>
      <c r="G291" s="15">
        <v>0</v>
      </c>
      <c r="H291" s="15">
        <f t="shared" ref="H291:H302" si="43">F291*(($H$122)+1)+(IF(G291&lt;101,G291,IF(G291&lt;201,G291/2,IF(G291&lt;=301,G291/3,G291/4))))</f>
        <v>552.43538999999987</v>
      </c>
    </row>
    <row r="292" spans="1:10" x14ac:dyDescent="0.2">
      <c r="A292" s="90">
        <f t="shared" si="33"/>
        <v>40</v>
      </c>
      <c r="B292" s="91"/>
      <c r="C292" s="16" t="s">
        <v>282</v>
      </c>
      <c r="D292" s="15">
        <f>(3.35*8.7+1.78*1.75+1.4*1.2+0.65*0.45)*(10.764)</f>
        <v>368.4786299999999</v>
      </c>
      <c r="E292" s="15">
        <v>0</v>
      </c>
      <c r="F292" s="15">
        <f t="shared" si="36"/>
        <v>368.4786299999999</v>
      </c>
      <c r="G292" s="15">
        <v>0</v>
      </c>
      <c r="H292" s="15">
        <f t="shared" si="43"/>
        <v>552.71794499999987</v>
      </c>
    </row>
    <row r="293" spans="1:10" x14ac:dyDescent="0.2">
      <c r="A293" s="90">
        <f t="shared" si="33"/>
        <v>41</v>
      </c>
      <c r="B293" s="91"/>
      <c r="C293" s="16" t="s">
        <v>282</v>
      </c>
      <c r="D293" s="15">
        <f>(3.35*8.7+1.77*1.75+1.4*1.2+0.65*0.45)*(10.764)</f>
        <v>368.29025999999993</v>
      </c>
      <c r="E293" s="15">
        <v>0</v>
      </c>
      <c r="F293" s="15">
        <f t="shared" si="36"/>
        <v>368.29025999999993</v>
      </c>
      <c r="G293" s="15">
        <v>0</v>
      </c>
      <c r="H293" s="15">
        <f t="shared" si="43"/>
        <v>552.43538999999987</v>
      </c>
    </row>
    <row r="294" spans="1:10" x14ac:dyDescent="0.2">
      <c r="A294" s="90">
        <f t="shared" si="33"/>
        <v>42</v>
      </c>
      <c r="B294" s="91"/>
      <c r="C294" s="16" t="s">
        <v>282</v>
      </c>
      <c r="D294" s="15">
        <f>(3.35*8.7+1.78*1.75+1.4*1.2+0.65*0.45)*(10.764)</f>
        <v>368.4786299999999</v>
      </c>
      <c r="E294" s="15">
        <v>0</v>
      </c>
      <c r="F294" s="15">
        <f t="shared" si="36"/>
        <v>368.4786299999999</v>
      </c>
      <c r="G294" s="15">
        <v>0</v>
      </c>
      <c r="H294" s="15">
        <f t="shared" si="43"/>
        <v>552.71794499999987</v>
      </c>
    </row>
    <row r="295" spans="1:10" x14ac:dyDescent="0.2">
      <c r="A295" s="90">
        <f t="shared" si="33"/>
        <v>43</v>
      </c>
      <c r="B295" s="91"/>
      <c r="C295" s="16" t="s">
        <v>282</v>
      </c>
      <c r="D295" s="15">
        <f>(3.35*8.7+1.77*1.75+1.4*1.2+0.65*0.45)*(10.764)</f>
        <v>368.29025999999993</v>
      </c>
      <c r="E295" s="15">
        <v>0</v>
      </c>
      <c r="F295" s="15">
        <f t="shared" si="36"/>
        <v>368.29025999999993</v>
      </c>
      <c r="G295" s="15">
        <v>0</v>
      </c>
      <c r="H295" s="15">
        <f t="shared" si="43"/>
        <v>552.43538999999987</v>
      </c>
      <c r="J295" s="85">
        <f>5479910/H298</f>
        <v>9914.4781702356358</v>
      </c>
    </row>
    <row r="296" spans="1:10" x14ac:dyDescent="0.2">
      <c r="A296" s="90">
        <f t="shared" si="33"/>
        <v>44</v>
      </c>
      <c r="B296" s="91"/>
      <c r="C296" s="16" t="s">
        <v>282</v>
      </c>
      <c r="D296" s="15">
        <f>(3.35*8.7+1.78*1.75+1.4*1.2+0.65*0.45)*(10.764)</f>
        <v>368.4786299999999</v>
      </c>
      <c r="E296" s="15">
        <v>0</v>
      </c>
      <c r="F296" s="15">
        <f t="shared" si="36"/>
        <v>368.4786299999999</v>
      </c>
      <c r="G296" s="15">
        <v>0</v>
      </c>
      <c r="H296" s="15">
        <f t="shared" si="43"/>
        <v>552.71794499999987</v>
      </c>
    </row>
    <row r="297" spans="1:10" x14ac:dyDescent="0.2">
      <c r="A297" s="90">
        <f t="shared" si="33"/>
        <v>45</v>
      </c>
      <c r="B297" s="91"/>
      <c r="C297" s="16" t="s">
        <v>282</v>
      </c>
      <c r="D297" s="15">
        <f>(3.35*8.7+1.77*1.75+1.4*1.2+0.65*0.45)*(10.764)</f>
        <v>368.29025999999993</v>
      </c>
      <c r="E297" s="15">
        <v>0</v>
      </c>
      <c r="F297" s="15">
        <f t="shared" si="36"/>
        <v>368.29025999999993</v>
      </c>
      <c r="G297" s="15">
        <v>0</v>
      </c>
      <c r="H297" s="15">
        <f t="shared" si="43"/>
        <v>552.43538999999987</v>
      </c>
    </row>
    <row r="298" spans="1:10" x14ac:dyDescent="0.2">
      <c r="A298" s="90">
        <f t="shared" si="33"/>
        <v>46</v>
      </c>
      <c r="B298" s="91"/>
      <c r="C298" s="16" t="s">
        <v>282</v>
      </c>
      <c r="D298" s="15">
        <f>(3.35*8.7+1.78*1.75+1.4*1.2+0.65*0.45)*(10.764)</f>
        <v>368.4786299999999</v>
      </c>
      <c r="E298" s="15">
        <v>0</v>
      </c>
      <c r="F298" s="15">
        <f t="shared" si="36"/>
        <v>368.4786299999999</v>
      </c>
      <c r="G298" s="15">
        <v>0</v>
      </c>
      <c r="H298" s="15">
        <f t="shared" si="43"/>
        <v>552.71794499999987</v>
      </c>
    </row>
    <row r="299" spans="1:10" x14ac:dyDescent="0.2">
      <c r="A299" s="90">
        <f t="shared" si="33"/>
        <v>47</v>
      </c>
      <c r="B299" s="91"/>
      <c r="C299" s="16" t="s">
        <v>282</v>
      </c>
      <c r="D299" s="15">
        <f>(3.35*8.7+1.77*1.75+1.4*1.2+0.65*0.45)*(10.764)</f>
        <v>368.29025999999993</v>
      </c>
      <c r="E299" s="15">
        <v>0</v>
      </c>
      <c r="F299" s="15">
        <f t="shared" si="36"/>
        <v>368.29025999999993</v>
      </c>
      <c r="G299" s="15">
        <v>0</v>
      </c>
      <c r="H299" s="15">
        <f t="shared" si="43"/>
        <v>552.43538999999987</v>
      </c>
    </row>
    <row r="300" spans="1:10" x14ac:dyDescent="0.2">
      <c r="A300" s="90">
        <f t="shared" si="33"/>
        <v>48</v>
      </c>
      <c r="B300" s="91"/>
      <c r="C300" s="16" t="s">
        <v>282</v>
      </c>
      <c r="D300" s="15">
        <f>(3.35*8.7+1.85*1.75+1.4*1.2+0.65*0.45)*(10.764)</f>
        <v>369.79721999999992</v>
      </c>
      <c r="E300" s="15">
        <v>0</v>
      </c>
      <c r="F300" s="15">
        <f t="shared" si="36"/>
        <v>369.79721999999992</v>
      </c>
      <c r="G300" s="15">
        <v>0</v>
      </c>
      <c r="H300" s="15">
        <f t="shared" si="43"/>
        <v>554.69582999999989</v>
      </c>
    </row>
    <row r="301" spans="1:10" x14ac:dyDescent="0.2">
      <c r="A301" s="90">
        <f t="shared" si="33"/>
        <v>49</v>
      </c>
      <c r="B301" s="91"/>
      <c r="C301" s="16" t="s">
        <v>282</v>
      </c>
      <c r="D301" s="15">
        <f>(6.72*4.15+1.65*1.35+1.6*0.89+1.05*1.55+0.45*0.91)*(10.764)</f>
        <v>361.41744599999998</v>
      </c>
      <c r="E301" s="15">
        <v>0</v>
      </c>
      <c r="F301" s="15">
        <f t="shared" si="36"/>
        <v>361.41744599999998</v>
      </c>
      <c r="G301" s="15">
        <v>0</v>
      </c>
      <c r="H301" s="15">
        <f t="shared" si="43"/>
        <v>542.126169</v>
      </c>
      <c r="I301" s="69">
        <f>1</f>
        <v>1</v>
      </c>
    </row>
    <row r="302" spans="1:10" x14ac:dyDescent="0.2">
      <c r="A302" s="90">
        <f t="shared" si="33"/>
        <v>50</v>
      </c>
      <c r="B302" s="91"/>
      <c r="C302" s="16" t="s">
        <v>282</v>
      </c>
      <c r="D302" s="15">
        <f>(6.72*4.01+1.65*2.52+1.05*1.4+0.5*0.65)*(10.764)</f>
        <v>354.13775279999993</v>
      </c>
      <c r="E302" s="15">
        <v>0</v>
      </c>
      <c r="F302" s="15">
        <f t="shared" si="36"/>
        <v>354.13775279999993</v>
      </c>
      <c r="G302" s="15">
        <v>0</v>
      </c>
      <c r="H302" s="15">
        <f t="shared" si="43"/>
        <v>531.20662919999995</v>
      </c>
    </row>
    <row r="303" spans="1:10" x14ac:dyDescent="0.2">
      <c r="A303" s="90">
        <f t="shared" si="33"/>
        <v>51</v>
      </c>
      <c r="B303" s="91"/>
      <c r="C303" s="16" t="s">
        <v>282</v>
      </c>
      <c r="D303" s="15">
        <f>(6.72*4.25+1.65*2.75+1.05*1.4+0.5*0.65)*(10.764)</f>
        <v>375.58286999999996</v>
      </c>
      <c r="E303" s="15">
        <v>0</v>
      </c>
      <c r="F303" s="15">
        <f t="shared" ref="F303" si="44">D303+(IF(E303&lt;201,E303,IF(E303&lt;301,E303/2,E303/3)))</f>
        <v>375.58286999999996</v>
      </c>
      <c r="G303" s="15">
        <v>0</v>
      </c>
      <c r="H303" s="15">
        <f t="shared" ref="H303" si="45">F303*(($H$122)+1)+(IF(G303&lt;101,G303,IF(G303&lt;201,G303/2,IF(G303&lt;=301,G303/3,G303/4))))</f>
        <v>563.37430499999994</v>
      </c>
    </row>
    <row r="304" spans="1:10" x14ac:dyDescent="0.2">
      <c r="A304" s="94" t="s">
        <v>289</v>
      </c>
      <c r="B304" s="94"/>
      <c r="C304" s="94"/>
      <c r="D304" s="94"/>
      <c r="E304" s="94"/>
      <c r="F304" s="94"/>
      <c r="G304" s="94"/>
      <c r="H304" s="94"/>
    </row>
    <row r="305" spans="1:12" x14ac:dyDescent="0.2">
      <c r="A305" s="90">
        <v>3</v>
      </c>
      <c r="B305" s="91"/>
      <c r="C305" s="16" t="s">
        <v>282</v>
      </c>
      <c r="D305" s="15">
        <f>(4.49*5.31+2.24*2.35+0.5*1.6+1.55*1.5+0.6*0.3)*(10.764)</f>
        <v>348.87092759999996</v>
      </c>
      <c r="E305" s="15">
        <v>0</v>
      </c>
      <c r="F305" s="15">
        <f t="shared" ref="F305:F322" si="46">D305+(IF(E305&lt;201,E305,IF(E305&lt;301,E305/2,E305/3)))</f>
        <v>348.87092759999996</v>
      </c>
      <c r="G305" s="15">
        <v>0</v>
      </c>
      <c r="H305" s="15">
        <f t="shared" ref="H305:H333" si="47">F305*(($H$122)+1)+(IF(G305&lt;101,G305,IF(G305&lt;201,G305/2,IF(G305&lt;=301,G305/3,G305/4))))</f>
        <v>523.30639139999994</v>
      </c>
    </row>
    <row r="306" spans="1:12" x14ac:dyDescent="0.2">
      <c r="A306" s="90">
        <f t="shared" ref="A306:A352" si="48">A305+1</f>
        <v>4</v>
      </c>
      <c r="B306" s="91"/>
      <c r="C306" s="16" t="s">
        <v>282</v>
      </c>
      <c r="D306" s="15">
        <f>(3.35*6.06+1.77*1.6+1.4*1.05+0.65*0.45)*(10.764)</f>
        <v>267.97516199999995</v>
      </c>
      <c r="E306" s="15">
        <v>0</v>
      </c>
      <c r="F306" s="15">
        <f t="shared" si="46"/>
        <v>267.97516199999995</v>
      </c>
      <c r="G306" s="15">
        <v>0</v>
      </c>
      <c r="H306" s="15">
        <f t="shared" si="47"/>
        <v>401.96274299999993</v>
      </c>
      <c r="I306" s="6">
        <f>50-8</f>
        <v>42</v>
      </c>
      <c r="L306" s="84">
        <f>COUNT(H403:H410,H418:H451)</f>
        <v>42</v>
      </c>
    </row>
    <row r="307" spans="1:12" x14ac:dyDescent="0.2">
      <c r="A307" s="90">
        <f t="shared" si="48"/>
        <v>5</v>
      </c>
      <c r="B307" s="91"/>
      <c r="C307" s="16" t="s">
        <v>282</v>
      </c>
      <c r="D307" s="15">
        <f t="shared" ref="D307:D309" si="49">(3.35*6.06+1.77*1.6+1.4*1.05+0.65*0.45)*(10.764)</f>
        <v>267.97516199999995</v>
      </c>
      <c r="E307" s="15">
        <v>0</v>
      </c>
      <c r="F307" s="15">
        <f t="shared" si="46"/>
        <v>267.97516199999995</v>
      </c>
      <c r="G307" s="15">
        <v>0</v>
      </c>
      <c r="H307" s="15">
        <f t="shared" si="47"/>
        <v>401.96274299999993</v>
      </c>
    </row>
    <row r="308" spans="1:12" x14ac:dyDescent="0.2">
      <c r="A308" s="90">
        <f t="shared" si="48"/>
        <v>6</v>
      </c>
      <c r="B308" s="91"/>
      <c r="C308" s="16" t="s">
        <v>282</v>
      </c>
      <c r="D308" s="15">
        <f t="shared" si="49"/>
        <v>267.97516199999995</v>
      </c>
      <c r="E308" s="15">
        <v>0</v>
      </c>
      <c r="F308" s="15">
        <f t="shared" si="46"/>
        <v>267.97516199999995</v>
      </c>
      <c r="G308" s="15">
        <v>0</v>
      </c>
      <c r="H308" s="15">
        <f t="shared" si="47"/>
        <v>401.96274299999993</v>
      </c>
      <c r="I308" s="85">
        <f>4900000/H311</f>
        <v>13096.87287516602</v>
      </c>
    </row>
    <row r="309" spans="1:12" x14ac:dyDescent="0.2">
      <c r="A309" s="90">
        <f t="shared" si="48"/>
        <v>7</v>
      </c>
      <c r="B309" s="91"/>
      <c r="C309" s="16" t="s">
        <v>282</v>
      </c>
      <c r="D309" s="15">
        <f t="shared" si="49"/>
        <v>267.97516199999995</v>
      </c>
      <c r="E309" s="15">
        <v>0</v>
      </c>
      <c r="F309" s="15">
        <f t="shared" si="46"/>
        <v>267.97516199999995</v>
      </c>
      <c r="G309" s="15">
        <v>0</v>
      </c>
      <c r="H309" s="15">
        <f t="shared" si="47"/>
        <v>401.96274299999993</v>
      </c>
    </row>
    <row r="310" spans="1:12" x14ac:dyDescent="0.2">
      <c r="A310" s="90">
        <f t="shared" si="48"/>
        <v>8</v>
      </c>
      <c r="B310" s="91"/>
      <c r="C310" s="16" t="s">
        <v>282</v>
      </c>
      <c r="D310" s="15">
        <f>(3.35*5.31+1.7*1.6+1.55*1.05+1.2*0.75+0.65*0.3)*(10.764)</f>
        <v>250.05848399999996</v>
      </c>
      <c r="E310" s="15">
        <v>0</v>
      </c>
      <c r="F310" s="15">
        <f t="shared" si="46"/>
        <v>250.05848399999996</v>
      </c>
      <c r="G310" s="15">
        <v>0</v>
      </c>
      <c r="H310" s="15">
        <f t="shared" si="47"/>
        <v>375.08772599999998</v>
      </c>
      <c r="I310" s="85"/>
    </row>
    <row r="311" spans="1:12" ht="15" customHeight="1" x14ac:dyDescent="0.2">
      <c r="A311" s="90">
        <f t="shared" si="48"/>
        <v>9</v>
      </c>
      <c r="B311" s="91"/>
      <c r="C311" s="16" t="s">
        <v>282</v>
      </c>
      <c r="D311" s="15">
        <f>(3.35*5.31+1.62*1.6+1.63*1.05+1.2*0.75+0.6*0.3)*(10.764)</f>
        <v>249.42340799999997</v>
      </c>
      <c r="E311" s="15">
        <v>0</v>
      </c>
      <c r="F311" s="15">
        <f t="shared" si="46"/>
        <v>249.42340799999997</v>
      </c>
      <c r="G311" s="15">
        <v>0</v>
      </c>
      <c r="H311" s="15">
        <f t="shared" si="47"/>
        <v>374.13511199999994</v>
      </c>
    </row>
    <row r="312" spans="1:12" x14ac:dyDescent="0.2">
      <c r="A312" s="90">
        <f t="shared" si="48"/>
        <v>10</v>
      </c>
      <c r="B312" s="91"/>
      <c r="C312" s="16" t="s">
        <v>282</v>
      </c>
      <c r="D312" s="15">
        <f>(3.35*6.06+1.77*1.6+1.4*1.05+0.65*0.45)*(10.764)</f>
        <v>267.97516199999995</v>
      </c>
      <c r="E312" s="15">
        <v>0</v>
      </c>
      <c r="F312" s="15">
        <f t="shared" si="46"/>
        <v>267.97516199999995</v>
      </c>
      <c r="G312" s="15">
        <v>0</v>
      </c>
      <c r="H312" s="15">
        <f t="shared" si="47"/>
        <v>401.96274299999993</v>
      </c>
    </row>
    <row r="313" spans="1:12" x14ac:dyDescent="0.2">
      <c r="A313" s="90">
        <f t="shared" si="48"/>
        <v>11</v>
      </c>
      <c r="B313" s="91"/>
      <c r="C313" s="16" t="s">
        <v>282</v>
      </c>
      <c r="D313" s="15">
        <f t="shared" ref="D313" si="50">(3.35*6.06+1.77*1.6+1.4*1.05+0.65*0.45)*(10.764)</f>
        <v>267.97516199999995</v>
      </c>
      <c r="E313" s="15">
        <v>0</v>
      </c>
      <c r="F313" s="15">
        <f t="shared" si="46"/>
        <v>267.97516199999995</v>
      </c>
      <c r="G313" s="15">
        <v>0</v>
      </c>
      <c r="H313" s="15">
        <f t="shared" si="47"/>
        <v>401.96274299999993</v>
      </c>
    </row>
    <row r="314" spans="1:12" x14ac:dyDescent="0.2">
      <c r="A314" s="90">
        <f t="shared" si="48"/>
        <v>12</v>
      </c>
      <c r="B314" s="91"/>
      <c r="C314" s="16" t="s">
        <v>282</v>
      </c>
      <c r="D314" s="15">
        <f>(3.35*6.06+1.85*1.6+1.4*1.05+0.65*0.45)*(10.764)</f>
        <v>269.35295399999995</v>
      </c>
      <c r="E314" s="15">
        <v>0</v>
      </c>
      <c r="F314" s="15">
        <f t="shared" si="46"/>
        <v>269.35295399999995</v>
      </c>
      <c r="G314" s="15">
        <v>0</v>
      </c>
      <c r="H314" s="15">
        <f t="shared" si="47"/>
        <v>404.02943099999993</v>
      </c>
    </row>
    <row r="315" spans="1:12" x14ac:dyDescent="0.2">
      <c r="A315" s="90">
        <v>14</v>
      </c>
      <c r="B315" s="91"/>
      <c r="C315" s="16" t="s">
        <v>282</v>
      </c>
      <c r="D315" s="15">
        <f>(3.35*6.06+1.7*1.6+1.4*1.05+0.65*0.45)*(10.764)</f>
        <v>266.76959399999993</v>
      </c>
      <c r="E315" s="15">
        <v>0</v>
      </c>
      <c r="F315" s="15">
        <f t="shared" si="46"/>
        <v>266.76959399999993</v>
      </c>
      <c r="G315" s="15">
        <v>0</v>
      </c>
      <c r="H315" s="15">
        <f t="shared" si="47"/>
        <v>400.15439099999992</v>
      </c>
    </row>
    <row r="316" spans="1:12" x14ac:dyDescent="0.2">
      <c r="A316" s="90">
        <f t="shared" si="48"/>
        <v>15</v>
      </c>
      <c r="B316" s="91"/>
      <c r="C316" s="16" t="s">
        <v>282</v>
      </c>
      <c r="D316" s="15">
        <f>(3.35*6.06+1.78*1.6+1.4*1.05+0.65*0.45)*(10.764)</f>
        <v>268.14738599999993</v>
      </c>
      <c r="E316" s="15">
        <v>0</v>
      </c>
      <c r="F316" s="15">
        <f t="shared" si="46"/>
        <v>268.14738599999993</v>
      </c>
      <c r="G316" s="15">
        <v>0</v>
      </c>
      <c r="H316" s="15">
        <f t="shared" si="47"/>
        <v>402.22107899999992</v>
      </c>
    </row>
    <row r="317" spans="1:12" x14ac:dyDescent="0.2">
      <c r="A317" s="90">
        <f t="shared" si="48"/>
        <v>16</v>
      </c>
      <c r="B317" s="91"/>
      <c r="C317" s="16" t="s">
        <v>282</v>
      </c>
      <c r="D317" s="15">
        <f t="shared" ref="D317:D321" si="51">(3.35*6.06+1.77*1.6+1.4*1.05+0.65*0.45)*(10.764)</f>
        <v>267.97516199999995</v>
      </c>
      <c r="E317" s="15">
        <v>0</v>
      </c>
      <c r="F317" s="15">
        <f t="shared" si="46"/>
        <v>267.97516199999995</v>
      </c>
      <c r="G317" s="15">
        <v>0</v>
      </c>
      <c r="H317" s="15">
        <f t="shared" si="47"/>
        <v>401.96274299999993</v>
      </c>
    </row>
    <row r="318" spans="1:12" x14ac:dyDescent="0.2">
      <c r="A318" s="90">
        <f t="shared" si="48"/>
        <v>17</v>
      </c>
      <c r="B318" s="91"/>
      <c r="C318" s="16" t="s">
        <v>282</v>
      </c>
      <c r="D318" s="15">
        <f t="shared" si="51"/>
        <v>267.97516199999995</v>
      </c>
      <c r="E318" s="15">
        <v>0</v>
      </c>
      <c r="F318" s="15">
        <f t="shared" si="46"/>
        <v>267.97516199999995</v>
      </c>
      <c r="G318" s="15">
        <v>0</v>
      </c>
      <c r="H318" s="15">
        <f t="shared" si="47"/>
        <v>401.96274299999993</v>
      </c>
    </row>
    <row r="319" spans="1:12" x14ac:dyDescent="0.2">
      <c r="A319" s="90">
        <f t="shared" si="48"/>
        <v>18</v>
      </c>
      <c r="B319" s="91"/>
      <c r="C319" s="16" t="s">
        <v>282</v>
      </c>
      <c r="D319" s="15">
        <f t="shared" si="51"/>
        <v>267.97516199999995</v>
      </c>
      <c r="E319" s="15">
        <v>0</v>
      </c>
      <c r="F319" s="15">
        <f t="shared" si="46"/>
        <v>267.97516199999995</v>
      </c>
      <c r="G319" s="15">
        <v>0</v>
      </c>
      <c r="H319" s="15">
        <f t="shared" si="47"/>
        <v>401.96274299999993</v>
      </c>
    </row>
    <row r="320" spans="1:12" x14ac:dyDescent="0.2">
      <c r="A320" s="90">
        <f t="shared" si="48"/>
        <v>19</v>
      </c>
      <c r="B320" s="91"/>
      <c r="C320" s="16" t="s">
        <v>282</v>
      </c>
      <c r="D320" s="15">
        <f>(3.35*6.06+1.78*1.6+1.4*1.05+0.65*0.45)*(10.764)</f>
        <v>268.14738599999993</v>
      </c>
      <c r="E320" s="15">
        <v>0</v>
      </c>
      <c r="F320" s="15">
        <f t="shared" si="46"/>
        <v>268.14738599999993</v>
      </c>
      <c r="G320" s="15">
        <v>0</v>
      </c>
      <c r="H320" s="15">
        <f t="shared" si="47"/>
        <v>402.22107899999992</v>
      </c>
    </row>
    <row r="321" spans="1:8" x14ac:dyDescent="0.2">
      <c r="A321" s="90">
        <f t="shared" si="48"/>
        <v>20</v>
      </c>
      <c r="B321" s="91"/>
      <c r="C321" s="16" t="s">
        <v>282</v>
      </c>
      <c r="D321" s="15">
        <f t="shared" si="51"/>
        <v>267.97516199999995</v>
      </c>
      <c r="E321" s="15">
        <v>0</v>
      </c>
      <c r="F321" s="15">
        <f t="shared" si="46"/>
        <v>267.97516199999995</v>
      </c>
      <c r="G321" s="15">
        <v>0</v>
      </c>
      <c r="H321" s="15">
        <f t="shared" si="47"/>
        <v>401.96274299999993</v>
      </c>
    </row>
    <row r="322" spans="1:8" x14ac:dyDescent="0.2">
      <c r="A322" s="90">
        <f t="shared" si="48"/>
        <v>21</v>
      </c>
      <c r="B322" s="91"/>
      <c r="C322" s="16" t="s">
        <v>282</v>
      </c>
      <c r="D322" s="15">
        <f>(3.35*6.06+1.85*1.6+1.4*1.05+0.65*0.45)*(10.764)</f>
        <v>269.35295399999995</v>
      </c>
      <c r="E322" s="15">
        <v>0</v>
      </c>
      <c r="F322" s="15">
        <f t="shared" si="46"/>
        <v>269.35295399999995</v>
      </c>
      <c r="G322" s="15">
        <v>0</v>
      </c>
      <c r="H322" s="15">
        <f t="shared" si="47"/>
        <v>404.02943099999993</v>
      </c>
    </row>
    <row r="323" spans="1:8" x14ac:dyDescent="0.2">
      <c r="A323" s="90">
        <f t="shared" si="48"/>
        <v>22</v>
      </c>
      <c r="B323" s="91"/>
      <c r="C323" s="16" t="s">
        <v>282</v>
      </c>
      <c r="D323" s="15">
        <f>(6.3*4.5+1.75*2.93+1.2*1.4+0.45*0.65)*(10.764)</f>
        <v>381.58379999999994</v>
      </c>
      <c r="E323" s="15">
        <v>0</v>
      </c>
      <c r="F323" s="15">
        <f>D323+(IF(E323&lt;201,E323,IF(E323&lt;301,E323/2,E323/3)))</f>
        <v>381.58379999999994</v>
      </c>
      <c r="G323" s="15">
        <v>0</v>
      </c>
      <c r="H323" s="15">
        <f t="shared" si="47"/>
        <v>572.37569999999994</v>
      </c>
    </row>
    <row r="324" spans="1:8" x14ac:dyDescent="0.2">
      <c r="A324" s="90">
        <f t="shared" si="48"/>
        <v>23</v>
      </c>
      <c r="B324" s="91"/>
      <c r="C324" s="16" t="s">
        <v>282</v>
      </c>
      <c r="D324" s="15">
        <f>(6.3*4.45+1.75*2.8+1.2*1.4+0.45*0.65)*(10.764)</f>
        <v>375.74432999999999</v>
      </c>
      <c r="E324" s="15">
        <v>0</v>
      </c>
      <c r="F324" s="15">
        <f t="shared" ref="F324:F352" si="52">D324+(IF(E324&lt;201,E324,IF(E324&lt;301,E324/2,E324/3)))</f>
        <v>375.74432999999999</v>
      </c>
      <c r="G324" s="15">
        <v>0</v>
      </c>
      <c r="H324" s="15">
        <f t="shared" si="47"/>
        <v>563.61649499999999</v>
      </c>
    </row>
    <row r="325" spans="1:8" x14ac:dyDescent="0.2">
      <c r="A325" s="90">
        <f t="shared" si="48"/>
        <v>24</v>
      </c>
      <c r="B325" s="91"/>
      <c r="C325" s="16" t="s">
        <v>282</v>
      </c>
      <c r="D325" s="15">
        <f>(6.3*4.47+1.75*2.93+1.2*1.4+0.45*0.65)*(10.764)</f>
        <v>379.54940399999992</v>
      </c>
      <c r="E325" s="15">
        <v>0</v>
      </c>
      <c r="F325" s="15">
        <f t="shared" si="52"/>
        <v>379.54940399999992</v>
      </c>
      <c r="G325" s="15">
        <v>0</v>
      </c>
      <c r="H325" s="15">
        <f t="shared" si="47"/>
        <v>569.32410599999992</v>
      </c>
    </row>
    <row r="326" spans="1:8" x14ac:dyDescent="0.2">
      <c r="A326" s="90">
        <f t="shared" si="48"/>
        <v>25</v>
      </c>
      <c r="B326" s="91"/>
      <c r="C326" s="16" t="s">
        <v>282</v>
      </c>
      <c r="D326" s="15">
        <f>(6.3*4.45+1.75*2.8+1.2*1.4+0.45*0.65)*(10.764)</f>
        <v>375.74432999999999</v>
      </c>
      <c r="E326" s="15">
        <v>0</v>
      </c>
      <c r="F326" s="15">
        <f t="shared" si="52"/>
        <v>375.74432999999999</v>
      </c>
      <c r="G326" s="15">
        <v>0</v>
      </c>
      <c r="H326" s="15">
        <f t="shared" si="47"/>
        <v>563.61649499999999</v>
      </c>
    </row>
    <row r="327" spans="1:8" x14ac:dyDescent="0.2">
      <c r="A327" s="90">
        <f t="shared" si="48"/>
        <v>26</v>
      </c>
      <c r="B327" s="91"/>
      <c r="C327" s="16" t="s">
        <v>282</v>
      </c>
      <c r="D327" s="15">
        <f>(6.3*4.5+1.75*1.63+1.7*1.15+1.15*1.4+0.45*0.65)*(10.764)</f>
        <v>377.38583999999992</v>
      </c>
      <c r="E327" s="15">
        <v>0</v>
      </c>
      <c r="F327" s="15">
        <f t="shared" si="52"/>
        <v>377.38583999999992</v>
      </c>
      <c r="G327" s="15">
        <v>0</v>
      </c>
      <c r="H327" s="15">
        <f t="shared" si="47"/>
        <v>566.07875999999987</v>
      </c>
    </row>
    <row r="328" spans="1:8" x14ac:dyDescent="0.2">
      <c r="A328" s="90">
        <f t="shared" si="48"/>
        <v>27</v>
      </c>
      <c r="B328" s="91"/>
      <c r="C328" s="16" t="s">
        <v>282</v>
      </c>
      <c r="D328" s="15">
        <f>(3.35*8.7+1.85*1.75+1.4*1.2+0.65*0.45)*(10.764)</f>
        <v>369.79721999999992</v>
      </c>
      <c r="E328" s="15">
        <v>0</v>
      </c>
      <c r="F328" s="15">
        <f t="shared" si="52"/>
        <v>369.79721999999992</v>
      </c>
      <c r="G328" s="15">
        <v>0</v>
      </c>
      <c r="H328" s="15">
        <f t="shared" si="47"/>
        <v>554.69582999999989</v>
      </c>
    </row>
    <row r="329" spans="1:8" x14ac:dyDescent="0.2">
      <c r="A329" s="90">
        <f t="shared" si="48"/>
        <v>28</v>
      </c>
      <c r="B329" s="91"/>
      <c r="C329" s="16" t="s">
        <v>282</v>
      </c>
      <c r="D329" s="15">
        <f>(3.35*8.7+1.78*1.75+1.4*1.2+0.65*0.45)*(10.764)</f>
        <v>368.4786299999999</v>
      </c>
      <c r="E329" s="15">
        <v>0</v>
      </c>
      <c r="F329" s="15">
        <f t="shared" si="52"/>
        <v>368.4786299999999</v>
      </c>
      <c r="G329" s="15">
        <v>0</v>
      </c>
      <c r="H329" s="15">
        <f t="shared" si="47"/>
        <v>552.71794499999987</v>
      </c>
    </row>
    <row r="330" spans="1:8" x14ac:dyDescent="0.2">
      <c r="A330" s="90">
        <f t="shared" si="48"/>
        <v>29</v>
      </c>
      <c r="B330" s="91"/>
      <c r="C330" s="16" t="s">
        <v>282</v>
      </c>
      <c r="D330" s="15">
        <f>(3.35*8.7+1.78*1.75+1.4*1.2+0.65*0.45)*(10.764)</f>
        <v>368.4786299999999</v>
      </c>
      <c r="E330" s="15">
        <v>0</v>
      </c>
      <c r="F330" s="15">
        <f t="shared" si="52"/>
        <v>368.4786299999999</v>
      </c>
      <c r="G330" s="15">
        <v>0</v>
      </c>
      <c r="H330" s="15">
        <f t="shared" si="47"/>
        <v>552.71794499999987</v>
      </c>
    </row>
    <row r="331" spans="1:8" x14ac:dyDescent="0.2">
      <c r="A331" s="90">
        <f t="shared" si="48"/>
        <v>30</v>
      </c>
      <c r="B331" s="91"/>
      <c r="C331" s="16" t="s">
        <v>282</v>
      </c>
      <c r="D331" s="15">
        <f>(3.35*8.7+1.78*1.75+1.4*1.2+0.65*0.45)*(10.764)</f>
        <v>368.4786299999999</v>
      </c>
      <c r="E331" s="15">
        <v>0</v>
      </c>
      <c r="F331" s="15">
        <f t="shared" si="52"/>
        <v>368.4786299999999</v>
      </c>
      <c r="G331" s="15">
        <v>0</v>
      </c>
      <c r="H331" s="15">
        <f t="shared" si="47"/>
        <v>552.71794499999987</v>
      </c>
    </row>
    <row r="332" spans="1:8" x14ac:dyDescent="0.2">
      <c r="A332" s="90">
        <f t="shared" si="48"/>
        <v>31</v>
      </c>
      <c r="B332" s="91"/>
      <c r="C332" s="16" t="s">
        <v>282</v>
      </c>
      <c r="D332" s="15">
        <f>(3.35*8.7+1.77*1.75+1.4*1.2+0.65*0.45)*(10.764)</f>
        <v>368.29025999999993</v>
      </c>
      <c r="E332" s="15">
        <v>0</v>
      </c>
      <c r="F332" s="15">
        <f t="shared" si="52"/>
        <v>368.29025999999993</v>
      </c>
      <c r="G332" s="15">
        <v>0</v>
      </c>
      <c r="H332" s="15">
        <f t="shared" si="47"/>
        <v>552.43538999999987</v>
      </c>
    </row>
    <row r="333" spans="1:8" x14ac:dyDescent="0.2">
      <c r="A333" s="90">
        <f t="shared" si="48"/>
        <v>32</v>
      </c>
      <c r="B333" s="91"/>
      <c r="C333" s="16" t="s">
        <v>282</v>
      </c>
      <c r="D333" s="15">
        <f>(3.35*8.7+1.78*1.75+1.4*1.2+0.65*0.45)*(10.764)</f>
        <v>368.4786299999999</v>
      </c>
      <c r="E333" s="15">
        <v>0</v>
      </c>
      <c r="F333" s="15">
        <f t="shared" si="52"/>
        <v>368.4786299999999</v>
      </c>
      <c r="G333" s="15">
        <v>0</v>
      </c>
      <c r="H333" s="15">
        <f t="shared" si="47"/>
        <v>552.71794499999987</v>
      </c>
    </row>
    <row r="334" spans="1:8" x14ac:dyDescent="0.2">
      <c r="A334" s="90">
        <f t="shared" si="48"/>
        <v>33</v>
      </c>
      <c r="B334" s="91"/>
      <c r="C334" s="16" t="s">
        <v>282</v>
      </c>
      <c r="D334" s="15">
        <f>(3.35*8.7+1.78*1.75+1.4*1.2+0.65*0.45)*(10.764)</f>
        <v>368.4786299999999</v>
      </c>
      <c r="E334" s="15">
        <v>0</v>
      </c>
      <c r="F334" s="15">
        <f t="shared" si="52"/>
        <v>368.4786299999999</v>
      </c>
      <c r="G334" s="15">
        <v>0</v>
      </c>
      <c r="H334" s="15">
        <f t="shared" ref="H334:H339" si="53">F334*(($H$122)+1)+(IF(G334&lt;101,G334,IF(G334&lt;201,G334/2,IF(G334&lt;=301,G334/3,G334/4))))</f>
        <v>552.71794499999987</v>
      </c>
    </row>
    <row r="335" spans="1:8" x14ac:dyDescent="0.2">
      <c r="A335" s="90">
        <f t="shared" si="48"/>
        <v>34</v>
      </c>
      <c r="B335" s="91"/>
      <c r="C335" s="16" t="s">
        <v>282</v>
      </c>
      <c r="D335" s="15">
        <f t="shared" ref="D335:D339" si="54">(3.35*8.7+1.78*1.75+1.4*1.2+0.65*0.45)*(10.764)</f>
        <v>368.4786299999999</v>
      </c>
      <c r="E335" s="15">
        <v>0</v>
      </c>
      <c r="F335" s="15">
        <f t="shared" si="52"/>
        <v>368.4786299999999</v>
      </c>
      <c r="G335" s="15">
        <v>0</v>
      </c>
      <c r="H335" s="15">
        <f t="shared" si="53"/>
        <v>552.71794499999987</v>
      </c>
    </row>
    <row r="336" spans="1:8" x14ac:dyDescent="0.2">
      <c r="A336" s="90">
        <f t="shared" si="48"/>
        <v>35</v>
      </c>
      <c r="B336" s="91"/>
      <c r="C336" s="16" t="s">
        <v>282</v>
      </c>
      <c r="D336" s="15">
        <f t="shared" si="54"/>
        <v>368.4786299999999</v>
      </c>
      <c r="E336" s="15">
        <v>0</v>
      </c>
      <c r="F336" s="15">
        <f t="shared" si="52"/>
        <v>368.4786299999999</v>
      </c>
      <c r="G336" s="15">
        <v>0</v>
      </c>
      <c r="H336" s="15">
        <f t="shared" si="53"/>
        <v>552.71794499999987</v>
      </c>
    </row>
    <row r="337" spans="1:9" x14ac:dyDescent="0.2">
      <c r="A337" s="90">
        <f t="shared" si="48"/>
        <v>36</v>
      </c>
      <c r="B337" s="91"/>
      <c r="C337" s="16" t="s">
        <v>282</v>
      </c>
      <c r="D337" s="15">
        <f t="shared" si="54"/>
        <v>368.4786299999999</v>
      </c>
      <c r="E337" s="15">
        <v>0</v>
      </c>
      <c r="F337" s="15">
        <f t="shared" si="52"/>
        <v>368.4786299999999</v>
      </c>
      <c r="G337" s="15">
        <v>0</v>
      </c>
      <c r="H337" s="15">
        <f t="shared" si="53"/>
        <v>552.71794499999987</v>
      </c>
    </row>
    <row r="338" spans="1:9" x14ac:dyDescent="0.2">
      <c r="A338" s="90">
        <f t="shared" si="48"/>
        <v>37</v>
      </c>
      <c r="B338" s="91"/>
      <c r="C338" s="16" t="s">
        <v>282</v>
      </c>
      <c r="D338" s="15">
        <f t="shared" si="54"/>
        <v>368.4786299999999</v>
      </c>
      <c r="E338" s="15">
        <v>0</v>
      </c>
      <c r="F338" s="15">
        <f t="shared" si="52"/>
        <v>368.4786299999999</v>
      </c>
      <c r="G338" s="15">
        <v>0</v>
      </c>
      <c r="H338" s="15">
        <f t="shared" si="53"/>
        <v>552.71794499999987</v>
      </c>
    </row>
    <row r="339" spans="1:9" x14ac:dyDescent="0.2">
      <c r="A339" s="90">
        <f t="shared" si="48"/>
        <v>38</v>
      </c>
      <c r="B339" s="91"/>
      <c r="C339" s="16" t="s">
        <v>282</v>
      </c>
      <c r="D339" s="15">
        <f t="shared" si="54"/>
        <v>368.4786299999999</v>
      </c>
      <c r="E339" s="15">
        <v>0</v>
      </c>
      <c r="F339" s="15">
        <f t="shared" si="52"/>
        <v>368.4786299999999</v>
      </c>
      <c r="G339" s="15">
        <v>0</v>
      </c>
      <c r="H339" s="15">
        <f t="shared" si="53"/>
        <v>552.71794499999987</v>
      </c>
    </row>
    <row r="340" spans="1:9" x14ac:dyDescent="0.2">
      <c r="A340" s="90">
        <v>39</v>
      </c>
      <c r="B340" s="91"/>
      <c r="C340" s="16" t="s">
        <v>282</v>
      </c>
      <c r="D340" s="15">
        <f>(3.35*8.7+1.77*1.75+1.4*1.2+0.65*0.45)*(10.764)</f>
        <v>368.29025999999993</v>
      </c>
      <c r="E340" s="15">
        <v>0</v>
      </c>
      <c r="F340" s="15">
        <f t="shared" si="52"/>
        <v>368.29025999999993</v>
      </c>
      <c r="G340" s="15">
        <v>0</v>
      </c>
      <c r="H340" s="15">
        <f t="shared" ref="H340:H352" si="55">F340*(($H$122)+1)+(IF(G340&lt;101,G340,IF(G340&lt;201,G340/2,IF(G340&lt;=301,G340/3,G340/4))))</f>
        <v>552.43538999999987</v>
      </c>
    </row>
    <row r="341" spans="1:9" x14ac:dyDescent="0.2">
      <c r="A341" s="90">
        <f t="shared" si="48"/>
        <v>40</v>
      </c>
      <c r="B341" s="91"/>
      <c r="C341" s="16" t="s">
        <v>282</v>
      </c>
      <c r="D341" s="15">
        <f>(3.35*8.7+1.78*1.75+1.4*1.2+0.65*0.45)*(10.764)</f>
        <v>368.4786299999999</v>
      </c>
      <c r="E341" s="15">
        <v>0</v>
      </c>
      <c r="F341" s="15">
        <f t="shared" si="52"/>
        <v>368.4786299999999</v>
      </c>
      <c r="G341" s="15">
        <v>0</v>
      </c>
      <c r="H341" s="15">
        <f t="shared" si="55"/>
        <v>552.71794499999987</v>
      </c>
    </row>
    <row r="342" spans="1:9" x14ac:dyDescent="0.2">
      <c r="A342" s="90">
        <f t="shared" si="48"/>
        <v>41</v>
      </c>
      <c r="B342" s="91"/>
      <c r="C342" s="16" t="s">
        <v>282</v>
      </c>
      <c r="D342" s="15">
        <f>(3.35*8.7+1.77*1.75+1.4*1.2+0.65*0.45)*(10.764)</f>
        <v>368.29025999999993</v>
      </c>
      <c r="E342" s="15">
        <v>0</v>
      </c>
      <c r="F342" s="15">
        <f t="shared" si="52"/>
        <v>368.29025999999993</v>
      </c>
      <c r="G342" s="15">
        <v>0</v>
      </c>
      <c r="H342" s="15">
        <f t="shared" si="55"/>
        <v>552.43538999999987</v>
      </c>
    </row>
    <row r="343" spans="1:9" x14ac:dyDescent="0.2">
      <c r="A343" s="90">
        <f t="shared" si="48"/>
        <v>42</v>
      </c>
      <c r="B343" s="91"/>
      <c r="C343" s="16" t="s">
        <v>282</v>
      </c>
      <c r="D343" s="15">
        <f>(3.35*8.7+1.78*1.75+1.4*1.2+0.65*0.45)*(10.764)</f>
        <v>368.4786299999999</v>
      </c>
      <c r="E343" s="15">
        <v>0</v>
      </c>
      <c r="F343" s="15">
        <f t="shared" si="52"/>
        <v>368.4786299999999</v>
      </c>
      <c r="G343" s="15">
        <v>0</v>
      </c>
      <c r="H343" s="15">
        <f t="shared" si="55"/>
        <v>552.71794499999987</v>
      </c>
    </row>
    <row r="344" spans="1:9" x14ac:dyDescent="0.2">
      <c r="A344" s="90">
        <f t="shared" si="48"/>
        <v>43</v>
      </c>
      <c r="B344" s="91"/>
      <c r="C344" s="16" t="s">
        <v>282</v>
      </c>
      <c r="D344" s="15">
        <f>(3.35*8.7+1.77*1.75+1.4*1.2+0.65*0.45)*(10.764)</f>
        <v>368.29025999999993</v>
      </c>
      <c r="E344" s="15">
        <v>0</v>
      </c>
      <c r="F344" s="15">
        <f t="shared" si="52"/>
        <v>368.29025999999993</v>
      </c>
      <c r="G344" s="15">
        <v>0</v>
      </c>
      <c r="H344" s="15">
        <f t="shared" si="55"/>
        <v>552.43538999999987</v>
      </c>
    </row>
    <row r="345" spans="1:9" x14ac:dyDescent="0.2">
      <c r="A345" s="90">
        <f t="shared" si="48"/>
        <v>44</v>
      </c>
      <c r="B345" s="91"/>
      <c r="C345" s="16" t="s">
        <v>282</v>
      </c>
      <c r="D345" s="15">
        <f>(3.35*8.7+1.78*1.75+1.4*1.2+0.65*0.45)*(10.764)</f>
        <v>368.4786299999999</v>
      </c>
      <c r="E345" s="15">
        <v>0</v>
      </c>
      <c r="F345" s="15">
        <f t="shared" si="52"/>
        <v>368.4786299999999</v>
      </c>
      <c r="G345" s="15">
        <v>0</v>
      </c>
      <c r="H345" s="15">
        <f t="shared" si="55"/>
        <v>552.71794499999987</v>
      </c>
    </row>
    <row r="346" spans="1:9" x14ac:dyDescent="0.2">
      <c r="A346" s="90">
        <f t="shared" si="48"/>
        <v>45</v>
      </c>
      <c r="B346" s="91"/>
      <c r="C346" s="16" t="s">
        <v>282</v>
      </c>
      <c r="D346" s="15">
        <f>(3.35*8.7+1.77*1.75+1.4*1.2+0.65*0.45)*(10.764)</f>
        <v>368.29025999999993</v>
      </c>
      <c r="E346" s="15">
        <v>0</v>
      </c>
      <c r="F346" s="15">
        <f t="shared" si="52"/>
        <v>368.29025999999993</v>
      </c>
      <c r="G346" s="15">
        <v>0</v>
      </c>
      <c r="H346" s="15">
        <f t="shared" si="55"/>
        <v>552.43538999999987</v>
      </c>
      <c r="I346" s="85"/>
    </row>
    <row r="347" spans="1:9" x14ac:dyDescent="0.2">
      <c r="A347" s="90">
        <f t="shared" si="48"/>
        <v>46</v>
      </c>
      <c r="B347" s="91"/>
      <c r="C347" s="16" t="s">
        <v>282</v>
      </c>
      <c r="D347" s="15">
        <f>(3.35*8.7+1.78*1.75+1.4*1.2+0.65*0.45)*(10.764)</f>
        <v>368.4786299999999</v>
      </c>
      <c r="E347" s="15">
        <v>0</v>
      </c>
      <c r="F347" s="15">
        <f t="shared" si="52"/>
        <v>368.4786299999999</v>
      </c>
      <c r="G347" s="15">
        <v>0</v>
      </c>
      <c r="H347" s="15">
        <f t="shared" si="55"/>
        <v>552.71794499999987</v>
      </c>
    </row>
    <row r="348" spans="1:9" x14ac:dyDescent="0.2">
      <c r="A348" s="90">
        <f t="shared" si="48"/>
        <v>47</v>
      </c>
      <c r="B348" s="91"/>
      <c r="C348" s="16" t="s">
        <v>282</v>
      </c>
      <c r="D348" s="15">
        <f>(3.35*8.7+1.77*1.75+1.4*1.2+0.65*0.45)*(10.764)</f>
        <v>368.29025999999993</v>
      </c>
      <c r="E348" s="15">
        <v>0</v>
      </c>
      <c r="F348" s="15">
        <f t="shared" si="52"/>
        <v>368.29025999999993</v>
      </c>
      <c r="G348" s="15">
        <v>0</v>
      </c>
      <c r="H348" s="15">
        <f t="shared" si="55"/>
        <v>552.43538999999987</v>
      </c>
    </row>
    <row r="349" spans="1:9" x14ac:dyDescent="0.2">
      <c r="A349" s="90">
        <f t="shared" si="48"/>
        <v>48</v>
      </c>
      <c r="B349" s="91"/>
      <c r="C349" s="16" t="s">
        <v>282</v>
      </c>
      <c r="D349" s="15">
        <f>(3.35*8.7+1.85*1.75+1.4*1.2+0.65*0.45)*(10.764)</f>
        <v>369.79721999999992</v>
      </c>
      <c r="E349" s="15">
        <v>0</v>
      </c>
      <c r="F349" s="15">
        <f t="shared" si="52"/>
        <v>369.79721999999992</v>
      </c>
      <c r="G349" s="15">
        <v>0</v>
      </c>
      <c r="H349" s="15">
        <f t="shared" si="55"/>
        <v>554.69582999999989</v>
      </c>
    </row>
    <row r="350" spans="1:9" x14ac:dyDescent="0.2">
      <c r="A350" s="90">
        <f t="shared" si="48"/>
        <v>49</v>
      </c>
      <c r="B350" s="91"/>
      <c r="C350" s="16" t="s">
        <v>282</v>
      </c>
      <c r="D350" s="15">
        <f>(6.72*4.15+1.65*1.35+1.6*0.89+1.05*1.55+0.45*0.91)*(10.764)</f>
        <v>361.41744599999998</v>
      </c>
      <c r="E350" s="15">
        <v>0</v>
      </c>
      <c r="F350" s="15">
        <f t="shared" si="52"/>
        <v>361.41744599999998</v>
      </c>
      <c r="G350" s="15">
        <v>0</v>
      </c>
      <c r="H350" s="15">
        <f t="shared" si="55"/>
        <v>542.126169</v>
      </c>
    </row>
    <row r="351" spans="1:9" x14ac:dyDescent="0.2">
      <c r="A351" s="90">
        <f t="shared" si="48"/>
        <v>50</v>
      </c>
      <c r="B351" s="91"/>
      <c r="C351" s="16" t="s">
        <v>282</v>
      </c>
      <c r="D351" s="15">
        <f>(6.72*4.01+1.65*2.52+1.05*1.4+0.5*0.65)*(10.764)</f>
        <v>354.13775279999993</v>
      </c>
      <c r="E351" s="15">
        <v>0</v>
      </c>
      <c r="F351" s="15">
        <f t="shared" si="52"/>
        <v>354.13775279999993</v>
      </c>
      <c r="G351" s="15">
        <v>0</v>
      </c>
      <c r="H351" s="15">
        <f t="shared" si="55"/>
        <v>531.20662919999995</v>
      </c>
    </row>
    <row r="352" spans="1:9" x14ac:dyDescent="0.2">
      <c r="A352" s="90">
        <f t="shared" si="48"/>
        <v>51</v>
      </c>
      <c r="B352" s="91"/>
      <c r="C352" s="16" t="s">
        <v>282</v>
      </c>
      <c r="D352" s="15">
        <f>(6.72*4.25+1.65*2.75+1.05*1.4+0.5*0.65)*(10.764)</f>
        <v>375.58286999999996</v>
      </c>
      <c r="E352" s="15">
        <v>0</v>
      </c>
      <c r="F352" s="15">
        <f t="shared" si="52"/>
        <v>375.58286999999996</v>
      </c>
      <c r="G352" s="15">
        <v>0</v>
      </c>
      <c r="H352" s="15">
        <f t="shared" si="55"/>
        <v>563.37430499999994</v>
      </c>
    </row>
    <row r="353" spans="1:10" x14ac:dyDescent="0.2">
      <c r="A353" s="94" t="s">
        <v>307</v>
      </c>
      <c r="B353" s="94"/>
      <c r="C353" s="94"/>
      <c r="D353" s="94"/>
      <c r="E353" s="94"/>
      <c r="F353" s="94"/>
      <c r="G353" s="94"/>
      <c r="H353" s="94"/>
    </row>
    <row r="354" spans="1:10" x14ac:dyDescent="0.2">
      <c r="A354" s="147">
        <v>2</v>
      </c>
      <c r="B354" s="148"/>
      <c r="C354" s="76" t="s">
        <v>259</v>
      </c>
      <c r="D354" s="83">
        <f>(6.72*3.33+1.65*1.48+1.05*1.55+0.45*0.8)*(10.764)</f>
        <v>288.55162439999998</v>
      </c>
      <c r="E354" s="83">
        <v>0</v>
      </c>
      <c r="F354" s="83">
        <f t="shared" ref="F354:F376" si="56">D354+(IF(E354&lt;201,E354,IF(E354&lt;301,E354/2,E354/3)))</f>
        <v>288.55162439999998</v>
      </c>
      <c r="G354" s="83">
        <v>0</v>
      </c>
      <c r="H354" s="83">
        <f t="shared" ref="H354:H401" si="57">F354*(($H$122)+1)+(IF(G354&lt;101,G354,IF(G354&lt;201,G354/2,IF(G354&lt;=301,G354/3,G354/4))))</f>
        <v>432.82743659999994</v>
      </c>
    </row>
    <row r="355" spans="1:10" x14ac:dyDescent="0.2">
      <c r="A355" s="90">
        <v>3</v>
      </c>
      <c r="B355" s="91"/>
      <c r="C355" s="16" t="s">
        <v>259</v>
      </c>
      <c r="D355" s="15">
        <f>(4.49*5.31+2.24*2.35+0.5*1.6+1.55*1.5+0.6*0.3)*(10.764)</f>
        <v>348.87092759999996</v>
      </c>
      <c r="E355" s="15">
        <v>0</v>
      </c>
      <c r="F355" s="15">
        <f t="shared" si="56"/>
        <v>348.87092759999996</v>
      </c>
      <c r="G355" s="15">
        <v>0</v>
      </c>
      <c r="H355" s="15">
        <f t="shared" si="57"/>
        <v>523.30639139999994</v>
      </c>
    </row>
    <row r="356" spans="1:10" x14ac:dyDescent="0.2">
      <c r="A356" s="90">
        <f t="shared" ref="A356:A401" si="58">A355+1</f>
        <v>4</v>
      </c>
      <c r="B356" s="91"/>
      <c r="C356" s="16" t="s">
        <v>259</v>
      </c>
      <c r="D356" s="15">
        <f>(3.35*6.06+1.77*1.6+1.4*1.05+0.65*0.45)*(10.764)</f>
        <v>267.97516199999995</v>
      </c>
      <c r="E356" s="15">
        <v>0</v>
      </c>
      <c r="F356" s="15">
        <f t="shared" si="56"/>
        <v>267.97516199999995</v>
      </c>
      <c r="G356" s="15">
        <v>0</v>
      </c>
      <c r="H356" s="15">
        <f t="shared" si="57"/>
        <v>401.96274299999993</v>
      </c>
      <c r="I356" s="69">
        <f>4</f>
        <v>4</v>
      </c>
    </row>
    <row r="357" spans="1:10" x14ac:dyDescent="0.2">
      <c r="A357" s="90">
        <f t="shared" si="58"/>
        <v>5</v>
      </c>
      <c r="B357" s="91"/>
      <c r="C357" s="16" t="s">
        <v>259</v>
      </c>
      <c r="D357" s="15">
        <f t="shared" ref="D357:D359" si="59">(3.35*6.06+1.77*1.6+1.4*1.05+0.65*0.45)*(10.764)</f>
        <v>267.97516199999995</v>
      </c>
      <c r="E357" s="15">
        <v>0</v>
      </c>
      <c r="F357" s="15">
        <f t="shared" si="56"/>
        <v>267.97516199999995</v>
      </c>
      <c r="G357" s="15">
        <v>0</v>
      </c>
      <c r="H357" s="15">
        <f t="shared" si="57"/>
        <v>401.96274299999993</v>
      </c>
    </row>
    <row r="358" spans="1:10" x14ac:dyDescent="0.2">
      <c r="A358" s="90">
        <f t="shared" si="58"/>
        <v>6</v>
      </c>
      <c r="B358" s="91"/>
      <c r="C358" s="16" t="s">
        <v>259</v>
      </c>
      <c r="D358" s="15">
        <f t="shared" si="59"/>
        <v>267.97516199999995</v>
      </c>
      <c r="E358" s="15">
        <v>0</v>
      </c>
      <c r="F358" s="15">
        <f t="shared" si="56"/>
        <v>267.97516199999995</v>
      </c>
      <c r="G358" s="15">
        <v>0</v>
      </c>
      <c r="H358" s="15">
        <f t="shared" si="57"/>
        <v>401.96274299999993</v>
      </c>
    </row>
    <row r="359" spans="1:10" x14ac:dyDescent="0.2">
      <c r="A359" s="90">
        <f t="shared" si="58"/>
        <v>7</v>
      </c>
      <c r="B359" s="91"/>
      <c r="C359" s="16" t="s">
        <v>259</v>
      </c>
      <c r="D359" s="15">
        <f t="shared" si="59"/>
        <v>267.97516199999995</v>
      </c>
      <c r="E359" s="15">
        <v>0</v>
      </c>
      <c r="F359" s="15">
        <f t="shared" si="56"/>
        <v>267.97516199999995</v>
      </c>
      <c r="G359" s="15">
        <v>0</v>
      </c>
      <c r="H359" s="15">
        <f t="shared" si="57"/>
        <v>401.96274299999993</v>
      </c>
    </row>
    <row r="360" spans="1:10" x14ac:dyDescent="0.2">
      <c r="A360" s="90">
        <f t="shared" si="58"/>
        <v>8</v>
      </c>
      <c r="B360" s="91"/>
      <c r="C360" s="16" t="s">
        <v>259</v>
      </c>
      <c r="D360" s="15">
        <f>(3.35*5.31+1.7*1.6+1.2*1.05+1.55*1.5+0.6*0.3)*(10.764)</f>
        <v>261.27995399999998</v>
      </c>
      <c r="E360" s="15">
        <v>0</v>
      </c>
      <c r="F360" s="15">
        <f t="shared" si="56"/>
        <v>261.27995399999998</v>
      </c>
      <c r="G360" s="15">
        <v>0</v>
      </c>
      <c r="H360" s="15">
        <f t="shared" si="57"/>
        <v>391.91993099999996</v>
      </c>
      <c r="I360" s="6">
        <f>COUNT(H453:H501)</f>
        <v>49</v>
      </c>
      <c r="J360" s="6">
        <f>50-1</f>
        <v>49</v>
      </c>
    </row>
    <row r="361" spans="1:10" x14ac:dyDescent="0.2">
      <c r="A361" s="90">
        <f t="shared" si="58"/>
        <v>9</v>
      </c>
      <c r="B361" s="91"/>
      <c r="C361" s="16" t="s">
        <v>259</v>
      </c>
      <c r="D361" s="15">
        <f>(3.35*5.31+1.7*1.6+1.2*1.05+1.55*1.5+0.6*0.3)*(10.764)</f>
        <v>261.27995399999998</v>
      </c>
      <c r="E361" s="15">
        <v>0</v>
      </c>
      <c r="F361" s="15">
        <f t="shared" si="56"/>
        <v>261.27995399999998</v>
      </c>
      <c r="G361" s="15">
        <v>0</v>
      </c>
      <c r="H361" s="15">
        <f t="shared" si="57"/>
        <v>391.91993099999996</v>
      </c>
    </row>
    <row r="362" spans="1:10" x14ac:dyDescent="0.2">
      <c r="A362" s="90">
        <f t="shared" si="58"/>
        <v>10</v>
      </c>
      <c r="B362" s="91"/>
      <c r="C362" s="16" t="s">
        <v>259</v>
      </c>
      <c r="D362" s="15">
        <f>(3.35*6.06+1.78*1.6+1.4*1.05+0.65*0.45)*(10.764)</f>
        <v>268.14738599999993</v>
      </c>
      <c r="E362" s="15">
        <v>0</v>
      </c>
      <c r="F362" s="15">
        <f t="shared" si="56"/>
        <v>268.14738599999993</v>
      </c>
      <c r="G362" s="15">
        <v>0</v>
      </c>
      <c r="H362" s="15">
        <f t="shared" si="57"/>
        <v>402.22107899999992</v>
      </c>
      <c r="I362" s="85"/>
    </row>
    <row r="363" spans="1:10" x14ac:dyDescent="0.2">
      <c r="A363" s="90">
        <f>A362+1</f>
        <v>11</v>
      </c>
      <c r="B363" s="91"/>
      <c r="C363" s="16" t="s">
        <v>259</v>
      </c>
      <c r="D363" s="15">
        <f>(3.35*6.06+1.77*1.6+1.4*1.05+0.65*0.45)*(10.764)</f>
        <v>267.97516199999995</v>
      </c>
      <c r="E363" s="15">
        <v>0</v>
      </c>
      <c r="F363" s="15">
        <f t="shared" ref="F363" si="60">D363+(IF(E363&lt;201,E363,IF(E363&lt;301,E363/2,E363/3)))</f>
        <v>267.97516199999995</v>
      </c>
      <c r="G363" s="15">
        <v>0</v>
      </c>
      <c r="H363" s="15">
        <f t="shared" ref="H363" si="61">F363*(($H$122)+1)+(IF(G363&lt;101,G363,IF(G363&lt;201,G363/2,IF(G363&lt;=301,G363/3,G363/4))))</f>
        <v>401.96274299999993</v>
      </c>
    </row>
    <row r="364" spans="1:10" x14ac:dyDescent="0.2">
      <c r="A364" s="90">
        <f>A363+1</f>
        <v>12</v>
      </c>
      <c r="B364" s="91"/>
      <c r="C364" s="16" t="s">
        <v>259</v>
      </c>
      <c r="D364" s="15">
        <f>(3.35*6.06+1.85*1.6+1.4*1.05+0.65*0.45)*(10.764)</f>
        <v>269.35295399999995</v>
      </c>
      <c r="E364" s="15">
        <v>0</v>
      </c>
      <c r="F364" s="15">
        <f t="shared" ref="F364" si="62">D364+(IF(E364&lt;201,E364,IF(E364&lt;301,E364/2,E364/3)))</f>
        <v>269.35295399999995</v>
      </c>
      <c r="G364" s="15">
        <v>0</v>
      </c>
      <c r="H364" s="15">
        <f t="shared" ref="H364" si="63">F364*(($H$122)+1)+(IF(G364&lt;101,G364,IF(G364&lt;201,G364/2,IF(G364&lt;=301,G364/3,G364/4))))</f>
        <v>404.02943099999993</v>
      </c>
    </row>
    <row r="365" spans="1:10" x14ac:dyDescent="0.2">
      <c r="A365" s="90">
        <v>14</v>
      </c>
      <c r="B365" s="91"/>
      <c r="C365" s="16" t="s">
        <v>259</v>
      </c>
      <c r="D365" s="15">
        <f>(3.35*6.06+1.7*1.6+1.4*1.05+0.65*0.45)*(10.764)</f>
        <v>266.76959399999993</v>
      </c>
      <c r="E365" s="15">
        <v>0</v>
      </c>
      <c r="F365" s="15">
        <f t="shared" ref="F365" si="64">D365+(IF(E365&lt;201,E365,IF(E365&lt;301,E365/2,E365/3)))</f>
        <v>266.76959399999993</v>
      </c>
      <c r="G365" s="15">
        <v>0</v>
      </c>
      <c r="H365" s="15">
        <f t="shared" ref="H365" si="65">F365*(($H$122)+1)+(IF(G365&lt;101,G365,IF(G365&lt;201,G365/2,IF(G365&lt;=301,G365/3,G365/4))))</f>
        <v>400.15439099999992</v>
      </c>
    </row>
    <row r="366" spans="1:10" x14ac:dyDescent="0.2">
      <c r="A366" s="90">
        <f>A365+1</f>
        <v>15</v>
      </c>
      <c r="B366" s="91"/>
      <c r="C366" s="16" t="s">
        <v>259</v>
      </c>
      <c r="D366" s="15">
        <f>(3.35*6.06+1.78*1.6+1.4*1.05+0.65*0.45)*(10.764)</f>
        <v>268.14738599999993</v>
      </c>
      <c r="E366" s="15">
        <v>0</v>
      </c>
      <c r="F366" s="15">
        <f t="shared" si="56"/>
        <v>268.14738599999993</v>
      </c>
      <c r="G366" s="15">
        <v>0</v>
      </c>
      <c r="H366" s="15">
        <f t="shared" si="57"/>
        <v>402.22107899999992</v>
      </c>
    </row>
    <row r="367" spans="1:10" x14ac:dyDescent="0.2">
      <c r="A367" s="90">
        <v>16</v>
      </c>
      <c r="B367" s="91"/>
      <c r="C367" s="16" t="s">
        <v>259</v>
      </c>
      <c r="D367" s="15">
        <f>(3.35*6.06+1.77*1.6+1.4*1.05+0.65*0.45)*(10.764)</f>
        <v>267.97516199999995</v>
      </c>
      <c r="E367" s="15">
        <v>0</v>
      </c>
      <c r="F367" s="15">
        <f t="shared" si="56"/>
        <v>267.97516199999995</v>
      </c>
      <c r="G367" s="15">
        <v>0</v>
      </c>
      <c r="H367" s="15">
        <f t="shared" si="57"/>
        <v>401.96274299999993</v>
      </c>
    </row>
    <row r="368" spans="1:10" x14ac:dyDescent="0.2">
      <c r="A368" s="90">
        <f t="shared" si="58"/>
        <v>17</v>
      </c>
      <c r="B368" s="91"/>
      <c r="C368" s="16" t="s">
        <v>259</v>
      </c>
      <c r="D368" s="15">
        <f>(3.35*6.06+1.78*1.6+1.4*1.05+0.65*0.45)*(10.764)</f>
        <v>268.14738599999993</v>
      </c>
      <c r="E368" s="15">
        <v>0</v>
      </c>
      <c r="F368" s="15">
        <f t="shared" si="56"/>
        <v>268.14738599999993</v>
      </c>
      <c r="G368" s="15">
        <v>0</v>
      </c>
      <c r="H368" s="15">
        <f t="shared" si="57"/>
        <v>402.22107899999992</v>
      </c>
    </row>
    <row r="369" spans="1:8" x14ac:dyDescent="0.2">
      <c r="A369" s="90">
        <f t="shared" si="58"/>
        <v>18</v>
      </c>
      <c r="B369" s="91"/>
      <c r="C369" s="16" t="s">
        <v>259</v>
      </c>
      <c r="D369" s="15">
        <f>(3.35*6.06+1.77*1.6+1.4*1.05+0.65*0.45)*(10.764)</f>
        <v>267.97516199999995</v>
      </c>
      <c r="E369" s="15">
        <v>0</v>
      </c>
      <c r="F369" s="15">
        <f t="shared" si="56"/>
        <v>267.97516199999995</v>
      </c>
      <c r="G369" s="15">
        <v>0</v>
      </c>
      <c r="H369" s="15">
        <f t="shared" si="57"/>
        <v>401.96274299999993</v>
      </c>
    </row>
    <row r="370" spans="1:8" x14ac:dyDescent="0.2">
      <c r="A370" s="90">
        <f t="shared" si="58"/>
        <v>19</v>
      </c>
      <c r="B370" s="91"/>
      <c r="C370" s="16" t="s">
        <v>259</v>
      </c>
      <c r="D370" s="15">
        <f>(3.35*6.06+1.78*1.6+1.4*1.05+0.65*0.45)*(10.764)</f>
        <v>268.14738599999993</v>
      </c>
      <c r="E370" s="15">
        <v>0</v>
      </c>
      <c r="F370" s="15">
        <f t="shared" si="56"/>
        <v>268.14738599999993</v>
      </c>
      <c r="G370" s="15">
        <v>0</v>
      </c>
      <c r="H370" s="15">
        <f t="shared" si="57"/>
        <v>402.22107899999992</v>
      </c>
    </row>
    <row r="371" spans="1:8" x14ac:dyDescent="0.2">
      <c r="A371" s="90">
        <f t="shared" si="58"/>
        <v>20</v>
      </c>
      <c r="B371" s="91"/>
      <c r="C371" s="16" t="s">
        <v>259</v>
      </c>
      <c r="D371" s="15">
        <f t="shared" ref="D371" si="66">(3.35*6.06+1.77*1.6+1.4*1.05+0.65*0.45)*(10.764)</f>
        <v>267.97516199999995</v>
      </c>
      <c r="E371" s="15">
        <v>0</v>
      </c>
      <c r="F371" s="15">
        <f t="shared" si="56"/>
        <v>267.97516199999995</v>
      </c>
      <c r="G371" s="15">
        <v>0</v>
      </c>
      <c r="H371" s="15">
        <f t="shared" si="57"/>
        <v>401.96274299999993</v>
      </c>
    </row>
    <row r="372" spans="1:8" x14ac:dyDescent="0.2">
      <c r="A372" s="90">
        <f t="shared" si="58"/>
        <v>21</v>
      </c>
      <c r="B372" s="91"/>
      <c r="C372" s="16" t="s">
        <v>259</v>
      </c>
      <c r="D372" s="15">
        <f>(3.35*6.06+1.85*1.6+1.4*1.05+0.65*0.45)*(10.764)</f>
        <v>269.35295399999995</v>
      </c>
      <c r="E372" s="15">
        <v>0</v>
      </c>
      <c r="F372" s="15">
        <f t="shared" si="56"/>
        <v>269.35295399999995</v>
      </c>
      <c r="G372" s="15">
        <v>0</v>
      </c>
      <c r="H372" s="15">
        <f t="shared" si="57"/>
        <v>404.02943099999993</v>
      </c>
    </row>
    <row r="373" spans="1:8" x14ac:dyDescent="0.2">
      <c r="A373" s="90">
        <f t="shared" si="58"/>
        <v>22</v>
      </c>
      <c r="B373" s="91"/>
      <c r="C373" s="16" t="s">
        <v>259</v>
      </c>
      <c r="D373" s="15">
        <f>(6.3*4.5+1.75*2.93+1.2*1.4+0.45*0.65)*(10.764)</f>
        <v>381.58379999999994</v>
      </c>
      <c r="E373" s="15">
        <v>0</v>
      </c>
      <c r="F373" s="15">
        <f t="shared" si="56"/>
        <v>381.58379999999994</v>
      </c>
      <c r="G373" s="15">
        <v>0</v>
      </c>
      <c r="H373" s="15">
        <f t="shared" si="57"/>
        <v>572.37569999999994</v>
      </c>
    </row>
    <row r="374" spans="1:8" x14ac:dyDescent="0.2">
      <c r="A374" s="90">
        <f t="shared" si="58"/>
        <v>23</v>
      </c>
      <c r="B374" s="91"/>
      <c r="C374" s="16" t="s">
        <v>259</v>
      </c>
      <c r="D374" s="15">
        <f>(6.3*4.45+1.75*2.8+1.2*1.4+0.45*0.65)*(10.764)</f>
        <v>375.74432999999999</v>
      </c>
      <c r="E374" s="15">
        <v>0</v>
      </c>
      <c r="F374" s="15">
        <f t="shared" si="56"/>
        <v>375.74432999999999</v>
      </c>
      <c r="G374" s="15">
        <v>0</v>
      </c>
      <c r="H374" s="15">
        <f t="shared" si="57"/>
        <v>563.61649499999999</v>
      </c>
    </row>
    <row r="375" spans="1:8" x14ac:dyDescent="0.2">
      <c r="A375" s="90">
        <f t="shared" si="58"/>
        <v>24</v>
      </c>
      <c r="B375" s="91"/>
      <c r="C375" s="16" t="s">
        <v>259</v>
      </c>
      <c r="D375" s="15">
        <f>(6.3*4.47+1.75*2.82+1.2*1.4+0.45*0.65)*(10.764)</f>
        <v>377.47733399999993</v>
      </c>
      <c r="E375" s="15">
        <v>0</v>
      </c>
      <c r="F375" s="15">
        <f t="shared" si="56"/>
        <v>377.47733399999993</v>
      </c>
      <c r="G375" s="15">
        <v>0</v>
      </c>
      <c r="H375" s="15">
        <f t="shared" si="57"/>
        <v>566.21600099999989</v>
      </c>
    </row>
    <row r="376" spans="1:8" x14ac:dyDescent="0.2">
      <c r="A376" s="90">
        <f t="shared" si="58"/>
        <v>25</v>
      </c>
      <c r="B376" s="91"/>
      <c r="C376" s="16" t="s">
        <v>259</v>
      </c>
      <c r="D376" s="15">
        <f>(6.3*4.45+1.75*2.8+1.2*1.4+0.45*0.65)*(10.764)</f>
        <v>375.74432999999999</v>
      </c>
      <c r="E376" s="15">
        <v>0</v>
      </c>
      <c r="F376" s="15">
        <f t="shared" si="56"/>
        <v>375.74432999999999</v>
      </c>
      <c r="G376" s="15">
        <v>0</v>
      </c>
      <c r="H376" s="15">
        <f t="shared" si="57"/>
        <v>563.61649499999999</v>
      </c>
    </row>
    <row r="377" spans="1:8" x14ac:dyDescent="0.2">
      <c r="A377" s="90">
        <f t="shared" si="58"/>
        <v>26</v>
      </c>
      <c r="B377" s="91"/>
      <c r="C377" s="16" t="s">
        <v>259</v>
      </c>
      <c r="D377" s="15">
        <f>(6.3*4.5+1.75*1.63+1.7*1.15+1.15*1.4+0.65*0.45)*(10.764)</f>
        <v>377.38583999999992</v>
      </c>
      <c r="E377" s="15">
        <v>0</v>
      </c>
      <c r="F377" s="15">
        <f>D377+(IF(E377&lt;201,E377,IF(E377&lt;301,E377/2,E377/3)))</f>
        <v>377.38583999999992</v>
      </c>
      <c r="G377" s="15">
        <v>0</v>
      </c>
      <c r="H377" s="15">
        <f t="shared" si="57"/>
        <v>566.07875999999987</v>
      </c>
    </row>
    <row r="378" spans="1:8" x14ac:dyDescent="0.2">
      <c r="A378" s="90">
        <f t="shared" si="58"/>
        <v>27</v>
      </c>
      <c r="B378" s="91"/>
      <c r="C378" s="16" t="s">
        <v>259</v>
      </c>
      <c r="D378" s="15">
        <f>(3.35*8.7+1.85*1.75+1.4*1.2+0.65*0.45)*(10.764)</f>
        <v>369.79721999999992</v>
      </c>
      <c r="E378" s="15">
        <v>0</v>
      </c>
      <c r="F378" s="15">
        <f t="shared" ref="F378:F401" si="67">D378+(IF(E378&lt;201,E378,IF(E378&lt;301,E378/2,E378/3)))</f>
        <v>369.79721999999992</v>
      </c>
      <c r="G378" s="15">
        <v>0</v>
      </c>
      <c r="H378" s="15">
        <f t="shared" si="57"/>
        <v>554.69582999999989</v>
      </c>
    </row>
    <row r="379" spans="1:8" x14ac:dyDescent="0.2">
      <c r="A379" s="90">
        <f t="shared" si="58"/>
        <v>28</v>
      </c>
      <c r="B379" s="91"/>
      <c r="C379" s="16" t="s">
        <v>259</v>
      </c>
      <c r="D379" s="15">
        <f>(3.35*8.7+1.78*1.75+1.4*1.2+0.65*0.45)*(10.764)</f>
        <v>368.4786299999999</v>
      </c>
      <c r="E379" s="15">
        <v>0</v>
      </c>
      <c r="F379" s="15">
        <f t="shared" si="67"/>
        <v>368.4786299999999</v>
      </c>
      <c r="G379" s="15">
        <v>0</v>
      </c>
      <c r="H379" s="15">
        <f t="shared" si="57"/>
        <v>552.71794499999987</v>
      </c>
    </row>
    <row r="380" spans="1:8" x14ac:dyDescent="0.2">
      <c r="A380" s="90">
        <f t="shared" si="58"/>
        <v>29</v>
      </c>
      <c r="B380" s="91"/>
      <c r="C380" s="16" t="s">
        <v>259</v>
      </c>
      <c r="D380" s="15">
        <f>(3.35*8.7+1.78*1.75+1.4*1.2+0.65*0.45)*(10.764)</f>
        <v>368.4786299999999</v>
      </c>
      <c r="E380" s="15">
        <v>0</v>
      </c>
      <c r="F380" s="15">
        <f t="shared" si="67"/>
        <v>368.4786299999999</v>
      </c>
      <c r="G380" s="15">
        <v>0</v>
      </c>
      <c r="H380" s="15">
        <f t="shared" si="57"/>
        <v>552.71794499999987</v>
      </c>
    </row>
    <row r="381" spans="1:8" x14ac:dyDescent="0.2">
      <c r="A381" s="90">
        <f t="shared" si="58"/>
        <v>30</v>
      </c>
      <c r="B381" s="91"/>
      <c r="C381" s="16" t="s">
        <v>259</v>
      </c>
      <c r="D381" s="15">
        <f t="shared" ref="D381:D398" si="68">(3.35*8.7+1.78*1.75+1.4*1.2+0.65*0.45)*(10.764)</f>
        <v>368.4786299999999</v>
      </c>
      <c r="E381" s="15">
        <v>0</v>
      </c>
      <c r="F381" s="15">
        <f t="shared" si="67"/>
        <v>368.4786299999999</v>
      </c>
      <c r="G381" s="15">
        <v>0</v>
      </c>
      <c r="H381" s="15">
        <f t="shared" si="57"/>
        <v>552.71794499999987</v>
      </c>
    </row>
    <row r="382" spans="1:8" x14ac:dyDescent="0.2">
      <c r="A382" s="90">
        <f t="shared" si="58"/>
        <v>31</v>
      </c>
      <c r="B382" s="91"/>
      <c r="C382" s="16" t="s">
        <v>259</v>
      </c>
      <c r="D382" s="15">
        <f t="shared" si="68"/>
        <v>368.4786299999999</v>
      </c>
      <c r="E382" s="15">
        <v>0</v>
      </c>
      <c r="F382" s="15">
        <f t="shared" si="67"/>
        <v>368.4786299999999</v>
      </c>
      <c r="G382" s="15">
        <v>0</v>
      </c>
      <c r="H382" s="15">
        <f t="shared" si="57"/>
        <v>552.71794499999987</v>
      </c>
    </row>
    <row r="383" spans="1:8" x14ac:dyDescent="0.2">
      <c r="A383" s="90">
        <f t="shared" si="58"/>
        <v>32</v>
      </c>
      <c r="B383" s="91"/>
      <c r="C383" s="16" t="s">
        <v>259</v>
      </c>
      <c r="D383" s="15">
        <f t="shared" si="68"/>
        <v>368.4786299999999</v>
      </c>
      <c r="E383" s="15">
        <v>0</v>
      </c>
      <c r="F383" s="15">
        <f t="shared" si="67"/>
        <v>368.4786299999999</v>
      </c>
      <c r="G383" s="15">
        <v>0</v>
      </c>
      <c r="H383" s="15">
        <f t="shared" si="57"/>
        <v>552.71794499999987</v>
      </c>
    </row>
    <row r="384" spans="1:8" x14ac:dyDescent="0.2">
      <c r="A384" s="90">
        <f t="shared" si="58"/>
        <v>33</v>
      </c>
      <c r="B384" s="91"/>
      <c r="C384" s="16" t="s">
        <v>259</v>
      </c>
      <c r="D384" s="15">
        <f t="shared" si="68"/>
        <v>368.4786299999999</v>
      </c>
      <c r="E384" s="15">
        <v>0</v>
      </c>
      <c r="F384" s="15">
        <f t="shared" si="67"/>
        <v>368.4786299999999</v>
      </c>
      <c r="G384" s="15">
        <v>0</v>
      </c>
      <c r="H384" s="15">
        <f t="shared" si="57"/>
        <v>552.71794499999987</v>
      </c>
    </row>
    <row r="385" spans="1:9" x14ac:dyDescent="0.2">
      <c r="A385" s="90">
        <f t="shared" si="58"/>
        <v>34</v>
      </c>
      <c r="B385" s="91"/>
      <c r="C385" s="16" t="s">
        <v>259</v>
      </c>
      <c r="D385" s="15">
        <f t="shared" si="68"/>
        <v>368.4786299999999</v>
      </c>
      <c r="E385" s="15">
        <v>0</v>
      </c>
      <c r="F385" s="15">
        <f t="shared" si="67"/>
        <v>368.4786299999999</v>
      </c>
      <c r="G385" s="15">
        <v>0</v>
      </c>
      <c r="H385" s="15">
        <f t="shared" si="57"/>
        <v>552.71794499999987</v>
      </c>
      <c r="I385" s="85"/>
    </row>
    <row r="386" spans="1:9" x14ac:dyDescent="0.2">
      <c r="A386" s="90">
        <f t="shared" si="58"/>
        <v>35</v>
      </c>
      <c r="B386" s="91"/>
      <c r="C386" s="16" t="s">
        <v>259</v>
      </c>
      <c r="D386" s="15">
        <f t="shared" si="68"/>
        <v>368.4786299999999</v>
      </c>
      <c r="E386" s="15">
        <v>0</v>
      </c>
      <c r="F386" s="15">
        <f t="shared" si="67"/>
        <v>368.4786299999999</v>
      </c>
      <c r="G386" s="15">
        <v>0</v>
      </c>
      <c r="H386" s="15">
        <f t="shared" si="57"/>
        <v>552.71794499999987</v>
      </c>
    </row>
    <row r="387" spans="1:9" x14ac:dyDescent="0.2">
      <c r="A387" s="90">
        <f t="shared" si="58"/>
        <v>36</v>
      </c>
      <c r="B387" s="91"/>
      <c r="C387" s="16" t="s">
        <v>259</v>
      </c>
      <c r="D387" s="15">
        <f t="shared" si="68"/>
        <v>368.4786299999999</v>
      </c>
      <c r="E387" s="15">
        <v>0</v>
      </c>
      <c r="F387" s="15">
        <f t="shared" si="67"/>
        <v>368.4786299999999</v>
      </c>
      <c r="G387" s="15">
        <v>0</v>
      </c>
      <c r="H387" s="15">
        <f t="shared" si="57"/>
        <v>552.71794499999987</v>
      </c>
      <c r="I387" s="85">
        <f>10700000/H479</f>
        <v>19358.879328587755</v>
      </c>
    </row>
    <row r="388" spans="1:9" x14ac:dyDescent="0.2">
      <c r="A388" s="90">
        <v>37</v>
      </c>
      <c r="B388" s="91"/>
      <c r="C388" s="16" t="s">
        <v>259</v>
      </c>
      <c r="D388" s="15">
        <f t="shared" si="68"/>
        <v>368.4786299999999</v>
      </c>
      <c r="E388" s="15">
        <v>0</v>
      </c>
      <c r="F388" s="15">
        <f t="shared" ref="F388:F389" si="69">D388+(IF(E388&lt;201,E388,IF(E388&lt;301,E388/2,E388/3)))</f>
        <v>368.4786299999999</v>
      </c>
      <c r="G388" s="15">
        <v>0</v>
      </c>
      <c r="H388" s="15">
        <f t="shared" ref="H388:H389" si="70">F388*(($H$122)+1)+(IF(G388&lt;101,G388,IF(G388&lt;201,G388/2,IF(G388&lt;=301,G388/3,G388/4))))</f>
        <v>552.71794499999987</v>
      </c>
    </row>
    <row r="389" spans="1:9" x14ac:dyDescent="0.2">
      <c r="A389" s="90">
        <f t="shared" si="58"/>
        <v>38</v>
      </c>
      <c r="B389" s="91"/>
      <c r="C389" s="16" t="s">
        <v>259</v>
      </c>
      <c r="D389" s="15">
        <f t="shared" si="68"/>
        <v>368.4786299999999</v>
      </c>
      <c r="E389" s="15">
        <v>0</v>
      </c>
      <c r="F389" s="15">
        <f t="shared" si="69"/>
        <v>368.4786299999999</v>
      </c>
      <c r="G389" s="15">
        <v>0</v>
      </c>
      <c r="H389" s="15">
        <f t="shared" si="70"/>
        <v>552.71794499999987</v>
      </c>
    </row>
    <row r="390" spans="1:9" x14ac:dyDescent="0.2">
      <c r="A390" s="90">
        <v>39</v>
      </c>
      <c r="B390" s="91"/>
      <c r="C390" s="16" t="s">
        <v>259</v>
      </c>
      <c r="D390" s="15">
        <f t="shared" si="68"/>
        <v>368.4786299999999</v>
      </c>
      <c r="E390" s="15">
        <v>0</v>
      </c>
      <c r="F390" s="15">
        <f t="shared" si="67"/>
        <v>368.4786299999999</v>
      </c>
      <c r="G390" s="15">
        <v>0</v>
      </c>
      <c r="H390" s="15">
        <f t="shared" si="57"/>
        <v>552.71794499999987</v>
      </c>
    </row>
    <row r="391" spans="1:9" x14ac:dyDescent="0.2">
      <c r="A391" s="90">
        <f t="shared" si="58"/>
        <v>40</v>
      </c>
      <c r="B391" s="91"/>
      <c r="C391" s="16" t="s">
        <v>259</v>
      </c>
      <c r="D391" s="15">
        <f t="shared" si="68"/>
        <v>368.4786299999999</v>
      </c>
      <c r="E391" s="15">
        <v>0</v>
      </c>
      <c r="F391" s="15">
        <f t="shared" si="67"/>
        <v>368.4786299999999</v>
      </c>
      <c r="G391" s="15">
        <v>0</v>
      </c>
      <c r="H391" s="15">
        <f t="shared" si="57"/>
        <v>552.71794499999987</v>
      </c>
    </row>
    <row r="392" spans="1:9" x14ac:dyDescent="0.2">
      <c r="A392" s="90">
        <f t="shared" si="58"/>
        <v>41</v>
      </c>
      <c r="B392" s="91"/>
      <c r="C392" s="16" t="s">
        <v>259</v>
      </c>
      <c r="D392" s="15">
        <f t="shared" si="68"/>
        <v>368.4786299999999</v>
      </c>
      <c r="E392" s="15">
        <v>0</v>
      </c>
      <c r="F392" s="15">
        <f t="shared" si="67"/>
        <v>368.4786299999999</v>
      </c>
      <c r="G392" s="15">
        <v>0</v>
      </c>
      <c r="H392" s="15">
        <f t="shared" si="57"/>
        <v>552.71794499999987</v>
      </c>
    </row>
    <row r="393" spans="1:9" x14ac:dyDescent="0.2">
      <c r="A393" s="90">
        <f t="shared" si="58"/>
        <v>42</v>
      </c>
      <c r="B393" s="91"/>
      <c r="C393" s="16" t="s">
        <v>259</v>
      </c>
      <c r="D393" s="15">
        <f t="shared" si="68"/>
        <v>368.4786299999999</v>
      </c>
      <c r="E393" s="15">
        <v>0</v>
      </c>
      <c r="F393" s="15">
        <f t="shared" si="67"/>
        <v>368.4786299999999</v>
      </c>
      <c r="G393" s="15">
        <v>0</v>
      </c>
      <c r="H393" s="15">
        <f t="shared" si="57"/>
        <v>552.71794499999987</v>
      </c>
    </row>
    <row r="394" spans="1:9" x14ac:dyDescent="0.2">
      <c r="A394" s="90">
        <f t="shared" si="58"/>
        <v>43</v>
      </c>
      <c r="B394" s="91"/>
      <c r="C394" s="16" t="s">
        <v>259</v>
      </c>
      <c r="D394" s="15">
        <f t="shared" si="68"/>
        <v>368.4786299999999</v>
      </c>
      <c r="E394" s="15">
        <v>0</v>
      </c>
      <c r="F394" s="15">
        <f t="shared" si="67"/>
        <v>368.4786299999999</v>
      </c>
      <c r="G394" s="15">
        <v>0</v>
      </c>
      <c r="H394" s="15">
        <f t="shared" si="57"/>
        <v>552.71794499999987</v>
      </c>
    </row>
    <row r="395" spans="1:9" x14ac:dyDescent="0.2">
      <c r="A395" s="90">
        <f t="shared" si="58"/>
        <v>44</v>
      </c>
      <c r="B395" s="91"/>
      <c r="C395" s="16" t="s">
        <v>259</v>
      </c>
      <c r="D395" s="15">
        <f t="shared" si="68"/>
        <v>368.4786299999999</v>
      </c>
      <c r="E395" s="15">
        <v>0</v>
      </c>
      <c r="F395" s="15">
        <f t="shared" si="67"/>
        <v>368.4786299999999</v>
      </c>
      <c r="G395" s="15">
        <v>0</v>
      </c>
      <c r="H395" s="15">
        <f t="shared" si="57"/>
        <v>552.71794499999987</v>
      </c>
    </row>
    <row r="396" spans="1:9" x14ac:dyDescent="0.2">
      <c r="A396" s="90">
        <f t="shared" si="58"/>
        <v>45</v>
      </c>
      <c r="B396" s="91"/>
      <c r="C396" s="16" t="s">
        <v>259</v>
      </c>
      <c r="D396" s="15">
        <f t="shared" si="68"/>
        <v>368.4786299999999</v>
      </c>
      <c r="E396" s="15">
        <v>0</v>
      </c>
      <c r="F396" s="15">
        <f t="shared" si="67"/>
        <v>368.4786299999999</v>
      </c>
      <c r="G396" s="15">
        <v>0</v>
      </c>
      <c r="H396" s="15">
        <f t="shared" si="57"/>
        <v>552.71794499999987</v>
      </c>
    </row>
    <row r="397" spans="1:9" x14ac:dyDescent="0.2">
      <c r="A397" s="90">
        <f t="shared" si="58"/>
        <v>46</v>
      </c>
      <c r="B397" s="91"/>
      <c r="C397" s="16" t="s">
        <v>259</v>
      </c>
      <c r="D397" s="15">
        <f t="shared" si="68"/>
        <v>368.4786299999999</v>
      </c>
      <c r="E397" s="15">
        <v>0</v>
      </c>
      <c r="F397" s="15">
        <f t="shared" si="67"/>
        <v>368.4786299999999</v>
      </c>
      <c r="G397" s="15">
        <v>0</v>
      </c>
      <c r="H397" s="15">
        <f t="shared" si="57"/>
        <v>552.71794499999987</v>
      </c>
    </row>
    <row r="398" spans="1:9" x14ac:dyDescent="0.2">
      <c r="A398" s="90">
        <f t="shared" si="58"/>
        <v>47</v>
      </c>
      <c r="B398" s="91"/>
      <c r="C398" s="16" t="s">
        <v>259</v>
      </c>
      <c r="D398" s="15">
        <f t="shared" si="68"/>
        <v>368.4786299999999</v>
      </c>
      <c r="E398" s="15">
        <v>0</v>
      </c>
      <c r="F398" s="15">
        <f t="shared" si="67"/>
        <v>368.4786299999999</v>
      </c>
      <c r="G398" s="15">
        <v>0</v>
      </c>
      <c r="H398" s="15">
        <f t="shared" si="57"/>
        <v>552.71794499999987</v>
      </c>
    </row>
    <row r="399" spans="1:9" x14ac:dyDescent="0.2">
      <c r="A399" s="90">
        <f t="shared" si="58"/>
        <v>48</v>
      </c>
      <c r="B399" s="91"/>
      <c r="C399" s="16" t="s">
        <v>259</v>
      </c>
      <c r="D399" s="15">
        <f>(3.35*8.7+1.85*1.75+1.4*1.2+0.65*0.45)*(10.764)</f>
        <v>369.79721999999992</v>
      </c>
      <c r="E399" s="15">
        <v>0</v>
      </c>
      <c r="F399" s="15">
        <f t="shared" si="67"/>
        <v>369.79721999999992</v>
      </c>
      <c r="G399" s="15">
        <v>0</v>
      </c>
      <c r="H399" s="15">
        <f t="shared" si="57"/>
        <v>554.69582999999989</v>
      </c>
    </row>
    <row r="400" spans="1:9" x14ac:dyDescent="0.2">
      <c r="A400" s="90">
        <f t="shared" si="58"/>
        <v>49</v>
      </c>
      <c r="B400" s="91"/>
      <c r="C400" s="16" t="s">
        <v>259</v>
      </c>
      <c r="D400" s="15">
        <f>(6.72*4.15+1.65*1.35+1.6*0.89+1.05*1.55+0.45*0.91)*(10.764)</f>
        <v>361.41744599999998</v>
      </c>
      <c r="E400" s="15">
        <v>0</v>
      </c>
      <c r="F400" s="15">
        <f t="shared" si="67"/>
        <v>361.41744599999998</v>
      </c>
      <c r="G400" s="15">
        <v>0</v>
      </c>
      <c r="H400" s="15">
        <f t="shared" si="57"/>
        <v>542.126169</v>
      </c>
    </row>
    <row r="401" spans="1:8" x14ac:dyDescent="0.2">
      <c r="A401" s="90">
        <f t="shared" si="58"/>
        <v>50</v>
      </c>
      <c r="B401" s="91"/>
      <c r="C401" s="16" t="s">
        <v>259</v>
      </c>
      <c r="D401" s="15">
        <f>(6.72*4.02+1.65*2.52+1.05*1.4+0.5*0.65)*(10.764)</f>
        <v>354.86109359999995</v>
      </c>
      <c r="E401" s="15">
        <v>0</v>
      </c>
      <c r="F401" s="15">
        <f t="shared" si="67"/>
        <v>354.86109359999995</v>
      </c>
      <c r="G401" s="15">
        <v>0</v>
      </c>
      <c r="H401" s="15">
        <f t="shared" si="57"/>
        <v>532.29164039999989</v>
      </c>
    </row>
    <row r="402" spans="1:8" x14ac:dyDescent="0.2">
      <c r="A402" s="119" t="s">
        <v>308</v>
      </c>
      <c r="B402" s="119"/>
      <c r="C402" s="119"/>
      <c r="D402" s="119"/>
      <c r="E402" s="119"/>
      <c r="F402" s="119"/>
      <c r="G402" s="119"/>
      <c r="H402" s="119"/>
    </row>
    <row r="403" spans="1:8" x14ac:dyDescent="0.2">
      <c r="A403" s="90">
        <v>1</v>
      </c>
      <c r="B403" s="91"/>
      <c r="C403" s="16" t="s">
        <v>259</v>
      </c>
      <c r="D403" s="15">
        <f>(6.72*3.42+1.65*1.93+1.05*1.4+0.5*0.65)*(10.764)</f>
        <v>300.98189159999993</v>
      </c>
      <c r="E403" s="15">
        <v>0</v>
      </c>
      <c r="F403" s="15">
        <f t="shared" ref="F403" si="71">D403+(IF(E403&lt;201,E403,IF(E403&lt;301,E403/2,E403/3)))</f>
        <v>300.98189159999993</v>
      </c>
      <c r="G403" s="15">
        <v>0</v>
      </c>
      <c r="H403" s="15">
        <f t="shared" ref="H403" si="72">F403*(($H$122)+1)+(IF(G403&lt;101,G403,IF(G403&lt;201,G403/2,IF(G403&lt;=301,G403/3,G403/4))))</f>
        <v>451.47283739999989</v>
      </c>
    </row>
    <row r="404" spans="1:8" x14ac:dyDescent="0.2">
      <c r="A404" s="90">
        <v>2</v>
      </c>
      <c r="B404" s="91"/>
      <c r="C404" s="16" t="s">
        <v>259</v>
      </c>
      <c r="D404" s="15">
        <f>(6.72*3.33+1.65*1.48+1.05*1.55+0.45*0.8)*(10.764)</f>
        <v>288.55162439999998</v>
      </c>
      <c r="E404" s="15">
        <v>0</v>
      </c>
      <c r="F404" s="15">
        <f t="shared" ref="F404:F426" si="73">D404+(IF(E404&lt;201,E404,IF(E404&lt;301,E404/2,E404/3)))</f>
        <v>288.55162439999998</v>
      </c>
      <c r="G404" s="15">
        <v>0</v>
      </c>
      <c r="H404" s="15">
        <f t="shared" ref="H404:H410" si="74">F404*(($H$122)+1)+(IF(G404&lt;101,G404,IF(G404&lt;201,G404/2,IF(G404&lt;=301,G404/3,G404/4))))</f>
        <v>432.82743659999994</v>
      </c>
    </row>
    <row r="405" spans="1:8" x14ac:dyDescent="0.2">
      <c r="A405" s="90">
        <v>3</v>
      </c>
      <c r="B405" s="91"/>
      <c r="C405" s="16" t="s">
        <v>259</v>
      </c>
      <c r="D405" s="15">
        <f>(4.49*5.31+2.24*2.35+0.5*1.6+1.55*1.5+0.6*0.3)*(10.764)</f>
        <v>348.87092759999996</v>
      </c>
      <c r="E405" s="15">
        <v>0</v>
      </c>
      <c r="F405" s="15">
        <f t="shared" si="73"/>
        <v>348.87092759999996</v>
      </c>
      <c r="G405" s="15">
        <v>0</v>
      </c>
      <c r="H405" s="15">
        <f t="shared" si="74"/>
        <v>523.30639139999994</v>
      </c>
    </row>
    <row r="406" spans="1:8" x14ac:dyDescent="0.2">
      <c r="A406" s="90">
        <f t="shared" ref="A406:A451" si="75">A405+1</f>
        <v>4</v>
      </c>
      <c r="B406" s="91"/>
      <c r="C406" s="16" t="s">
        <v>259</v>
      </c>
      <c r="D406" s="15">
        <f>(3.35*6.06+1.77*1.6+1.4*1.05+0.65*0.45)*(10.764)</f>
        <v>267.97516199999995</v>
      </c>
      <c r="E406" s="15">
        <v>0</v>
      </c>
      <c r="F406" s="15">
        <f t="shared" si="73"/>
        <v>267.97516199999995</v>
      </c>
      <c r="G406" s="15">
        <v>0</v>
      </c>
      <c r="H406" s="15">
        <f t="shared" si="74"/>
        <v>401.96274299999993</v>
      </c>
    </row>
    <row r="407" spans="1:8" x14ac:dyDescent="0.2">
      <c r="A407" s="90">
        <f t="shared" si="75"/>
        <v>5</v>
      </c>
      <c r="B407" s="91"/>
      <c r="C407" s="16" t="s">
        <v>259</v>
      </c>
      <c r="D407" s="15">
        <f t="shared" ref="D407:D409" si="76">(3.35*6.06+1.77*1.6+1.4*1.05+0.65*0.45)*(10.764)</f>
        <v>267.97516199999995</v>
      </c>
      <c r="E407" s="15">
        <v>0</v>
      </c>
      <c r="F407" s="15">
        <f t="shared" si="73"/>
        <v>267.97516199999995</v>
      </c>
      <c r="G407" s="15">
        <v>0</v>
      </c>
      <c r="H407" s="15">
        <f t="shared" si="74"/>
        <v>401.96274299999993</v>
      </c>
    </row>
    <row r="408" spans="1:8" x14ac:dyDescent="0.2">
      <c r="A408" s="90">
        <f t="shared" si="75"/>
        <v>6</v>
      </c>
      <c r="B408" s="91"/>
      <c r="C408" s="16" t="s">
        <v>259</v>
      </c>
      <c r="D408" s="15">
        <f t="shared" si="76"/>
        <v>267.97516199999995</v>
      </c>
      <c r="E408" s="15">
        <v>0</v>
      </c>
      <c r="F408" s="15">
        <f t="shared" si="73"/>
        <v>267.97516199999995</v>
      </c>
      <c r="G408" s="15">
        <v>0</v>
      </c>
      <c r="H408" s="15">
        <f t="shared" si="74"/>
        <v>401.96274299999993</v>
      </c>
    </row>
    <row r="409" spans="1:8" x14ac:dyDescent="0.2">
      <c r="A409" s="90">
        <f t="shared" si="75"/>
        <v>7</v>
      </c>
      <c r="B409" s="91"/>
      <c r="C409" s="16" t="s">
        <v>259</v>
      </c>
      <c r="D409" s="15">
        <f t="shared" si="76"/>
        <v>267.97516199999995</v>
      </c>
      <c r="E409" s="15">
        <v>0</v>
      </c>
      <c r="F409" s="15">
        <f t="shared" si="73"/>
        <v>267.97516199999995</v>
      </c>
      <c r="G409" s="15">
        <v>0</v>
      </c>
      <c r="H409" s="15">
        <f t="shared" si="74"/>
        <v>401.96274299999993</v>
      </c>
    </row>
    <row r="410" spans="1:8" x14ac:dyDescent="0.2">
      <c r="A410" s="90">
        <f t="shared" si="75"/>
        <v>8</v>
      </c>
      <c r="B410" s="91"/>
      <c r="C410" s="16" t="s">
        <v>259</v>
      </c>
      <c r="D410" s="15">
        <f>(3.35*5.31+1.7*1.6+1.2*1.05+1.55*1.5+0.6*0.3)*(10.764)</f>
        <v>261.27995399999998</v>
      </c>
      <c r="E410" s="15">
        <v>0</v>
      </c>
      <c r="F410" s="15">
        <f t="shared" si="73"/>
        <v>261.27995399999998</v>
      </c>
      <c r="G410" s="15">
        <v>0</v>
      </c>
      <c r="H410" s="15">
        <f t="shared" si="74"/>
        <v>391.91993099999996</v>
      </c>
    </row>
    <row r="411" spans="1:8" x14ac:dyDescent="0.2">
      <c r="A411" s="90">
        <f t="shared" si="75"/>
        <v>9</v>
      </c>
      <c r="B411" s="91"/>
      <c r="C411" s="271" t="s">
        <v>260</v>
      </c>
      <c r="D411" s="272"/>
      <c r="E411" s="272"/>
      <c r="F411" s="272"/>
      <c r="G411" s="272"/>
      <c r="H411" s="273"/>
    </row>
    <row r="412" spans="1:8" x14ac:dyDescent="0.2">
      <c r="A412" s="90">
        <f t="shared" si="75"/>
        <v>10</v>
      </c>
      <c r="B412" s="91"/>
      <c r="C412" s="274"/>
      <c r="D412" s="275"/>
      <c r="E412" s="275"/>
      <c r="F412" s="275"/>
      <c r="G412" s="275"/>
      <c r="H412" s="276"/>
    </row>
    <row r="413" spans="1:8" x14ac:dyDescent="0.2">
      <c r="A413" s="90">
        <f>A412+1</f>
        <v>11</v>
      </c>
      <c r="B413" s="91"/>
      <c r="C413" s="274"/>
      <c r="D413" s="275"/>
      <c r="E413" s="275"/>
      <c r="F413" s="275"/>
      <c r="G413" s="275"/>
      <c r="H413" s="276"/>
    </row>
    <row r="414" spans="1:8" x14ac:dyDescent="0.2">
      <c r="A414" s="90">
        <f>A413+1</f>
        <v>12</v>
      </c>
      <c r="B414" s="91"/>
      <c r="C414" s="274"/>
      <c r="D414" s="275"/>
      <c r="E414" s="275"/>
      <c r="F414" s="275"/>
      <c r="G414" s="275"/>
      <c r="H414" s="276"/>
    </row>
    <row r="415" spans="1:8" x14ac:dyDescent="0.2">
      <c r="A415" s="90">
        <v>14</v>
      </c>
      <c r="B415" s="91"/>
      <c r="C415" s="274"/>
      <c r="D415" s="275"/>
      <c r="E415" s="275"/>
      <c r="F415" s="275"/>
      <c r="G415" s="275"/>
      <c r="H415" s="276"/>
    </row>
    <row r="416" spans="1:8" x14ac:dyDescent="0.2">
      <c r="A416" s="90">
        <f>A415+1</f>
        <v>15</v>
      </c>
      <c r="B416" s="91"/>
      <c r="C416" s="274"/>
      <c r="D416" s="275"/>
      <c r="E416" s="275"/>
      <c r="F416" s="275"/>
      <c r="G416" s="275"/>
      <c r="H416" s="276"/>
    </row>
    <row r="417" spans="1:8" x14ac:dyDescent="0.2">
      <c r="A417" s="90">
        <v>16</v>
      </c>
      <c r="B417" s="91"/>
      <c r="C417" s="277"/>
      <c r="D417" s="278"/>
      <c r="E417" s="278"/>
      <c r="F417" s="278"/>
      <c r="G417" s="278"/>
      <c r="H417" s="279"/>
    </row>
    <row r="418" spans="1:8" x14ac:dyDescent="0.2">
      <c r="A418" s="90">
        <f t="shared" si="75"/>
        <v>17</v>
      </c>
      <c r="B418" s="91"/>
      <c r="C418" s="16" t="s">
        <v>259</v>
      </c>
      <c r="D418" s="15">
        <f>(3.35*6.06+1.78*1.6+1.4*1.05+0.65*0.45)*(10.764)</f>
        <v>268.14738599999993</v>
      </c>
      <c r="E418" s="15">
        <v>0</v>
      </c>
      <c r="F418" s="15">
        <f t="shared" si="73"/>
        <v>268.14738599999993</v>
      </c>
      <c r="G418" s="15">
        <v>0</v>
      </c>
      <c r="H418" s="15">
        <f t="shared" ref="H418:H451" si="77">F418*(($H$122)+1)+(IF(G418&lt;101,G418,IF(G418&lt;201,G418/2,IF(G418&lt;=301,G418/3,G418/4))))</f>
        <v>402.22107899999992</v>
      </c>
    </row>
    <row r="419" spans="1:8" x14ac:dyDescent="0.2">
      <c r="A419" s="90">
        <f t="shared" si="75"/>
        <v>18</v>
      </c>
      <c r="B419" s="91"/>
      <c r="C419" s="16" t="s">
        <v>259</v>
      </c>
      <c r="D419" s="15">
        <f>(3.35*6.06+1.77*1.6+1.4*1.05+0.65*0.45)*(10.764)</f>
        <v>267.97516199999995</v>
      </c>
      <c r="E419" s="15">
        <v>0</v>
      </c>
      <c r="F419" s="15">
        <f t="shared" si="73"/>
        <v>267.97516199999995</v>
      </c>
      <c r="G419" s="15">
        <v>0</v>
      </c>
      <c r="H419" s="15">
        <f t="shared" si="77"/>
        <v>401.96274299999993</v>
      </c>
    </row>
    <row r="420" spans="1:8" x14ac:dyDescent="0.2">
      <c r="A420" s="90">
        <f t="shared" si="75"/>
        <v>19</v>
      </c>
      <c r="B420" s="91"/>
      <c r="C420" s="16" t="s">
        <v>259</v>
      </c>
      <c r="D420" s="15">
        <f>(3.35*6.06+1.78*1.6+1.4*1.05+0.65*0.45)*(10.764)</f>
        <v>268.14738599999993</v>
      </c>
      <c r="E420" s="15">
        <v>0</v>
      </c>
      <c r="F420" s="15">
        <f t="shared" si="73"/>
        <v>268.14738599999993</v>
      </c>
      <c r="G420" s="15">
        <v>0</v>
      </c>
      <c r="H420" s="15">
        <f t="shared" si="77"/>
        <v>402.22107899999992</v>
      </c>
    </row>
    <row r="421" spans="1:8" x14ac:dyDescent="0.2">
      <c r="A421" s="90">
        <f t="shared" si="75"/>
        <v>20</v>
      </c>
      <c r="B421" s="91"/>
      <c r="C421" s="16" t="s">
        <v>259</v>
      </c>
      <c r="D421" s="15">
        <f t="shared" ref="D421" si="78">(3.35*6.06+1.77*1.6+1.4*1.05+0.65*0.45)*(10.764)</f>
        <v>267.97516199999995</v>
      </c>
      <c r="E421" s="15">
        <v>0</v>
      </c>
      <c r="F421" s="15">
        <f t="shared" si="73"/>
        <v>267.97516199999995</v>
      </c>
      <c r="G421" s="15">
        <v>0</v>
      </c>
      <c r="H421" s="15">
        <f t="shared" si="77"/>
        <v>401.96274299999993</v>
      </c>
    </row>
    <row r="422" spans="1:8" x14ac:dyDescent="0.2">
      <c r="A422" s="90">
        <f t="shared" si="75"/>
        <v>21</v>
      </c>
      <c r="B422" s="91"/>
      <c r="C422" s="16" t="s">
        <v>259</v>
      </c>
      <c r="D422" s="15">
        <f>(3.35*6.06+1.85*1.6+1.4*1.05+0.65*0.45)*(10.764)</f>
        <v>269.35295399999995</v>
      </c>
      <c r="E422" s="15">
        <v>0</v>
      </c>
      <c r="F422" s="15">
        <f t="shared" si="73"/>
        <v>269.35295399999995</v>
      </c>
      <c r="G422" s="15">
        <v>0</v>
      </c>
      <c r="H422" s="15">
        <f t="shared" si="77"/>
        <v>404.02943099999993</v>
      </c>
    </row>
    <row r="423" spans="1:8" x14ac:dyDescent="0.2">
      <c r="A423" s="90">
        <f t="shared" si="75"/>
        <v>22</v>
      </c>
      <c r="B423" s="91"/>
      <c r="C423" s="16" t="s">
        <v>259</v>
      </c>
      <c r="D423" s="15">
        <f>(6.3*4.5+1.75*2.93+1.2*1.4+0.45*0.65)*(10.764)</f>
        <v>381.58379999999994</v>
      </c>
      <c r="E423" s="15">
        <v>0</v>
      </c>
      <c r="F423" s="15">
        <f t="shared" si="73"/>
        <v>381.58379999999994</v>
      </c>
      <c r="G423" s="15">
        <v>0</v>
      </c>
      <c r="H423" s="15">
        <f t="shared" si="77"/>
        <v>572.37569999999994</v>
      </c>
    </row>
    <row r="424" spans="1:8" x14ac:dyDescent="0.2">
      <c r="A424" s="90">
        <f t="shared" si="75"/>
        <v>23</v>
      </c>
      <c r="B424" s="91"/>
      <c r="C424" s="16" t="s">
        <v>259</v>
      </c>
      <c r="D424" s="15">
        <f>(6.3*4.45+1.75*2.8+1.2*1.4+0.45*0.65)*(10.764)</f>
        <v>375.74432999999999</v>
      </c>
      <c r="E424" s="15">
        <v>0</v>
      </c>
      <c r="F424" s="15">
        <f t="shared" si="73"/>
        <v>375.74432999999999</v>
      </c>
      <c r="G424" s="15">
        <v>0</v>
      </c>
      <c r="H424" s="15">
        <f t="shared" si="77"/>
        <v>563.61649499999999</v>
      </c>
    </row>
    <row r="425" spans="1:8" x14ac:dyDescent="0.2">
      <c r="A425" s="90">
        <f t="shared" si="75"/>
        <v>24</v>
      </c>
      <c r="B425" s="91"/>
      <c r="C425" s="16" t="s">
        <v>259</v>
      </c>
      <c r="D425" s="15">
        <f>(6.3*4.47+1.75*2.82+1.2*1.4+0.45*0.65)*(10.764)</f>
        <v>377.47733399999993</v>
      </c>
      <c r="E425" s="15">
        <v>0</v>
      </c>
      <c r="F425" s="15">
        <f t="shared" si="73"/>
        <v>377.47733399999993</v>
      </c>
      <c r="G425" s="15">
        <v>0</v>
      </c>
      <c r="H425" s="15">
        <f t="shared" si="77"/>
        <v>566.21600099999989</v>
      </c>
    </row>
    <row r="426" spans="1:8" x14ac:dyDescent="0.2">
      <c r="A426" s="90">
        <f t="shared" si="75"/>
        <v>25</v>
      </c>
      <c r="B426" s="91"/>
      <c r="C426" s="16" t="s">
        <v>259</v>
      </c>
      <c r="D426" s="15">
        <f>(6.3*4.45+1.75*2.8+1.2*1.4+0.45*0.65)*(10.764)</f>
        <v>375.74432999999999</v>
      </c>
      <c r="E426" s="15">
        <v>0</v>
      </c>
      <c r="F426" s="15">
        <f t="shared" si="73"/>
        <v>375.74432999999999</v>
      </c>
      <c r="G426" s="15">
        <v>0</v>
      </c>
      <c r="H426" s="15">
        <f t="shared" si="77"/>
        <v>563.61649499999999</v>
      </c>
    </row>
    <row r="427" spans="1:8" x14ac:dyDescent="0.2">
      <c r="A427" s="90">
        <f t="shared" si="75"/>
        <v>26</v>
      </c>
      <c r="B427" s="91"/>
      <c r="C427" s="16" t="s">
        <v>259</v>
      </c>
      <c r="D427" s="15">
        <f>(6.3*4.5+1.75*1.63+1.7*1.15+1.15*1.4+0.65*0.45)*(10.764)</f>
        <v>377.38583999999992</v>
      </c>
      <c r="E427" s="15">
        <v>0</v>
      </c>
      <c r="F427" s="15">
        <f>D427+(IF(E427&lt;201,E427,IF(E427&lt;301,E427/2,E427/3)))</f>
        <v>377.38583999999992</v>
      </c>
      <c r="G427" s="15">
        <v>0</v>
      </c>
      <c r="H427" s="15">
        <f t="shared" si="77"/>
        <v>566.07875999999987</v>
      </c>
    </row>
    <row r="428" spans="1:8" x14ac:dyDescent="0.2">
      <c r="A428" s="90">
        <f t="shared" si="75"/>
        <v>27</v>
      </c>
      <c r="B428" s="91"/>
      <c r="C428" s="16" t="s">
        <v>259</v>
      </c>
      <c r="D428" s="15">
        <f>(3.35*8.7+1.85*1.75+1.4*1.2+0.65*0.45)*(10.764)</f>
        <v>369.79721999999992</v>
      </c>
      <c r="E428" s="15">
        <v>0</v>
      </c>
      <c r="F428" s="15">
        <f t="shared" ref="F428:F451" si="79">D428+(IF(E428&lt;201,E428,IF(E428&lt;301,E428/2,E428/3)))</f>
        <v>369.79721999999992</v>
      </c>
      <c r="G428" s="15">
        <v>0</v>
      </c>
      <c r="H428" s="15">
        <f t="shared" si="77"/>
        <v>554.69582999999989</v>
      </c>
    </row>
    <row r="429" spans="1:8" x14ac:dyDescent="0.2">
      <c r="A429" s="90">
        <f t="shared" si="75"/>
        <v>28</v>
      </c>
      <c r="B429" s="91"/>
      <c r="C429" s="16" t="s">
        <v>259</v>
      </c>
      <c r="D429" s="15">
        <f>(3.35*8.7+1.78*1.75+1.4*1.2+0.65*0.45)*(10.764)</f>
        <v>368.4786299999999</v>
      </c>
      <c r="E429" s="15">
        <v>0</v>
      </c>
      <c r="F429" s="15">
        <f t="shared" si="79"/>
        <v>368.4786299999999</v>
      </c>
      <c r="G429" s="15">
        <v>0</v>
      </c>
      <c r="H429" s="15">
        <f t="shared" si="77"/>
        <v>552.71794499999987</v>
      </c>
    </row>
    <row r="430" spans="1:8" x14ac:dyDescent="0.2">
      <c r="A430" s="90">
        <f t="shared" si="75"/>
        <v>29</v>
      </c>
      <c r="B430" s="91"/>
      <c r="C430" s="16" t="s">
        <v>259</v>
      </c>
      <c r="D430" s="15">
        <f>(3.35*8.7+1.78*1.75+1.4*1.2+0.65*0.45)*(10.764)</f>
        <v>368.4786299999999</v>
      </c>
      <c r="E430" s="15">
        <v>0</v>
      </c>
      <c r="F430" s="15">
        <f t="shared" si="79"/>
        <v>368.4786299999999</v>
      </c>
      <c r="G430" s="15">
        <v>0</v>
      </c>
      <c r="H430" s="15">
        <f t="shared" si="77"/>
        <v>552.71794499999987</v>
      </c>
    </row>
    <row r="431" spans="1:8" x14ac:dyDescent="0.2">
      <c r="A431" s="90">
        <f t="shared" si="75"/>
        <v>30</v>
      </c>
      <c r="B431" s="91"/>
      <c r="C431" s="16" t="s">
        <v>259</v>
      </c>
      <c r="D431" s="15">
        <f t="shared" ref="D431:D448" si="80">(3.35*8.7+1.78*1.75+1.4*1.2+0.65*0.45)*(10.764)</f>
        <v>368.4786299999999</v>
      </c>
      <c r="E431" s="15">
        <v>0</v>
      </c>
      <c r="F431" s="15">
        <f t="shared" si="79"/>
        <v>368.4786299999999</v>
      </c>
      <c r="G431" s="15">
        <v>0</v>
      </c>
      <c r="H431" s="15">
        <f t="shared" si="77"/>
        <v>552.71794499999987</v>
      </c>
    </row>
    <row r="432" spans="1:8" x14ac:dyDescent="0.2">
      <c r="A432" s="90">
        <f t="shared" si="75"/>
        <v>31</v>
      </c>
      <c r="B432" s="91"/>
      <c r="C432" s="16" t="s">
        <v>259</v>
      </c>
      <c r="D432" s="15">
        <f t="shared" si="80"/>
        <v>368.4786299999999</v>
      </c>
      <c r="E432" s="15">
        <v>0</v>
      </c>
      <c r="F432" s="15">
        <f t="shared" si="79"/>
        <v>368.4786299999999</v>
      </c>
      <c r="G432" s="15">
        <v>0</v>
      </c>
      <c r="H432" s="15">
        <f t="shared" si="77"/>
        <v>552.71794499999987</v>
      </c>
    </row>
    <row r="433" spans="1:8" x14ac:dyDescent="0.2">
      <c r="A433" s="90">
        <f t="shared" si="75"/>
        <v>32</v>
      </c>
      <c r="B433" s="91"/>
      <c r="C433" s="16" t="s">
        <v>259</v>
      </c>
      <c r="D433" s="15">
        <f t="shared" si="80"/>
        <v>368.4786299999999</v>
      </c>
      <c r="E433" s="15">
        <v>0</v>
      </c>
      <c r="F433" s="15">
        <f t="shared" si="79"/>
        <v>368.4786299999999</v>
      </c>
      <c r="G433" s="15">
        <v>0</v>
      </c>
      <c r="H433" s="15">
        <f t="shared" si="77"/>
        <v>552.71794499999987</v>
      </c>
    </row>
    <row r="434" spans="1:8" x14ac:dyDescent="0.2">
      <c r="A434" s="90">
        <f t="shared" si="75"/>
        <v>33</v>
      </c>
      <c r="B434" s="91"/>
      <c r="C434" s="16" t="s">
        <v>259</v>
      </c>
      <c r="D434" s="15">
        <f t="shared" si="80"/>
        <v>368.4786299999999</v>
      </c>
      <c r="E434" s="15">
        <v>0</v>
      </c>
      <c r="F434" s="15">
        <f t="shared" si="79"/>
        <v>368.4786299999999</v>
      </c>
      <c r="G434" s="15">
        <v>0</v>
      </c>
      <c r="H434" s="15">
        <f t="shared" si="77"/>
        <v>552.71794499999987</v>
      </c>
    </row>
    <row r="435" spans="1:8" x14ac:dyDescent="0.2">
      <c r="A435" s="90">
        <f t="shared" si="75"/>
        <v>34</v>
      </c>
      <c r="B435" s="91"/>
      <c r="C435" s="16" t="s">
        <v>259</v>
      </c>
      <c r="D435" s="15">
        <f t="shared" si="80"/>
        <v>368.4786299999999</v>
      </c>
      <c r="E435" s="15">
        <v>0</v>
      </c>
      <c r="F435" s="15">
        <f t="shared" si="79"/>
        <v>368.4786299999999</v>
      </c>
      <c r="G435" s="15">
        <v>0</v>
      </c>
      <c r="H435" s="15">
        <f t="shared" si="77"/>
        <v>552.71794499999987</v>
      </c>
    </row>
    <row r="436" spans="1:8" x14ac:dyDescent="0.2">
      <c r="A436" s="90">
        <f t="shared" si="75"/>
        <v>35</v>
      </c>
      <c r="B436" s="91"/>
      <c r="C436" s="16" t="s">
        <v>259</v>
      </c>
      <c r="D436" s="15">
        <f t="shared" si="80"/>
        <v>368.4786299999999</v>
      </c>
      <c r="E436" s="15">
        <v>0</v>
      </c>
      <c r="F436" s="15">
        <f t="shared" si="79"/>
        <v>368.4786299999999</v>
      </c>
      <c r="G436" s="15">
        <v>0</v>
      </c>
      <c r="H436" s="15">
        <f t="shared" si="77"/>
        <v>552.71794499999987</v>
      </c>
    </row>
    <row r="437" spans="1:8" x14ac:dyDescent="0.2">
      <c r="A437" s="90">
        <f t="shared" si="75"/>
        <v>36</v>
      </c>
      <c r="B437" s="91"/>
      <c r="C437" s="16" t="s">
        <v>259</v>
      </c>
      <c r="D437" s="15">
        <f t="shared" si="80"/>
        <v>368.4786299999999</v>
      </c>
      <c r="E437" s="15">
        <v>0</v>
      </c>
      <c r="F437" s="15">
        <f t="shared" si="79"/>
        <v>368.4786299999999</v>
      </c>
      <c r="G437" s="15">
        <v>0</v>
      </c>
      <c r="H437" s="15">
        <f t="shared" si="77"/>
        <v>552.71794499999987</v>
      </c>
    </row>
    <row r="438" spans="1:8" x14ac:dyDescent="0.2">
      <c r="A438" s="90">
        <v>37</v>
      </c>
      <c r="B438" s="91"/>
      <c r="C438" s="16" t="s">
        <v>259</v>
      </c>
      <c r="D438" s="15">
        <f t="shared" si="80"/>
        <v>368.4786299999999</v>
      </c>
      <c r="E438" s="15">
        <v>0</v>
      </c>
      <c r="F438" s="15">
        <f t="shared" si="79"/>
        <v>368.4786299999999</v>
      </c>
      <c r="G438" s="15">
        <v>0</v>
      </c>
      <c r="H438" s="15">
        <f t="shared" si="77"/>
        <v>552.71794499999987</v>
      </c>
    </row>
    <row r="439" spans="1:8" x14ac:dyDescent="0.2">
      <c r="A439" s="90">
        <f t="shared" ref="A439" si="81">A438+1</f>
        <v>38</v>
      </c>
      <c r="B439" s="91"/>
      <c r="C439" s="16" t="s">
        <v>259</v>
      </c>
      <c r="D439" s="15">
        <f t="shared" si="80"/>
        <v>368.4786299999999</v>
      </c>
      <c r="E439" s="15">
        <v>0</v>
      </c>
      <c r="F439" s="15">
        <f t="shared" si="79"/>
        <v>368.4786299999999</v>
      </c>
      <c r="G439" s="15">
        <v>0</v>
      </c>
      <c r="H439" s="15">
        <f t="shared" si="77"/>
        <v>552.71794499999987</v>
      </c>
    </row>
    <row r="440" spans="1:8" x14ac:dyDescent="0.2">
      <c r="A440" s="90">
        <v>39</v>
      </c>
      <c r="B440" s="91"/>
      <c r="C440" s="16" t="s">
        <v>259</v>
      </c>
      <c r="D440" s="15">
        <f t="shared" si="80"/>
        <v>368.4786299999999</v>
      </c>
      <c r="E440" s="15">
        <v>0</v>
      </c>
      <c r="F440" s="15">
        <f t="shared" si="79"/>
        <v>368.4786299999999</v>
      </c>
      <c r="G440" s="15">
        <v>0</v>
      </c>
      <c r="H440" s="15">
        <f t="shared" si="77"/>
        <v>552.71794499999987</v>
      </c>
    </row>
    <row r="441" spans="1:8" x14ac:dyDescent="0.2">
      <c r="A441" s="90">
        <f t="shared" si="75"/>
        <v>40</v>
      </c>
      <c r="B441" s="91"/>
      <c r="C441" s="16" t="s">
        <v>259</v>
      </c>
      <c r="D441" s="15">
        <f t="shared" si="80"/>
        <v>368.4786299999999</v>
      </c>
      <c r="E441" s="15">
        <v>0</v>
      </c>
      <c r="F441" s="15">
        <f t="shared" si="79"/>
        <v>368.4786299999999</v>
      </c>
      <c r="G441" s="15">
        <v>0</v>
      </c>
      <c r="H441" s="15">
        <f t="shared" si="77"/>
        <v>552.71794499999987</v>
      </c>
    </row>
    <row r="442" spans="1:8" x14ac:dyDescent="0.2">
      <c r="A442" s="90">
        <f t="shared" si="75"/>
        <v>41</v>
      </c>
      <c r="B442" s="91"/>
      <c r="C442" s="16" t="s">
        <v>259</v>
      </c>
      <c r="D442" s="15">
        <f t="shared" si="80"/>
        <v>368.4786299999999</v>
      </c>
      <c r="E442" s="15">
        <v>0</v>
      </c>
      <c r="F442" s="15">
        <f t="shared" si="79"/>
        <v>368.4786299999999</v>
      </c>
      <c r="G442" s="15">
        <v>0</v>
      </c>
      <c r="H442" s="15">
        <f t="shared" si="77"/>
        <v>552.71794499999987</v>
      </c>
    </row>
    <row r="443" spans="1:8" x14ac:dyDescent="0.2">
      <c r="A443" s="90">
        <f t="shared" si="75"/>
        <v>42</v>
      </c>
      <c r="B443" s="91"/>
      <c r="C443" s="16" t="s">
        <v>259</v>
      </c>
      <c r="D443" s="15">
        <f t="shared" si="80"/>
        <v>368.4786299999999</v>
      </c>
      <c r="E443" s="15">
        <v>0</v>
      </c>
      <c r="F443" s="15">
        <f t="shared" si="79"/>
        <v>368.4786299999999</v>
      </c>
      <c r="G443" s="15">
        <v>0</v>
      </c>
      <c r="H443" s="15">
        <f t="shared" si="77"/>
        <v>552.71794499999987</v>
      </c>
    </row>
    <row r="444" spans="1:8" x14ac:dyDescent="0.2">
      <c r="A444" s="90">
        <f t="shared" si="75"/>
        <v>43</v>
      </c>
      <c r="B444" s="91"/>
      <c r="C444" s="16" t="s">
        <v>259</v>
      </c>
      <c r="D444" s="15">
        <f t="shared" si="80"/>
        <v>368.4786299999999</v>
      </c>
      <c r="E444" s="15">
        <v>0</v>
      </c>
      <c r="F444" s="15">
        <f t="shared" si="79"/>
        <v>368.4786299999999</v>
      </c>
      <c r="G444" s="15">
        <v>0</v>
      </c>
      <c r="H444" s="15">
        <f t="shared" si="77"/>
        <v>552.71794499999987</v>
      </c>
    </row>
    <row r="445" spans="1:8" x14ac:dyDescent="0.2">
      <c r="A445" s="90">
        <f t="shared" si="75"/>
        <v>44</v>
      </c>
      <c r="B445" s="91"/>
      <c r="C445" s="16" t="s">
        <v>259</v>
      </c>
      <c r="D445" s="15">
        <f t="shared" si="80"/>
        <v>368.4786299999999</v>
      </c>
      <c r="E445" s="15">
        <v>0</v>
      </c>
      <c r="F445" s="15">
        <f t="shared" si="79"/>
        <v>368.4786299999999</v>
      </c>
      <c r="G445" s="15">
        <v>0</v>
      </c>
      <c r="H445" s="15">
        <f t="shared" si="77"/>
        <v>552.71794499999987</v>
      </c>
    </row>
    <row r="446" spans="1:8" x14ac:dyDescent="0.2">
      <c r="A446" s="90">
        <f t="shared" si="75"/>
        <v>45</v>
      </c>
      <c r="B446" s="91"/>
      <c r="C446" s="16" t="s">
        <v>259</v>
      </c>
      <c r="D446" s="15">
        <f t="shared" si="80"/>
        <v>368.4786299999999</v>
      </c>
      <c r="E446" s="15">
        <v>0</v>
      </c>
      <c r="F446" s="15">
        <f t="shared" si="79"/>
        <v>368.4786299999999</v>
      </c>
      <c r="G446" s="15">
        <v>0</v>
      </c>
      <c r="H446" s="15">
        <f t="shared" si="77"/>
        <v>552.71794499999987</v>
      </c>
    </row>
    <row r="447" spans="1:8" x14ac:dyDescent="0.2">
      <c r="A447" s="90">
        <f t="shared" si="75"/>
        <v>46</v>
      </c>
      <c r="B447" s="91"/>
      <c r="C447" s="16" t="s">
        <v>259</v>
      </c>
      <c r="D447" s="15">
        <f t="shared" si="80"/>
        <v>368.4786299999999</v>
      </c>
      <c r="E447" s="15">
        <v>0</v>
      </c>
      <c r="F447" s="15">
        <f t="shared" si="79"/>
        <v>368.4786299999999</v>
      </c>
      <c r="G447" s="15">
        <v>0</v>
      </c>
      <c r="H447" s="15">
        <f t="shared" si="77"/>
        <v>552.71794499999987</v>
      </c>
    </row>
    <row r="448" spans="1:8" x14ac:dyDescent="0.2">
      <c r="A448" s="90">
        <f t="shared" si="75"/>
        <v>47</v>
      </c>
      <c r="B448" s="91"/>
      <c r="C448" s="16" t="s">
        <v>259</v>
      </c>
      <c r="D448" s="15">
        <f t="shared" si="80"/>
        <v>368.4786299999999</v>
      </c>
      <c r="E448" s="15">
        <v>0</v>
      </c>
      <c r="F448" s="15">
        <f t="shared" si="79"/>
        <v>368.4786299999999</v>
      </c>
      <c r="G448" s="15">
        <v>0</v>
      </c>
      <c r="H448" s="15">
        <f t="shared" si="77"/>
        <v>552.71794499999987</v>
      </c>
    </row>
    <row r="449" spans="1:8" x14ac:dyDescent="0.2">
      <c r="A449" s="90">
        <f t="shared" si="75"/>
        <v>48</v>
      </c>
      <c r="B449" s="91"/>
      <c r="C449" s="16" t="s">
        <v>259</v>
      </c>
      <c r="D449" s="83">
        <f>(3.35*8.7+1.85*1.75+1.4*1.2+0.65*0.45)*(10.764)</f>
        <v>369.79721999999992</v>
      </c>
      <c r="E449" s="15">
        <v>0</v>
      </c>
      <c r="F449" s="15">
        <f t="shared" si="79"/>
        <v>369.79721999999992</v>
      </c>
      <c r="G449" s="15">
        <v>0</v>
      </c>
      <c r="H449" s="15">
        <f t="shared" si="77"/>
        <v>554.69582999999989</v>
      </c>
    </row>
    <row r="450" spans="1:8" x14ac:dyDescent="0.2">
      <c r="A450" s="90">
        <f t="shared" si="75"/>
        <v>49</v>
      </c>
      <c r="B450" s="91"/>
      <c r="C450" s="16" t="s">
        <v>259</v>
      </c>
      <c r="D450" s="15">
        <f>(6.72*4.15+1.65*1.35+1.6*0.89+1.05*1.55+0.45*0.91)*(10.764)</f>
        <v>361.41744599999998</v>
      </c>
      <c r="E450" s="15">
        <v>0</v>
      </c>
      <c r="F450" s="15">
        <f t="shared" si="79"/>
        <v>361.41744599999998</v>
      </c>
      <c r="G450" s="15">
        <v>0</v>
      </c>
      <c r="H450" s="15">
        <f t="shared" si="77"/>
        <v>542.126169</v>
      </c>
    </row>
    <row r="451" spans="1:8" x14ac:dyDescent="0.2">
      <c r="A451" s="90">
        <f t="shared" si="75"/>
        <v>50</v>
      </c>
      <c r="B451" s="91"/>
      <c r="C451" s="16" t="s">
        <v>259</v>
      </c>
      <c r="D451" s="15">
        <f>(6.72*4.02+1.65*2.52+1.05*1.4+0.5*0.65)*(10.764)</f>
        <v>354.86109359999995</v>
      </c>
      <c r="E451" s="15">
        <v>0</v>
      </c>
      <c r="F451" s="15">
        <f t="shared" si="79"/>
        <v>354.86109359999995</v>
      </c>
      <c r="G451" s="15">
        <v>0</v>
      </c>
      <c r="H451" s="15">
        <f t="shared" si="77"/>
        <v>532.29164039999989</v>
      </c>
    </row>
    <row r="452" spans="1:8" x14ac:dyDescent="0.2">
      <c r="A452" s="119" t="s">
        <v>279</v>
      </c>
      <c r="B452" s="119"/>
      <c r="C452" s="119"/>
      <c r="D452" s="119"/>
      <c r="E452" s="119"/>
      <c r="F452" s="119"/>
      <c r="G452" s="119"/>
      <c r="H452" s="119"/>
    </row>
    <row r="453" spans="1:8" x14ac:dyDescent="0.2">
      <c r="A453" s="90">
        <v>1</v>
      </c>
      <c r="B453" s="91"/>
      <c r="C453" s="16" t="s">
        <v>259</v>
      </c>
      <c r="D453" s="15">
        <f>(6.72*3.42+1.65*1.93+1.05*1.4+0.5*0.65)*(10.764)</f>
        <v>300.98189159999993</v>
      </c>
      <c r="E453" s="15">
        <v>0</v>
      </c>
      <c r="F453" s="15">
        <f t="shared" ref="F453:F476" si="82">D453+(IF(E453&lt;201,E453,IF(E453&lt;301,E453/2,E453/3)))</f>
        <v>300.98189159999993</v>
      </c>
      <c r="G453" s="15">
        <v>0</v>
      </c>
      <c r="H453" s="15">
        <f t="shared" ref="H453:H501" si="83">F453*(($H$122)+1)+(IF(G453&lt;101,G453,IF(G453&lt;201,G453/2,IF(G453&lt;=301,G453/3,G453/4))))</f>
        <v>451.47283739999989</v>
      </c>
    </row>
    <row r="454" spans="1:8" x14ac:dyDescent="0.2">
      <c r="A454" s="90">
        <v>2</v>
      </c>
      <c r="B454" s="91"/>
      <c r="C454" s="16" t="s">
        <v>259</v>
      </c>
      <c r="D454" s="15">
        <f>(6.72*3.33+1.65*1.48+1.05*1.55+0.45*0.8)*(10.764)</f>
        <v>288.55162439999998</v>
      </c>
      <c r="E454" s="15">
        <v>0</v>
      </c>
      <c r="F454" s="15">
        <f t="shared" si="82"/>
        <v>288.55162439999998</v>
      </c>
      <c r="G454" s="15">
        <v>0</v>
      </c>
      <c r="H454" s="15">
        <f t="shared" si="83"/>
        <v>432.82743659999994</v>
      </c>
    </row>
    <row r="455" spans="1:8" x14ac:dyDescent="0.2">
      <c r="A455" s="90">
        <v>3</v>
      </c>
      <c r="B455" s="91"/>
      <c r="C455" s="16" t="s">
        <v>259</v>
      </c>
      <c r="D455" s="15">
        <f>(4.49*5.31+2.24*2.35+0.5*1.6+1.55*1.5+0.6*0.3)*(10.764)</f>
        <v>348.87092759999996</v>
      </c>
      <c r="E455" s="15">
        <v>0</v>
      </c>
      <c r="F455" s="15">
        <f t="shared" si="82"/>
        <v>348.87092759999996</v>
      </c>
      <c r="G455" s="15">
        <v>0</v>
      </c>
      <c r="H455" s="15">
        <f t="shared" si="83"/>
        <v>523.30639139999994</v>
      </c>
    </row>
    <row r="456" spans="1:8" x14ac:dyDescent="0.2">
      <c r="A456" s="90">
        <f t="shared" ref="A456:A501" si="84">A455+1</f>
        <v>4</v>
      </c>
      <c r="B456" s="91"/>
      <c r="C456" s="16" t="s">
        <v>259</v>
      </c>
      <c r="D456" s="15">
        <f>(3.35*6.06+1.77*1.6+1.4*1.05+0.65*0.45)*(10.764)</f>
        <v>267.97516199999995</v>
      </c>
      <c r="E456" s="15">
        <v>0</v>
      </c>
      <c r="F456" s="15">
        <f t="shared" si="82"/>
        <v>267.97516199999995</v>
      </c>
      <c r="G456" s="15">
        <v>0</v>
      </c>
      <c r="H456" s="15">
        <f t="shared" si="83"/>
        <v>401.96274299999993</v>
      </c>
    </row>
    <row r="457" spans="1:8" x14ac:dyDescent="0.2">
      <c r="A457" s="90">
        <f t="shared" si="84"/>
        <v>5</v>
      </c>
      <c r="B457" s="91"/>
      <c r="C457" s="16" t="s">
        <v>259</v>
      </c>
      <c r="D457" s="15">
        <f t="shared" ref="D457:D459" si="85">(3.35*6.06+1.77*1.6+1.4*1.05+0.65*0.45)*(10.764)</f>
        <v>267.97516199999995</v>
      </c>
      <c r="E457" s="15">
        <v>0</v>
      </c>
      <c r="F457" s="15">
        <f t="shared" si="82"/>
        <v>267.97516199999995</v>
      </c>
      <c r="G457" s="15">
        <v>0</v>
      </c>
      <c r="H457" s="15">
        <f t="shared" si="83"/>
        <v>401.96274299999993</v>
      </c>
    </row>
    <row r="458" spans="1:8" ht="12.75" customHeight="1" x14ac:dyDescent="0.2">
      <c r="A458" s="90">
        <f t="shared" si="84"/>
        <v>6</v>
      </c>
      <c r="B458" s="91"/>
      <c r="C458" s="16" t="s">
        <v>259</v>
      </c>
      <c r="D458" s="15">
        <f t="shared" si="85"/>
        <v>267.97516199999995</v>
      </c>
      <c r="E458" s="15">
        <v>0</v>
      </c>
      <c r="F458" s="15">
        <f t="shared" si="82"/>
        <v>267.97516199999995</v>
      </c>
      <c r="G458" s="15">
        <v>0</v>
      </c>
      <c r="H458" s="15">
        <f t="shared" si="83"/>
        <v>401.96274299999993</v>
      </c>
    </row>
    <row r="459" spans="1:8" ht="14.25" customHeight="1" x14ac:dyDescent="0.2">
      <c r="A459" s="90">
        <f t="shared" si="84"/>
        <v>7</v>
      </c>
      <c r="B459" s="91"/>
      <c r="C459" s="16" t="s">
        <v>259</v>
      </c>
      <c r="D459" s="15">
        <f t="shared" si="85"/>
        <v>267.97516199999995</v>
      </c>
      <c r="E459" s="15">
        <v>0</v>
      </c>
      <c r="F459" s="15">
        <f t="shared" si="82"/>
        <v>267.97516199999995</v>
      </c>
      <c r="G459" s="15">
        <v>0</v>
      </c>
      <c r="H459" s="15">
        <f t="shared" si="83"/>
        <v>401.96274299999993</v>
      </c>
    </row>
    <row r="460" spans="1:8" ht="14.25" customHeight="1" x14ac:dyDescent="0.2">
      <c r="A460" s="90">
        <f t="shared" si="84"/>
        <v>8</v>
      </c>
      <c r="B460" s="91"/>
      <c r="C460" s="16" t="s">
        <v>259</v>
      </c>
      <c r="D460" s="15">
        <f>(3.35*5.31+1.7*1.6+1.2*1.05+1.55*1.5+0.6*0.3)*(10.764)</f>
        <v>261.27995399999998</v>
      </c>
      <c r="E460" s="15">
        <v>0</v>
      </c>
      <c r="F460" s="15">
        <f t="shared" si="82"/>
        <v>261.27995399999998</v>
      </c>
      <c r="G460" s="15">
        <v>0</v>
      </c>
      <c r="H460" s="15">
        <f t="shared" si="83"/>
        <v>391.91993099999996</v>
      </c>
    </row>
    <row r="461" spans="1:8" x14ac:dyDescent="0.2">
      <c r="A461" s="90">
        <f t="shared" si="84"/>
        <v>9</v>
      </c>
      <c r="B461" s="91"/>
      <c r="C461" s="16" t="s">
        <v>259</v>
      </c>
      <c r="D461" s="15">
        <f>(3.35*5.31+1.7*1.6+1.2*1.05+1.55*1.5+0.6*0.3)*(10.764)</f>
        <v>261.27995399999998</v>
      </c>
      <c r="E461" s="15">
        <v>0</v>
      </c>
      <c r="F461" s="15">
        <f t="shared" si="82"/>
        <v>261.27995399999998</v>
      </c>
      <c r="G461" s="15">
        <v>0</v>
      </c>
      <c r="H461" s="15">
        <f t="shared" si="83"/>
        <v>391.91993099999996</v>
      </c>
    </row>
    <row r="462" spans="1:8" x14ac:dyDescent="0.2">
      <c r="A462" s="90">
        <f t="shared" si="84"/>
        <v>10</v>
      </c>
      <c r="B462" s="91"/>
      <c r="C462" s="16" t="s">
        <v>259</v>
      </c>
      <c r="D462" s="15">
        <f>(3.35*6.06+1.78*1.6+1.4*1.05+0.65*0.45)*(10.764)</f>
        <v>268.14738599999993</v>
      </c>
      <c r="E462" s="15">
        <v>0</v>
      </c>
      <c r="F462" s="15">
        <f t="shared" si="82"/>
        <v>268.14738599999993</v>
      </c>
      <c r="G462" s="15">
        <v>0</v>
      </c>
      <c r="H462" s="15">
        <f t="shared" si="83"/>
        <v>402.22107899999992</v>
      </c>
    </row>
    <row r="463" spans="1:8" x14ac:dyDescent="0.2">
      <c r="A463" s="90">
        <f>A462+1</f>
        <v>11</v>
      </c>
      <c r="B463" s="91"/>
      <c r="C463" s="16" t="s">
        <v>259</v>
      </c>
      <c r="D463" s="15">
        <f>(3.35*6.06+1.77*1.6+1.4*1.05+0.65*0.45)*(10.764)</f>
        <v>267.97516199999995</v>
      </c>
      <c r="E463" s="15">
        <v>0</v>
      </c>
      <c r="F463" s="15">
        <f t="shared" si="82"/>
        <v>267.97516199999995</v>
      </c>
      <c r="G463" s="15">
        <v>0</v>
      </c>
      <c r="H463" s="15">
        <f t="shared" si="83"/>
        <v>401.96274299999993</v>
      </c>
    </row>
    <row r="464" spans="1:8" x14ac:dyDescent="0.2">
      <c r="A464" s="90">
        <f>A463+1</f>
        <v>12</v>
      </c>
      <c r="B464" s="91"/>
      <c r="C464" s="16" t="s">
        <v>259</v>
      </c>
      <c r="D464" s="15">
        <f>(3.35*6.06+1.85*1.6+1.4*1.05+0.65*0.45)*(10.764)</f>
        <v>269.35295399999995</v>
      </c>
      <c r="E464" s="15">
        <v>0</v>
      </c>
      <c r="F464" s="15">
        <f t="shared" si="82"/>
        <v>269.35295399999995</v>
      </c>
      <c r="G464" s="15">
        <v>0</v>
      </c>
      <c r="H464" s="15">
        <f t="shared" si="83"/>
        <v>404.02943099999993</v>
      </c>
    </row>
    <row r="465" spans="1:9" x14ac:dyDescent="0.2">
      <c r="A465" s="90">
        <v>14</v>
      </c>
      <c r="B465" s="91"/>
      <c r="C465" s="16" t="s">
        <v>259</v>
      </c>
      <c r="D465" s="15">
        <f>(3.35*6.06+1.7*1.6+1.4*1.05+0.65*0.45)*(10.764)</f>
        <v>266.76959399999993</v>
      </c>
      <c r="E465" s="15">
        <v>0</v>
      </c>
      <c r="F465" s="15">
        <f t="shared" si="82"/>
        <v>266.76959399999993</v>
      </c>
      <c r="G465" s="15">
        <v>0</v>
      </c>
      <c r="H465" s="15">
        <f t="shared" si="83"/>
        <v>400.15439099999992</v>
      </c>
    </row>
    <row r="466" spans="1:9" x14ac:dyDescent="0.2">
      <c r="A466" s="90">
        <f>A465+1</f>
        <v>15</v>
      </c>
      <c r="B466" s="91"/>
      <c r="C466" s="16" t="s">
        <v>259</v>
      </c>
      <c r="D466" s="15">
        <f>(3.35*6.06+1.78*1.6+1.4*1.05+0.65*0.45)*(10.764)</f>
        <v>268.14738599999993</v>
      </c>
      <c r="E466" s="15">
        <v>0</v>
      </c>
      <c r="F466" s="15">
        <f t="shared" si="82"/>
        <v>268.14738599999993</v>
      </c>
      <c r="G466" s="15">
        <v>0</v>
      </c>
      <c r="H466" s="15">
        <f t="shared" si="83"/>
        <v>402.22107899999992</v>
      </c>
    </row>
    <row r="467" spans="1:9" x14ac:dyDescent="0.2">
      <c r="A467" s="90">
        <v>16</v>
      </c>
      <c r="B467" s="91"/>
      <c r="C467" s="16" t="s">
        <v>259</v>
      </c>
      <c r="D467" s="15">
        <f>(3.35*6.06+1.77*1.6+1.4*1.05+0.65*0.45)*(10.764)</f>
        <v>267.97516199999995</v>
      </c>
      <c r="E467" s="15">
        <v>0</v>
      </c>
      <c r="F467" s="15">
        <f t="shared" si="82"/>
        <v>267.97516199999995</v>
      </c>
      <c r="G467" s="15">
        <v>0</v>
      </c>
      <c r="H467" s="15">
        <f t="shared" si="83"/>
        <v>401.96274299999993</v>
      </c>
    </row>
    <row r="468" spans="1:9" x14ac:dyDescent="0.2">
      <c r="A468" s="90">
        <f t="shared" si="84"/>
        <v>17</v>
      </c>
      <c r="B468" s="91"/>
      <c r="C468" s="16" t="s">
        <v>259</v>
      </c>
      <c r="D468" s="15">
        <f>(3.35*6.06+1.78*1.6+1.4*1.05+0.65*0.45)*(10.764)</f>
        <v>268.14738599999993</v>
      </c>
      <c r="E468" s="15">
        <v>0</v>
      </c>
      <c r="F468" s="15">
        <f t="shared" si="82"/>
        <v>268.14738599999993</v>
      </c>
      <c r="G468" s="15">
        <v>0</v>
      </c>
      <c r="H468" s="15">
        <f t="shared" si="83"/>
        <v>402.22107899999992</v>
      </c>
    </row>
    <row r="469" spans="1:9" x14ac:dyDescent="0.2">
      <c r="A469" s="90">
        <f t="shared" si="84"/>
        <v>18</v>
      </c>
      <c r="B469" s="91"/>
      <c r="C469" s="16" t="s">
        <v>259</v>
      </c>
      <c r="D469" s="15">
        <f>(3.35*6.06+1.77*1.6+1.4*1.05+0.65*0.45)*(10.764)</f>
        <v>267.97516199999995</v>
      </c>
      <c r="E469" s="15">
        <v>0</v>
      </c>
      <c r="F469" s="15">
        <f t="shared" si="82"/>
        <v>267.97516199999995</v>
      </c>
      <c r="G469" s="15">
        <v>0</v>
      </c>
      <c r="H469" s="15">
        <f t="shared" si="83"/>
        <v>401.96274299999993</v>
      </c>
    </row>
    <row r="470" spans="1:9" x14ac:dyDescent="0.2">
      <c r="A470" s="90">
        <f t="shared" si="84"/>
        <v>19</v>
      </c>
      <c r="B470" s="91"/>
      <c r="C470" s="16" t="s">
        <v>259</v>
      </c>
      <c r="D470" s="15">
        <f>(3.35*6.06+1.78*1.6+1.4*1.05+0.65*0.45)*(10.764)</f>
        <v>268.14738599999993</v>
      </c>
      <c r="E470" s="15">
        <v>0</v>
      </c>
      <c r="F470" s="15">
        <f t="shared" si="82"/>
        <v>268.14738599999993</v>
      </c>
      <c r="G470" s="15">
        <v>0</v>
      </c>
      <c r="H470" s="15">
        <f t="shared" si="83"/>
        <v>402.22107899999992</v>
      </c>
    </row>
    <row r="471" spans="1:9" x14ac:dyDescent="0.2">
      <c r="A471" s="90">
        <f t="shared" si="84"/>
        <v>20</v>
      </c>
      <c r="B471" s="91"/>
      <c r="C471" s="16" t="s">
        <v>259</v>
      </c>
      <c r="D471" s="15">
        <f t="shared" ref="D471" si="86">(3.35*6.06+1.77*1.6+1.4*1.05+0.65*0.45)*(10.764)</f>
        <v>267.97516199999995</v>
      </c>
      <c r="E471" s="15">
        <v>0</v>
      </c>
      <c r="F471" s="15">
        <f t="shared" si="82"/>
        <v>267.97516199999995</v>
      </c>
      <c r="G471" s="15">
        <v>0</v>
      </c>
      <c r="H471" s="15">
        <f t="shared" si="83"/>
        <v>401.96274299999993</v>
      </c>
    </row>
    <row r="472" spans="1:9" x14ac:dyDescent="0.2">
      <c r="A472" s="90">
        <f t="shared" si="84"/>
        <v>21</v>
      </c>
      <c r="B472" s="91"/>
      <c r="C472" s="16" t="s">
        <v>259</v>
      </c>
      <c r="D472" s="15">
        <f>(3.35*6.06+1.85*1.6+1.4*1.05+0.65*0.45)*(10.764)</f>
        <v>269.35295399999995</v>
      </c>
      <c r="E472" s="15">
        <v>0</v>
      </c>
      <c r="F472" s="15">
        <f t="shared" si="82"/>
        <v>269.35295399999995</v>
      </c>
      <c r="G472" s="15">
        <v>0</v>
      </c>
      <c r="H472" s="15">
        <f t="shared" si="83"/>
        <v>404.02943099999993</v>
      </c>
    </row>
    <row r="473" spans="1:9" x14ac:dyDescent="0.2">
      <c r="A473" s="90">
        <f t="shared" si="84"/>
        <v>22</v>
      </c>
      <c r="B473" s="91"/>
      <c r="C473" s="16" t="s">
        <v>259</v>
      </c>
      <c r="D473" s="15">
        <f>(6.3*4.5+1.75*2.93+1.2*1.4+0.45*0.65)*(10.764)</f>
        <v>381.58379999999994</v>
      </c>
      <c r="E473" s="15">
        <v>0</v>
      </c>
      <c r="F473" s="15">
        <f t="shared" si="82"/>
        <v>381.58379999999994</v>
      </c>
      <c r="G473" s="15">
        <v>0</v>
      </c>
      <c r="H473" s="15">
        <f t="shared" si="83"/>
        <v>572.37569999999994</v>
      </c>
    </row>
    <row r="474" spans="1:9" x14ac:dyDescent="0.2">
      <c r="A474" s="90">
        <f t="shared" si="84"/>
        <v>23</v>
      </c>
      <c r="B474" s="91"/>
      <c r="C474" s="16" t="s">
        <v>259</v>
      </c>
      <c r="D474" s="15">
        <f>(6.3*4.45+1.75*2.8+1.2*1.4+0.45*0.65)*(10.764)</f>
        <v>375.74432999999999</v>
      </c>
      <c r="E474" s="15">
        <v>0</v>
      </c>
      <c r="F474" s="15">
        <f t="shared" si="82"/>
        <v>375.74432999999999</v>
      </c>
      <c r="G474" s="15">
        <v>0</v>
      </c>
      <c r="H474" s="15">
        <f t="shared" si="83"/>
        <v>563.61649499999999</v>
      </c>
      <c r="I474" s="85">
        <f>5479910/H474</f>
        <v>9722.7637030034057</v>
      </c>
    </row>
    <row r="475" spans="1:9" x14ac:dyDescent="0.2">
      <c r="A475" s="90">
        <f t="shared" si="84"/>
        <v>24</v>
      </c>
      <c r="B475" s="91"/>
      <c r="C475" s="16" t="s">
        <v>259</v>
      </c>
      <c r="D475" s="15">
        <f>(6.3*4.47+1.75*2.82+1.2*1.4+0.45*0.65)*(10.764)</f>
        <v>377.47733399999993</v>
      </c>
      <c r="E475" s="15">
        <v>0</v>
      </c>
      <c r="F475" s="15">
        <f t="shared" si="82"/>
        <v>377.47733399999993</v>
      </c>
      <c r="G475" s="15">
        <v>0</v>
      </c>
      <c r="H475" s="15">
        <f t="shared" si="83"/>
        <v>566.21600099999989</v>
      </c>
    </row>
    <row r="476" spans="1:9" x14ac:dyDescent="0.2">
      <c r="A476" s="90">
        <f t="shared" si="84"/>
        <v>25</v>
      </c>
      <c r="B476" s="91"/>
      <c r="C476" s="16" t="s">
        <v>259</v>
      </c>
      <c r="D476" s="15">
        <f>(6.3*4.45+1.75*2.8+1.2*1.4+0.45*0.65)*(10.764)</f>
        <v>375.74432999999999</v>
      </c>
      <c r="E476" s="15">
        <v>0</v>
      </c>
      <c r="F476" s="15">
        <f t="shared" si="82"/>
        <v>375.74432999999999</v>
      </c>
      <c r="G476" s="15">
        <v>0</v>
      </c>
      <c r="H476" s="15">
        <f t="shared" si="83"/>
        <v>563.61649499999999</v>
      </c>
    </row>
    <row r="477" spans="1:9" x14ac:dyDescent="0.2">
      <c r="A477" s="90">
        <f t="shared" si="84"/>
        <v>26</v>
      </c>
      <c r="B477" s="91"/>
      <c r="C477" s="16" t="s">
        <v>259</v>
      </c>
      <c r="D477" s="15">
        <f>(6.3*4.5+1.75*1.63+1.7*1.15+1.15*1.4+0.65*0.45)*(10.764)</f>
        <v>377.38583999999992</v>
      </c>
      <c r="E477" s="15">
        <v>0</v>
      </c>
      <c r="F477" s="15">
        <f>D477+(IF(E477&lt;201,E477,IF(E477&lt;301,E477/2,E477/3)))</f>
        <v>377.38583999999992</v>
      </c>
      <c r="G477" s="15">
        <v>0</v>
      </c>
      <c r="H477" s="15">
        <f t="shared" si="83"/>
        <v>566.07875999999987</v>
      </c>
    </row>
    <row r="478" spans="1:9" x14ac:dyDescent="0.2">
      <c r="A478" s="90">
        <f t="shared" si="84"/>
        <v>27</v>
      </c>
      <c r="B478" s="91"/>
      <c r="C478" s="16" t="s">
        <v>259</v>
      </c>
      <c r="D478" s="15">
        <f>(3.35*8.7+1.85*1.75+1.4*1.2+0.65*0.45)*(10.764)</f>
        <v>369.79721999999992</v>
      </c>
      <c r="E478" s="15">
        <v>0</v>
      </c>
      <c r="F478" s="15">
        <f t="shared" ref="F478:F501" si="87">D478+(IF(E478&lt;201,E478,IF(E478&lt;301,E478/2,E478/3)))</f>
        <v>369.79721999999992</v>
      </c>
      <c r="G478" s="15">
        <v>0</v>
      </c>
      <c r="H478" s="15">
        <f t="shared" si="83"/>
        <v>554.69582999999989</v>
      </c>
    </row>
    <row r="479" spans="1:9" x14ac:dyDescent="0.2">
      <c r="A479" s="90">
        <f t="shared" si="84"/>
        <v>28</v>
      </c>
      <c r="B479" s="91"/>
      <c r="C479" s="16" t="s">
        <v>259</v>
      </c>
      <c r="D479" s="15">
        <f>(3.35*8.7+1.78*1.75+1.4*1.2+0.65*0.45)*(10.764)</f>
        <v>368.4786299999999</v>
      </c>
      <c r="E479" s="15">
        <v>0</v>
      </c>
      <c r="F479" s="15">
        <f t="shared" si="87"/>
        <v>368.4786299999999</v>
      </c>
      <c r="G479" s="15">
        <v>0</v>
      </c>
      <c r="H479" s="15">
        <f t="shared" si="83"/>
        <v>552.71794499999987</v>
      </c>
    </row>
    <row r="480" spans="1:9" x14ac:dyDescent="0.2">
      <c r="A480" s="90">
        <f t="shared" si="84"/>
        <v>29</v>
      </c>
      <c r="B480" s="91"/>
      <c r="C480" s="16" t="s">
        <v>259</v>
      </c>
      <c r="D480" s="15">
        <f>(3.35*8.7+1.78*1.75+1.4*1.2+0.65*0.45)*(10.764)</f>
        <v>368.4786299999999</v>
      </c>
      <c r="E480" s="15">
        <v>0</v>
      </c>
      <c r="F480" s="15">
        <f t="shared" si="87"/>
        <v>368.4786299999999</v>
      </c>
      <c r="G480" s="15">
        <v>0</v>
      </c>
      <c r="H480" s="15">
        <f t="shared" si="83"/>
        <v>552.71794499999987</v>
      </c>
    </row>
    <row r="481" spans="1:8" x14ac:dyDescent="0.2">
      <c r="A481" s="90">
        <f t="shared" si="84"/>
        <v>30</v>
      </c>
      <c r="B481" s="91"/>
      <c r="C481" s="16" t="s">
        <v>259</v>
      </c>
      <c r="D481" s="15">
        <f t="shared" ref="D481:D498" si="88">(3.35*8.7+1.78*1.75+1.4*1.2+0.65*0.45)*(10.764)</f>
        <v>368.4786299999999</v>
      </c>
      <c r="E481" s="15">
        <v>0</v>
      </c>
      <c r="F481" s="15">
        <f t="shared" si="87"/>
        <v>368.4786299999999</v>
      </c>
      <c r="G481" s="15">
        <v>0</v>
      </c>
      <c r="H481" s="15">
        <f t="shared" si="83"/>
        <v>552.71794499999987</v>
      </c>
    </row>
    <row r="482" spans="1:8" x14ac:dyDescent="0.2">
      <c r="A482" s="90">
        <f t="shared" si="84"/>
        <v>31</v>
      </c>
      <c r="B482" s="91"/>
      <c r="C482" s="16" t="s">
        <v>259</v>
      </c>
      <c r="D482" s="15">
        <f t="shared" si="88"/>
        <v>368.4786299999999</v>
      </c>
      <c r="E482" s="15">
        <v>0</v>
      </c>
      <c r="F482" s="15">
        <f t="shared" si="87"/>
        <v>368.4786299999999</v>
      </c>
      <c r="G482" s="15">
        <v>0</v>
      </c>
      <c r="H482" s="15">
        <f t="shared" si="83"/>
        <v>552.71794499999987</v>
      </c>
    </row>
    <row r="483" spans="1:8" x14ac:dyDescent="0.2">
      <c r="A483" s="90">
        <f t="shared" si="84"/>
        <v>32</v>
      </c>
      <c r="B483" s="91"/>
      <c r="C483" s="16" t="s">
        <v>259</v>
      </c>
      <c r="D483" s="15">
        <f t="shared" si="88"/>
        <v>368.4786299999999</v>
      </c>
      <c r="E483" s="15">
        <v>0</v>
      </c>
      <c r="F483" s="15">
        <f t="shared" si="87"/>
        <v>368.4786299999999</v>
      </c>
      <c r="G483" s="15">
        <v>0</v>
      </c>
      <c r="H483" s="15">
        <f t="shared" si="83"/>
        <v>552.71794499999987</v>
      </c>
    </row>
    <row r="484" spans="1:8" x14ac:dyDescent="0.2">
      <c r="A484" s="90">
        <f t="shared" si="84"/>
        <v>33</v>
      </c>
      <c r="B484" s="91"/>
      <c r="C484" s="16" t="s">
        <v>259</v>
      </c>
      <c r="D484" s="15">
        <f t="shared" si="88"/>
        <v>368.4786299999999</v>
      </c>
      <c r="E484" s="15">
        <v>0</v>
      </c>
      <c r="F484" s="15">
        <f t="shared" si="87"/>
        <v>368.4786299999999</v>
      </c>
      <c r="G484" s="15">
        <v>0</v>
      </c>
      <c r="H484" s="15">
        <f t="shared" si="83"/>
        <v>552.71794499999987</v>
      </c>
    </row>
    <row r="485" spans="1:8" x14ac:dyDescent="0.2">
      <c r="A485" s="90">
        <f t="shared" si="84"/>
        <v>34</v>
      </c>
      <c r="B485" s="91"/>
      <c r="C485" s="16" t="s">
        <v>259</v>
      </c>
      <c r="D485" s="15">
        <f t="shared" si="88"/>
        <v>368.4786299999999</v>
      </c>
      <c r="E485" s="15">
        <v>0</v>
      </c>
      <c r="F485" s="15">
        <f t="shared" si="87"/>
        <v>368.4786299999999</v>
      </c>
      <c r="G485" s="15">
        <v>0</v>
      </c>
      <c r="H485" s="15">
        <f t="shared" si="83"/>
        <v>552.71794499999987</v>
      </c>
    </row>
    <row r="486" spans="1:8" x14ac:dyDescent="0.2">
      <c r="A486" s="90">
        <f t="shared" si="84"/>
        <v>35</v>
      </c>
      <c r="B486" s="91"/>
      <c r="C486" s="16" t="s">
        <v>259</v>
      </c>
      <c r="D486" s="15">
        <f t="shared" si="88"/>
        <v>368.4786299999999</v>
      </c>
      <c r="E486" s="15">
        <v>0</v>
      </c>
      <c r="F486" s="15">
        <f t="shared" si="87"/>
        <v>368.4786299999999</v>
      </c>
      <c r="G486" s="15">
        <v>0</v>
      </c>
      <c r="H486" s="15">
        <f t="shared" si="83"/>
        <v>552.71794499999987</v>
      </c>
    </row>
    <row r="487" spans="1:8" x14ac:dyDescent="0.2">
      <c r="A487" s="90">
        <f t="shared" si="84"/>
        <v>36</v>
      </c>
      <c r="B487" s="91"/>
      <c r="C487" s="16" t="s">
        <v>259</v>
      </c>
      <c r="D487" s="15">
        <f t="shared" si="88"/>
        <v>368.4786299999999</v>
      </c>
      <c r="E487" s="15">
        <v>0</v>
      </c>
      <c r="F487" s="15">
        <f t="shared" si="87"/>
        <v>368.4786299999999</v>
      </c>
      <c r="G487" s="15">
        <v>0</v>
      </c>
      <c r="H487" s="15">
        <f t="shared" si="83"/>
        <v>552.71794499999987</v>
      </c>
    </row>
    <row r="488" spans="1:8" x14ac:dyDescent="0.2">
      <c r="A488" s="90">
        <v>37</v>
      </c>
      <c r="B488" s="91"/>
      <c r="C488" s="16" t="s">
        <v>259</v>
      </c>
      <c r="D488" s="15">
        <f t="shared" si="88"/>
        <v>368.4786299999999</v>
      </c>
      <c r="E488" s="15">
        <v>0</v>
      </c>
      <c r="F488" s="15">
        <f t="shared" si="87"/>
        <v>368.4786299999999</v>
      </c>
      <c r="G488" s="15">
        <v>0</v>
      </c>
      <c r="H488" s="15">
        <f t="shared" si="83"/>
        <v>552.71794499999987</v>
      </c>
    </row>
    <row r="489" spans="1:8" x14ac:dyDescent="0.2">
      <c r="A489" s="90">
        <f t="shared" ref="A489" si="89">A488+1</f>
        <v>38</v>
      </c>
      <c r="B489" s="91"/>
      <c r="C489" s="16" t="s">
        <v>259</v>
      </c>
      <c r="D489" s="15">
        <f t="shared" si="88"/>
        <v>368.4786299999999</v>
      </c>
      <c r="E489" s="15">
        <v>0</v>
      </c>
      <c r="F489" s="15">
        <f t="shared" si="87"/>
        <v>368.4786299999999</v>
      </c>
      <c r="G489" s="15">
        <v>0</v>
      </c>
      <c r="H489" s="15">
        <f t="shared" si="83"/>
        <v>552.71794499999987</v>
      </c>
    </row>
    <row r="490" spans="1:8" x14ac:dyDescent="0.2">
      <c r="A490" s="90">
        <v>39</v>
      </c>
      <c r="B490" s="91"/>
      <c r="C490" s="16" t="s">
        <v>259</v>
      </c>
      <c r="D490" s="15">
        <f t="shared" si="88"/>
        <v>368.4786299999999</v>
      </c>
      <c r="E490" s="15">
        <v>0</v>
      </c>
      <c r="F490" s="15">
        <f t="shared" si="87"/>
        <v>368.4786299999999</v>
      </c>
      <c r="G490" s="15">
        <v>0</v>
      </c>
      <c r="H490" s="15">
        <f t="shared" si="83"/>
        <v>552.71794499999987</v>
      </c>
    </row>
    <row r="491" spans="1:8" x14ac:dyDescent="0.2">
      <c r="A491" s="90">
        <f t="shared" si="84"/>
        <v>40</v>
      </c>
      <c r="B491" s="91"/>
      <c r="C491" s="16" t="s">
        <v>259</v>
      </c>
      <c r="D491" s="15">
        <f t="shared" si="88"/>
        <v>368.4786299999999</v>
      </c>
      <c r="E491" s="15">
        <v>0</v>
      </c>
      <c r="F491" s="15">
        <f t="shared" si="87"/>
        <v>368.4786299999999</v>
      </c>
      <c r="G491" s="15">
        <v>0</v>
      </c>
      <c r="H491" s="15">
        <f t="shared" si="83"/>
        <v>552.71794499999987</v>
      </c>
    </row>
    <row r="492" spans="1:8" x14ac:dyDescent="0.2">
      <c r="A492" s="90">
        <f t="shared" si="84"/>
        <v>41</v>
      </c>
      <c r="B492" s="91"/>
      <c r="C492" s="16" t="s">
        <v>259</v>
      </c>
      <c r="D492" s="15">
        <f t="shared" si="88"/>
        <v>368.4786299999999</v>
      </c>
      <c r="E492" s="15">
        <v>0</v>
      </c>
      <c r="F492" s="15">
        <f t="shared" si="87"/>
        <v>368.4786299999999</v>
      </c>
      <c r="G492" s="15">
        <v>0</v>
      </c>
      <c r="H492" s="15">
        <f t="shared" si="83"/>
        <v>552.71794499999987</v>
      </c>
    </row>
    <row r="493" spans="1:8" x14ac:dyDescent="0.2">
      <c r="A493" s="90">
        <f t="shared" si="84"/>
        <v>42</v>
      </c>
      <c r="B493" s="91"/>
      <c r="C493" s="16" t="s">
        <v>259</v>
      </c>
      <c r="D493" s="15">
        <f t="shared" si="88"/>
        <v>368.4786299999999</v>
      </c>
      <c r="E493" s="15">
        <v>0</v>
      </c>
      <c r="F493" s="15">
        <f t="shared" si="87"/>
        <v>368.4786299999999</v>
      </c>
      <c r="G493" s="15">
        <v>0</v>
      </c>
      <c r="H493" s="15">
        <f t="shared" si="83"/>
        <v>552.71794499999987</v>
      </c>
    </row>
    <row r="494" spans="1:8" x14ac:dyDescent="0.2">
      <c r="A494" s="90">
        <f t="shared" si="84"/>
        <v>43</v>
      </c>
      <c r="B494" s="91"/>
      <c r="C494" s="16" t="s">
        <v>259</v>
      </c>
      <c r="D494" s="15">
        <f t="shared" si="88"/>
        <v>368.4786299999999</v>
      </c>
      <c r="E494" s="15">
        <v>0</v>
      </c>
      <c r="F494" s="15">
        <f t="shared" si="87"/>
        <v>368.4786299999999</v>
      </c>
      <c r="G494" s="15">
        <v>0</v>
      </c>
      <c r="H494" s="15">
        <f t="shared" si="83"/>
        <v>552.71794499999987</v>
      </c>
    </row>
    <row r="495" spans="1:8" x14ac:dyDescent="0.2">
      <c r="A495" s="90">
        <f t="shared" si="84"/>
        <v>44</v>
      </c>
      <c r="B495" s="91"/>
      <c r="C495" s="16" t="s">
        <v>259</v>
      </c>
      <c r="D495" s="15">
        <f t="shared" si="88"/>
        <v>368.4786299999999</v>
      </c>
      <c r="E495" s="15">
        <v>0</v>
      </c>
      <c r="F495" s="15">
        <f t="shared" si="87"/>
        <v>368.4786299999999</v>
      </c>
      <c r="G495" s="15">
        <v>0</v>
      </c>
      <c r="H495" s="15">
        <f t="shared" si="83"/>
        <v>552.71794499999987</v>
      </c>
    </row>
    <row r="496" spans="1:8" x14ac:dyDescent="0.2">
      <c r="A496" s="90">
        <f t="shared" si="84"/>
        <v>45</v>
      </c>
      <c r="B496" s="91"/>
      <c r="C496" s="16" t="s">
        <v>259</v>
      </c>
      <c r="D496" s="15">
        <f t="shared" si="88"/>
        <v>368.4786299999999</v>
      </c>
      <c r="E496" s="15">
        <v>0</v>
      </c>
      <c r="F496" s="15">
        <f t="shared" si="87"/>
        <v>368.4786299999999</v>
      </c>
      <c r="G496" s="15">
        <v>0</v>
      </c>
      <c r="H496" s="15">
        <f t="shared" si="83"/>
        <v>552.71794499999987</v>
      </c>
    </row>
    <row r="497" spans="1:8" x14ac:dyDescent="0.2">
      <c r="A497" s="90">
        <f t="shared" si="84"/>
        <v>46</v>
      </c>
      <c r="B497" s="91"/>
      <c r="C497" s="16" t="s">
        <v>259</v>
      </c>
      <c r="D497" s="15">
        <f t="shared" si="88"/>
        <v>368.4786299999999</v>
      </c>
      <c r="E497" s="15">
        <v>0</v>
      </c>
      <c r="F497" s="15">
        <f t="shared" si="87"/>
        <v>368.4786299999999</v>
      </c>
      <c r="G497" s="15">
        <v>0</v>
      </c>
      <c r="H497" s="15">
        <f t="shared" si="83"/>
        <v>552.71794499999987</v>
      </c>
    </row>
    <row r="498" spans="1:8" x14ac:dyDescent="0.2">
      <c r="A498" s="90">
        <f t="shared" si="84"/>
        <v>47</v>
      </c>
      <c r="B498" s="91"/>
      <c r="C498" s="16" t="s">
        <v>259</v>
      </c>
      <c r="D498" s="15">
        <f t="shared" si="88"/>
        <v>368.4786299999999</v>
      </c>
      <c r="E498" s="15">
        <v>0</v>
      </c>
      <c r="F498" s="15">
        <f t="shared" si="87"/>
        <v>368.4786299999999</v>
      </c>
      <c r="G498" s="15">
        <v>0</v>
      </c>
      <c r="H498" s="15">
        <f t="shared" si="83"/>
        <v>552.71794499999987</v>
      </c>
    </row>
    <row r="499" spans="1:8" x14ac:dyDescent="0.2">
      <c r="A499" s="90">
        <f t="shared" si="84"/>
        <v>48</v>
      </c>
      <c r="B499" s="91"/>
      <c r="C499" s="16" t="s">
        <v>259</v>
      </c>
      <c r="D499" s="15">
        <f>(3.35*8.7+1.85*1.75+1.4*1.2+0.65*0.45)*(10.764)</f>
        <v>369.79721999999992</v>
      </c>
      <c r="E499" s="15">
        <v>0</v>
      </c>
      <c r="F499" s="15">
        <f t="shared" si="87"/>
        <v>369.79721999999992</v>
      </c>
      <c r="G499" s="15">
        <v>0</v>
      </c>
      <c r="H499" s="15">
        <f t="shared" si="83"/>
        <v>554.69582999999989</v>
      </c>
    </row>
    <row r="500" spans="1:8" x14ac:dyDescent="0.2">
      <c r="A500" s="90">
        <f t="shared" si="84"/>
        <v>49</v>
      </c>
      <c r="B500" s="91"/>
      <c r="C500" s="16" t="s">
        <v>259</v>
      </c>
      <c r="D500" s="15">
        <f>(6.72*4.15+1.65*1.35+1.6*0.89+1.05*1.55+0.45*0.91)*(10.764)</f>
        <v>361.41744599999998</v>
      </c>
      <c r="E500" s="15">
        <v>0</v>
      </c>
      <c r="F500" s="15">
        <f t="shared" si="87"/>
        <v>361.41744599999998</v>
      </c>
      <c r="G500" s="15">
        <v>0</v>
      </c>
      <c r="H500" s="15">
        <f t="shared" si="83"/>
        <v>542.126169</v>
      </c>
    </row>
    <row r="501" spans="1:8" x14ac:dyDescent="0.2">
      <c r="A501" s="90">
        <f t="shared" si="84"/>
        <v>50</v>
      </c>
      <c r="B501" s="91"/>
      <c r="C501" s="16" t="s">
        <v>259</v>
      </c>
      <c r="D501" s="15">
        <f>(6.72*4.02+1.65*2.52+1.05*1.4+0.5*0.65)*(10.764)</f>
        <v>354.86109359999995</v>
      </c>
      <c r="E501" s="15">
        <v>0</v>
      </c>
      <c r="F501" s="15">
        <f t="shared" si="87"/>
        <v>354.86109359999995</v>
      </c>
      <c r="G501" s="15">
        <v>0</v>
      </c>
      <c r="H501" s="15">
        <f t="shared" si="83"/>
        <v>532.29164039999989</v>
      </c>
    </row>
    <row r="502" spans="1:8" hidden="1" x14ac:dyDescent="0.2">
      <c r="A502" s="90"/>
      <c r="B502" s="120"/>
      <c r="C502" s="120"/>
      <c r="D502" s="120"/>
      <c r="E502" s="120"/>
      <c r="F502" s="120"/>
      <c r="G502" s="120"/>
      <c r="H502" s="91"/>
    </row>
    <row r="503" spans="1:8" ht="38.25" hidden="1" x14ac:dyDescent="0.2">
      <c r="A503" s="126" t="s">
        <v>211</v>
      </c>
      <c r="B503" s="124" t="s">
        <v>212</v>
      </c>
      <c r="C503" s="126" t="s">
        <v>129</v>
      </c>
      <c r="D503" s="124" t="s">
        <v>213</v>
      </c>
      <c r="E503" s="124" t="s">
        <v>214</v>
      </c>
      <c r="F503" s="126" t="s">
        <v>215</v>
      </c>
      <c r="G503" s="68" t="s">
        <v>216</v>
      </c>
      <c r="H503" s="65" t="s">
        <v>143</v>
      </c>
    </row>
    <row r="504" spans="1:8" hidden="1" x14ac:dyDescent="0.2">
      <c r="A504" s="127"/>
      <c r="B504" s="125"/>
      <c r="C504" s="127"/>
      <c r="D504" s="125"/>
      <c r="E504" s="125"/>
      <c r="F504" s="127"/>
      <c r="G504" s="67"/>
      <c r="H504" s="66">
        <v>0.5</v>
      </c>
    </row>
    <row r="505" spans="1:8" hidden="1" x14ac:dyDescent="0.2">
      <c r="A505" s="119" t="s">
        <v>133</v>
      </c>
      <c r="B505" s="119"/>
      <c r="C505" s="119"/>
      <c r="D505" s="119"/>
      <c r="E505" s="119"/>
      <c r="F505" s="119"/>
      <c r="G505" s="119"/>
      <c r="H505" s="128"/>
    </row>
    <row r="506" spans="1:8" hidden="1" x14ac:dyDescent="0.2">
      <c r="A506" s="119" t="s">
        <v>210</v>
      </c>
      <c r="B506" s="119"/>
      <c r="C506" s="119"/>
      <c r="D506" s="119"/>
      <c r="E506" s="119"/>
      <c r="F506" s="119"/>
      <c r="G506" s="119"/>
      <c r="H506" s="119"/>
    </row>
    <row r="507" spans="1:8" hidden="1" x14ac:dyDescent="0.2">
      <c r="A507" s="90">
        <v>1</v>
      </c>
      <c r="B507" s="91"/>
      <c r="C507" s="16" t="s">
        <v>55</v>
      </c>
      <c r="D507" s="16"/>
      <c r="E507" s="16"/>
      <c r="F507" s="15">
        <f>D507+E507</f>
        <v>0</v>
      </c>
      <c r="G507" s="15">
        <v>0</v>
      </c>
      <c r="H507" s="16">
        <f t="shared" ref="H507:H518" si="90">F507*(($H$504)+1)+(IF(G507&lt;101,G507,IF(G507&lt;201,G507/2,IF(G507&lt;=301,G507/3,G507/4))))</f>
        <v>0</v>
      </c>
    </row>
    <row r="508" spans="1:8" hidden="1" x14ac:dyDescent="0.2">
      <c r="A508" s="90">
        <f>A507+1</f>
        <v>2</v>
      </c>
      <c r="B508" s="91"/>
      <c r="C508" s="16" t="s">
        <v>55</v>
      </c>
      <c r="D508" s="16"/>
      <c r="E508" s="16"/>
      <c r="F508" s="15">
        <f t="shared" ref="F508:F518" si="91">D508+E508</f>
        <v>0</v>
      </c>
      <c r="G508" s="15">
        <v>0</v>
      </c>
      <c r="H508" s="16">
        <f t="shared" si="90"/>
        <v>0</v>
      </c>
    </row>
    <row r="509" spans="1:8" hidden="1" x14ac:dyDescent="0.2">
      <c r="A509" s="90">
        <f t="shared" ref="A509:A518" si="92">A508+1</f>
        <v>3</v>
      </c>
      <c r="B509" s="91"/>
      <c r="C509" s="16" t="s">
        <v>55</v>
      </c>
      <c r="D509" s="16"/>
      <c r="E509" s="16"/>
      <c r="F509" s="15">
        <f t="shared" si="91"/>
        <v>0</v>
      </c>
      <c r="G509" s="15">
        <v>0</v>
      </c>
      <c r="H509" s="16">
        <f t="shared" si="90"/>
        <v>0</v>
      </c>
    </row>
    <row r="510" spans="1:8" hidden="1" x14ac:dyDescent="0.2">
      <c r="A510" s="90">
        <f t="shared" si="92"/>
        <v>4</v>
      </c>
      <c r="B510" s="91"/>
      <c r="C510" s="16" t="s">
        <v>55</v>
      </c>
      <c r="D510" s="16"/>
      <c r="E510" s="16"/>
      <c r="F510" s="15">
        <f t="shared" si="91"/>
        <v>0</v>
      </c>
      <c r="G510" s="15">
        <v>0</v>
      </c>
      <c r="H510" s="16">
        <f t="shared" si="90"/>
        <v>0</v>
      </c>
    </row>
    <row r="511" spans="1:8" hidden="1" x14ac:dyDescent="0.2">
      <c r="A511" s="90">
        <f t="shared" si="92"/>
        <v>5</v>
      </c>
      <c r="B511" s="91"/>
      <c r="C511" s="16" t="s">
        <v>55</v>
      </c>
      <c r="D511" s="16"/>
      <c r="E511" s="16"/>
      <c r="F511" s="15">
        <f t="shared" si="91"/>
        <v>0</v>
      </c>
      <c r="G511" s="15">
        <v>0</v>
      </c>
      <c r="H511" s="16">
        <f t="shared" si="90"/>
        <v>0</v>
      </c>
    </row>
    <row r="512" spans="1:8" hidden="1" x14ac:dyDescent="0.2">
      <c r="A512" s="90">
        <f t="shared" si="92"/>
        <v>6</v>
      </c>
      <c r="B512" s="91"/>
      <c r="C512" s="16" t="s">
        <v>55</v>
      </c>
      <c r="D512" s="16"/>
      <c r="E512" s="16"/>
      <c r="F512" s="15">
        <f t="shared" si="91"/>
        <v>0</v>
      </c>
      <c r="G512" s="15">
        <v>0</v>
      </c>
      <c r="H512" s="16">
        <f t="shared" si="90"/>
        <v>0</v>
      </c>
    </row>
    <row r="513" spans="1:8" hidden="1" x14ac:dyDescent="0.2">
      <c r="A513" s="90">
        <f t="shared" si="92"/>
        <v>7</v>
      </c>
      <c r="B513" s="91"/>
      <c r="C513" s="16" t="s">
        <v>55</v>
      </c>
      <c r="D513" s="16"/>
      <c r="E513" s="16"/>
      <c r="F513" s="15">
        <f t="shared" si="91"/>
        <v>0</v>
      </c>
      <c r="G513" s="15">
        <v>0</v>
      </c>
      <c r="H513" s="16">
        <f t="shared" si="90"/>
        <v>0</v>
      </c>
    </row>
    <row r="514" spans="1:8" hidden="1" x14ac:dyDescent="0.2">
      <c r="A514" s="90">
        <f t="shared" si="92"/>
        <v>8</v>
      </c>
      <c r="B514" s="91"/>
      <c r="C514" s="16" t="s">
        <v>55</v>
      </c>
      <c r="D514" s="16"/>
      <c r="E514" s="16"/>
      <c r="F514" s="15">
        <f t="shared" si="91"/>
        <v>0</v>
      </c>
      <c r="G514" s="15">
        <v>0</v>
      </c>
      <c r="H514" s="16">
        <f t="shared" si="90"/>
        <v>0</v>
      </c>
    </row>
    <row r="515" spans="1:8" hidden="1" x14ac:dyDescent="0.2">
      <c r="A515" s="90">
        <f t="shared" si="92"/>
        <v>9</v>
      </c>
      <c r="B515" s="91"/>
      <c r="C515" s="16" t="s">
        <v>55</v>
      </c>
      <c r="D515" s="16"/>
      <c r="E515" s="16"/>
      <c r="F515" s="15">
        <f t="shared" si="91"/>
        <v>0</v>
      </c>
      <c r="G515" s="15">
        <v>0</v>
      </c>
      <c r="H515" s="16">
        <f t="shared" si="90"/>
        <v>0</v>
      </c>
    </row>
    <row r="516" spans="1:8" hidden="1" x14ac:dyDescent="0.2">
      <c r="A516" s="90">
        <f t="shared" si="92"/>
        <v>10</v>
      </c>
      <c r="B516" s="91"/>
      <c r="C516" s="16" t="s">
        <v>55</v>
      </c>
      <c r="D516" s="16"/>
      <c r="E516" s="16"/>
      <c r="F516" s="15">
        <f t="shared" si="91"/>
        <v>0</v>
      </c>
      <c r="G516" s="15">
        <v>0</v>
      </c>
      <c r="H516" s="16">
        <f t="shared" si="90"/>
        <v>0</v>
      </c>
    </row>
    <row r="517" spans="1:8" hidden="1" x14ac:dyDescent="0.2">
      <c r="A517" s="90">
        <f t="shared" si="92"/>
        <v>11</v>
      </c>
      <c r="B517" s="91"/>
      <c r="C517" s="16" t="s">
        <v>55</v>
      </c>
      <c r="D517" s="16"/>
      <c r="E517" s="16"/>
      <c r="F517" s="15">
        <f t="shared" si="91"/>
        <v>0</v>
      </c>
      <c r="G517" s="15">
        <v>0</v>
      </c>
      <c r="H517" s="16">
        <f t="shared" si="90"/>
        <v>0</v>
      </c>
    </row>
    <row r="518" spans="1:8" hidden="1" x14ac:dyDescent="0.2">
      <c r="A518" s="90">
        <f t="shared" si="92"/>
        <v>12</v>
      </c>
      <c r="B518" s="91"/>
      <c r="C518" s="16" t="s">
        <v>55</v>
      </c>
      <c r="D518" s="16"/>
      <c r="E518" s="16"/>
      <c r="F518" s="15">
        <f t="shared" si="91"/>
        <v>0</v>
      </c>
      <c r="G518" s="15">
        <v>0</v>
      </c>
      <c r="H518" s="16">
        <f t="shared" si="90"/>
        <v>0</v>
      </c>
    </row>
    <row r="519" spans="1:8" hidden="1" x14ac:dyDescent="0.2">
      <c r="A519" s="119" t="s">
        <v>124</v>
      </c>
      <c r="B519" s="119"/>
      <c r="C519" s="119"/>
      <c r="D519" s="119"/>
      <c r="E519" s="119"/>
      <c r="F519" s="119"/>
      <c r="G519" s="119"/>
      <c r="H519" s="119"/>
    </row>
    <row r="520" spans="1:8" hidden="1" x14ac:dyDescent="0.2">
      <c r="A520" s="90">
        <v>1</v>
      </c>
      <c r="B520" s="91"/>
      <c r="C520" s="16" t="s">
        <v>55</v>
      </c>
      <c r="D520" s="16"/>
      <c r="E520" s="16"/>
      <c r="F520" s="15">
        <f>D520+E520</f>
        <v>0</v>
      </c>
      <c r="G520" s="15">
        <v>0</v>
      </c>
      <c r="H520" s="16">
        <f t="shared" ref="H520:H531" si="93">F520*(($H$504)+1)+(IF(G520&lt;101,G520,IF(G520&lt;201,G520/2,IF(G520&lt;=301,G520/3,G520/4))))</f>
        <v>0</v>
      </c>
    </row>
    <row r="521" spans="1:8" hidden="1" x14ac:dyDescent="0.2">
      <c r="A521" s="90">
        <f>A520+1</f>
        <v>2</v>
      </c>
      <c r="B521" s="91"/>
      <c r="C521" s="16" t="s">
        <v>55</v>
      </c>
      <c r="D521" s="16"/>
      <c r="E521" s="16"/>
      <c r="F521" s="15">
        <f t="shared" ref="F521:F531" si="94">D521+E521</f>
        <v>0</v>
      </c>
      <c r="G521" s="15">
        <v>0</v>
      </c>
      <c r="H521" s="16">
        <f t="shared" si="93"/>
        <v>0</v>
      </c>
    </row>
    <row r="522" spans="1:8" hidden="1" x14ac:dyDescent="0.2">
      <c r="A522" s="90">
        <f t="shared" ref="A522:A531" si="95">A521+1</f>
        <v>3</v>
      </c>
      <c r="B522" s="91"/>
      <c r="C522" s="16" t="s">
        <v>55</v>
      </c>
      <c r="D522" s="16"/>
      <c r="E522" s="16"/>
      <c r="F522" s="15">
        <f t="shared" si="94"/>
        <v>0</v>
      </c>
      <c r="G522" s="15">
        <v>0</v>
      </c>
      <c r="H522" s="16">
        <f t="shared" si="93"/>
        <v>0</v>
      </c>
    </row>
    <row r="523" spans="1:8" hidden="1" x14ac:dyDescent="0.2">
      <c r="A523" s="90">
        <f t="shared" si="95"/>
        <v>4</v>
      </c>
      <c r="B523" s="91"/>
      <c r="C523" s="16" t="s">
        <v>55</v>
      </c>
      <c r="D523" s="16"/>
      <c r="E523" s="16"/>
      <c r="F523" s="15">
        <f t="shared" si="94"/>
        <v>0</v>
      </c>
      <c r="G523" s="15">
        <v>0</v>
      </c>
      <c r="H523" s="16">
        <f t="shared" si="93"/>
        <v>0</v>
      </c>
    </row>
    <row r="524" spans="1:8" hidden="1" x14ac:dyDescent="0.2">
      <c r="A524" s="90">
        <f t="shared" si="95"/>
        <v>5</v>
      </c>
      <c r="B524" s="91"/>
      <c r="C524" s="16" t="s">
        <v>55</v>
      </c>
      <c r="D524" s="16"/>
      <c r="E524" s="16"/>
      <c r="F524" s="15">
        <f t="shared" si="94"/>
        <v>0</v>
      </c>
      <c r="G524" s="15">
        <v>0</v>
      </c>
      <c r="H524" s="16">
        <f t="shared" si="93"/>
        <v>0</v>
      </c>
    </row>
    <row r="525" spans="1:8" hidden="1" x14ac:dyDescent="0.2">
      <c r="A525" s="90">
        <f t="shared" si="95"/>
        <v>6</v>
      </c>
      <c r="B525" s="91"/>
      <c r="C525" s="16" t="s">
        <v>55</v>
      </c>
      <c r="D525" s="16"/>
      <c r="E525" s="16"/>
      <c r="F525" s="15">
        <f t="shared" si="94"/>
        <v>0</v>
      </c>
      <c r="G525" s="15">
        <v>0</v>
      </c>
      <c r="H525" s="16">
        <f t="shared" si="93"/>
        <v>0</v>
      </c>
    </row>
    <row r="526" spans="1:8" hidden="1" x14ac:dyDescent="0.2">
      <c r="A526" s="90">
        <f t="shared" si="95"/>
        <v>7</v>
      </c>
      <c r="B526" s="91"/>
      <c r="C526" s="16" t="s">
        <v>55</v>
      </c>
      <c r="D526" s="16"/>
      <c r="E526" s="16"/>
      <c r="F526" s="15">
        <f t="shared" si="94"/>
        <v>0</v>
      </c>
      <c r="G526" s="15">
        <v>0</v>
      </c>
      <c r="H526" s="16">
        <f t="shared" si="93"/>
        <v>0</v>
      </c>
    </row>
    <row r="527" spans="1:8" ht="12.75" hidden="1" customHeight="1" x14ac:dyDescent="0.2">
      <c r="A527" s="90">
        <f t="shared" si="95"/>
        <v>8</v>
      </c>
      <c r="B527" s="91"/>
      <c r="C527" s="16" t="s">
        <v>55</v>
      </c>
      <c r="D527" s="16"/>
      <c r="E527" s="16"/>
      <c r="F527" s="15">
        <f t="shared" si="94"/>
        <v>0</v>
      </c>
      <c r="G527" s="15">
        <v>0</v>
      </c>
      <c r="H527" s="16">
        <f t="shared" si="93"/>
        <v>0</v>
      </c>
    </row>
    <row r="528" spans="1:8" hidden="1" x14ac:dyDescent="0.2">
      <c r="A528" s="90">
        <f t="shared" si="95"/>
        <v>9</v>
      </c>
      <c r="B528" s="91"/>
      <c r="C528" s="16" t="s">
        <v>55</v>
      </c>
      <c r="D528" s="16"/>
      <c r="E528" s="16"/>
      <c r="F528" s="15">
        <f t="shared" si="94"/>
        <v>0</v>
      </c>
      <c r="G528" s="15">
        <v>0</v>
      </c>
      <c r="H528" s="16">
        <f t="shared" si="93"/>
        <v>0</v>
      </c>
    </row>
    <row r="529" spans="1:8" hidden="1" x14ac:dyDescent="0.2">
      <c r="A529" s="90">
        <f t="shared" si="95"/>
        <v>10</v>
      </c>
      <c r="B529" s="91"/>
      <c r="C529" s="16" t="s">
        <v>55</v>
      </c>
      <c r="D529" s="16"/>
      <c r="E529" s="16"/>
      <c r="F529" s="15">
        <f t="shared" si="94"/>
        <v>0</v>
      </c>
      <c r="G529" s="15">
        <v>0</v>
      </c>
      <c r="H529" s="16">
        <f t="shared" si="93"/>
        <v>0</v>
      </c>
    </row>
    <row r="530" spans="1:8" hidden="1" x14ac:dyDescent="0.2">
      <c r="A530" s="90">
        <f t="shared" si="95"/>
        <v>11</v>
      </c>
      <c r="B530" s="91"/>
      <c r="C530" s="16" t="s">
        <v>55</v>
      </c>
      <c r="D530" s="16"/>
      <c r="E530" s="16"/>
      <c r="F530" s="15">
        <f t="shared" si="94"/>
        <v>0</v>
      </c>
      <c r="G530" s="15">
        <v>0</v>
      </c>
      <c r="H530" s="16">
        <f t="shared" si="93"/>
        <v>0</v>
      </c>
    </row>
    <row r="531" spans="1:8" hidden="1" x14ac:dyDescent="0.2">
      <c r="A531" s="90">
        <f t="shared" si="95"/>
        <v>12</v>
      </c>
      <c r="B531" s="91"/>
      <c r="C531" s="16" t="s">
        <v>55</v>
      </c>
      <c r="D531" s="16"/>
      <c r="E531" s="16"/>
      <c r="F531" s="15">
        <f t="shared" si="94"/>
        <v>0</v>
      </c>
      <c r="G531" s="15">
        <v>0</v>
      </c>
      <c r="H531" s="16">
        <f t="shared" si="93"/>
        <v>0</v>
      </c>
    </row>
    <row r="532" spans="1:8" hidden="1" x14ac:dyDescent="0.2">
      <c r="A532" s="119" t="s">
        <v>125</v>
      </c>
      <c r="B532" s="119"/>
      <c r="C532" s="119"/>
      <c r="D532" s="119"/>
      <c r="E532" s="119"/>
      <c r="F532" s="119"/>
      <c r="G532" s="119"/>
      <c r="H532" s="119"/>
    </row>
    <row r="533" spans="1:8" hidden="1" x14ac:dyDescent="0.2">
      <c r="A533" s="90">
        <v>1</v>
      </c>
      <c r="B533" s="91"/>
      <c r="C533" s="16" t="s">
        <v>55</v>
      </c>
      <c r="D533" s="16"/>
      <c r="E533" s="16"/>
      <c r="F533" s="15">
        <f>D533+E533</f>
        <v>0</v>
      </c>
      <c r="G533" s="15">
        <v>0</v>
      </c>
      <c r="H533" s="16">
        <f t="shared" ref="H533:H544" si="96">F533*(($H$504)+1)+(IF(G533&lt;101,G533,IF(G533&lt;201,G533/2,IF(G533&lt;=301,G533/3,G533/4))))</f>
        <v>0</v>
      </c>
    </row>
    <row r="534" spans="1:8" hidden="1" x14ac:dyDescent="0.2">
      <c r="A534" s="90">
        <f>A533+1</f>
        <v>2</v>
      </c>
      <c r="B534" s="91"/>
      <c r="C534" s="16" t="s">
        <v>55</v>
      </c>
      <c r="D534" s="16"/>
      <c r="E534" s="16"/>
      <c r="F534" s="15">
        <f t="shared" ref="F534:F544" si="97">D534+E534</f>
        <v>0</v>
      </c>
      <c r="G534" s="15">
        <v>0</v>
      </c>
      <c r="H534" s="16">
        <f t="shared" si="96"/>
        <v>0</v>
      </c>
    </row>
    <row r="535" spans="1:8" hidden="1" x14ac:dyDescent="0.2">
      <c r="A535" s="90">
        <f t="shared" ref="A535:A544" si="98">A534+1</f>
        <v>3</v>
      </c>
      <c r="B535" s="91"/>
      <c r="C535" s="16" t="s">
        <v>55</v>
      </c>
      <c r="D535" s="16"/>
      <c r="E535" s="16"/>
      <c r="F535" s="15">
        <f t="shared" si="97"/>
        <v>0</v>
      </c>
      <c r="G535" s="15">
        <v>0</v>
      </c>
      <c r="H535" s="16">
        <f t="shared" si="96"/>
        <v>0</v>
      </c>
    </row>
    <row r="536" spans="1:8" hidden="1" x14ac:dyDescent="0.2">
      <c r="A536" s="90">
        <f t="shared" si="98"/>
        <v>4</v>
      </c>
      <c r="B536" s="91"/>
      <c r="C536" s="16" t="s">
        <v>55</v>
      </c>
      <c r="D536" s="16"/>
      <c r="E536" s="16"/>
      <c r="F536" s="15">
        <f t="shared" si="97"/>
        <v>0</v>
      </c>
      <c r="G536" s="15">
        <v>0</v>
      </c>
      <c r="H536" s="16">
        <f t="shared" si="96"/>
        <v>0</v>
      </c>
    </row>
    <row r="537" spans="1:8" hidden="1" x14ac:dyDescent="0.2">
      <c r="A537" s="90">
        <f t="shared" si="98"/>
        <v>5</v>
      </c>
      <c r="B537" s="91"/>
      <c r="C537" s="16" t="s">
        <v>55</v>
      </c>
      <c r="D537" s="16"/>
      <c r="E537" s="16"/>
      <c r="F537" s="15">
        <f t="shared" si="97"/>
        <v>0</v>
      </c>
      <c r="G537" s="15">
        <v>0</v>
      </c>
      <c r="H537" s="16">
        <f t="shared" si="96"/>
        <v>0</v>
      </c>
    </row>
    <row r="538" spans="1:8" hidden="1" x14ac:dyDescent="0.2">
      <c r="A538" s="90">
        <f t="shared" si="98"/>
        <v>6</v>
      </c>
      <c r="B538" s="91"/>
      <c r="C538" s="16" t="s">
        <v>55</v>
      </c>
      <c r="D538" s="16"/>
      <c r="E538" s="16"/>
      <c r="F538" s="15">
        <f t="shared" si="97"/>
        <v>0</v>
      </c>
      <c r="G538" s="15">
        <v>0</v>
      </c>
      <c r="H538" s="16">
        <f t="shared" si="96"/>
        <v>0</v>
      </c>
    </row>
    <row r="539" spans="1:8" hidden="1" x14ac:dyDescent="0.2">
      <c r="A539" s="90">
        <f t="shared" si="98"/>
        <v>7</v>
      </c>
      <c r="B539" s="91"/>
      <c r="C539" s="16" t="s">
        <v>55</v>
      </c>
      <c r="D539" s="16"/>
      <c r="E539" s="16"/>
      <c r="F539" s="15">
        <f t="shared" si="97"/>
        <v>0</v>
      </c>
      <c r="G539" s="15">
        <v>0</v>
      </c>
      <c r="H539" s="16">
        <f t="shared" si="96"/>
        <v>0</v>
      </c>
    </row>
    <row r="540" spans="1:8" hidden="1" x14ac:dyDescent="0.2">
      <c r="A540" s="90">
        <f t="shared" si="98"/>
        <v>8</v>
      </c>
      <c r="B540" s="91"/>
      <c r="C540" s="16" t="s">
        <v>55</v>
      </c>
      <c r="D540" s="16"/>
      <c r="E540" s="16"/>
      <c r="F540" s="15">
        <f t="shared" si="97"/>
        <v>0</v>
      </c>
      <c r="G540" s="15">
        <v>0</v>
      </c>
      <c r="H540" s="16">
        <f t="shared" si="96"/>
        <v>0</v>
      </c>
    </row>
    <row r="541" spans="1:8" hidden="1" x14ac:dyDescent="0.2">
      <c r="A541" s="90">
        <f t="shared" si="98"/>
        <v>9</v>
      </c>
      <c r="B541" s="91"/>
      <c r="C541" s="16" t="s">
        <v>55</v>
      </c>
      <c r="D541" s="16"/>
      <c r="E541" s="16"/>
      <c r="F541" s="15">
        <f t="shared" si="97"/>
        <v>0</v>
      </c>
      <c r="G541" s="15">
        <v>0</v>
      </c>
      <c r="H541" s="16">
        <f t="shared" si="96"/>
        <v>0</v>
      </c>
    </row>
    <row r="542" spans="1:8" hidden="1" x14ac:dyDescent="0.2">
      <c r="A542" s="90">
        <f t="shared" si="98"/>
        <v>10</v>
      </c>
      <c r="B542" s="91"/>
      <c r="C542" s="16" t="s">
        <v>55</v>
      </c>
      <c r="D542" s="16"/>
      <c r="E542" s="16"/>
      <c r="F542" s="15">
        <f t="shared" si="97"/>
        <v>0</v>
      </c>
      <c r="G542" s="15">
        <v>0</v>
      </c>
      <c r="H542" s="16">
        <f t="shared" si="96"/>
        <v>0</v>
      </c>
    </row>
    <row r="543" spans="1:8" hidden="1" x14ac:dyDescent="0.2">
      <c r="A543" s="90">
        <f t="shared" si="98"/>
        <v>11</v>
      </c>
      <c r="B543" s="91"/>
      <c r="C543" s="16" t="s">
        <v>55</v>
      </c>
      <c r="D543" s="16"/>
      <c r="E543" s="16"/>
      <c r="F543" s="15">
        <f t="shared" si="97"/>
        <v>0</v>
      </c>
      <c r="G543" s="15">
        <v>0</v>
      </c>
      <c r="H543" s="16">
        <f t="shared" si="96"/>
        <v>0</v>
      </c>
    </row>
    <row r="544" spans="1:8" hidden="1" x14ac:dyDescent="0.2">
      <c r="A544" s="90">
        <f t="shared" si="98"/>
        <v>12</v>
      </c>
      <c r="B544" s="91"/>
      <c r="C544" s="16" t="s">
        <v>55</v>
      </c>
      <c r="D544" s="16"/>
      <c r="E544" s="16"/>
      <c r="F544" s="15">
        <f t="shared" si="97"/>
        <v>0</v>
      </c>
      <c r="G544" s="15">
        <v>0</v>
      </c>
      <c r="H544" s="16">
        <f t="shared" si="96"/>
        <v>0</v>
      </c>
    </row>
    <row r="545" spans="1:8" hidden="1" x14ac:dyDescent="0.2">
      <c r="A545" s="119" t="s">
        <v>125</v>
      </c>
      <c r="B545" s="119"/>
      <c r="C545" s="119"/>
      <c r="D545" s="119"/>
      <c r="E545" s="119"/>
      <c r="F545" s="119"/>
      <c r="G545" s="119"/>
      <c r="H545" s="119"/>
    </row>
    <row r="546" spans="1:8" hidden="1" x14ac:dyDescent="0.2">
      <c r="A546" s="90">
        <v>1</v>
      </c>
      <c r="B546" s="91"/>
      <c r="C546" s="16" t="s">
        <v>55</v>
      </c>
      <c r="D546" s="16"/>
      <c r="E546" s="16"/>
      <c r="F546" s="15">
        <f>D546+E546</f>
        <v>0</v>
      </c>
      <c r="G546" s="15">
        <v>0</v>
      </c>
      <c r="H546" s="16">
        <f t="shared" ref="H546:H557" si="99">F546*(($H$504)+1)+(IF(G546&lt;101,G546,IF(G546&lt;201,G546/2,IF(G546&lt;=301,G546/3,G546/4))))</f>
        <v>0</v>
      </c>
    </row>
    <row r="547" spans="1:8" hidden="1" x14ac:dyDescent="0.2">
      <c r="A547" s="90">
        <f>A546+1</f>
        <v>2</v>
      </c>
      <c r="B547" s="91"/>
      <c r="C547" s="16" t="s">
        <v>55</v>
      </c>
      <c r="D547" s="16"/>
      <c r="E547" s="16"/>
      <c r="F547" s="15">
        <f t="shared" ref="F547:F557" si="100">D547+E547</f>
        <v>0</v>
      </c>
      <c r="G547" s="15">
        <v>0</v>
      </c>
      <c r="H547" s="16">
        <f t="shared" si="99"/>
        <v>0</v>
      </c>
    </row>
    <row r="548" spans="1:8" hidden="1" x14ac:dyDescent="0.2">
      <c r="A548" s="90">
        <f t="shared" ref="A548:A557" si="101">A547+1</f>
        <v>3</v>
      </c>
      <c r="B548" s="91"/>
      <c r="C548" s="16" t="s">
        <v>55</v>
      </c>
      <c r="D548" s="16"/>
      <c r="E548" s="16"/>
      <c r="F548" s="15">
        <f t="shared" si="100"/>
        <v>0</v>
      </c>
      <c r="G548" s="15">
        <v>0</v>
      </c>
      <c r="H548" s="16">
        <f t="shared" si="99"/>
        <v>0</v>
      </c>
    </row>
    <row r="549" spans="1:8" hidden="1" x14ac:dyDescent="0.2">
      <c r="A549" s="90">
        <f t="shared" si="101"/>
        <v>4</v>
      </c>
      <c r="B549" s="91"/>
      <c r="C549" s="16" t="s">
        <v>55</v>
      </c>
      <c r="D549" s="16"/>
      <c r="E549" s="16"/>
      <c r="F549" s="15">
        <f t="shared" si="100"/>
        <v>0</v>
      </c>
      <c r="G549" s="15">
        <v>0</v>
      </c>
      <c r="H549" s="16">
        <f t="shared" si="99"/>
        <v>0</v>
      </c>
    </row>
    <row r="550" spans="1:8" hidden="1" x14ac:dyDescent="0.2">
      <c r="A550" s="90">
        <f t="shared" si="101"/>
        <v>5</v>
      </c>
      <c r="B550" s="91"/>
      <c r="C550" s="16" t="s">
        <v>55</v>
      </c>
      <c r="D550" s="16"/>
      <c r="E550" s="16"/>
      <c r="F550" s="15">
        <f t="shared" si="100"/>
        <v>0</v>
      </c>
      <c r="G550" s="15">
        <v>0</v>
      </c>
      <c r="H550" s="16">
        <f t="shared" si="99"/>
        <v>0</v>
      </c>
    </row>
    <row r="551" spans="1:8" hidden="1" x14ac:dyDescent="0.2">
      <c r="A551" s="90">
        <f t="shared" si="101"/>
        <v>6</v>
      </c>
      <c r="B551" s="91"/>
      <c r="C551" s="16" t="s">
        <v>55</v>
      </c>
      <c r="D551" s="16"/>
      <c r="E551" s="16"/>
      <c r="F551" s="15">
        <f t="shared" si="100"/>
        <v>0</v>
      </c>
      <c r="G551" s="15">
        <v>0</v>
      </c>
      <c r="H551" s="16">
        <f t="shared" si="99"/>
        <v>0</v>
      </c>
    </row>
    <row r="552" spans="1:8" hidden="1" x14ac:dyDescent="0.2">
      <c r="A552" s="90">
        <f t="shared" si="101"/>
        <v>7</v>
      </c>
      <c r="B552" s="91"/>
      <c r="C552" s="16" t="s">
        <v>55</v>
      </c>
      <c r="D552" s="16"/>
      <c r="E552" s="16"/>
      <c r="F552" s="15">
        <f t="shared" si="100"/>
        <v>0</v>
      </c>
      <c r="G552" s="15">
        <v>0</v>
      </c>
      <c r="H552" s="16">
        <f t="shared" si="99"/>
        <v>0</v>
      </c>
    </row>
    <row r="553" spans="1:8" hidden="1" x14ac:dyDescent="0.2">
      <c r="A553" s="90">
        <f t="shared" si="101"/>
        <v>8</v>
      </c>
      <c r="B553" s="91"/>
      <c r="C553" s="16" t="s">
        <v>55</v>
      </c>
      <c r="D553" s="16"/>
      <c r="E553" s="16"/>
      <c r="F553" s="15">
        <f t="shared" si="100"/>
        <v>0</v>
      </c>
      <c r="G553" s="15">
        <v>0</v>
      </c>
      <c r="H553" s="16">
        <f t="shared" si="99"/>
        <v>0</v>
      </c>
    </row>
    <row r="554" spans="1:8" hidden="1" x14ac:dyDescent="0.2">
      <c r="A554" s="90">
        <f t="shared" si="101"/>
        <v>9</v>
      </c>
      <c r="B554" s="91"/>
      <c r="C554" s="16" t="s">
        <v>55</v>
      </c>
      <c r="D554" s="16"/>
      <c r="E554" s="16"/>
      <c r="F554" s="15">
        <f t="shared" si="100"/>
        <v>0</v>
      </c>
      <c r="G554" s="15">
        <v>0</v>
      </c>
      <c r="H554" s="16">
        <f t="shared" si="99"/>
        <v>0</v>
      </c>
    </row>
    <row r="555" spans="1:8" hidden="1" x14ac:dyDescent="0.2">
      <c r="A555" s="90">
        <f t="shared" si="101"/>
        <v>10</v>
      </c>
      <c r="B555" s="91"/>
      <c r="C555" s="16" t="s">
        <v>55</v>
      </c>
      <c r="D555" s="16"/>
      <c r="E555" s="16"/>
      <c r="F555" s="15">
        <f t="shared" si="100"/>
        <v>0</v>
      </c>
      <c r="G555" s="15">
        <v>0</v>
      </c>
      <c r="H555" s="16">
        <f t="shared" si="99"/>
        <v>0</v>
      </c>
    </row>
    <row r="556" spans="1:8" hidden="1" x14ac:dyDescent="0.2">
      <c r="A556" s="90">
        <f t="shared" si="101"/>
        <v>11</v>
      </c>
      <c r="B556" s="91"/>
      <c r="C556" s="16" t="s">
        <v>55</v>
      </c>
      <c r="D556" s="16"/>
      <c r="E556" s="16"/>
      <c r="F556" s="15">
        <f t="shared" si="100"/>
        <v>0</v>
      </c>
      <c r="G556" s="15">
        <v>0</v>
      </c>
      <c r="H556" s="16">
        <f t="shared" si="99"/>
        <v>0</v>
      </c>
    </row>
    <row r="557" spans="1:8" hidden="1" x14ac:dyDescent="0.2">
      <c r="A557" s="90">
        <f t="shared" si="101"/>
        <v>12</v>
      </c>
      <c r="B557" s="91"/>
      <c r="C557" s="16" t="s">
        <v>55</v>
      </c>
      <c r="D557" s="16"/>
      <c r="E557" s="16"/>
      <c r="F557" s="15">
        <f t="shared" si="100"/>
        <v>0</v>
      </c>
      <c r="G557" s="15">
        <v>0</v>
      </c>
      <c r="H557" s="16">
        <f t="shared" si="99"/>
        <v>0</v>
      </c>
    </row>
    <row r="558" spans="1:8" x14ac:dyDescent="0.2">
      <c r="A558" s="121" t="s">
        <v>114</v>
      </c>
      <c r="B558" s="121"/>
      <c r="C558" s="121"/>
      <c r="D558" s="121"/>
      <c r="E558" s="121"/>
      <c r="F558" s="121"/>
      <c r="G558" s="121"/>
      <c r="H558" s="121"/>
    </row>
    <row r="559" spans="1:8" x14ac:dyDescent="0.2">
      <c r="A559" s="113" t="s">
        <v>283</v>
      </c>
      <c r="B559" s="114"/>
      <c r="C559" s="114"/>
      <c r="D559" s="114"/>
      <c r="E559" s="115"/>
      <c r="F559" s="110">
        <v>18000</v>
      </c>
      <c r="G559" s="111"/>
      <c r="H559" s="112"/>
    </row>
    <row r="560" spans="1:8" x14ac:dyDescent="0.2">
      <c r="A560" s="113" t="s">
        <v>284</v>
      </c>
      <c r="B560" s="114"/>
      <c r="C560" s="114"/>
      <c r="D560" s="114"/>
      <c r="E560" s="115"/>
      <c r="F560" s="110">
        <v>13000</v>
      </c>
      <c r="G560" s="111"/>
      <c r="H560" s="112"/>
    </row>
    <row r="561" spans="1:13" x14ac:dyDescent="0.2">
      <c r="A561" s="110" t="s">
        <v>115</v>
      </c>
      <c r="B561" s="111"/>
      <c r="C561" s="111"/>
      <c r="D561" s="111"/>
      <c r="E561" s="112"/>
      <c r="F561" s="113" t="s">
        <v>280</v>
      </c>
      <c r="G561" s="114"/>
      <c r="H561" s="115"/>
    </row>
    <row r="562" spans="1:13" x14ac:dyDescent="0.2">
      <c r="A562" s="121" t="s">
        <v>47</v>
      </c>
      <c r="B562" s="121"/>
      <c r="C562" s="121"/>
      <c r="D562" s="121"/>
      <c r="E562" s="121"/>
      <c r="F562" s="121"/>
      <c r="G562" s="121"/>
      <c r="H562" s="121"/>
    </row>
    <row r="563" spans="1:13" x14ac:dyDescent="0.2">
      <c r="A563" s="17">
        <v>1</v>
      </c>
      <c r="B563" s="104" t="s">
        <v>262</v>
      </c>
      <c r="C563" s="105"/>
      <c r="D563" s="105"/>
      <c r="E563" s="105"/>
      <c r="F563" s="105"/>
      <c r="G563" s="105"/>
      <c r="H563" s="106"/>
    </row>
    <row r="564" spans="1:13" x14ac:dyDescent="0.2">
      <c r="A564" s="17">
        <f t="shared" ref="A564:A574" si="102">A563+1</f>
        <v>2</v>
      </c>
      <c r="B564" s="104" t="s">
        <v>221</v>
      </c>
      <c r="C564" s="105"/>
      <c r="D564" s="105"/>
      <c r="E564" s="105"/>
      <c r="F564" s="105"/>
      <c r="G564" s="105"/>
      <c r="H564" s="106"/>
    </row>
    <row r="565" spans="1:13" x14ac:dyDescent="0.2">
      <c r="A565" s="17">
        <f t="shared" si="102"/>
        <v>3</v>
      </c>
      <c r="B565" s="104" t="s">
        <v>222</v>
      </c>
      <c r="C565" s="105"/>
      <c r="D565" s="105"/>
      <c r="E565" s="105"/>
      <c r="F565" s="105"/>
      <c r="G565" s="105"/>
      <c r="H565" s="106"/>
    </row>
    <row r="566" spans="1:13" x14ac:dyDescent="0.2">
      <c r="A566" s="17">
        <f t="shared" si="102"/>
        <v>4</v>
      </c>
      <c r="B566" s="104" t="s">
        <v>223</v>
      </c>
      <c r="C566" s="105"/>
      <c r="D566" s="105"/>
      <c r="E566" s="105"/>
      <c r="F566" s="105"/>
      <c r="G566" s="105"/>
      <c r="H566" s="106"/>
    </row>
    <row r="567" spans="1:13" x14ac:dyDescent="0.2">
      <c r="A567" s="17">
        <f t="shared" si="102"/>
        <v>5</v>
      </c>
      <c r="B567" s="104" t="s">
        <v>263</v>
      </c>
      <c r="C567" s="105"/>
      <c r="D567" s="105"/>
      <c r="E567" s="105"/>
      <c r="F567" s="105"/>
      <c r="G567" s="105"/>
      <c r="H567" s="106"/>
    </row>
    <row r="568" spans="1:13" x14ac:dyDescent="0.2">
      <c r="A568" s="17">
        <f t="shared" si="102"/>
        <v>6</v>
      </c>
      <c r="B568" s="104" t="s">
        <v>227</v>
      </c>
      <c r="C568" s="105"/>
      <c r="D568" s="105"/>
      <c r="E568" s="105"/>
      <c r="F568" s="75">
        <f>H504</f>
        <v>0.5</v>
      </c>
      <c r="G568" s="59"/>
      <c r="H568" s="60"/>
    </row>
    <row r="569" spans="1:13" x14ac:dyDescent="0.2">
      <c r="A569" s="17">
        <f t="shared" si="102"/>
        <v>7</v>
      </c>
      <c r="B569" s="104" t="s">
        <v>224</v>
      </c>
      <c r="C569" s="105"/>
      <c r="D569" s="105"/>
      <c r="E569" s="105"/>
      <c r="F569" s="105"/>
      <c r="G569" s="105"/>
      <c r="H569" s="106"/>
    </row>
    <row r="570" spans="1:13" ht="29.45" customHeight="1" x14ac:dyDescent="0.2">
      <c r="A570" s="17">
        <f t="shared" si="102"/>
        <v>8</v>
      </c>
      <c r="B570" s="104" t="s">
        <v>225</v>
      </c>
      <c r="C570" s="105"/>
      <c r="D570" s="105"/>
      <c r="E570" s="105"/>
      <c r="F570" s="105"/>
      <c r="G570" s="105"/>
      <c r="H570" s="106"/>
    </row>
    <row r="571" spans="1:13" ht="13.15" customHeight="1" x14ac:dyDescent="0.2">
      <c r="A571" s="17">
        <f t="shared" si="102"/>
        <v>9</v>
      </c>
      <c r="B571" s="104" t="s">
        <v>226</v>
      </c>
      <c r="C571" s="105"/>
      <c r="D571" s="105"/>
      <c r="E571" s="105"/>
      <c r="F571" s="105"/>
      <c r="G571" s="105"/>
      <c r="H571" s="106"/>
      <c r="M571" s="6">
        <v>9</v>
      </c>
    </row>
    <row r="572" spans="1:13" x14ac:dyDescent="0.2">
      <c r="A572" s="17">
        <f t="shared" si="102"/>
        <v>10</v>
      </c>
      <c r="B572" s="104" t="s">
        <v>292</v>
      </c>
      <c r="C572" s="105"/>
      <c r="D572" s="105"/>
      <c r="E572" s="105"/>
      <c r="F572" s="105"/>
      <c r="G572" s="105"/>
      <c r="H572" s="106"/>
    </row>
    <row r="573" spans="1:13" ht="25.5" customHeight="1" x14ac:dyDescent="0.2">
      <c r="A573" s="17">
        <f t="shared" si="102"/>
        <v>11</v>
      </c>
      <c r="B573" s="104" t="s">
        <v>301</v>
      </c>
      <c r="C573" s="105"/>
      <c r="D573" s="105"/>
      <c r="E573" s="105"/>
      <c r="F573" s="105"/>
      <c r="G573" s="105"/>
      <c r="H573" s="106"/>
    </row>
    <row r="574" spans="1:13" x14ac:dyDescent="0.2">
      <c r="A574" s="87">
        <f t="shared" si="102"/>
        <v>12</v>
      </c>
      <c r="B574" s="104" t="s">
        <v>270</v>
      </c>
      <c r="C574" s="105"/>
      <c r="D574" s="105"/>
      <c r="E574" s="105"/>
      <c r="F574" s="105"/>
      <c r="G574" s="105"/>
      <c r="H574" s="106"/>
    </row>
    <row r="575" spans="1:13" x14ac:dyDescent="0.2">
      <c r="A575" s="97" t="s">
        <v>118</v>
      </c>
      <c r="B575" s="99"/>
      <c r="C575" s="97" t="str">
        <f>C7</f>
        <v>Palava Signet 2</v>
      </c>
      <c r="D575" s="98"/>
      <c r="E575" s="98"/>
      <c r="F575" s="98"/>
      <c r="G575" s="98"/>
      <c r="H575" s="99"/>
    </row>
    <row r="576" spans="1:13" x14ac:dyDescent="0.2">
      <c r="A576" s="116"/>
      <c r="B576" s="117"/>
      <c r="C576" s="117"/>
      <c r="D576" s="117"/>
      <c r="E576" s="117"/>
      <c r="F576" s="117"/>
      <c r="G576" s="117"/>
      <c r="H576" s="118"/>
    </row>
    <row r="577" spans="1:8" x14ac:dyDescent="0.2">
      <c r="A577" s="107"/>
      <c r="B577" s="108"/>
      <c r="C577" s="108"/>
      <c r="D577" s="108"/>
      <c r="E577" s="108"/>
      <c r="F577" s="108"/>
      <c r="G577" s="108"/>
      <c r="H577" s="109"/>
    </row>
    <row r="578" spans="1:8" x14ac:dyDescent="0.2">
      <c r="A578" s="107"/>
      <c r="B578" s="108"/>
      <c r="C578" s="108"/>
      <c r="D578" s="108"/>
      <c r="E578" s="108"/>
      <c r="F578" s="108"/>
      <c r="G578" s="108"/>
      <c r="H578" s="109"/>
    </row>
    <row r="579" spans="1:8" x14ac:dyDescent="0.2">
      <c r="A579" s="107"/>
      <c r="B579" s="108"/>
      <c r="C579" s="108"/>
      <c r="D579" s="108"/>
      <c r="E579" s="108"/>
      <c r="F579" s="108"/>
      <c r="G579" s="108"/>
      <c r="H579" s="109"/>
    </row>
    <row r="580" spans="1:8" x14ac:dyDescent="0.2">
      <c r="A580" s="107"/>
      <c r="B580" s="108"/>
      <c r="C580" s="108"/>
      <c r="D580" s="108"/>
      <c r="E580" s="108"/>
      <c r="F580" s="108"/>
      <c r="G580" s="108"/>
      <c r="H580" s="109"/>
    </row>
    <row r="581" spans="1:8" x14ac:dyDescent="0.2">
      <c r="A581" s="107"/>
      <c r="B581" s="108"/>
      <c r="C581" s="108"/>
      <c r="D581" s="108"/>
      <c r="E581" s="108"/>
      <c r="F581" s="108"/>
      <c r="G581" s="108"/>
      <c r="H581" s="109"/>
    </row>
    <row r="582" spans="1:8" x14ac:dyDescent="0.2">
      <c r="A582" s="107"/>
      <c r="B582" s="108"/>
      <c r="C582" s="108"/>
      <c r="D582" s="108"/>
      <c r="E582" s="108"/>
      <c r="F582" s="108"/>
      <c r="G582" s="108"/>
      <c r="H582" s="109"/>
    </row>
    <row r="583" spans="1:8" x14ac:dyDescent="0.2">
      <c r="A583" s="107"/>
      <c r="B583" s="108"/>
      <c r="C583" s="108"/>
      <c r="D583" s="108"/>
      <c r="E583" s="108"/>
      <c r="F583" s="108"/>
      <c r="G583" s="108"/>
      <c r="H583" s="109"/>
    </row>
    <row r="584" spans="1:8" x14ac:dyDescent="0.2">
      <c r="A584" s="107"/>
      <c r="B584" s="108"/>
      <c r="C584" s="108"/>
      <c r="D584" s="108"/>
      <c r="E584" s="108"/>
      <c r="F584" s="108"/>
      <c r="G584" s="108"/>
      <c r="H584" s="109"/>
    </row>
    <row r="585" spans="1:8" x14ac:dyDescent="0.2">
      <c r="A585" s="107"/>
      <c r="B585" s="108"/>
      <c r="C585" s="108"/>
      <c r="D585" s="108"/>
      <c r="E585" s="108"/>
      <c r="F585" s="108"/>
      <c r="G585" s="108"/>
      <c r="H585" s="109"/>
    </row>
    <row r="586" spans="1:8" x14ac:dyDescent="0.2">
      <c r="A586" s="107"/>
      <c r="B586" s="108"/>
      <c r="C586" s="108"/>
      <c r="D586" s="108"/>
      <c r="E586" s="108"/>
      <c r="F586" s="108"/>
      <c r="G586" s="108"/>
      <c r="H586" s="109"/>
    </row>
    <row r="587" spans="1:8" x14ac:dyDescent="0.2">
      <c r="A587" s="107"/>
      <c r="B587" s="108"/>
      <c r="C587" s="108"/>
      <c r="D587" s="108"/>
      <c r="E587" s="108"/>
      <c r="F587" s="108"/>
      <c r="G587" s="108"/>
      <c r="H587" s="109"/>
    </row>
    <row r="588" spans="1:8" x14ac:dyDescent="0.2">
      <c r="A588" s="107"/>
      <c r="B588" s="108"/>
      <c r="C588" s="108"/>
      <c r="D588" s="108"/>
      <c r="E588" s="108"/>
      <c r="F588" s="108"/>
      <c r="G588" s="108"/>
      <c r="H588" s="109"/>
    </row>
    <row r="589" spans="1:8" x14ac:dyDescent="0.2">
      <c r="A589" s="107"/>
      <c r="B589" s="108"/>
      <c r="C589" s="108"/>
      <c r="D589" s="108"/>
      <c r="E589" s="108"/>
      <c r="F589" s="108"/>
      <c r="G589" s="108"/>
      <c r="H589" s="109"/>
    </row>
    <row r="590" spans="1:8" x14ac:dyDescent="0.2">
      <c r="A590" s="107"/>
      <c r="B590" s="108"/>
      <c r="C590" s="108"/>
      <c r="D590" s="108"/>
      <c r="E590" s="108"/>
      <c r="F590" s="108"/>
      <c r="G590" s="108"/>
      <c r="H590" s="109"/>
    </row>
    <row r="591" spans="1:8" x14ac:dyDescent="0.2">
      <c r="A591" s="107"/>
      <c r="B591" s="108"/>
      <c r="C591" s="108"/>
      <c r="D591" s="108"/>
      <c r="E591" s="108"/>
      <c r="F591" s="108"/>
      <c r="G591" s="108"/>
      <c r="H591" s="109"/>
    </row>
    <row r="592" spans="1:8" x14ac:dyDescent="0.2">
      <c r="A592" s="107"/>
      <c r="B592" s="108"/>
      <c r="C592" s="108"/>
      <c r="D592" s="108"/>
      <c r="E592" s="108"/>
      <c r="F592" s="108"/>
      <c r="G592" s="108"/>
      <c r="H592" s="109"/>
    </row>
    <row r="593" spans="1:8" x14ac:dyDescent="0.2">
      <c r="A593" s="107"/>
      <c r="B593" s="108"/>
      <c r="C593" s="108"/>
      <c r="D593" s="108"/>
      <c r="E593" s="108"/>
      <c r="F593" s="108"/>
      <c r="G593" s="108"/>
      <c r="H593" s="109"/>
    </row>
    <row r="594" spans="1:8" x14ac:dyDescent="0.2">
      <c r="A594" s="107"/>
      <c r="B594" s="108"/>
      <c r="C594" s="108"/>
      <c r="D594" s="108"/>
      <c r="E594" s="108"/>
      <c r="F594" s="108"/>
      <c r="G594" s="108"/>
      <c r="H594" s="109"/>
    </row>
    <row r="595" spans="1:8" x14ac:dyDescent="0.2">
      <c r="A595" s="107"/>
      <c r="B595" s="108"/>
      <c r="C595" s="108"/>
      <c r="D595" s="108"/>
      <c r="E595" s="108"/>
      <c r="F595" s="108"/>
      <c r="G595" s="108"/>
      <c r="H595" s="109"/>
    </row>
    <row r="596" spans="1:8" x14ac:dyDescent="0.2">
      <c r="A596" s="107"/>
      <c r="B596" s="108"/>
      <c r="C596" s="108"/>
      <c r="D596" s="108"/>
      <c r="E596" s="108"/>
      <c r="F596" s="108"/>
      <c r="G596" s="108"/>
      <c r="H596" s="109"/>
    </row>
    <row r="597" spans="1:8" x14ac:dyDescent="0.2">
      <c r="A597" s="107"/>
      <c r="B597" s="108"/>
      <c r="C597" s="108"/>
      <c r="D597" s="108"/>
      <c r="E597" s="108"/>
      <c r="F597" s="108"/>
      <c r="G597" s="108"/>
      <c r="H597" s="109"/>
    </row>
    <row r="598" spans="1:8" x14ac:dyDescent="0.2">
      <c r="A598" s="107"/>
      <c r="B598" s="108"/>
      <c r="C598" s="108"/>
      <c r="D598" s="108"/>
      <c r="E598" s="108"/>
      <c r="F598" s="108"/>
      <c r="G598" s="108"/>
      <c r="H598" s="109"/>
    </row>
    <row r="599" spans="1:8" x14ac:dyDescent="0.2">
      <c r="A599" s="107"/>
      <c r="B599" s="108"/>
      <c r="C599" s="108"/>
      <c r="D599" s="108"/>
      <c r="E599" s="108"/>
      <c r="F599" s="108"/>
      <c r="G599" s="108"/>
      <c r="H599" s="109"/>
    </row>
    <row r="600" spans="1:8" x14ac:dyDescent="0.2">
      <c r="A600" s="107"/>
      <c r="B600" s="108"/>
      <c r="C600" s="108"/>
      <c r="D600" s="108"/>
      <c r="E600" s="108"/>
      <c r="F600" s="108"/>
      <c r="G600" s="108"/>
      <c r="H600" s="109"/>
    </row>
    <row r="601" spans="1:8" x14ac:dyDescent="0.2">
      <c r="A601" s="107"/>
      <c r="B601" s="108"/>
      <c r="C601" s="108"/>
      <c r="D601" s="108"/>
      <c r="E601" s="108"/>
      <c r="F601" s="108"/>
      <c r="G601" s="108"/>
      <c r="H601" s="109"/>
    </row>
    <row r="602" spans="1:8" x14ac:dyDescent="0.2">
      <c r="A602" s="107"/>
      <c r="B602" s="108"/>
      <c r="C602" s="108"/>
      <c r="D602" s="108"/>
      <c r="E602" s="108"/>
      <c r="F602" s="108"/>
      <c r="G602" s="108"/>
      <c r="H602" s="109"/>
    </row>
    <row r="603" spans="1:8" x14ac:dyDescent="0.2">
      <c r="A603" s="107"/>
      <c r="B603" s="108"/>
      <c r="C603" s="108"/>
      <c r="D603" s="108"/>
      <c r="E603" s="108"/>
      <c r="F603" s="108"/>
      <c r="G603" s="108"/>
      <c r="H603" s="109"/>
    </row>
    <row r="604" spans="1:8" x14ac:dyDescent="0.2">
      <c r="A604" s="107"/>
      <c r="B604" s="108"/>
      <c r="C604" s="108"/>
      <c r="D604" s="108"/>
      <c r="E604" s="108"/>
      <c r="F604" s="108"/>
      <c r="G604" s="108"/>
      <c r="H604" s="109"/>
    </row>
    <row r="605" spans="1:8" x14ac:dyDescent="0.2">
      <c r="A605" s="107"/>
      <c r="B605" s="108"/>
      <c r="C605" s="108"/>
      <c r="D605" s="108"/>
      <c r="E605" s="108"/>
      <c r="F605" s="108"/>
      <c r="G605" s="108"/>
      <c r="H605" s="109"/>
    </row>
    <row r="606" spans="1:8" x14ac:dyDescent="0.2">
      <c r="A606" s="107"/>
      <c r="B606" s="108"/>
      <c r="C606" s="108"/>
      <c r="D606" s="108"/>
      <c r="E606" s="108"/>
      <c r="F606" s="108"/>
      <c r="G606" s="108"/>
      <c r="H606" s="109"/>
    </row>
    <row r="607" spans="1:8" x14ac:dyDescent="0.2">
      <c r="A607" s="107"/>
      <c r="B607" s="108"/>
      <c r="C607" s="108"/>
      <c r="D607" s="108"/>
      <c r="E607" s="108"/>
      <c r="F607" s="108"/>
      <c r="G607" s="108"/>
      <c r="H607" s="109"/>
    </row>
    <row r="608" spans="1:8" x14ac:dyDescent="0.2">
      <c r="A608" s="107"/>
      <c r="B608" s="108"/>
      <c r="C608" s="108"/>
      <c r="D608" s="108"/>
      <c r="E608" s="108"/>
      <c r="F608" s="108"/>
      <c r="G608" s="108"/>
      <c r="H608" s="109"/>
    </row>
    <row r="609" spans="1:8" x14ac:dyDescent="0.2">
      <c r="A609" s="107"/>
      <c r="B609" s="108"/>
      <c r="C609" s="108"/>
      <c r="D609" s="108"/>
      <c r="E609" s="108"/>
      <c r="F609" s="108"/>
      <c r="G609" s="108"/>
      <c r="H609" s="109"/>
    </row>
    <row r="610" spans="1:8" x14ac:dyDescent="0.2">
      <c r="A610" s="107"/>
      <c r="B610" s="108"/>
      <c r="C610" s="108"/>
      <c r="D610" s="108"/>
      <c r="E610" s="108"/>
      <c r="F610" s="108"/>
      <c r="G610" s="108"/>
      <c r="H610" s="109"/>
    </row>
    <row r="611" spans="1:8" x14ac:dyDescent="0.2">
      <c r="A611" s="107"/>
      <c r="B611" s="108"/>
      <c r="C611" s="108"/>
      <c r="D611" s="108"/>
      <c r="E611" s="108"/>
      <c r="F611" s="108"/>
      <c r="G611" s="108"/>
      <c r="H611" s="109"/>
    </row>
    <row r="612" spans="1:8" x14ac:dyDescent="0.2">
      <c r="A612" s="107"/>
      <c r="B612" s="108"/>
      <c r="C612" s="108"/>
      <c r="D612" s="108"/>
      <c r="E612" s="108"/>
      <c r="F612" s="108"/>
      <c r="G612" s="108"/>
      <c r="H612" s="109"/>
    </row>
    <row r="613" spans="1:8" x14ac:dyDescent="0.2">
      <c r="A613" s="107"/>
      <c r="B613" s="108"/>
      <c r="C613" s="108"/>
      <c r="D613" s="108"/>
      <c r="E613" s="108"/>
      <c r="F613" s="108"/>
      <c r="G613" s="108"/>
      <c r="H613" s="109"/>
    </row>
    <row r="614" spans="1:8" x14ac:dyDescent="0.2">
      <c r="A614" s="107"/>
      <c r="B614" s="108"/>
      <c r="C614" s="108"/>
      <c r="D614" s="108"/>
      <c r="E614" s="108"/>
      <c r="F614" s="108"/>
      <c r="G614" s="108"/>
      <c r="H614" s="109"/>
    </row>
    <row r="615" spans="1:8" x14ac:dyDescent="0.2">
      <c r="A615" s="107"/>
      <c r="B615" s="108"/>
      <c r="C615" s="108"/>
      <c r="D615" s="108"/>
      <c r="E615" s="108"/>
      <c r="F615" s="108"/>
      <c r="G615" s="108"/>
      <c r="H615" s="109"/>
    </row>
    <row r="616" spans="1:8" x14ac:dyDescent="0.2">
      <c r="A616" s="107"/>
      <c r="B616" s="108"/>
      <c r="C616" s="108"/>
      <c r="D616" s="108"/>
      <c r="E616" s="108"/>
      <c r="F616" s="108"/>
      <c r="G616" s="108"/>
      <c r="H616" s="109"/>
    </row>
    <row r="617" spans="1:8" x14ac:dyDescent="0.2">
      <c r="A617" s="107"/>
      <c r="B617" s="108"/>
      <c r="C617" s="108"/>
      <c r="D617" s="108"/>
      <c r="E617" s="108"/>
      <c r="F617" s="108"/>
      <c r="G617" s="108"/>
      <c r="H617" s="109"/>
    </row>
    <row r="618" spans="1:8" x14ac:dyDescent="0.2">
      <c r="A618" s="107"/>
      <c r="B618" s="108"/>
      <c r="C618" s="108"/>
      <c r="D618" s="108"/>
      <c r="E618" s="108"/>
      <c r="F618" s="108"/>
      <c r="G618" s="108"/>
      <c r="H618" s="109"/>
    </row>
    <row r="619" spans="1:8" x14ac:dyDescent="0.2">
      <c r="A619" s="107"/>
      <c r="B619" s="108"/>
      <c r="C619" s="108"/>
      <c r="D619" s="108"/>
      <c r="E619" s="108"/>
      <c r="F619" s="108"/>
      <c r="G619" s="108"/>
      <c r="H619" s="109"/>
    </row>
    <row r="620" spans="1:8" x14ac:dyDescent="0.2">
      <c r="A620" s="107"/>
      <c r="B620" s="108"/>
      <c r="C620" s="108"/>
      <c r="D620" s="108"/>
      <c r="E620" s="108"/>
      <c r="F620" s="108"/>
      <c r="G620" s="108"/>
      <c r="H620" s="109"/>
    </row>
    <row r="621" spans="1:8" x14ac:dyDescent="0.2">
      <c r="A621" s="107"/>
      <c r="B621" s="108"/>
      <c r="C621" s="108"/>
      <c r="D621" s="108"/>
      <c r="E621" s="108"/>
      <c r="F621" s="108"/>
      <c r="G621" s="108"/>
      <c r="H621" s="109"/>
    </row>
    <row r="622" spans="1:8" x14ac:dyDescent="0.2">
      <c r="A622" s="107"/>
      <c r="B622" s="108"/>
      <c r="C622" s="108"/>
      <c r="D622" s="108"/>
      <c r="E622" s="108"/>
      <c r="F622" s="108"/>
      <c r="G622" s="108"/>
      <c r="H622" s="109"/>
    </row>
    <row r="623" spans="1:8" x14ac:dyDescent="0.2">
      <c r="A623" s="107"/>
      <c r="B623" s="108"/>
      <c r="C623" s="108"/>
      <c r="D623" s="108"/>
      <c r="E623" s="108"/>
      <c r="F623" s="108"/>
      <c r="G623" s="108"/>
      <c r="H623" s="109"/>
    </row>
    <row r="624" spans="1:8" x14ac:dyDescent="0.2">
      <c r="A624" s="107"/>
      <c r="B624" s="108"/>
      <c r="C624" s="108"/>
      <c r="D624" s="108"/>
      <c r="E624" s="108"/>
      <c r="F624" s="108"/>
      <c r="G624" s="108"/>
      <c r="H624" s="109"/>
    </row>
    <row r="625" spans="1:8" x14ac:dyDescent="0.2">
      <c r="A625" s="107"/>
      <c r="B625" s="108"/>
      <c r="C625" s="108"/>
      <c r="D625" s="108"/>
      <c r="E625" s="108"/>
      <c r="F625" s="108"/>
      <c r="G625" s="108"/>
      <c r="H625" s="109"/>
    </row>
    <row r="626" spans="1:8" x14ac:dyDescent="0.2">
      <c r="A626" s="97" t="s">
        <v>144</v>
      </c>
      <c r="B626" s="99"/>
      <c r="C626" s="97"/>
      <c r="D626" s="98"/>
      <c r="E626" s="98"/>
      <c r="F626" s="98"/>
      <c r="G626" s="98"/>
      <c r="H626" s="99"/>
    </row>
    <row r="627" spans="1:8" ht="50.25" customHeight="1" x14ac:dyDescent="0.2">
      <c r="A627" s="107"/>
      <c r="B627" s="108"/>
      <c r="C627" s="108"/>
      <c r="D627" s="108"/>
      <c r="E627" s="108"/>
      <c r="F627" s="108"/>
      <c r="G627" s="108"/>
      <c r="H627" s="109"/>
    </row>
    <row r="628" spans="1:8" x14ac:dyDescent="0.2">
      <c r="A628" s="107"/>
      <c r="B628" s="108"/>
      <c r="C628" s="108"/>
      <c r="D628" s="108"/>
      <c r="E628" s="108"/>
      <c r="F628" s="108"/>
      <c r="G628" s="108"/>
      <c r="H628" s="109"/>
    </row>
    <row r="629" spans="1:8" x14ac:dyDescent="0.2">
      <c r="A629" s="107"/>
      <c r="B629" s="108"/>
      <c r="C629" s="108"/>
      <c r="D629" s="108"/>
      <c r="E629" s="108"/>
      <c r="F629" s="108"/>
      <c r="G629" s="108"/>
      <c r="H629" s="109"/>
    </row>
    <row r="630" spans="1:8" x14ac:dyDescent="0.2">
      <c r="A630" s="107"/>
      <c r="B630" s="108"/>
      <c r="C630" s="108"/>
      <c r="D630" s="108"/>
      <c r="E630" s="108"/>
      <c r="F630" s="108"/>
      <c r="G630" s="108"/>
      <c r="H630" s="109"/>
    </row>
    <row r="631" spans="1:8" x14ac:dyDescent="0.2">
      <c r="A631" s="107"/>
      <c r="B631" s="108"/>
      <c r="C631" s="108"/>
      <c r="D631" s="108"/>
      <c r="E631" s="108"/>
      <c r="F631" s="108"/>
      <c r="G631" s="108"/>
      <c r="H631" s="109"/>
    </row>
    <row r="632" spans="1:8" x14ac:dyDescent="0.2">
      <c r="A632" s="107"/>
      <c r="B632" s="108"/>
      <c r="C632" s="108"/>
      <c r="D632" s="108"/>
      <c r="E632" s="108"/>
      <c r="F632" s="108"/>
      <c r="G632" s="108"/>
      <c r="H632" s="109"/>
    </row>
    <row r="633" spans="1:8" x14ac:dyDescent="0.2">
      <c r="A633" s="107"/>
      <c r="B633" s="108"/>
      <c r="C633" s="108"/>
      <c r="D633" s="108"/>
      <c r="E633" s="108"/>
      <c r="F633" s="108"/>
      <c r="G633" s="108"/>
      <c r="H633" s="109"/>
    </row>
    <row r="634" spans="1:8" x14ac:dyDescent="0.2">
      <c r="A634" s="107"/>
      <c r="B634" s="108"/>
      <c r="C634" s="108"/>
      <c r="D634" s="108"/>
      <c r="E634" s="108"/>
      <c r="F634" s="108"/>
      <c r="G634" s="108"/>
      <c r="H634" s="109"/>
    </row>
    <row r="635" spans="1:8" x14ac:dyDescent="0.2">
      <c r="A635" s="107"/>
      <c r="B635" s="108"/>
      <c r="C635" s="108"/>
      <c r="D635" s="108"/>
      <c r="E635" s="108"/>
      <c r="F635" s="108"/>
      <c r="G635" s="108"/>
      <c r="H635" s="109"/>
    </row>
    <row r="636" spans="1:8" x14ac:dyDescent="0.2">
      <c r="A636" s="107"/>
      <c r="B636" s="108"/>
      <c r="C636" s="108"/>
      <c r="D636" s="108"/>
      <c r="E636" s="108"/>
      <c r="F636" s="108"/>
      <c r="G636" s="108"/>
      <c r="H636" s="109"/>
    </row>
    <row r="637" spans="1:8" x14ac:dyDescent="0.2">
      <c r="A637" s="107"/>
      <c r="B637" s="108"/>
      <c r="C637" s="108"/>
      <c r="D637" s="108"/>
      <c r="E637" s="108"/>
      <c r="F637" s="108"/>
      <c r="G637" s="108"/>
      <c r="H637" s="109"/>
    </row>
    <row r="638" spans="1:8" x14ac:dyDescent="0.2">
      <c r="A638" s="107"/>
      <c r="B638" s="108"/>
      <c r="C638" s="108"/>
      <c r="D638" s="108"/>
      <c r="E638" s="108"/>
      <c r="F638" s="108"/>
      <c r="G638" s="108"/>
      <c r="H638" s="109"/>
    </row>
    <row r="639" spans="1:8" x14ac:dyDescent="0.2">
      <c r="A639" s="107"/>
      <c r="B639" s="108"/>
      <c r="C639" s="108"/>
      <c r="D639" s="108"/>
      <c r="E639" s="108"/>
      <c r="F639" s="108"/>
      <c r="G639" s="108"/>
      <c r="H639" s="109"/>
    </row>
    <row r="640" spans="1:8" x14ac:dyDescent="0.2">
      <c r="A640" s="107"/>
      <c r="B640" s="108"/>
      <c r="C640" s="108"/>
      <c r="D640" s="108"/>
      <c r="E640" s="108"/>
      <c r="F640" s="108"/>
      <c r="G640" s="108"/>
      <c r="H640" s="109"/>
    </row>
    <row r="641" spans="1:8" x14ac:dyDescent="0.2">
      <c r="A641" s="107"/>
      <c r="B641" s="108"/>
      <c r="C641" s="108"/>
      <c r="D641" s="108"/>
      <c r="E641" s="108"/>
      <c r="F641" s="108"/>
      <c r="G641" s="108"/>
      <c r="H641" s="109"/>
    </row>
    <row r="642" spans="1:8" x14ac:dyDescent="0.2">
      <c r="A642" s="107"/>
      <c r="B642" s="108"/>
      <c r="C642" s="108"/>
      <c r="D642" s="108"/>
      <c r="E642" s="108"/>
      <c r="F642" s="108"/>
      <c r="G642" s="108"/>
      <c r="H642" s="109"/>
    </row>
    <row r="643" spans="1:8" x14ac:dyDescent="0.2">
      <c r="A643" s="107"/>
      <c r="B643" s="108"/>
      <c r="C643" s="108"/>
      <c r="D643" s="108"/>
      <c r="E643" s="108"/>
      <c r="F643" s="108"/>
      <c r="G643" s="108"/>
      <c r="H643" s="109"/>
    </row>
    <row r="644" spans="1:8" x14ac:dyDescent="0.2">
      <c r="A644" s="107"/>
      <c r="B644" s="108"/>
      <c r="C644" s="108"/>
      <c r="D644" s="108"/>
      <c r="E644" s="108"/>
      <c r="F644" s="108"/>
      <c r="G644" s="108"/>
      <c r="H644" s="109"/>
    </row>
    <row r="645" spans="1:8" x14ac:dyDescent="0.2">
      <c r="A645" s="107"/>
      <c r="B645" s="108"/>
      <c r="C645" s="108"/>
      <c r="D645" s="108"/>
      <c r="E645" s="108"/>
      <c r="F645" s="108"/>
      <c r="G645" s="108"/>
      <c r="H645" s="109"/>
    </row>
    <row r="646" spans="1:8" x14ac:dyDescent="0.2">
      <c r="A646" s="107"/>
      <c r="B646" s="108"/>
      <c r="C646" s="108"/>
      <c r="D646" s="108"/>
      <c r="E646" s="108"/>
      <c r="F646" s="108"/>
      <c r="G646" s="108"/>
      <c r="H646" s="109"/>
    </row>
    <row r="647" spans="1:8" x14ac:dyDescent="0.2">
      <c r="A647" s="107"/>
      <c r="B647" s="108"/>
      <c r="C647" s="108"/>
      <c r="D647" s="108"/>
      <c r="E647" s="108"/>
      <c r="F647" s="108"/>
      <c r="G647" s="108"/>
      <c r="H647" s="109"/>
    </row>
    <row r="648" spans="1:8" x14ac:dyDescent="0.2">
      <c r="A648" s="107"/>
      <c r="B648" s="108"/>
      <c r="C648" s="108"/>
      <c r="D648" s="108"/>
      <c r="E648" s="108"/>
      <c r="F648" s="108"/>
      <c r="G648" s="108"/>
      <c r="H648" s="109"/>
    </row>
    <row r="649" spans="1:8" x14ac:dyDescent="0.2">
      <c r="A649" s="107"/>
      <c r="B649" s="108"/>
      <c r="C649" s="108"/>
      <c r="D649" s="108"/>
      <c r="E649" s="108"/>
      <c r="F649" s="108"/>
      <c r="G649" s="108"/>
      <c r="H649" s="109"/>
    </row>
    <row r="650" spans="1:8" x14ac:dyDescent="0.2">
      <c r="A650" s="107"/>
      <c r="B650" s="108"/>
      <c r="C650" s="108"/>
      <c r="D650" s="108"/>
      <c r="E650" s="108"/>
      <c r="F650" s="108"/>
      <c r="G650" s="108"/>
      <c r="H650" s="109"/>
    </row>
    <row r="651" spans="1:8" x14ac:dyDescent="0.2">
      <c r="A651" s="107"/>
      <c r="B651" s="108"/>
      <c r="C651" s="108"/>
      <c r="D651" s="108"/>
      <c r="E651" s="108"/>
      <c r="F651" s="108"/>
      <c r="G651" s="108"/>
      <c r="H651" s="109"/>
    </row>
    <row r="652" spans="1:8" x14ac:dyDescent="0.2">
      <c r="A652" s="107"/>
      <c r="B652" s="108"/>
      <c r="C652" s="108"/>
      <c r="D652" s="108"/>
      <c r="E652" s="108"/>
      <c r="F652" s="108"/>
      <c r="G652" s="108"/>
      <c r="H652" s="109"/>
    </row>
    <row r="653" spans="1:8" x14ac:dyDescent="0.2">
      <c r="A653" s="107"/>
      <c r="B653" s="108"/>
      <c r="C653" s="108"/>
      <c r="D653" s="108"/>
      <c r="E653" s="108"/>
      <c r="F653" s="108"/>
      <c r="G653" s="108"/>
      <c r="H653" s="109"/>
    </row>
    <row r="654" spans="1:8" x14ac:dyDescent="0.2">
      <c r="A654" s="107"/>
      <c r="B654" s="108"/>
      <c r="C654" s="108"/>
      <c r="D654" s="108"/>
      <c r="E654" s="108"/>
      <c r="F654" s="108"/>
      <c r="G654" s="108"/>
      <c r="H654" s="109"/>
    </row>
    <row r="655" spans="1:8" x14ac:dyDescent="0.2">
      <c r="A655" s="107"/>
      <c r="B655" s="108"/>
      <c r="C655" s="108"/>
      <c r="D655" s="108"/>
      <c r="E655" s="108"/>
      <c r="F655" s="108"/>
      <c r="G655" s="108"/>
      <c r="H655" s="109"/>
    </row>
    <row r="656" spans="1:8" x14ac:dyDescent="0.2">
      <c r="A656" s="107"/>
      <c r="B656" s="108"/>
      <c r="C656" s="108"/>
      <c r="D656" s="108"/>
      <c r="E656" s="108"/>
      <c r="F656" s="108"/>
      <c r="G656" s="108"/>
      <c r="H656" s="109"/>
    </row>
    <row r="657" spans="1:8" x14ac:dyDescent="0.2">
      <c r="A657" s="107"/>
      <c r="B657" s="108"/>
      <c r="C657" s="108"/>
      <c r="D657" s="108"/>
      <c r="E657" s="108"/>
      <c r="F657" s="108"/>
      <c r="G657" s="108"/>
      <c r="H657" s="109"/>
    </row>
    <row r="658" spans="1:8" x14ac:dyDescent="0.2">
      <c r="A658" s="107"/>
      <c r="B658" s="108"/>
      <c r="C658" s="108"/>
      <c r="D658" s="108"/>
      <c r="E658" s="108"/>
      <c r="F658" s="108"/>
      <c r="G658" s="108"/>
      <c r="H658" s="109"/>
    </row>
    <row r="659" spans="1:8" x14ac:dyDescent="0.2">
      <c r="A659" s="107"/>
      <c r="B659" s="108"/>
      <c r="C659" s="108"/>
      <c r="D659" s="108"/>
      <c r="E659" s="108"/>
      <c r="F659" s="108"/>
      <c r="G659" s="108"/>
      <c r="H659" s="109"/>
    </row>
    <row r="660" spans="1:8" x14ac:dyDescent="0.2">
      <c r="A660" s="107"/>
      <c r="B660" s="108"/>
      <c r="C660" s="108"/>
      <c r="D660" s="108"/>
      <c r="E660" s="108"/>
      <c r="F660" s="108"/>
      <c r="G660" s="108"/>
      <c r="H660" s="109"/>
    </row>
    <row r="661" spans="1:8" x14ac:dyDescent="0.2">
      <c r="A661" s="107"/>
      <c r="B661" s="108"/>
      <c r="C661" s="108"/>
      <c r="D661" s="108"/>
      <c r="E661" s="108"/>
      <c r="F661" s="108"/>
      <c r="G661" s="108"/>
      <c r="H661" s="109"/>
    </row>
    <row r="662" spans="1:8" x14ac:dyDescent="0.2">
      <c r="A662" s="107"/>
      <c r="B662" s="108"/>
      <c r="C662" s="108"/>
      <c r="D662" s="108"/>
      <c r="E662" s="108"/>
      <c r="F662" s="108"/>
      <c r="G662" s="108"/>
      <c r="H662" s="109"/>
    </row>
    <row r="663" spans="1:8" x14ac:dyDescent="0.2">
      <c r="A663" s="107"/>
      <c r="B663" s="108"/>
      <c r="C663" s="108"/>
      <c r="D663" s="108"/>
      <c r="E663" s="108"/>
      <c r="F663" s="108"/>
      <c r="G663" s="108"/>
      <c r="H663" s="109"/>
    </row>
    <row r="664" spans="1:8" x14ac:dyDescent="0.2">
      <c r="A664" s="107"/>
      <c r="B664" s="108"/>
      <c r="C664" s="108"/>
      <c r="D664" s="108"/>
      <c r="E664" s="108"/>
      <c r="F664" s="108"/>
      <c r="G664" s="108"/>
      <c r="H664" s="109"/>
    </row>
    <row r="665" spans="1:8" x14ac:dyDescent="0.2">
      <c r="A665" s="107"/>
      <c r="B665" s="108"/>
      <c r="C665" s="108"/>
      <c r="D665" s="108"/>
      <c r="E665" s="108"/>
      <c r="F665" s="108"/>
      <c r="G665" s="108"/>
      <c r="H665" s="109"/>
    </row>
    <row r="666" spans="1:8" x14ac:dyDescent="0.2">
      <c r="A666" s="107"/>
      <c r="B666" s="108"/>
      <c r="C666" s="108"/>
      <c r="D666" s="108"/>
      <c r="E666" s="108"/>
      <c r="F666" s="108"/>
      <c r="G666" s="108"/>
      <c r="H666" s="109"/>
    </row>
    <row r="667" spans="1:8" x14ac:dyDescent="0.2">
      <c r="A667" s="107"/>
      <c r="B667" s="108"/>
      <c r="C667" s="108"/>
      <c r="D667" s="108"/>
      <c r="E667" s="108"/>
      <c r="F667" s="108"/>
      <c r="G667" s="108"/>
      <c r="H667" s="109"/>
    </row>
    <row r="668" spans="1:8" x14ac:dyDescent="0.2">
      <c r="A668" s="107"/>
      <c r="B668" s="108"/>
      <c r="C668" s="108"/>
      <c r="D668" s="108"/>
      <c r="E668" s="108"/>
      <c r="F668" s="108"/>
      <c r="G668" s="108"/>
      <c r="H668" s="109"/>
    </row>
    <row r="669" spans="1:8" x14ac:dyDescent="0.2">
      <c r="A669" s="107"/>
      <c r="B669" s="108"/>
      <c r="C669" s="108"/>
      <c r="D669" s="108"/>
      <c r="E669" s="108"/>
      <c r="F669" s="108"/>
      <c r="G669" s="108"/>
      <c r="H669" s="109"/>
    </row>
    <row r="670" spans="1:8" x14ac:dyDescent="0.2">
      <c r="A670" s="107"/>
      <c r="B670" s="108"/>
      <c r="C670" s="108"/>
      <c r="D670" s="108"/>
      <c r="E670" s="108"/>
      <c r="F670" s="108"/>
      <c r="G670" s="108"/>
      <c r="H670" s="109"/>
    </row>
    <row r="671" spans="1:8" x14ac:dyDescent="0.2">
      <c r="A671" s="107"/>
      <c r="B671" s="108"/>
      <c r="C671" s="108"/>
      <c r="D671" s="108"/>
      <c r="E671" s="108"/>
      <c r="F671" s="108"/>
      <c r="G671" s="108"/>
      <c r="H671" s="109"/>
    </row>
    <row r="672" spans="1:8" x14ac:dyDescent="0.2">
      <c r="A672" s="107"/>
      <c r="B672" s="108"/>
      <c r="C672" s="108"/>
      <c r="D672" s="108"/>
      <c r="E672" s="108"/>
      <c r="F672" s="108"/>
      <c r="G672" s="108"/>
      <c r="H672" s="109"/>
    </row>
    <row r="673" spans="1:8" x14ac:dyDescent="0.2">
      <c r="A673" s="107"/>
      <c r="B673" s="108"/>
      <c r="C673" s="108"/>
      <c r="D673" s="108"/>
      <c r="E673" s="108"/>
      <c r="F673" s="108"/>
      <c r="G673" s="108"/>
      <c r="H673" s="109"/>
    </row>
    <row r="674" spans="1:8" x14ac:dyDescent="0.2">
      <c r="A674" s="107"/>
      <c r="B674" s="108"/>
      <c r="C674" s="108"/>
      <c r="D674" s="108"/>
      <c r="E674" s="108"/>
      <c r="F674" s="108"/>
      <c r="G674" s="108"/>
      <c r="H674" s="109"/>
    </row>
    <row r="675" spans="1:8" x14ac:dyDescent="0.2">
      <c r="A675" s="107"/>
      <c r="B675" s="108"/>
      <c r="C675" s="108"/>
      <c r="D675" s="108"/>
      <c r="E675" s="108"/>
      <c r="F675" s="108"/>
      <c r="G675" s="108"/>
      <c r="H675" s="109"/>
    </row>
    <row r="676" spans="1:8" x14ac:dyDescent="0.2">
      <c r="A676" s="107"/>
      <c r="B676" s="108"/>
      <c r="C676" s="108"/>
      <c r="D676" s="108"/>
      <c r="E676" s="108"/>
      <c r="F676" s="108"/>
      <c r="G676" s="108"/>
      <c r="H676" s="109"/>
    </row>
    <row r="677" spans="1:8" x14ac:dyDescent="0.2">
      <c r="A677" s="107"/>
      <c r="B677" s="108"/>
      <c r="C677" s="108"/>
      <c r="D677" s="108"/>
      <c r="E677" s="108"/>
      <c r="F677" s="108"/>
      <c r="G677" s="108"/>
      <c r="H677" s="109"/>
    </row>
    <row r="678" spans="1:8" x14ac:dyDescent="0.2">
      <c r="A678" s="97" t="s">
        <v>119</v>
      </c>
      <c r="B678" s="99"/>
      <c r="C678" s="100"/>
      <c r="D678" s="270"/>
      <c r="E678" s="270"/>
      <c r="F678" s="270"/>
      <c r="G678" s="270"/>
      <c r="H678" s="101"/>
    </row>
    <row r="679" spans="1:8" x14ac:dyDescent="0.2">
      <c r="A679" s="107"/>
      <c r="B679" s="108"/>
      <c r="C679" s="108"/>
      <c r="D679" s="108"/>
      <c r="E679" s="108"/>
      <c r="F679" s="108"/>
      <c r="G679" s="108"/>
      <c r="H679" s="109"/>
    </row>
    <row r="680" spans="1:8" x14ac:dyDescent="0.2">
      <c r="A680" s="107"/>
      <c r="B680" s="108"/>
      <c r="C680" s="108"/>
      <c r="D680" s="108"/>
      <c r="E680" s="108"/>
      <c r="F680" s="108"/>
      <c r="G680" s="108"/>
      <c r="H680" s="109"/>
    </row>
    <row r="681" spans="1:8" x14ac:dyDescent="0.2">
      <c r="A681" s="107"/>
      <c r="B681" s="108"/>
      <c r="C681" s="108"/>
      <c r="D681" s="108"/>
      <c r="E681" s="108"/>
      <c r="F681" s="108"/>
      <c r="G681" s="108"/>
      <c r="H681" s="109"/>
    </row>
    <row r="682" spans="1:8" x14ac:dyDescent="0.2">
      <c r="A682" s="107"/>
      <c r="B682" s="108"/>
      <c r="C682" s="108"/>
      <c r="D682" s="108"/>
      <c r="E682" s="108"/>
      <c r="F682" s="108"/>
      <c r="G682" s="108"/>
      <c r="H682" s="109"/>
    </row>
    <row r="683" spans="1:8" x14ac:dyDescent="0.2">
      <c r="A683" s="107"/>
      <c r="B683" s="108"/>
      <c r="C683" s="108"/>
      <c r="D683" s="108"/>
      <c r="E683" s="108"/>
      <c r="F683" s="108"/>
      <c r="G683" s="108"/>
      <c r="H683" s="109"/>
    </row>
    <row r="684" spans="1:8" x14ac:dyDescent="0.2">
      <c r="A684" s="107"/>
      <c r="B684" s="108"/>
      <c r="C684" s="108"/>
      <c r="D684" s="108"/>
      <c r="E684" s="108"/>
      <c r="F684" s="108"/>
      <c r="G684" s="108"/>
      <c r="H684" s="109"/>
    </row>
    <row r="685" spans="1:8" x14ac:dyDescent="0.2">
      <c r="A685" s="107"/>
      <c r="B685" s="108"/>
      <c r="C685" s="108"/>
      <c r="D685" s="108"/>
      <c r="E685" s="108"/>
      <c r="F685" s="108"/>
      <c r="G685" s="108"/>
      <c r="H685" s="109"/>
    </row>
    <row r="686" spans="1:8" x14ac:dyDescent="0.2">
      <c r="A686" s="107"/>
      <c r="B686" s="108"/>
      <c r="C686" s="108"/>
      <c r="D686" s="108"/>
      <c r="E686" s="108"/>
      <c r="F686" s="108"/>
      <c r="G686" s="108"/>
      <c r="H686" s="109"/>
    </row>
    <row r="687" spans="1:8" x14ac:dyDescent="0.2">
      <c r="A687" s="107"/>
      <c r="B687" s="108"/>
      <c r="C687" s="108"/>
      <c r="D687" s="108"/>
      <c r="E687" s="108"/>
      <c r="F687" s="108"/>
      <c r="G687" s="108"/>
      <c r="H687" s="109"/>
    </row>
    <row r="688" spans="1:8" x14ac:dyDescent="0.2">
      <c r="A688" s="107"/>
      <c r="B688" s="108"/>
      <c r="C688" s="108"/>
      <c r="D688" s="108"/>
      <c r="E688" s="108"/>
      <c r="F688" s="108"/>
      <c r="G688" s="108"/>
      <c r="H688" s="109"/>
    </row>
    <row r="689" spans="1:8" x14ac:dyDescent="0.2">
      <c r="A689" s="107"/>
      <c r="B689" s="108"/>
      <c r="C689" s="108"/>
      <c r="D689" s="108"/>
      <c r="E689" s="108"/>
      <c r="F689" s="108"/>
      <c r="G689" s="108"/>
      <c r="H689" s="109"/>
    </row>
    <row r="690" spans="1:8" x14ac:dyDescent="0.2">
      <c r="A690" s="107"/>
      <c r="B690" s="108"/>
      <c r="C690" s="108"/>
      <c r="D690" s="108"/>
      <c r="E690" s="108"/>
      <c r="F690" s="108"/>
      <c r="G690" s="108"/>
      <c r="H690" s="109"/>
    </row>
    <row r="691" spans="1:8" x14ac:dyDescent="0.2">
      <c r="A691" s="107"/>
      <c r="B691" s="108"/>
      <c r="C691" s="108"/>
      <c r="D691" s="108"/>
      <c r="E691" s="108"/>
      <c r="F691" s="108"/>
      <c r="G691" s="108"/>
      <c r="H691" s="109"/>
    </row>
    <row r="692" spans="1:8" x14ac:dyDescent="0.2">
      <c r="A692" s="107"/>
      <c r="B692" s="108"/>
      <c r="C692" s="108"/>
      <c r="D692" s="108"/>
      <c r="E692" s="108"/>
      <c r="F692" s="108"/>
      <c r="G692" s="108"/>
      <c r="H692" s="109"/>
    </row>
    <row r="693" spans="1:8" x14ac:dyDescent="0.2">
      <c r="A693" s="107"/>
      <c r="B693" s="108"/>
      <c r="C693" s="108"/>
      <c r="D693" s="108"/>
      <c r="E693" s="108"/>
      <c r="F693" s="108"/>
      <c r="G693" s="108"/>
      <c r="H693" s="109"/>
    </row>
    <row r="694" spans="1:8" x14ac:dyDescent="0.2">
      <c r="A694" s="107"/>
      <c r="B694" s="108"/>
      <c r="C694" s="108"/>
      <c r="D694" s="108"/>
      <c r="E694" s="108"/>
      <c r="F694" s="108"/>
      <c r="G694" s="108"/>
      <c r="H694" s="109"/>
    </row>
    <row r="695" spans="1:8" x14ac:dyDescent="0.2">
      <c r="A695" s="107"/>
      <c r="B695" s="108"/>
      <c r="C695" s="108"/>
      <c r="D695" s="108"/>
      <c r="E695" s="108"/>
      <c r="F695" s="108"/>
      <c r="G695" s="108"/>
      <c r="H695" s="109"/>
    </row>
    <row r="696" spans="1:8" x14ac:dyDescent="0.2">
      <c r="A696" s="107"/>
      <c r="B696" s="108"/>
      <c r="C696" s="108"/>
      <c r="D696" s="108"/>
      <c r="E696" s="108"/>
      <c r="F696" s="108"/>
      <c r="G696" s="108"/>
      <c r="H696" s="109"/>
    </row>
    <row r="697" spans="1:8" x14ac:dyDescent="0.2">
      <c r="A697" s="107"/>
      <c r="B697" s="108"/>
      <c r="C697" s="108"/>
      <c r="D697" s="108"/>
      <c r="E697" s="108"/>
      <c r="F697" s="108"/>
      <c r="G697" s="108"/>
      <c r="H697" s="109"/>
    </row>
    <row r="698" spans="1:8" x14ac:dyDescent="0.2">
      <c r="A698" s="107"/>
      <c r="B698" s="108"/>
      <c r="C698" s="108"/>
      <c r="D698" s="108"/>
      <c r="E698" s="108"/>
      <c r="F698" s="108"/>
      <c r="G698" s="108"/>
      <c r="H698" s="109"/>
    </row>
    <row r="699" spans="1:8" x14ac:dyDescent="0.2">
      <c r="A699" s="107"/>
      <c r="B699" s="108"/>
      <c r="C699" s="108"/>
      <c r="D699" s="108"/>
      <c r="E699" s="108"/>
      <c r="F699" s="108"/>
      <c r="G699" s="108"/>
      <c r="H699" s="109"/>
    </row>
    <row r="700" spans="1:8" x14ac:dyDescent="0.2">
      <c r="A700" s="107"/>
      <c r="B700" s="108"/>
      <c r="C700" s="108"/>
      <c r="D700" s="108"/>
      <c r="E700" s="108"/>
      <c r="F700" s="108"/>
      <c r="G700" s="108"/>
      <c r="H700" s="109"/>
    </row>
    <row r="701" spans="1:8" x14ac:dyDescent="0.2">
      <c r="A701" s="107"/>
      <c r="B701" s="108"/>
      <c r="C701" s="108"/>
      <c r="D701" s="108"/>
      <c r="E701" s="108"/>
      <c r="F701" s="108"/>
      <c r="G701" s="108"/>
      <c r="H701" s="109"/>
    </row>
    <row r="702" spans="1:8" x14ac:dyDescent="0.2">
      <c r="A702" s="107"/>
      <c r="B702" s="108"/>
      <c r="C702" s="108"/>
      <c r="D702" s="108"/>
      <c r="E702" s="108"/>
      <c r="F702" s="108"/>
      <c r="G702" s="108"/>
      <c r="H702" s="109"/>
    </row>
    <row r="703" spans="1:8" x14ac:dyDescent="0.2">
      <c r="A703" s="107"/>
      <c r="B703" s="108"/>
      <c r="C703" s="108"/>
      <c r="D703" s="108"/>
      <c r="E703" s="108"/>
      <c r="F703" s="108"/>
      <c r="G703" s="108"/>
      <c r="H703" s="109"/>
    </row>
    <row r="704" spans="1:8" x14ac:dyDescent="0.2">
      <c r="A704" s="107"/>
      <c r="B704" s="108"/>
      <c r="C704" s="108"/>
      <c r="D704" s="108"/>
      <c r="E704" s="108"/>
      <c r="F704" s="108"/>
      <c r="G704" s="108"/>
      <c r="H704" s="109"/>
    </row>
    <row r="705" spans="1:8" x14ac:dyDescent="0.2">
      <c r="A705" s="107"/>
      <c r="B705" s="108"/>
      <c r="C705" s="108"/>
      <c r="D705" s="108"/>
      <c r="E705" s="108"/>
      <c r="F705" s="108"/>
      <c r="G705" s="108"/>
      <c r="H705" s="109"/>
    </row>
    <row r="706" spans="1:8" x14ac:dyDescent="0.2">
      <c r="A706" s="107"/>
      <c r="B706" s="108"/>
      <c r="C706" s="108"/>
      <c r="D706" s="108"/>
      <c r="E706" s="108"/>
      <c r="F706" s="108"/>
      <c r="G706" s="108"/>
      <c r="H706" s="109"/>
    </row>
    <row r="707" spans="1:8" x14ac:dyDescent="0.2">
      <c r="A707" s="107"/>
      <c r="B707" s="108"/>
      <c r="C707" s="108"/>
      <c r="D707" s="108"/>
      <c r="E707" s="108"/>
      <c r="F707" s="108"/>
      <c r="G707" s="108"/>
      <c r="H707" s="109"/>
    </row>
    <row r="708" spans="1:8" x14ac:dyDescent="0.2">
      <c r="A708" s="107"/>
      <c r="B708" s="108"/>
      <c r="C708" s="108"/>
      <c r="D708" s="108"/>
      <c r="E708" s="108"/>
      <c r="F708" s="108"/>
      <c r="G708" s="108"/>
      <c r="H708" s="109"/>
    </row>
    <row r="709" spans="1:8" x14ac:dyDescent="0.2">
      <c r="A709" s="107"/>
      <c r="B709" s="108"/>
      <c r="C709" s="108"/>
      <c r="D709" s="108"/>
      <c r="E709" s="108"/>
      <c r="F709" s="108"/>
      <c r="G709" s="108"/>
      <c r="H709" s="109"/>
    </row>
    <row r="710" spans="1:8" x14ac:dyDescent="0.2">
      <c r="A710" s="107"/>
      <c r="B710" s="108"/>
      <c r="C710" s="108"/>
      <c r="D710" s="108"/>
      <c r="E710" s="108"/>
      <c r="F710" s="108"/>
      <c r="G710" s="108"/>
      <c r="H710" s="109"/>
    </row>
    <row r="711" spans="1:8" x14ac:dyDescent="0.2">
      <c r="A711" s="107"/>
      <c r="B711" s="108"/>
      <c r="C711" s="108"/>
      <c r="D711" s="108"/>
      <c r="E711" s="108"/>
      <c r="F711" s="108"/>
      <c r="G711" s="108"/>
      <c r="H711" s="109"/>
    </row>
    <row r="712" spans="1:8" x14ac:dyDescent="0.2">
      <c r="A712" s="107"/>
      <c r="B712" s="108"/>
      <c r="C712" s="108"/>
      <c r="D712" s="108"/>
      <c r="E712" s="108"/>
      <c r="F712" s="108"/>
      <c r="G712" s="108"/>
      <c r="H712" s="109"/>
    </row>
    <row r="713" spans="1:8" x14ac:dyDescent="0.2">
      <c r="A713" s="107"/>
      <c r="B713" s="108"/>
      <c r="C713" s="108"/>
      <c r="D713" s="108"/>
      <c r="E713" s="108"/>
      <c r="F713" s="108"/>
      <c r="G713" s="108"/>
      <c r="H713" s="109"/>
    </row>
    <row r="714" spans="1:8" x14ac:dyDescent="0.2">
      <c r="A714" s="107"/>
      <c r="B714" s="108"/>
      <c r="C714" s="108"/>
      <c r="D714" s="108"/>
      <c r="E714" s="108"/>
      <c r="F714" s="108"/>
      <c r="G714" s="108"/>
      <c r="H714" s="109"/>
    </row>
    <row r="715" spans="1:8" x14ac:dyDescent="0.2">
      <c r="A715" s="107"/>
      <c r="B715" s="108"/>
      <c r="C715" s="108"/>
      <c r="D715" s="108"/>
      <c r="E715" s="108"/>
      <c r="F715" s="108"/>
      <c r="G715" s="108"/>
      <c r="H715" s="109"/>
    </row>
    <row r="716" spans="1:8" x14ac:dyDescent="0.2">
      <c r="A716" s="107"/>
      <c r="B716" s="108"/>
      <c r="C716" s="108"/>
      <c r="D716" s="108"/>
      <c r="E716" s="108"/>
      <c r="F716" s="108"/>
      <c r="G716" s="108"/>
      <c r="H716" s="109"/>
    </row>
    <row r="717" spans="1:8" x14ac:dyDescent="0.2">
      <c r="A717" s="107"/>
      <c r="B717" s="108"/>
      <c r="C717" s="108"/>
      <c r="D717" s="108"/>
      <c r="E717" s="108"/>
      <c r="F717" s="108"/>
      <c r="G717" s="108"/>
      <c r="H717" s="109"/>
    </row>
    <row r="718" spans="1:8" x14ac:dyDescent="0.2">
      <c r="A718" s="107"/>
      <c r="B718" s="108"/>
      <c r="C718" s="108"/>
      <c r="D718" s="108"/>
      <c r="E718" s="108"/>
      <c r="F718" s="108"/>
      <c r="G718" s="108"/>
      <c r="H718" s="109"/>
    </row>
    <row r="719" spans="1:8" x14ac:dyDescent="0.2">
      <c r="A719" s="107"/>
      <c r="B719" s="108"/>
      <c r="C719" s="108"/>
      <c r="D719" s="108"/>
      <c r="E719" s="108"/>
      <c r="F719" s="108"/>
      <c r="G719" s="108"/>
      <c r="H719" s="109"/>
    </row>
    <row r="720" spans="1:8" x14ac:dyDescent="0.2">
      <c r="A720" s="107"/>
      <c r="B720" s="108"/>
      <c r="C720" s="108"/>
      <c r="D720" s="108"/>
      <c r="E720" s="108"/>
      <c r="F720" s="108"/>
      <c r="G720" s="108"/>
      <c r="H720" s="109"/>
    </row>
    <row r="721" spans="1:8" x14ac:dyDescent="0.2">
      <c r="A721" s="107"/>
      <c r="B721" s="108"/>
      <c r="C721" s="108"/>
      <c r="D721" s="108"/>
      <c r="E721" s="108"/>
      <c r="F721" s="108"/>
      <c r="G721" s="108"/>
      <c r="H721" s="109"/>
    </row>
    <row r="722" spans="1:8" x14ac:dyDescent="0.2">
      <c r="A722" s="107"/>
      <c r="B722" s="108"/>
      <c r="C722" s="108"/>
      <c r="D722" s="108"/>
      <c r="E722" s="108"/>
      <c r="F722" s="108"/>
      <c r="G722" s="108"/>
      <c r="H722" s="109"/>
    </row>
    <row r="723" spans="1:8" x14ac:dyDescent="0.2">
      <c r="A723" s="107"/>
      <c r="B723" s="108"/>
      <c r="C723" s="108"/>
      <c r="D723" s="108"/>
      <c r="E723" s="108"/>
      <c r="F723" s="108"/>
      <c r="G723" s="108"/>
      <c r="H723" s="109"/>
    </row>
    <row r="724" spans="1:8" x14ac:dyDescent="0.2">
      <c r="A724" s="107"/>
      <c r="B724" s="108"/>
      <c r="C724" s="108"/>
      <c r="D724" s="108"/>
      <c r="E724" s="108"/>
      <c r="F724" s="108"/>
      <c r="G724" s="108"/>
      <c r="H724" s="109"/>
    </row>
    <row r="725" spans="1:8" x14ac:dyDescent="0.2">
      <c r="A725" s="107"/>
      <c r="B725" s="108"/>
      <c r="C725" s="108"/>
      <c r="D725" s="108"/>
      <c r="E725" s="108"/>
      <c r="F725" s="108"/>
      <c r="G725" s="108"/>
      <c r="H725" s="109"/>
    </row>
    <row r="726" spans="1:8" x14ac:dyDescent="0.2">
      <c r="A726" s="107"/>
      <c r="B726" s="108"/>
      <c r="C726" s="108"/>
      <c r="D726" s="108"/>
      <c r="E726" s="108"/>
      <c r="F726" s="108"/>
      <c r="G726" s="108"/>
      <c r="H726" s="109"/>
    </row>
    <row r="727" spans="1:8" x14ac:dyDescent="0.2">
      <c r="A727" s="107"/>
      <c r="B727" s="108"/>
      <c r="C727" s="108"/>
      <c r="D727" s="108"/>
      <c r="E727" s="108"/>
      <c r="F727" s="108"/>
      <c r="G727" s="108"/>
      <c r="H727" s="109"/>
    </row>
    <row r="728" spans="1:8" ht="73.5" customHeight="1" x14ac:dyDescent="0.2">
      <c r="A728" s="100" t="s">
        <v>116</v>
      </c>
      <c r="B728" s="101"/>
      <c r="C728" s="102" t="s">
        <v>271</v>
      </c>
      <c r="D728" s="103"/>
      <c r="E728" s="121" t="s">
        <v>117</v>
      </c>
      <c r="F728" s="121"/>
      <c r="G728" s="248"/>
      <c r="H728" s="248"/>
    </row>
  </sheetData>
  <mergeCells count="882">
    <mergeCell ref="B574:H574"/>
    <mergeCell ref="A301:B301"/>
    <mergeCell ref="A302:B302"/>
    <mergeCell ref="A303:B303"/>
    <mergeCell ref="A282:B282"/>
    <mergeCell ref="A283:B283"/>
    <mergeCell ref="A284:B284"/>
    <mergeCell ref="A291:B291"/>
    <mergeCell ref="A292:B292"/>
    <mergeCell ref="A293:B293"/>
    <mergeCell ref="A294:B294"/>
    <mergeCell ref="A295:B295"/>
    <mergeCell ref="A296:B296"/>
    <mergeCell ref="A277:B277"/>
    <mergeCell ref="A278:B278"/>
    <mergeCell ref="A279:B279"/>
    <mergeCell ref="A280:B280"/>
    <mergeCell ref="A281:B281"/>
    <mergeCell ref="A297:B297"/>
    <mergeCell ref="A298:B298"/>
    <mergeCell ref="A299:B299"/>
    <mergeCell ref="A300:B300"/>
    <mergeCell ref="A560:E560"/>
    <mergeCell ref="F560:H560"/>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559:E559"/>
    <mergeCell ref="A273:B273"/>
    <mergeCell ref="A274:B274"/>
    <mergeCell ref="A275:B275"/>
    <mergeCell ref="A276:B276"/>
    <mergeCell ref="F559:H559"/>
    <mergeCell ref="C411:H417"/>
    <mergeCell ref="A388:B388"/>
    <mergeCell ref="A389:B389"/>
    <mergeCell ref="A438:B438"/>
    <mergeCell ref="A439:B439"/>
    <mergeCell ref="A488:B488"/>
    <mergeCell ref="A489:B489"/>
    <mergeCell ref="A40:B46"/>
    <mergeCell ref="C46:F46"/>
    <mergeCell ref="G46:H46"/>
    <mergeCell ref="A94:D95"/>
    <mergeCell ref="E94:H95"/>
    <mergeCell ref="A90:B90"/>
    <mergeCell ref="C90:D90"/>
    <mergeCell ref="A91:B91"/>
    <mergeCell ref="C91:D91"/>
    <mergeCell ref="A92:B92"/>
    <mergeCell ref="C92:D92"/>
    <mergeCell ref="A93:B93"/>
    <mergeCell ref="C93:D93"/>
    <mergeCell ref="C85:D85"/>
    <mergeCell ref="A86:B86"/>
    <mergeCell ref="C86:D86"/>
    <mergeCell ref="B572:H572"/>
    <mergeCell ref="A496:B496"/>
    <mergeCell ref="A497:B497"/>
    <mergeCell ref="A498:B498"/>
    <mergeCell ref="A499:B499"/>
    <mergeCell ref="A500:B500"/>
    <mergeCell ref="A501:B501"/>
    <mergeCell ref="A109:B109"/>
    <mergeCell ref="C109:D109"/>
    <mergeCell ref="E109:F109"/>
    <mergeCell ref="G109:H109"/>
    <mergeCell ref="A485:B485"/>
    <mergeCell ref="A486:B486"/>
    <mergeCell ref="A487:B487"/>
    <mergeCell ref="A490:B490"/>
    <mergeCell ref="A494:B494"/>
    <mergeCell ref="A495:B495"/>
    <mergeCell ref="A473:B473"/>
    <mergeCell ref="A474:B474"/>
    <mergeCell ref="A475:B475"/>
    <mergeCell ref="A458:B458"/>
    <mergeCell ref="A459:B459"/>
    <mergeCell ref="A460:B460"/>
    <mergeCell ref="A461:B461"/>
    <mergeCell ref="A87:B87"/>
    <mergeCell ref="C87:D87"/>
    <mergeCell ref="A88:B88"/>
    <mergeCell ref="C88:D88"/>
    <mergeCell ref="A89:B89"/>
    <mergeCell ref="C89:D89"/>
    <mergeCell ref="A491:B491"/>
    <mergeCell ref="A492:B492"/>
    <mergeCell ref="A493:B493"/>
    <mergeCell ref="A476:B476"/>
    <mergeCell ref="A477:B477"/>
    <mergeCell ref="A478:B478"/>
    <mergeCell ref="A479:B479"/>
    <mergeCell ref="A480:B480"/>
    <mergeCell ref="A481:B481"/>
    <mergeCell ref="A482:B482"/>
    <mergeCell ref="A483:B483"/>
    <mergeCell ref="A484:B484"/>
    <mergeCell ref="A467:B467"/>
    <mergeCell ref="A468:B468"/>
    <mergeCell ref="A469:B469"/>
    <mergeCell ref="A470:B470"/>
    <mergeCell ref="A471:B471"/>
    <mergeCell ref="A472:B472"/>
    <mergeCell ref="A462:B462"/>
    <mergeCell ref="A463:B463"/>
    <mergeCell ref="A464:B464"/>
    <mergeCell ref="A465:B465"/>
    <mergeCell ref="A466:B466"/>
    <mergeCell ref="A450:B450"/>
    <mergeCell ref="A451:B451"/>
    <mergeCell ref="A403:B403"/>
    <mergeCell ref="A452:H452"/>
    <mergeCell ref="A453:B453"/>
    <mergeCell ref="A454:B454"/>
    <mergeCell ref="A455:B455"/>
    <mergeCell ref="A456:B456"/>
    <mergeCell ref="A457:B457"/>
    <mergeCell ref="A441:B441"/>
    <mergeCell ref="A442:B442"/>
    <mergeCell ref="A443:B443"/>
    <mergeCell ref="A444:B444"/>
    <mergeCell ref="A445:B445"/>
    <mergeCell ref="A446:B446"/>
    <mergeCell ref="A447:B447"/>
    <mergeCell ref="A448:B448"/>
    <mergeCell ref="A449:B449"/>
    <mergeCell ref="A430:B430"/>
    <mergeCell ref="A431:B431"/>
    <mergeCell ref="A432:B432"/>
    <mergeCell ref="A433:B433"/>
    <mergeCell ref="A434:B434"/>
    <mergeCell ref="A435:B435"/>
    <mergeCell ref="A436:B436"/>
    <mergeCell ref="A437:B437"/>
    <mergeCell ref="A440:B440"/>
    <mergeCell ref="A421:B421"/>
    <mergeCell ref="A422:B422"/>
    <mergeCell ref="A423:B423"/>
    <mergeCell ref="A424:B424"/>
    <mergeCell ref="A425:B425"/>
    <mergeCell ref="A426:B426"/>
    <mergeCell ref="A427:B427"/>
    <mergeCell ref="A428:B428"/>
    <mergeCell ref="A429:B429"/>
    <mergeCell ref="A412:B412"/>
    <mergeCell ref="A413:B413"/>
    <mergeCell ref="A414:B414"/>
    <mergeCell ref="A415:B415"/>
    <mergeCell ref="A416:B416"/>
    <mergeCell ref="A417:B417"/>
    <mergeCell ref="A418:B418"/>
    <mergeCell ref="A419:B419"/>
    <mergeCell ref="A420:B420"/>
    <mergeCell ref="A402:H402"/>
    <mergeCell ref="A404:B404"/>
    <mergeCell ref="A405:B405"/>
    <mergeCell ref="A406:B406"/>
    <mergeCell ref="A407:B407"/>
    <mergeCell ref="A408:B408"/>
    <mergeCell ref="A409:B409"/>
    <mergeCell ref="A410:B410"/>
    <mergeCell ref="A411:B411"/>
    <mergeCell ref="A395:B395"/>
    <mergeCell ref="A396:B396"/>
    <mergeCell ref="A397:B397"/>
    <mergeCell ref="A398:B398"/>
    <mergeCell ref="A399:B399"/>
    <mergeCell ref="A400:B400"/>
    <mergeCell ref="A255:H255"/>
    <mergeCell ref="A353:H353"/>
    <mergeCell ref="A401:B401"/>
    <mergeCell ref="A363:B363"/>
    <mergeCell ref="A364:B364"/>
    <mergeCell ref="A365:B365"/>
    <mergeCell ref="A384:B384"/>
    <mergeCell ref="A385:B385"/>
    <mergeCell ref="A386:B386"/>
    <mergeCell ref="A387:B387"/>
    <mergeCell ref="A390:B390"/>
    <mergeCell ref="A391:B391"/>
    <mergeCell ref="A392:B392"/>
    <mergeCell ref="A393:B393"/>
    <mergeCell ref="A394:B394"/>
    <mergeCell ref="A375:B375"/>
    <mergeCell ref="A376:B376"/>
    <mergeCell ref="A377:B377"/>
    <mergeCell ref="A378:B378"/>
    <mergeCell ref="A379:B379"/>
    <mergeCell ref="A380:B380"/>
    <mergeCell ref="A381:B381"/>
    <mergeCell ref="A382:B382"/>
    <mergeCell ref="A383:B383"/>
    <mergeCell ref="A366:B366"/>
    <mergeCell ref="A367:B367"/>
    <mergeCell ref="A368:B368"/>
    <mergeCell ref="A369:B369"/>
    <mergeCell ref="A370:B370"/>
    <mergeCell ref="A371:B371"/>
    <mergeCell ref="A372:B372"/>
    <mergeCell ref="A373:B373"/>
    <mergeCell ref="A374:B374"/>
    <mergeCell ref="A354:B354"/>
    <mergeCell ref="A355:B355"/>
    <mergeCell ref="A356:B356"/>
    <mergeCell ref="A357:B357"/>
    <mergeCell ref="A358:B358"/>
    <mergeCell ref="A359:B359"/>
    <mergeCell ref="A360:B360"/>
    <mergeCell ref="A361:B361"/>
    <mergeCell ref="A362:B362"/>
    <mergeCell ref="A248:B248"/>
    <mergeCell ref="A249:B249"/>
    <mergeCell ref="A250:B250"/>
    <mergeCell ref="A251:B251"/>
    <mergeCell ref="A252:B252"/>
    <mergeCell ref="A253:B253"/>
    <mergeCell ref="A254:B254"/>
    <mergeCell ref="A239:B239"/>
    <mergeCell ref="A240:B240"/>
    <mergeCell ref="A241:B241"/>
    <mergeCell ref="A242:B242"/>
    <mergeCell ref="A243:B243"/>
    <mergeCell ref="A244:B244"/>
    <mergeCell ref="A245:B245"/>
    <mergeCell ref="A246:B246"/>
    <mergeCell ref="A247:B247"/>
    <mergeCell ref="A230:B230"/>
    <mergeCell ref="A231:B231"/>
    <mergeCell ref="A232:B232"/>
    <mergeCell ref="A233:B233"/>
    <mergeCell ref="A234:B234"/>
    <mergeCell ref="A235:B235"/>
    <mergeCell ref="A236:B236"/>
    <mergeCell ref="A237:B237"/>
    <mergeCell ref="A238:B238"/>
    <mergeCell ref="A221:B221"/>
    <mergeCell ref="A222:B222"/>
    <mergeCell ref="A223:B223"/>
    <mergeCell ref="A224:B224"/>
    <mergeCell ref="A225:B225"/>
    <mergeCell ref="A226:B226"/>
    <mergeCell ref="A227:B227"/>
    <mergeCell ref="A228:B228"/>
    <mergeCell ref="A229:B229"/>
    <mergeCell ref="A212:B212"/>
    <mergeCell ref="A213:B213"/>
    <mergeCell ref="A214:B214"/>
    <mergeCell ref="A215:B215"/>
    <mergeCell ref="A216:B216"/>
    <mergeCell ref="A217:B217"/>
    <mergeCell ref="A218:B218"/>
    <mergeCell ref="A219:B219"/>
    <mergeCell ref="A220:B220"/>
    <mergeCell ref="A205:B205"/>
    <mergeCell ref="A206:B206"/>
    <mergeCell ref="A207:B207"/>
    <mergeCell ref="A208:B208"/>
    <mergeCell ref="A209:B209"/>
    <mergeCell ref="A169:B169"/>
    <mergeCell ref="A210:B210"/>
    <mergeCell ref="A167:B167"/>
    <mergeCell ref="A211:H211"/>
    <mergeCell ref="A197:B197"/>
    <mergeCell ref="A198:B198"/>
    <mergeCell ref="A199:B199"/>
    <mergeCell ref="A200:B200"/>
    <mergeCell ref="A201:B201"/>
    <mergeCell ref="A202:B202"/>
    <mergeCell ref="A203:B203"/>
    <mergeCell ref="A204:B204"/>
    <mergeCell ref="A188:B188"/>
    <mergeCell ref="A189:B189"/>
    <mergeCell ref="A190:B190"/>
    <mergeCell ref="A191:B191"/>
    <mergeCell ref="A192:B192"/>
    <mergeCell ref="A193:B193"/>
    <mergeCell ref="A194:B194"/>
    <mergeCell ref="A195:B195"/>
    <mergeCell ref="A196:B196"/>
    <mergeCell ref="A179:B179"/>
    <mergeCell ref="A180:B180"/>
    <mergeCell ref="A181:B181"/>
    <mergeCell ref="A182:B182"/>
    <mergeCell ref="A183:B183"/>
    <mergeCell ref="A184:B184"/>
    <mergeCell ref="A185:B185"/>
    <mergeCell ref="A186:B186"/>
    <mergeCell ref="A187:B187"/>
    <mergeCell ref="A170:B170"/>
    <mergeCell ref="A171:B171"/>
    <mergeCell ref="A172:B172"/>
    <mergeCell ref="A173:B173"/>
    <mergeCell ref="A174:B174"/>
    <mergeCell ref="A175:B175"/>
    <mergeCell ref="A176:B176"/>
    <mergeCell ref="A177:B177"/>
    <mergeCell ref="A178:B178"/>
    <mergeCell ref="A168:H168"/>
    <mergeCell ref="A158:B158"/>
    <mergeCell ref="A159:B159"/>
    <mergeCell ref="A160:B160"/>
    <mergeCell ref="A161:B161"/>
    <mergeCell ref="A162:B162"/>
    <mergeCell ref="A163:B163"/>
    <mergeCell ref="A164:B164"/>
    <mergeCell ref="A165:B165"/>
    <mergeCell ref="A166:B166"/>
    <mergeCell ref="A154:B154"/>
    <mergeCell ref="A155:B155"/>
    <mergeCell ref="A156:B156"/>
    <mergeCell ref="A157:B157"/>
    <mergeCell ref="A142:B142"/>
    <mergeCell ref="A143:B143"/>
    <mergeCell ref="A144:B144"/>
    <mergeCell ref="A145:B145"/>
    <mergeCell ref="A146:B146"/>
    <mergeCell ref="A147:B147"/>
    <mergeCell ref="A148:B148"/>
    <mergeCell ref="A149:B149"/>
    <mergeCell ref="A150:B150"/>
    <mergeCell ref="A609:H609"/>
    <mergeCell ref="A610:H610"/>
    <mergeCell ref="A611:H611"/>
    <mergeCell ref="A612:H612"/>
    <mergeCell ref="A613:H613"/>
    <mergeCell ref="A614:H614"/>
    <mergeCell ref="A615:H615"/>
    <mergeCell ref="A616:H616"/>
    <mergeCell ref="A617:H617"/>
    <mergeCell ref="A709:H709"/>
    <mergeCell ref="A710:H710"/>
    <mergeCell ref="A711:H711"/>
    <mergeCell ref="A712:H712"/>
    <mergeCell ref="A713:H713"/>
    <mergeCell ref="A714:H714"/>
    <mergeCell ref="A715:H715"/>
    <mergeCell ref="A702:H702"/>
    <mergeCell ref="A703:H703"/>
    <mergeCell ref="A704:H704"/>
    <mergeCell ref="A705:H705"/>
    <mergeCell ref="A706:H706"/>
    <mergeCell ref="A707:H707"/>
    <mergeCell ref="A708:H708"/>
    <mergeCell ref="A716:H716"/>
    <mergeCell ref="A717:H717"/>
    <mergeCell ref="A727:H727"/>
    <mergeCell ref="A718:H718"/>
    <mergeCell ref="A719:H719"/>
    <mergeCell ref="A720:H720"/>
    <mergeCell ref="A721:H721"/>
    <mergeCell ref="A722:H722"/>
    <mergeCell ref="A723:H723"/>
    <mergeCell ref="A724:H724"/>
    <mergeCell ref="A725:H725"/>
    <mergeCell ref="A726:H726"/>
    <mergeCell ref="A700:H700"/>
    <mergeCell ref="A701:H701"/>
    <mergeCell ref="A682:H682"/>
    <mergeCell ref="A683:H683"/>
    <mergeCell ref="A684:H684"/>
    <mergeCell ref="A685:H685"/>
    <mergeCell ref="A686:H686"/>
    <mergeCell ref="A687:H687"/>
    <mergeCell ref="A688:H688"/>
    <mergeCell ref="A689:H689"/>
    <mergeCell ref="A690:H690"/>
    <mergeCell ref="A691:H691"/>
    <mergeCell ref="A692:H692"/>
    <mergeCell ref="A693:H693"/>
    <mergeCell ref="A694:H694"/>
    <mergeCell ref="A695:H695"/>
    <mergeCell ref="A696:H696"/>
    <mergeCell ref="A697:H697"/>
    <mergeCell ref="A698:H698"/>
    <mergeCell ref="A699:H699"/>
    <mergeCell ref="A679:H679"/>
    <mergeCell ref="A680:H680"/>
    <mergeCell ref="A681:H681"/>
    <mergeCell ref="A618:H618"/>
    <mergeCell ref="A619:H619"/>
    <mergeCell ref="A620:H620"/>
    <mergeCell ref="A621:H621"/>
    <mergeCell ref="A622:H622"/>
    <mergeCell ref="A623:H623"/>
    <mergeCell ref="A624:H624"/>
    <mergeCell ref="A625:H625"/>
    <mergeCell ref="A638:H638"/>
    <mergeCell ref="A639:H639"/>
    <mergeCell ref="A640:H640"/>
    <mergeCell ref="A641:H641"/>
    <mergeCell ref="A642:H642"/>
    <mergeCell ref="A643:H643"/>
    <mergeCell ref="A644:H644"/>
    <mergeCell ref="A645:H645"/>
    <mergeCell ref="A664:H664"/>
    <mergeCell ref="A665:H665"/>
    <mergeCell ref="A678:B678"/>
    <mergeCell ref="C678:H678"/>
    <mergeCell ref="A606:H606"/>
    <mergeCell ref="A607:H607"/>
    <mergeCell ref="A608:H608"/>
    <mergeCell ref="A591:H591"/>
    <mergeCell ref="A592:H592"/>
    <mergeCell ref="A593:H593"/>
    <mergeCell ref="A594:H594"/>
    <mergeCell ref="A595:H595"/>
    <mergeCell ref="A596:H596"/>
    <mergeCell ref="A597:H597"/>
    <mergeCell ref="A598:H598"/>
    <mergeCell ref="A599:H599"/>
    <mergeCell ref="A600:H600"/>
    <mergeCell ref="A601:H601"/>
    <mergeCell ref="A602:H602"/>
    <mergeCell ref="A603:H603"/>
    <mergeCell ref="A604:H604"/>
    <mergeCell ref="A605:H605"/>
    <mergeCell ref="A582:H582"/>
    <mergeCell ref="A583:H583"/>
    <mergeCell ref="A584:H584"/>
    <mergeCell ref="A585:H585"/>
    <mergeCell ref="A586:H586"/>
    <mergeCell ref="A587:H587"/>
    <mergeCell ref="A588:H588"/>
    <mergeCell ref="A589:H589"/>
    <mergeCell ref="A590:H590"/>
    <mergeCell ref="E100:F100"/>
    <mergeCell ref="E108:F108"/>
    <mergeCell ref="A577:H577"/>
    <mergeCell ref="A578:H578"/>
    <mergeCell ref="A579:H579"/>
    <mergeCell ref="A580:H580"/>
    <mergeCell ref="A581:H581"/>
    <mergeCell ref="A562:H562"/>
    <mergeCell ref="B564:H564"/>
    <mergeCell ref="B565:H565"/>
    <mergeCell ref="B566:H566"/>
    <mergeCell ref="B567:H567"/>
    <mergeCell ref="B569:H569"/>
    <mergeCell ref="B570:H570"/>
    <mergeCell ref="B571:H571"/>
    <mergeCell ref="A575:B575"/>
    <mergeCell ref="B568:E568"/>
    <mergeCell ref="B573:H573"/>
    <mergeCell ref="A134:B134"/>
    <mergeCell ref="A135:B135"/>
    <mergeCell ref="A136:B136"/>
    <mergeCell ref="A137:B137"/>
    <mergeCell ref="A138:B138"/>
    <mergeCell ref="A139:B139"/>
    <mergeCell ref="C34:D34"/>
    <mergeCell ref="C36:D36"/>
    <mergeCell ref="C42:F42"/>
    <mergeCell ref="E115:F115"/>
    <mergeCell ref="G115:H115"/>
    <mergeCell ref="E116:F116"/>
    <mergeCell ref="G116:H116"/>
    <mergeCell ref="A71:B71"/>
    <mergeCell ref="A72:B72"/>
    <mergeCell ref="E102:F102"/>
    <mergeCell ref="E103:F103"/>
    <mergeCell ref="E104:F104"/>
    <mergeCell ref="G105:H105"/>
    <mergeCell ref="G106:H106"/>
    <mergeCell ref="E105:F105"/>
    <mergeCell ref="A108:B108"/>
    <mergeCell ref="A111:B111"/>
    <mergeCell ref="A112:B112"/>
    <mergeCell ref="C72:D72"/>
    <mergeCell ref="C73:D73"/>
    <mergeCell ref="C74:D74"/>
    <mergeCell ref="C75:D75"/>
    <mergeCell ref="C76:D76"/>
    <mergeCell ref="C77:D77"/>
    <mergeCell ref="C35:H35"/>
    <mergeCell ref="G36:H36"/>
    <mergeCell ref="A39:H39"/>
    <mergeCell ref="C40:F40"/>
    <mergeCell ref="G40:H40"/>
    <mergeCell ref="C41:F41"/>
    <mergeCell ref="C44:F44"/>
    <mergeCell ref="G44:H44"/>
    <mergeCell ref="C38:H38"/>
    <mergeCell ref="G42:H42"/>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E728:F728"/>
    <mergeCell ref="G728:H728"/>
    <mergeCell ref="C96:H96"/>
    <mergeCell ref="A97:H97"/>
    <mergeCell ref="E98:F98"/>
    <mergeCell ref="E99:F99"/>
    <mergeCell ref="E106:F106"/>
    <mergeCell ref="A119:H119"/>
    <mergeCell ref="A629:H629"/>
    <mergeCell ref="A630:H630"/>
    <mergeCell ref="A631:H631"/>
    <mergeCell ref="A632:H632"/>
    <mergeCell ref="A633:H633"/>
    <mergeCell ref="A634:H634"/>
    <mergeCell ref="A635:H635"/>
    <mergeCell ref="A636:H636"/>
    <mergeCell ref="A637:H637"/>
    <mergeCell ref="A558:H558"/>
    <mergeCell ref="A652:H652"/>
    <mergeCell ref="A653:H653"/>
    <mergeCell ref="A124:H124"/>
    <mergeCell ref="A519:H519"/>
    <mergeCell ref="A103:B103"/>
    <mergeCell ref="C575:H575"/>
    <mergeCell ref="A672:H672"/>
    <mergeCell ref="A660:H660"/>
    <mergeCell ref="A661:H661"/>
    <mergeCell ref="A662:H662"/>
    <mergeCell ref="A663:H663"/>
    <mergeCell ref="A104:B104"/>
    <mergeCell ref="A105:B105"/>
    <mergeCell ref="A106:B106"/>
    <mergeCell ref="C78:D78"/>
    <mergeCell ref="C79:D79"/>
    <mergeCell ref="C98:D98"/>
    <mergeCell ref="C99:D99"/>
    <mergeCell ref="C100:D100"/>
    <mergeCell ref="C101:D101"/>
    <mergeCell ref="C102:D102"/>
    <mergeCell ref="C103:D103"/>
    <mergeCell ref="C104:D104"/>
    <mergeCell ref="C105:D105"/>
    <mergeCell ref="C106:D106"/>
    <mergeCell ref="A80:D81"/>
    <mergeCell ref="C82:H82"/>
    <mergeCell ref="A83:B83"/>
    <mergeCell ref="C83:D83"/>
    <mergeCell ref="G83:H83"/>
    <mergeCell ref="G70:H79"/>
    <mergeCell ref="E101:F101"/>
    <mergeCell ref="F18:H18"/>
    <mergeCell ref="A666:H666"/>
    <mergeCell ref="A667:H667"/>
    <mergeCell ref="A668:H668"/>
    <mergeCell ref="A669:H669"/>
    <mergeCell ref="A670:H670"/>
    <mergeCell ref="A671:H671"/>
    <mergeCell ref="A84:B84"/>
    <mergeCell ref="C84:D84"/>
    <mergeCell ref="G84:H93"/>
    <mergeCell ref="A85:B85"/>
    <mergeCell ref="C108:D108"/>
    <mergeCell ref="C27:E27"/>
    <mergeCell ref="A63:H63"/>
    <mergeCell ref="C48:H48"/>
    <mergeCell ref="E51:H51"/>
    <mergeCell ref="G41:H41"/>
    <mergeCell ref="C37:H37"/>
    <mergeCell ref="C28:E28"/>
    <mergeCell ref="E36:F36"/>
    <mergeCell ref="G27:H27"/>
    <mergeCell ref="G28:H28"/>
    <mergeCell ref="A100:B100"/>
    <mergeCell ref="A101:B101"/>
    <mergeCell ref="A102:B102"/>
    <mergeCell ref="C47:F47"/>
    <mergeCell ref="A15:B15"/>
    <mergeCell ref="E117:F117"/>
    <mergeCell ref="G117:H117"/>
    <mergeCell ref="E118:F118"/>
    <mergeCell ref="G118:H118"/>
    <mergeCell ref="C29:H29"/>
    <mergeCell ref="C30:H30"/>
    <mergeCell ref="A37:B37"/>
    <mergeCell ref="A38:B38"/>
    <mergeCell ref="A47:B47"/>
    <mergeCell ref="A48:B48"/>
    <mergeCell ref="A51:B53"/>
    <mergeCell ref="A55:B55"/>
    <mergeCell ref="A64:B64"/>
    <mergeCell ref="A69:B69"/>
    <mergeCell ref="C43:F43"/>
    <mergeCell ref="G43:H43"/>
    <mergeCell ref="C45:F45"/>
    <mergeCell ref="G45:H45"/>
    <mergeCell ref="G69:H69"/>
    <mergeCell ref="A35:B35"/>
    <mergeCell ref="A36:B36"/>
    <mergeCell ref="A16:B16"/>
    <mergeCell ref="A17:B17"/>
    <mergeCell ref="A18:B18"/>
    <mergeCell ref="A19:B19"/>
    <mergeCell ref="A20:B20"/>
    <mergeCell ref="A21:B21"/>
    <mergeCell ref="A22:B22"/>
    <mergeCell ref="A23:B23"/>
    <mergeCell ref="A24:B24"/>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C49:F49"/>
    <mergeCell ref="C55:F55"/>
    <mergeCell ref="A66:D67"/>
    <mergeCell ref="A54:B54"/>
    <mergeCell ref="C54:H54"/>
    <mergeCell ref="C58:F58"/>
    <mergeCell ref="A58:B59"/>
    <mergeCell ref="A60:B62"/>
    <mergeCell ref="C60:F61"/>
    <mergeCell ref="E52:F52"/>
    <mergeCell ref="C59:H59"/>
    <mergeCell ref="C50:H50"/>
    <mergeCell ref="A49:B50"/>
    <mergeCell ref="A56:B57"/>
    <mergeCell ref="C56:F56"/>
    <mergeCell ref="C57:H57"/>
    <mergeCell ref="C62:H62"/>
    <mergeCell ref="E53:H53"/>
    <mergeCell ref="C51:D51"/>
    <mergeCell ref="C52:D52"/>
    <mergeCell ref="C53:D53"/>
    <mergeCell ref="C69:D69"/>
    <mergeCell ref="C70:D70"/>
    <mergeCell ref="C71:D71"/>
    <mergeCell ref="C68:H68"/>
    <mergeCell ref="A70:B70"/>
    <mergeCell ref="G108:H108"/>
    <mergeCell ref="A73:B73"/>
    <mergeCell ref="A74:B74"/>
    <mergeCell ref="E64:F64"/>
    <mergeCell ref="A65:H65"/>
    <mergeCell ref="G64:H64"/>
    <mergeCell ref="C64:D64"/>
    <mergeCell ref="A107:H107"/>
    <mergeCell ref="A75:B75"/>
    <mergeCell ref="A76:B76"/>
    <mergeCell ref="A77:B77"/>
    <mergeCell ref="A78:B78"/>
    <mergeCell ref="A79:B79"/>
    <mergeCell ref="A96:B96"/>
    <mergeCell ref="A98:B98"/>
    <mergeCell ref="A99:B99"/>
    <mergeCell ref="A515:B515"/>
    <mergeCell ref="C111:D111"/>
    <mergeCell ref="C112:D112"/>
    <mergeCell ref="C114:D114"/>
    <mergeCell ref="C115:D115"/>
    <mergeCell ref="C116:D116"/>
    <mergeCell ref="C117:D117"/>
    <mergeCell ref="C118:D118"/>
    <mergeCell ref="D121:D122"/>
    <mergeCell ref="A503:A504"/>
    <mergeCell ref="C503:C504"/>
    <mergeCell ref="D503:D504"/>
    <mergeCell ref="A114:B114"/>
    <mergeCell ref="A115:B115"/>
    <mergeCell ref="A116:B116"/>
    <mergeCell ref="A117:B117"/>
    <mergeCell ref="A118:B118"/>
    <mergeCell ref="A125:H125"/>
    <mergeCell ref="A126:B126"/>
    <mergeCell ref="A129:B129"/>
    <mergeCell ref="A130:B130"/>
    <mergeCell ref="A131:B131"/>
    <mergeCell ref="A132:B132"/>
    <mergeCell ref="E111:F111"/>
    <mergeCell ref="A516:B516"/>
    <mergeCell ref="A517:B517"/>
    <mergeCell ref="A518:B518"/>
    <mergeCell ref="A502:H502"/>
    <mergeCell ref="A120:H120"/>
    <mergeCell ref="B121:B122"/>
    <mergeCell ref="B503:B504"/>
    <mergeCell ref="A520:B520"/>
    <mergeCell ref="A506:H506"/>
    <mergeCell ref="A507:B507"/>
    <mergeCell ref="A508:B508"/>
    <mergeCell ref="A509:B509"/>
    <mergeCell ref="A510:B510"/>
    <mergeCell ref="A511:B511"/>
    <mergeCell ref="A512:B512"/>
    <mergeCell ref="A513:B513"/>
    <mergeCell ref="A514:B514"/>
    <mergeCell ref="A133:B133"/>
    <mergeCell ref="E503:E504"/>
    <mergeCell ref="F503:F504"/>
    <mergeCell ref="A505:H505"/>
    <mergeCell ref="A127:B127"/>
    <mergeCell ref="C121:C122"/>
    <mergeCell ref="E121:E122"/>
    <mergeCell ref="A532:H532"/>
    <mergeCell ref="A521:B521"/>
    <mergeCell ref="A522:B522"/>
    <mergeCell ref="A523:B523"/>
    <mergeCell ref="A524:B524"/>
    <mergeCell ref="A525:B525"/>
    <mergeCell ref="A526:B526"/>
    <mergeCell ref="A527:B527"/>
    <mergeCell ref="A528:B528"/>
    <mergeCell ref="A529:B529"/>
    <mergeCell ref="A627:H627"/>
    <mergeCell ref="A628:H628"/>
    <mergeCell ref="A561:E561"/>
    <mergeCell ref="F561:H561"/>
    <mergeCell ref="A576:H576"/>
    <mergeCell ref="A530:B530"/>
    <mergeCell ref="A531:B531"/>
    <mergeCell ref="A533:B533"/>
    <mergeCell ref="A534:B534"/>
    <mergeCell ref="A535:B535"/>
    <mergeCell ref="A536:B536"/>
    <mergeCell ref="A537:B537"/>
    <mergeCell ref="A538:B538"/>
    <mergeCell ref="A539:B539"/>
    <mergeCell ref="A545:H545"/>
    <mergeCell ref="A540:B540"/>
    <mergeCell ref="A541:B541"/>
    <mergeCell ref="A542:B542"/>
    <mergeCell ref="A543:B543"/>
    <mergeCell ref="A544:B544"/>
    <mergeCell ref="A546:B546"/>
    <mergeCell ref="A547:B547"/>
    <mergeCell ref="A548:B548"/>
    <mergeCell ref="A549:B549"/>
    <mergeCell ref="A658:H658"/>
    <mergeCell ref="A659:H659"/>
    <mergeCell ref="A646:H646"/>
    <mergeCell ref="A647:H647"/>
    <mergeCell ref="A648:H648"/>
    <mergeCell ref="A649:H649"/>
    <mergeCell ref="A650:H650"/>
    <mergeCell ref="A651:H651"/>
    <mergeCell ref="A654:H654"/>
    <mergeCell ref="I53:L53"/>
    <mergeCell ref="C626:H626"/>
    <mergeCell ref="A728:B728"/>
    <mergeCell ref="C728:D728"/>
    <mergeCell ref="A626:B626"/>
    <mergeCell ref="A550:B550"/>
    <mergeCell ref="A551:B551"/>
    <mergeCell ref="A552:B552"/>
    <mergeCell ref="A553:B553"/>
    <mergeCell ref="A554:B554"/>
    <mergeCell ref="A555:B555"/>
    <mergeCell ref="A556:B556"/>
    <mergeCell ref="A557:B557"/>
    <mergeCell ref="B563:H563"/>
    <mergeCell ref="A673:H673"/>
    <mergeCell ref="A674:H674"/>
    <mergeCell ref="A675:H675"/>
    <mergeCell ref="A676:H676"/>
    <mergeCell ref="A677:H677"/>
    <mergeCell ref="A655:H655"/>
    <mergeCell ref="A656:H656"/>
    <mergeCell ref="A657:H657"/>
    <mergeCell ref="A313:B313"/>
    <mergeCell ref="A314:B314"/>
    <mergeCell ref="A315:B315"/>
    <mergeCell ref="A316:B316"/>
    <mergeCell ref="A317:B317"/>
    <mergeCell ref="A318:B318"/>
    <mergeCell ref="A319:B319"/>
    <mergeCell ref="A320:B320"/>
    <mergeCell ref="A304:H304"/>
    <mergeCell ref="A305:B305"/>
    <mergeCell ref="A306:B306"/>
    <mergeCell ref="A307:B307"/>
    <mergeCell ref="A308:B308"/>
    <mergeCell ref="A309:B309"/>
    <mergeCell ref="A310:B310"/>
    <mergeCell ref="A311:B311"/>
    <mergeCell ref="A312:B312"/>
    <mergeCell ref="A321:B321"/>
    <mergeCell ref="A322:B322"/>
    <mergeCell ref="A323:B323"/>
    <mergeCell ref="A324:B324"/>
    <mergeCell ref="A325:B325"/>
    <mergeCell ref="A326:B326"/>
    <mergeCell ref="A327:B327"/>
    <mergeCell ref="A328:B328"/>
    <mergeCell ref="A329:B329"/>
    <mergeCell ref="A345:B345"/>
    <mergeCell ref="A346:B346"/>
    <mergeCell ref="A347:B347"/>
    <mergeCell ref="A348:B348"/>
    <mergeCell ref="A349:B349"/>
    <mergeCell ref="A350:B350"/>
    <mergeCell ref="A351:B351"/>
    <mergeCell ref="A352:B352"/>
    <mergeCell ref="A110:B110"/>
    <mergeCell ref="A334:B334"/>
    <mergeCell ref="A335:B335"/>
    <mergeCell ref="A336:B336"/>
    <mergeCell ref="A337:B337"/>
    <mergeCell ref="A338:B338"/>
    <mergeCell ref="A339:B339"/>
    <mergeCell ref="A330:B330"/>
    <mergeCell ref="A331:B331"/>
    <mergeCell ref="A332:B332"/>
    <mergeCell ref="A333:B333"/>
    <mergeCell ref="A340:B340"/>
    <mergeCell ref="A341:B341"/>
    <mergeCell ref="A342:B342"/>
    <mergeCell ref="A343:B343"/>
    <mergeCell ref="A344:B344"/>
    <mergeCell ref="C110:D110"/>
    <mergeCell ref="E110:F110"/>
    <mergeCell ref="G110:H110"/>
    <mergeCell ref="A285:B285"/>
    <mergeCell ref="A286:B286"/>
    <mergeCell ref="A287:B287"/>
    <mergeCell ref="A288:B288"/>
    <mergeCell ref="A289:B289"/>
    <mergeCell ref="A290:B290"/>
    <mergeCell ref="A123:H123"/>
    <mergeCell ref="F121:F122"/>
    <mergeCell ref="E114:F114"/>
    <mergeCell ref="G114:H114"/>
    <mergeCell ref="G111:H111"/>
    <mergeCell ref="E112:F112"/>
    <mergeCell ref="G112:H112"/>
    <mergeCell ref="A113:H113"/>
    <mergeCell ref="A128:B128"/>
    <mergeCell ref="A121:A122"/>
    <mergeCell ref="A140:B140"/>
    <mergeCell ref="A141:B141"/>
    <mergeCell ref="A151:B151"/>
    <mergeCell ref="A152:B152"/>
    <mergeCell ref="A153:B153"/>
  </mergeCells>
  <dataValidations disablePrompts="1" count="7">
    <dataValidation type="list" allowBlank="1" showInputMessage="1" showErrorMessage="1" sqref="A9:B9">
      <formula1>"CTS No, Survey No (As per RERA) ,Plot No,Gut No,FP No,"</formula1>
    </dataValidation>
    <dataValidation type="list" allowBlank="1" showInputMessage="1" showErrorMessage="1" sqref="B503">
      <formula1>"Flat No. (Sale Plan),Sale / Rehab,Sale / Mhada"</formula1>
    </dataValidation>
    <dataValidation type="list" allowBlank="1" showInputMessage="1" showErrorMessage="1" sqref="D121 D503">
      <formula1>"Carpet area,RERA Carpet area"</formula1>
    </dataValidation>
    <dataValidation type="list" allowBlank="1" showInputMessage="1" showErrorMessage="1" sqref="E503:E504">
      <formula1>"Fungible area,Balcony Area,Chajja Area,Cornice Area,AP Area,WS Area"</formula1>
    </dataValidation>
    <dataValidation type="list" allowBlank="1" showInputMessage="1" showErrorMessage="1" sqref="E121:E122">
      <formula1>"Attached Loft area,Attached Otla area,Attached Mezzanine area"</formula1>
    </dataValidation>
    <dataValidation type="list" allowBlank="1" showInputMessage="1" showErrorMessage="1" sqref="B121">
      <formula1>"Shop No. (Sale Plan),Sale / Rehab,Sale / Mhada"</formula1>
    </dataValidation>
    <dataValidation type="list" allowBlank="1" showInputMessage="1" showErrorMessage="1" sqref="H504 H122">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6" manualBreakCount="6">
    <brk id="33" max="7" man="1"/>
    <brk id="64" max="7" man="1"/>
    <brk id="112" max="7" man="1"/>
    <brk id="574" max="7" man="1"/>
    <brk id="625" max="7" man="1"/>
    <brk id="67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96" t="s">
        <v>112</v>
      </c>
      <c r="B1" s="297"/>
      <c r="C1" s="9" t="s">
        <v>58</v>
      </c>
      <c r="D1" s="9" t="s">
        <v>59</v>
      </c>
      <c r="E1" s="9" t="s">
        <v>60</v>
      </c>
      <c r="F1" s="10" t="s">
        <v>46</v>
      </c>
    </row>
    <row r="2" spans="1:8" x14ac:dyDescent="0.25">
      <c r="A2" s="298"/>
      <c r="B2" s="299"/>
      <c r="C2" s="7">
        <v>0</v>
      </c>
      <c r="D2" s="20">
        <v>1</v>
      </c>
      <c r="E2" s="7">
        <v>0</v>
      </c>
      <c r="F2" s="8">
        <f ca="1">--TRIM(RIGHT(SUBSTITUTE(LEFT(A1,_xlfn.AGGREGATE(16,6,FIND({0,1,2,3,4,5,6,7,8,9},A1,ROW(INDIRECT("1:"&amp;LEN(A1)))),1))," ",REPT(" ",LEN(A1))),LEN(A1)))</f>
        <v>3</v>
      </c>
    </row>
    <row r="3" spans="1:8" x14ac:dyDescent="0.25">
      <c r="A3" s="2" t="s">
        <v>61</v>
      </c>
      <c r="B3" s="3" t="s">
        <v>62</v>
      </c>
      <c r="C3" s="18" t="s">
        <v>63</v>
      </c>
      <c r="D3" s="21" t="s">
        <v>56</v>
      </c>
      <c r="E3" s="300" t="s">
        <v>132</v>
      </c>
      <c r="F3" s="301"/>
      <c r="G3" s="30" t="s">
        <v>64</v>
      </c>
      <c r="H3" s="25">
        <f ca="1">F2*25%</f>
        <v>0.75</v>
      </c>
    </row>
    <row r="4" spans="1:8" x14ac:dyDescent="0.25">
      <c r="A4" s="2" t="s">
        <v>65</v>
      </c>
      <c r="B4" s="4">
        <f ca="1">H5</f>
        <v>3</v>
      </c>
      <c r="C4" s="19">
        <f ca="1">((100/F2)*B4)/100</f>
        <v>1</v>
      </c>
      <c r="D4" s="23" t="str">
        <f ca="1">IF(C13=100%,"All work Completed. Possession granted to the Building.",IF(C12=100%,"All work Completed, Waiting for OC",D10&amp;""&amp;D11&amp;""&amp;D9&amp;""&amp;D12&amp;" "&amp;D13))</f>
        <v xml:space="preserve">Excavation, Plinth, RCC Slab, Brickwork Completed </v>
      </c>
      <c r="E4" s="302" t="str">
        <f ca="1">D4</f>
        <v xml:space="preserve">Excavation, Plinth, RCC Slab, Brickwork Completed </v>
      </c>
      <c r="F4" s="303"/>
      <c r="G4" s="1" t="s">
        <v>66</v>
      </c>
      <c r="H4" s="26">
        <f ca="1">F2*50%</f>
        <v>1.5</v>
      </c>
    </row>
    <row r="5" spans="1:8" x14ac:dyDescent="0.25">
      <c r="A5" s="2" t="s">
        <v>67</v>
      </c>
      <c r="B5" s="5">
        <f ca="1">H13</f>
        <v>3</v>
      </c>
      <c r="C5" s="19">
        <f ca="1">((100/F2)*B5)/100</f>
        <v>1</v>
      </c>
      <c r="D5" s="24"/>
      <c r="E5" s="304"/>
      <c r="F5" s="305"/>
      <c r="G5" s="1" t="s">
        <v>68</v>
      </c>
      <c r="H5" s="26">
        <f ca="1">F2</f>
        <v>3</v>
      </c>
    </row>
    <row r="6" spans="1:8" x14ac:dyDescent="0.25">
      <c r="A6" s="2" t="s">
        <v>69</v>
      </c>
      <c r="B6" s="5">
        <v>4</v>
      </c>
      <c r="C6" s="19">
        <f ca="1">((100/(D2+E2+F2))*B6)/100</f>
        <v>1</v>
      </c>
      <c r="D6" s="24"/>
      <c r="E6" s="304"/>
      <c r="F6" s="305"/>
      <c r="G6" s="1" t="s">
        <v>70</v>
      </c>
      <c r="H6" s="27">
        <f ca="1">(IF(C2&gt;1,(F2/(C2+2)),F2/4))</f>
        <v>0.75</v>
      </c>
    </row>
    <row r="7" spans="1:8" x14ac:dyDescent="0.25">
      <c r="A7" s="2" t="s">
        <v>71</v>
      </c>
      <c r="B7" s="4">
        <v>3</v>
      </c>
      <c r="C7" s="19">
        <f ca="1">((100/F2)*B7)/100</f>
        <v>1</v>
      </c>
      <c r="D7" s="24"/>
      <c r="E7" s="304"/>
      <c r="F7" s="305"/>
      <c r="G7" s="1" t="s">
        <v>72</v>
      </c>
      <c r="H7" s="27">
        <f ca="1">(IF(C2&gt;1,(F2/(C2+2)+H6),F2/4+H6))</f>
        <v>1.5</v>
      </c>
    </row>
    <row r="8" spans="1:8" x14ac:dyDescent="0.25">
      <c r="A8" s="2" t="s">
        <v>73</v>
      </c>
      <c r="B8" s="4">
        <v>0</v>
      </c>
      <c r="C8" s="19">
        <f ca="1">((100/F2)*B8)/100</f>
        <v>0</v>
      </c>
      <c r="D8" s="22">
        <f ca="1">(((B5/F2*10)+(40/(D2+E2+F2)*B6)+(15/(F2)*B7)+(5/(F2)*B8)+(5/F2*B9)+(10/F2*B10)+(5/F2*B11)+(5/F2*B12)+(5/F2*B13))/100)</f>
        <v>0.65</v>
      </c>
      <c r="E8" s="304"/>
      <c r="F8" s="305"/>
      <c r="G8" s="1" t="s">
        <v>74</v>
      </c>
      <c r="H8" s="27">
        <f>(IF(C2&gt;1,(F2/(C2+2)+H7),0))</f>
        <v>0</v>
      </c>
    </row>
    <row r="9" spans="1:8" x14ac:dyDescent="0.25">
      <c r="A9" s="2" t="s">
        <v>75</v>
      </c>
      <c r="B9" s="4">
        <v>0</v>
      </c>
      <c r="C9" s="19">
        <f ca="1">((100/(F2))*B9)/100</f>
        <v>0</v>
      </c>
      <c r="D9" s="24"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304"/>
      <c r="F9" s="305"/>
      <c r="G9" s="1" t="s">
        <v>76</v>
      </c>
      <c r="H9" s="27">
        <f>(IF(C2&gt;2,(F2/(C2+2)+H8),0))</f>
        <v>0</v>
      </c>
    </row>
    <row r="10" spans="1:8" x14ac:dyDescent="0.25">
      <c r="A10" s="2" t="s">
        <v>77</v>
      </c>
      <c r="B10" s="4">
        <v>0</v>
      </c>
      <c r="C10" s="19">
        <f ca="1">((100/F2)*B10)/100</f>
        <v>0</v>
      </c>
      <c r="D10" s="24" t="str">
        <f ca="1">IF(C4=100%,"Excavation","")&amp;IF(C5=100%,", Plinth","")&amp;IF(C6=100%,", RCC Slab","")&amp;IF(C7=100%,", Brickwork","")&amp;IF(C8=100%,", Internal Plaster","")&amp;IF(C9=100%,", External Plaster","")&amp;IF(C10=100%,", Flooring","")&amp;IF(C11=100%,", Painting","")&amp;IF(C12=100%,", Building common Amenities","")</f>
        <v>Excavation, Plinth, RCC Slab, Brickwork</v>
      </c>
      <c r="E10" s="304"/>
      <c r="F10" s="305"/>
      <c r="G10" s="1" t="s">
        <v>78</v>
      </c>
      <c r="H10" s="28">
        <f>(IF(C2&gt;3,(F2/(C2+2)+H9),0))</f>
        <v>0</v>
      </c>
    </row>
    <row r="11" spans="1:8" x14ac:dyDescent="0.25">
      <c r="A11" s="2" t="s">
        <v>79</v>
      </c>
      <c r="B11" s="4">
        <v>0</v>
      </c>
      <c r="C11" s="19">
        <f ca="1">((100/F2)*B11)/100</f>
        <v>0</v>
      </c>
      <c r="D11" s="24" t="str">
        <f ca="1">IF(D10&lt;&gt;""," Completed","")</f>
        <v xml:space="preserve"> Completed</v>
      </c>
      <c r="E11" s="304"/>
      <c r="F11" s="305"/>
      <c r="G11" s="1" t="s">
        <v>80</v>
      </c>
      <c r="H11" s="27">
        <f>(IF(C2&gt;4,(F2/(C2+2)+H10),0))</f>
        <v>0</v>
      </c>
    </row>
    <row r="12" spans="1:8" x14ac:dyDescent="0.25">
      <c r="A12" s="2" t="s">
        <v>81</v>
      </c>
      <c r="B12" s="4">
        <v>0</v>
      </c>
      <c r="C12" s="19">
        <f ca="1">((100/(F2))*B12)/100</f>
        <v>0</v>
      </c>
      <c r="D12" s="24"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304"/>
      <c r="F12" s="305"/>
      <c r="G12" s="1" t="s">
        <v>82</v>
      </c>
      <c r="H12" s="27">
        <f ca="1">(IF(C2=1,(F2/(C2+3)+H7),IF(C2=0,(F2/4+H7),IF(C2&gt;1,0))))</f>
        <v>2.25</v>
      </c>
    </row>
    <row r="13" spans="1:8" ht="15.75" thickBot="1" x14ac:dyDescent="0.3">
      <c r="A13" s="32" t="s">
        <v>83</v>
      </c>
      <c r="B13" s="33">
        <v>0</v>
      </c>
      <c r="C13" s="34">
        <f ca="1">((100/(F2))*B13)/100</f>
        <v>0</v>
      </c>
      <c r="D13" s="35" t="str">
        <f ca="1">IF(D12&lt;&gt;"","Completed","")</f>
        <v/>
      </c>
      <c r="E13" s="306"/>
      <c r="F13" s="307"/>
      <c r="G13" s="31" t="s">
        <v>84</v>
      </c>
      <c r="H13" s="29">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VSJC-06</cp:lastModifiedBy>
  <cp:lastPrinted>2025-08-12T05:13:45Z</cp:lastPrinted>
  <dcterms:created xsi:type="dcterms:W3CDTF">2019-01-21T04:29:02Z</dcterms:created>
  <dcterms:modified xsi:type="dcterms:W3CDTF">2025-08-12T05:14:42Z</dcterms:modified>
</cp:coreProperties>
</file>