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F\25-26\August 2025\YES\NEW\Saurav\16980 - Radha Nilaya Phase 2\"/>
    </mc:Choice>
  </mc:AlternateContent>
  <xr:revisionPtr revIDLastSave="0" documentId="13_ncr:1_{4464629F-A97B-4935-9AB5-773981CAA4E7}" xr6:coauthVersionLast="47" xr6:coauthVersionMax="47" xr10:uidLastSave="{00000000-0000-0000-0000-000000000000}"/>
  <bookViews>
    <workbookView xWindow="-120" yWindow="-120" windowWidth="20730" windowHeight="11160" tabRatio="745" xr2:uid="{00000000-000D-0000-FFFF-FFFF00000000}"/>
  </bookViews>
  <sheets>
    <sheet name="Report" sheetId="15" r:id="rId1"/>
    <sheet name="Valuation" sheetId="23" r:id="rId2"/>
  </sheets>
  <definedNames>
    <definedName name="_xlnm.Print_Area" localSheetId="0">Report!$A$1:$H$337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15" l="1"/>
  <c r="E159" i="15"/>
  <c r="E42" i="15"/>
  <c r="C65" i="15"/>
  <c r="E41" i="15"/>
  <c r="C84" i="15"/>
  <c r="C83" i="15"/>
  <c r="C70" i="15"/>
  <c r="C69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D160" i="15"/>
  <c r="C160" i="15"/>
  <c r="D159" i="15"/>
  <c r="C159" i="15"/>
  <c r="E155" i="15"/>
  <c r="D155" i="15"/>
  <c r="C155" i="15"/>
  <c r="E154" i="15"/>
  <c r="D154" i="15"/>
  <c r="C154" i="15"/>
  <c r="E153" i="15"/>
  <c r="D153" i="15"/>
  <c r="C153" i="15"/>
  <c r="E150" i="15"/>
  <c r="D150" i="15"/>
  <c r="C150" i="15"/>
  <c r="E149" i="15"/>
  <c r="D149" i="15"/>
  <c r="C149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I126" i="15"/>
  <c r="I164" i="15"/>
  <c r="I159" i="15"/>
  <c r="A150" i="15"/>
  <c r="A151" i="15" s="1"/>
  <c r="A152" i="15" s="1"/>
  <c r="A153" i="15" s="1"/>
  <c r="A154" i="15" s="1"/>
  <c r="A155" i="15" s="1"/>
  <c r="J149" i="15"/>
  <c r="I149" i="15"/>
  <c r="J141" i="15"/>
  <c r="I141" i="15"/>
  <c r="I132" i="15"/>
  <c r="I131" i="15"/>
  <c r="C79" i="15"/>
  <c r="E40" i="15"/>
  <c r="E43" i="15" s="1"/>
  <c r="E36" i="15"/>
  <c r="O156" i="15"/>
  <c r="P156" i="15"/>
  <c r="O129" i="15"/>
  <c r="O157" i="15"/>
  <c r="P129" i="15"/>
  <c r="P157" i="15"/>
  <c r="H80" i="15"/>
  <c r="E44" i="15" l="1"/>
  <c r="C122" i="15"/>
  <c r="C121" i="15"/>
  <c r="C120" i="15"/>
  <c r="F149" i="15"/>
  <c r="H149" i="15" s="1"/>
  <c r="F154" i="15"/>
  <c r="H154" i="15" s="1"/>
  <c r="F150" i="15"/>
  <c r="H150" i="15" s="1"/>
  <c r="F155" i="15"/>
  <c r="H155" i="15" s="1"/>
  <c r="F153" i="15"/>
  <c r="H153" i="15" s="1"/>
  <c r="N157" i="15"/>
  <c r="N156" i="15"/>
  <c r="N129" i="15"/>
  <c r="D91" i="15"/>
  <c r="D89" i="15"/>
  <c r="D87" i="15"/>
  <c r="D85" i="15"/>
  <c r="J83" i="15"/>
  <c r="J84" i="15"/>
  <c r="J82" i="15"/>
  <c r="D92" i="15"/>
  <c r="D90" i="15"/>
  <c r="D88" i="15"/>
  <c r="D86" i="15"/>
  <c r="B80" i="15"/>
  <c r="B66" i="15"/>
  <c r="C51" i="15"/>
  <c r="C123" i="15" l="1"/>
  <c r="J89" i="15"/>
  <c r="J87" i="15"/>
  <c r="J85" i="15"/>
  <c r="J86" i="15" s="1"/>
  <c r="J91" i="15" s="1"/>
  <c r="J92" i="15" s="1"/>
  <c r="J90" i="15"/>
  <c r="J88" i="15"/>
  <c r="D83" i="15"/>
  <c r="J73" i="15"/>
  <c r="J75" i="15"/>
  <c r="J74" i="15"/>
  <c r="J76" i="15"/>
  <c r="H66" i="15"/>
  <c r="E83" i="15" l="1"/>
  <c r="I79" i="15" s="1"/>
  <c r="C81" i="15" s="1"/>
  <c r="D84" i="15"/>
  <c r="G83" i="15"/>
  <c r="D74" i="15"/>
  <c r="D73" i="15"/>
  <c r="J71" i="15"/>
  <c r="J72" i="15" s="1"/>
  <c r="J77" i="15" s="1"/>
  <c r="J78" i="15" s="1"/>
  <c r="E69" i="15" s="1"/>
  <c r="J68" i="15"/>
  <c r="D77" i="15"/>
  <c r="J69" i="15"/>
  <c r="D78" i="15"/>
  <c r="D75" i="15"/>
  <c r="D76" i="15"/>
  <c r="J70" i="15"/>
  <c r="D72" i="15"/>
  <c r="D71" i="15"/>
  <c r="D69" i="15" l="1"/>
  <c r="I65" i="15" s="1"/>
  <c r="C67" i="15" s="1"/>
  <c r="G69" i="15"/>
  <c r="D70" i="15"/>
  <c r="F162" i="15" l="1"/>
  <c r="H162" i="15" s="1"/>
  <c r="F164" i="15"/>
  <c r="H164" i="15" s="1"/>
  <c r="F163" i="15"/>
  <c r="H163" i="15" s="1"/>
  <c r="F161" i="15"/>
  <c r="H161" i="15" s="1"/>
  <c r="F160" i="15"/>
  <c r="H160" i="15" s="1"/>
  <c r="F159" i="15"/>
  <c r="F147" i="15"/>
  <c r="H147" i="15" s="1"/>
  <c r="F146" i="15"/>
  <c r="H146" i="15" s="1"/>
  <c r="F145" i="15"/>
  <c r="H145" i="15" s="1"/>
  <c r="F144" i="15"/>
  <c r="H144" i="15" s="1"/>
  <c r="F143" i="15"/>
  <c r="H143" i="15" s="1"/>
  <c r="F142" i="15"/>
  <c r="H142" i="15" s="1"/>
  <c r="F141" i="15"/>
  <c r="F132" i="15"/>
  <c r="H132" i="15" s="1"/>
  <c r="F133" i="15"/>
  <c r="H133" i="15" s="1"/>
  <c r="F134" i="15"/>
  <c r="H134" i="15" s="1"/>
  <c r="F135" i="15"/>
  <c r="H135" i="15" s="1"/>
  <c r="F136" i="15"/>
  <c r="H136" i="15" s="1"/>
  <c r="F137" i="15"/>
  <c r="H137" i="15" s="1"/>
  <c r="F131" i="15"/>
  <c r="E13" i="15"/>
  <c r="E33" i="15"/>
  <c r="E35" i="15"/>
  <c r="E47" i="15"/>
  <c r="H131" i="15" l="1"/>
  <c r="G120" i="15" s="1"/>
  <c r="E120" i="15"/>
  <c r="H159" i="15"/>
  <c r="G122" i="15" s="1"/>
  <c r="E122" i="15"/>
  <c r="H141" i="15"/>
  <c r="G121" i="15" s="1"/>
  <c r="E121" i="15"/>
  <c r="H173" i="15"/>
  <c r="G123" i="15" l="1"/>
  <c r="E123" i="15"/>
  <c r="I41" i="15"/>
  <c r="A198" i="15" l="1"/>
  <c r="A199" i="15" s="1"/>
  <c r="A200" i="15" s="1"/>
  <c r="A201" i="15" s="1"/>
  <c r="A202" i="15" s="1"/>
  <c r="A203" i="15" s="1"/>
  <c r="A160" i="15" l="1"/>
  <c r="A161" i="15" s="1"/>
  <c r="A162" i="15" s="1"/>
  <c r="A163" i="15" s="1"/>
  <c r="A164" i="15" s="1"/>
  <c r="A142" i="15"/>
  <c r="A143" i="15" s="1"/>
  <c r="A144" i="15" s="1"/>
  <c r="A145" i="15" s="1"/>
  <c r="A146" i="15" s="1"/>
  <c r="A147" i="15" s="1"/>
  <c r="A132" i="15"/>
  <c r="A133" i="15" s="1"/>
  <c r="A134" i="15" s="1"/>
  <c r="A135" i="15" s="1"/>
  <c r="O148" i="15"/>
  <c r="P148" i="15"/>
  <c r="P138" i="15"/>
  <c r="O138" i="15"/>
  <c r="P128" i="15"/>
  <c r="O128" i="15"/>
  <c r="P149" i="15" l="1"/>
  <c r="P150" i="15" s="1"/>
  <c r="P151" i="15" s="1"/>
  <c r="P152" i="15" s="1"/>
  <c r="P153" i="15" s="1"/>
  <c r="P154" i="15" s="1"/>
  <c r="P155" i="15" s="1"/>
  <c r="O149" i="15"/>
  <c r="N148" i="15"/>
  <c r="N138" i="15"/>
  <c r="N128" i="15"/>
  <c r="P139" i="15"/>
  <c r="O139" i="15"/>
  <c r="N149" i="15" l="1"/>
  <c r="O150" i="15"/>
  <c r="N139" i="15"/>
  <c r="A44" i="15"/>
  <c r="A45" i="15" s="1"/>
  <c r="A46" i="15" s="1"/>
  <c r="A47" i="15" s="1"/>
  <c r="O151" i="15" l="1"/>
  <c r="N150" i="15"/>
  <c r="D204" i="15"/>
  <c r="O130" i="15"/>
  <c r="H52" i="15"/>
  <c r="P130" i="15"/>
  <c r="O152" i="15" l="1"/>
  <c r="N151" i="15"/>
  <c r="D57" i="15"/>
  <c r="D64" i="15"/>
  <c r="D60" i="15"/>
  <c r="J56" i="15"/>
  <c r="C55" i="15" s="1"/>
  <c r="J54" i="15"/>
  <c r="D63" i="15"/>
  <c r="D59" i="15"/>
  <c r="J55" i="15"/>
  <c r="D62" i="15"/>
  <c r="D58" i="15"/>
  <c r="J57" i="15"/>
  <c r="J58" i="15" s="1"/>
  <c r="J63" i="15" s="1"/>
  <c r="D61" i="15"/>
  <c r="N130" i="15"/>
  <c r="P131" i="15"/>
  <c r="P132" i="15" s="1"/>
  <c r="P133" i="15" s="1"/>
  <c r="P134" i="15" s="1"/>
  <c r="P135" i="15" s="1"/>
  <c r="P136" i="15" s="1"/>
  <c r="P137" i="15" s="1"/>
  <c r="O131" i="15"/>
  <c r="O140" i="15"/>
  <c r="P140" i="15"/>
  <c r="N152" i="15" l="1"/>
  <c r="O153" i="15"/>
  <c r="D55" i="15"/>
  <c r="J59" i="15"/>
  <c r="J60" i="15" s="1"/>
  <c r="J61" i="15" s="1"/>
  <c r="J62" i="15" s="1"/>
  <c r="N131" i="15"/>
  <c r="O132" i="15"/>
  <c r="N132" i="15" s="1"/>
  <c r="N140" i="15"/>
  <c r="O141" i="15"/>
  <c r="P141" i="15"/>
  <c r="P142" i="15" s="1"/>
  <c r="P143" i="15" s="1"/>
  <c r="P144" i="15" s="1"/>
  <c r="P145" i="15" s="1"/>
  <c r="P146" i="15" s="1"/>
  <c r="P147" i="15" s="1"/>
  <c r="P125" i="15"/>
  <c r="P126" i="15" s="1"/>
  <c r="A136" i="15"/>
  <c r="A137" i="15" s="1"/>
  <c r="N153" i="15" l="1"/>
  <c r="O154" i="15"/>
  <c r="J64" i="15"/>
  <c r="C56" i="15" s="1"/>
  <c r="O133" i="15"/>
  <c r="N133" i="15" s="1"/>
  <c r="N141" i="15"/>
  <c r="O142" i="15"/>
  <c r="N142" i="15" s="1"/>
  <c r="O155" i="15" l="1"/>
  <c r="N155" i="15" s="1"/>
  <c r="N154" i="15"/>
  <c r="O134" i="15"/>
  <c r="N134" i="15" s="1"/>
  <c r="O143" i="15"/>
  <c r="N143" i="15" s="1"/>
  <c r="E55" i="15" l="1"/>
  <c r="I51" i="15" s="1"/>
  <c r="C53" i="15" s="1"/>
  <c r="G55" i="15"/>
  <c r="D56" i="15"/>
  <c r="O135" i="15"/>
  <c r="N135" i="15" s="1"/>
  <c r="O144" i="15"/>
  <c r="N144" i="15" s="1"/>
  <c r="O136" i="15" l="1"/>
  <c r="N136" i="15" s="1"/>
  <c r="O145" i="15"/>
  <c r="N145" i="15" s="1"/>
  <c r="O137" i="15" l="1"/>
  <c r="N137" i="15" s="1"/>
  <c r="O146" i="15"/>
  <c r="N146" i="15" s="1"/>
  <c r="O147" i="15" l="1"/>
  <c r="N147" i="15" s="1"/>
  <c r="O125" i="15" l="1"/>
  <c r="O126" i="15" l="1"/>
  <c r="N125" i="15"/>
  <c r="N126" i="15" l="1"/>
  <c r="H188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9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1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<sst xmlns="http://schemas.openxmlformats.org/spreadsheetml/2006/main" count="375" uniqueCount="240">
  <si>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</si>
  <si>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</si>
  <si>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</si>
  <si>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</si>
  <si>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</si>
  <si>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</si>
  <si>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</si>
  <si>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</si>
  <si>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</si>
  <si>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</si>
  <si>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</si>
  <si>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</si>
  <si>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</si>
  <si>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</si>
  <si>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</si>
  <si>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</si>
  <si>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</si>
  <si>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</si>
  <si>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</si>
  <si>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</si>
  <si>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</si>
  <si>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</si>
  <si>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</si>
  <si>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</si>
  <si>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</si>
  <si>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</si>
  <si>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</si>
  <si>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</si>
  <si>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</si>
  <si>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</si>
  <si>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</si>
  <si>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</si>
  <si>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</si>
  <si>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</si>
  <si>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</si>
  <si>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</si>
  <si>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</si>
  <si>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</si>
  <si>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</si>
  <si>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</si>
  <si>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</si>
  <si>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</si>
  <si>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</si>
  <si>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</si>
  <si>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</si>
  <si>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</si>
  <si>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</si>
  <si>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</si>
  <si>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</si>
  <si>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</si>
  <si>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</si>
  <si>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</si>
  <si>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</si>
  <si>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</si>
  <si>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</si>
  <si>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</si>
  <si>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</si>
  <si>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</si>
  <si>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</si>
  <si>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</si>
  <si>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</si>
  <si>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</si>
  <si>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</si>
  <si>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</si>
  <si>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</si>
  <si>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</si>
  <si>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</si>
  <si>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</si>
  <si>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</si>
  <si>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</si>
  <si>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</si>
  <si>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</si>
  <si>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</si>
  <si>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</si>
  <si>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</si>
  <si>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</si>
  <si>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</si>
  <si>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</si>
  <si>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</si>
  <si>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</si>
  <si>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</si>
  <si>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</si>
  <si>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</si>
  <si>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Residential Area Details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</si>
  <si>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</si>
  <si>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</si>
  <si>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</si>
  <si>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</si>
  <si>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</si>
  <si>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</si>
  <si>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</si>
  <si>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</si>
  <si>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</si>
  <si>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</si>
  <si>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</si>
  <si>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</si>
  <si>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1st Slab</t>
  </si>
  <si>
    <t>2nd Slab</t>
  </si>
  <si>
    <t>3rd Slab</t>
  </si>
  <si>
    <t>4th Slab</t>
  </si>
  <si>
    <t>5th Slab</t>
  </si>
  <si>
    <t>On Possession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</si>
  <si>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</si>
  <si>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</si>
  <si>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</si>
  <si>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</si>
  <si>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</si>
  <si>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</si>
  <si>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</si>
  <si>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</si>
  <si>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</si>
  <si>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</si>
  <si>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</si>
  <si>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</si>
  <si>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</si>
  <si>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</si>
  <si>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</si>
  <si>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</si>
  <si>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</si>
  <si>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</si>
  <si>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</si>
  <si>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</si>
  <si>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</si>
  <si>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</si>
  <si>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</si>
  <si>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</si>
  <si>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</si>
  <si>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</si>
  <si>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</si>
  <si>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</si>
  <si>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</si>
  <si>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</si>
  <si>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</si>
  <si>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</si>
  <si>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</si>
  <si>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</si>
  <si>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</si>
  <si>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</si>
  <si>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</si>
  <si>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</si>
  <si>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</si>
  <si>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</si>
  <si>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</si>
  <si>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</si>
  <si>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</si>
  <si>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</si>
  <si>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</si>
  <si>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</si>
  <si>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</si>
  <si>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</si>
  <si>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</si>
  <si>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</si>
  <si>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</si>
  <si>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</si>
  <si>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</si>
  <si>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</si>
  <si>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</si>
  <si>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</si>
  <si>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</si>
  <si>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</si>
  <si>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</si>
  <si>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r>
      <rPr>
        <sz val="11"/>
        <rFont val="Times New Roman"/>
        <family val="1"/>
      </rPr>
      <t xml:space="preserve">Proposed Amenities    </t>
    </r>
    <r>
      <rPr>
        <sz val="11"/>
        <color rgb="FFFF0000"/>
        <rFont val="Times New Roman"/>
        <family val="1"/>
      </rPr>
      <t xml:space="preserve">   </t>
    </r>
  </si>
  <si>
    <t>Carpet Area</t>
  </si>
  <si>
    <t>Net Plot Area (Sq.M)</t>
  </si>
  <si>
    <t>Plot Area (Sq.M)</t>
  </si>
  <si>
    <t xml:space="preserve">Details of Residential in Building     </t>
  </si>
  <si>
    <t xml:space="preserve">Expected Completion Date </t>
  </si>
  <si>
    <t>Authorized Signatory
Name &amp; Seal of the Agency</t>
  </si>
  <si>
    <t>Date of documents delivery / Receipt</t>
  </si>
  <si>
    <t xml:space="preserve">Layout Plan No. </t>
  </si>
  <si>
    <t>Approved Floor Plan No</t>
  </si>
  <si>
    <t>Electric &amp; Plumbing</t>
  </si>
  <si>
    <t>External Plaster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</si>
  <si>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</si>
  <si>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</si>
  <si>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</si>
  <si>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https://maps.app.goo.gl/CDk8zVs2ByDbWGz3A</t>
  </si>
  <si>
    <t>19.366016,72.886930</t>
  </si>
  <si>
    <t xml:space="preserve">Radha Nilaya Phase 2
</t>
  </si>
  <si>
    <t>P99000079268</t>
  </si>
  <si>
    <t>Swarangan Bungalow</t>
  </si>
  <si>
    <t>Radha Nilaya Phase 2, Chinchoti, Juchandra Bapane Road, Naigaon East, Kaman, Vasai-Virar, Maharashtra 401208.</t>
  </si>
  <si>
    <t>C.C
RERA Certificate
Builder Profile
Payment Schedule</t>
  </si>
  <si>
    <t>Mr. Kishore Anand Shetty</t>
  </si>
  <si>
    <t xml:space="preserve">Plot No 164, Radha Nilaya Complex,Bapane, Chandrapada Road, Chandrapada, Tal. Vasai, Dist. Palghar 401208. </t>
  </si>
  <si>
    <t>NO Name of Architect menbtioned</t>
  </si>
  <si>
    <t>Vasai-Virar City Municipal Corporation. (VVCMC)</t>
  </si>
  <si>
    <t>Building 2 = G + 1st to 7th Floor</t>
  </si>
  <si>
    <t>VVCMC/TP/AMEND/SPA/VP/0129/12/2024-25</t>
  </si>
  <si>
    <t>VVCMC/TP/CC/SPA VP-129/13/2024-25</t>
  </si>
  <si>
    <t xml:space="preserve">Floor Plan &amp; Layout are differernt but of same date &amp; same person signatory. </t>
  </si>
  <si>
    <t>VVCMC/SPA/CC/VP/0129/13/2024-25</t>
  </si>
  <si>
    <t xml:space="preserve">Building 2 = G + 1st to 7th Floor
Building 3 (Wing A) = G + 1st to 4th Floor 
Building 3 (Wing B) = G + 1st to 7th Floor </t>
  </si>
  <si>
    <t xml:space="preserve">Building 2 </t>
  </si>
  <si>
    <t>Ground Floor For Parking, Driver's Room, Society Office &amp; Entrance Lobby</t>
  </si>
  <si>
    <t>1st to 7th Floor For Residential</t>
  </si>
  <si>
    <t>1BHK</t>
  </si>
  <si>
    <t>2BHK</t>
  </si>
  <si>
    <t>E.P. Area</t>
  </si>
  <si>
    <t>Enclosed Balcony Area</t>
  </si>
  <si>
    <t>Wing A</t>
  </si>
  <si>
    <t>Building 3</t>
  </si>
  <si>
    <t>1st to 3rd Floor For Residential</t>
  </si>
  <si>
    <t>4th Floor For Residential (Part Terrace Area)</t>
  </si>
  <si>
    <t xml:space="preserve"> - </t>
  </si>
  <si>
    <t>Terrace Area</t>
  </si>
  <si>
    <t>Ground Floor For Parking &amp; Entrance Lobby</t>
  </si>
  <si>
    <t>Wing B</t>
  </si>
  <si>
    <t>Ground Floor For Parking, Driver's Room &amp; Entrance Lobby</t>
  </si>
  <si>
    <t>OK</t>
  </si>
  <si>
    <t>Flats = 117</t>
  </si>
  <si>
    <t>Before Registration of Agreement</t>
  </si>
  <si>
    <t>On / After Registration of Agreement</t>
  </si>
  <si>
    <t>Completion Of Walls, Internal Plaster, Flooring, Doors &amp; Sanitary</t>
  </si>
  <si>
    <t>Completion of External Plumbing &amp; External Plaster work</t>
  </si>
  <si>
    <t>Completion of Lifts, Water Pumps, Electrical Fittings, Electro, Mechanical &amp; Environmental Requirement</t>
  </si>
  <si>
    <t xml:space="preserve">We considered Gross carpet area = Net carpet + Enclosed Balcony + E.P. Area.
</t>
  </si>
  <si>
    <t xml:space="preserve">Building 2 = Construction work is in process at the time of Visit (labour found).
Building 3 (Wing A &amp; B) = Work not yet Started.
</t>
  </si>
  <si>
    <t xml:space="preserve">SCHOOL :
Bapane Zilla Parishad School  - 0.80 Km
RD Memorial High School - 1.00 Km
SHOPPING :
Om Sai Super Market - 0.70 Km
MInakshi Super Market - 1.30 Km
HOSPITALS :
Vishveshwar Hospital  - 1.00 Km
Omkar Hospital - 2.70 Km
PETROL PUMP :
Bharat Petroleum Petrol Pump - 0.19 Km
Bharat Petroleum Petrol Pump - 1.50 Km
</t>
  </si>
  <si>
    <t>From RERA</t>
  </si>
  <si>
    <t>Vitrified tiles flooring, Granite Kitchen Platform, Decorative Entrance, Landscaping &amp; Garden, etc.</t>
  </si>
  <si>
    <t>Mr. Navnath Bhatkar</t>
  </si>
  <si>
    <t>11/08/2025, Monday, 13:08 PM</t>
  </si>
  <si>
    <t>Mr. Moin Shaikh (Sales) 7208843487</t>
  </si>
  <si>
    <t>Mr. Navnath Bhatkar 8983468660</t>
  </si>
  <si>
    <t>M/s. KK create and Build</t>
  </si>
  <si>
    <t>Radha Nilaya Phase 2 (Krishnakunj)</t>
  </si>
  <si>
    <t>Building 3 (Wing B) = G + 1st to 7th Floor</t>
  </si>
  <si>
    <t>Building 3 Wing A 
(Krishnakunj Bldg No 3 Wing A)</t>
  </si>
  <si>
    <t>Building 2
 (Krishnakunj Bldg No 2)</t>
  </si>
  <si>
    <t>Building 3 Wing B 
(Krishnakunj Bldg No 3 Wing B)</t>
  </si>
  <si>
    <t>Building 2 (Krishnakunj Bldg No 2) = G + 1st to 7th Floor
Building 3 Wing A &amp; B (Krishnakunj Bldg No 3 Wing A &amp; B) = G + 1st to 7th Floor</t>
  </si>
  <si>
    <t>Proposed Residential Building On Land Bearing S. No. 158, H. No. 2/1/3, 4/1, 6,7, 8/1, 10, 14, 15, 11, 19, 35, 36 &amp; S. No. 164, H. No. 2/1 At Village Chandrapada, Tal. Vasai, Dist. Palghar.</t>
  </si>
  <si>
    <t>Building 2 = G + 1st to 7th Floor
Building 3 (Wing A ) = G + 1st to 4th Floor
Building 3 (Wing B) = G + 1st to 7th Floor</t>
  </si>
  <si>
    <t>Aug - 2024</t>
  </si>
  <si>
    <t>Total Builtup Area (Sq.M)</t>
  </si>
  <si>
    <t>Builtup Area of Building No 2 &amp; 3(Sq.M)</t>
  </si>
  <si>
    <t>g</t>
  </si>
  <si>
    <t>Building 3 (Wing A) = G + 1st to 4th Floor</t>
  </si>
  <si>
    <t>Dec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</si>
</sst>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14">
    <xf numFmtId="0" fontId="0" fillId="0" borderId="0" xfId="0"/>
    <xf numFmtId="1" fontId="2" fillId="0" borderId="2" xfId="2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hidden="1"/>
    </xf>
    <xf numFmtId="0" fontId="8" fillId="0" borderId="16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4" fillId="0" borderId="22" xfId="2" applyFont="1" applyBorder="1" applyAlignment="1" applyProtection="1">
      <alignment horizontal="center" vertical="top"/>
      <protection locked="0"/>
    </xf>
    <xf numFmtId="0" fontId="4" fillId="0" borderId="1" xfId="2" applyFont="1" applyBorder="1" applyAlignment="1" applyProtection="1">
      <alignment horizontal="center" vertical="top"/>
      <protection locked="0"/>
    </xf>
    <xf numFmtId="0" fontId="3" fillId="0" borderId="1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21" xfId="2" applyFont="1" applyBorder="1" applyProtection="1">
      <protection hidden="1"/>
    </xf>
    <xf numFmtId="0" fontId="9" fillId="0" borderId="23" xfId="2" applyFont="1" applyBorder="1" applyProtection="1">
      <protection hidden="1"/>
    </xf>
    <xf numFmtId="0" fontId="9" fillId="0" borderId="23" xfId="2" applyFont="1" applyBorder="1"/>
    <xf numFmtId="0" fontId="8" fillId="0" borderId="23" xfId="0" applyFont="1" applyBorder="1" applyProtection="1">
      <protection hidden="1"/>
    </xf>
    <xf numFmtId="1" fontId="6" fillId="0" borderId="23" xfId="0" applyNumberFormat="1" applyFont="1" applyBorder="1"/>
    <xf numFmtId="1" fontId="6" fillId="0" borderId="23" xfId="0" applyNumberFormat="1" applyFont="1" applyBorder="1" applyAlignment="1">
      <alignment horizontal="right"/>
    </xf>
    <xf numFmtId="1" fontId="6" fillId="0" borderId="19" xfId="0" applyNumberFormat="1" applyFont="1" applyBorder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vertical="top"/>
    </xf>
    <xf numFmtId="0" fontId="10" fillId="0" borderId="0" xfId="0" applyFont="1"/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9" fillId="0" borderId="1" xfId="2" applyFont="1" applyBorder="1" applyAlignment="1" applyProtection="1">
      <alignment horizontal="center" vertical="top" wrapText="1"/>
      <protection locked="0"/>
    </xf>
    <xf numFmtId="9" fontId="9" fillId="0" borderId="3" xfId="2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9" fontId="9" fillId="0" borderId="17" xfId="2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5" xfId="2" applyFont="1" applyBorder="1" applyAlignment="1" applyProtection="1">
      <alignment horizontal="center" vertical="top"/>
      <protection locked="0"/>
    </xf>
    <xf numFmtId="14" fontId="4" fillId="0" borderId="5" xfId="0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5" xfId="6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 vertical="top" wrapText="1"/>
    </xf>
    <xf numFmtId="0" fontId="4" fillId="0" borderId="1" xfId="2" applyFont="1" applyBorder="1" applyAlignment="1" applyProtection="1">
      <alignment horizontal="center" wrapText="1"/>
      <protection locked="0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0" fontId="4" fillId="0" borderId="18" xfId="2" applyFont="1" applyBorder="1" applyAlignment="1" applyProtection="1">
      <alignment horizontal="center" wrapText="1"/>
      <protection locked="0"/>
    </xf>
    <xf numFmtId="0" fontId="5" fillId="0" borderId="1" xfId="1" applyFont="1" applyBorder="1" applyAlignment="1">
      <alignment horizontal="left" vertical="top" wrapText="1"/>
    </xf>
    <xf numFmtId="14" fontId="4" fillId="0" borderId="9" xfId="0" applyNumberFormat="1" applyFont="1" applyBorder="1" applyAlignment="1">
      <alignment horizontal="left" vertical="top" wrapText="1"/>
    </xf>
    <xf numFmtId="14" fontId="4" fillId="0" borderId="33" xfId="0" applyNumberFormat="1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1" fontId="2" fillId="0" borderId="1" xfId="2" applyNumberFormat="1" applyFont="1" applyBorder="1" applyAlignment="1" applyProtection="1">
      <alignment horizontal="center" vertical="center" wrapText="1"/>
      <protection locked="0"/>
    </xf>
    <xf numFmtId="1" fontId="2" fillId="0" borderId="5" xfId="2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top"/>
      <protection locked="0"/>
    </xf>
    <xf numFmtId="0" fontId="2" fillId="0" borderId="13" xfId="2" applyFont="1" applyBorder="1" applyAlignment="1" applyProtection="1">
      <alignment horizontal="center" vertical="top"/>
      <protection locked="0"/>
    </xf>
    <xf numFmtId="14" fontId="5" fillId="0" borderId="11" xfId="2" applyNumberFormat="1" applyFont="1" applyBorder="1" applyAlignment="1" applyProtection="1">
      <alignment horizontal="left" vertical="top" wrapText="1"/>
      <protection locked="0"/>
    </xf>
    <xf numFmtId="0" fontId="5" fillId="0" borderId="12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top"/>
      <protection locked="0"/>
    </xf>
    <xf numFmtId="0" fontId="5" fillId="0" borderId="3" xfId="2" applyFont="1" applyBorder="1" applyAlignment="1" applyProtection="1">
      <alignment horizontal="left" vertical="top" wrapText="1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0" fontId="9" fillId="0" borderId="24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9" fillId="0" borderId="3" xfId="2" applyFont="1" applyBorder="1" applyAlignment="1" applyProtection="1">
      <alignment horizontal="center" vertical="top" wrapText="1"/>
      <protection locked="0"/>
    </xf>
    <xf numFmtId="0" fontId="9" fillId="0" borderId="1" xfId="2" applyFont="1" applyBorder="1" applyAlignment="1" applyProtection="1">
      <alignment horizontal="center" vertical="top" wrapText="1"/>
      <protection locked="0"/>
    </xf>
    <xf numFmtId="0" fontId="9" fillId="0" borderId="25" xfId="2" applyFont="1" applyBorder="1" applyAlignment="1" applyProtection="1">
      <alignment horizontal="center" vertical="top" wrapText="1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9" fontId="9" fillId="0" borderId="1" xfId="2" applyNumberFormat="1" applyFont="1" applyBorder="1" applyAlignment="1" applyProtection="1">
      <alignment horizontal="center" vertical="center" wrapText="1"/>
      <protection hidden="1"/>
    </xf>
    <xf numFmtId="9" fontId="9" fillId="0" borderId="18" xfId="2" applyNumberFormat="1" applyFont="1" applyBorder="1" applyAlignment="1" applyProtection="1">
      <alignment horizontal="center" vertical="center" wrapText="1"/>
      <protection hidden="1"/>
    </xf>
    <xf numFmtId="9" fontId="9" fillId="0" borderId="7" xfId="2" applyNumberFormat="1" applyFont="1" applyBorder="1" applyAlignment="1" applyProtection="1">
      <alignment horizontal="center" vertical="center" wrapText="1"/>
      <protection hidden="1"/>
    </xf>
    <xf numFmtId="9" fontId="9" fillId="0" borderId="28" xfId="2" applyNumberFormat="1" applyFont="1" applyBorder="1" applyAlignment="1" applyProtection="1">
      <alignment horizontal="center" vertical="center" wrapText="1"/>
      <protection hidden="1"/>
    </xf>
    <xf numFmtId="9" fontId="9" fillId="0" borderId="9" xfId="2" applyNumberFormat="1" applyFont="1" applyBorder="1" applyAlignment="1" applyProtection="1">
      <alignment horizontal="center" vertical="center" wrapText="1"/>
      <protection hidden="1"/>
    </xf>
    <xf numFmtId="9" fontId="9" fillId="0" borderId="33" xfId="2" applyNumberFormat="1" applyFont="1" applyBorder="1" applyAlignment="1" applyProtection="1">
      <alignment horizontal="center" vertical="center" wrapText="1"/>
      <protection hidden="1"/>
    </xf>
    <xf numFmtId="9" fontId="9" fillId="0" borderId="27" xfId="2" applyNumberFormat="1" applyFont="1" applyBorder="1" applyAlignment="1" applyProtection="1">
      <alignment horizontal="center" vertical="center" wrapText="1"/>
      <protection hidden="1"/>
    </xf>
    <xf numFmtId="9" fontId="9" fillId="0" borderId="36" xfId="2" applyNumberFormat="1" applyFont="1" applyBorder="1" applyAlignment="1" applyProtection="1">
      <alignment horizontal="center" vertical="center" wrapText="1"/>
      <protection hidden="1"/>
    </xf>
    <xf numFmtId="0" fontId="9" fillId="0" borderId="26" xfId="2" applyFont="1" applyBorder="1" applyAlignment="1" applyProtection="1">
      <alignment horizontal="center" vertical="top" wrapText="1"/>
      <protection locked="0"/>
    </xf>
    <xf numFmtId="0" fontId="9" fillId="0" borderId="18" xfId="2" applyFont="1" applyBorder="1" applyAlignment="1" applyProtection="1">
      <alignment horizontal="center" vertical="top" wrapText="1"/>
      <protection locked="0"/>
    </xf>
    <xf numFmtId="0" fontId="10" fillId="0" borderId="1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2" fillId="0" borderId="5" xfId="2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 wrapText="1"/>
    </xf>
    <xf numFmtId="14" fontId="14" fillId="0" borderId="3" xfId="7" applyNumberFormat="1" applyFill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 wrapText="1"/>
    </xf>
    <xf numFmtId="14" fontId="2" fillId="0" borderId="28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14" fontId="4" fillId="0" borderId="28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 wrapText="1"/>
    </xf>
    <xf numFmtId="1" fontId="2" fillId="0" borderId="2" xfId="2" applyNumberFormat="1" applyFont="1" applyBorder="1" applyAlignment="1">
      <alignment horizontal="center" vertical="top" wrapText="1"/>
    </xf>
    <xf numFmtId="1" fontId="2" fillId="0" borderId="5" xfId="2" applyNumberFormat="1" applyFont="1" applyBorder="1" applyAlignment="1">
      <alignment horizontal="center" vertical="top" wrapText="1"/>
    </xf>
    <xf numFmtId="1" fontId="2" fillId="0" borderId="7" xfId="2" applyNumberFormat="1" applyFont="1" applyBorder="1" applyAlignment="1">
      <alignment horizontal="center" vertical="top" wrapText="1"/>
    </xf>
    <xf numFmtId="1" fontId="2" fillId="0" borderId="29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1" fontId="2" fillId="0" borderId="1" xfId="2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left" vertical="top" wrapText="1"/>
    </xf>
    <xf numFmtId="0" fontId="3" fillId="0" borderId="28" xfId="2" applyFont="1" applyBorder="1" applyAlignment="1">
      <alignment horizontal="left" vertical="top" wrapText="1"/>
    </xf>
    <xf numFmtId="0" fontId="3" fillId="0" borderId="29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1" xfId="2" applyFont="1" applyBorder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14" fontId="4" fillId="0" borderId="29" xfId="0" applyNumberFormat="1" applyFont="1" applyBorder="1" applyAlignment="1">
      <alignment horizontal="left" vertical="top" wrapText="1"/>
    </xf>
    <xf numFmtId="14" fontId="4" fillId="0" borderId="30" xfId="0" applyNumberFormat="1" applyFont="1" applyBorder="1" applyAlignment="1">
      <alignment horizontal="left" vertical="top" wrapText="1"/>
    </xf>
    <xf numFmtId="14" fontId="4" fillId="0" borderId="31" xfId="0" applyNumberFormat="1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4" fontId="4" fillId="0" borderId="35" xfId="0" applyNumberFormat="1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 wrapText="1"/>
    </xf>
    <xf numFmtId="0" fontId="4" fillId="0" borderId="0" xfId="0" applyFont="1"/>
    <xf numFmtId="1" fontId="9" fillId="0" borderId="0" xfId="0" applyNumberFormat="1" applyFont="1"/>
    <xf numFmtId="14" fontId="4" fillId="0" borderId="0" xfId="0" applyNumberFormat="1" applyFont="1" applyBorder="1" applyAlignment="1">
      <alignment horizontal="left" vertical="top" wrapText="1"/>
    </xf>
  </cellXfs>
  <cellStyles count="8">
    <cellStyle name="Comma 2" xfId="5" xr:uid="{00000000-0005-0000-0000-000000000000}"/>
    <cellStyle name="Excel Built-in Normal" xfId="1" xr:uid="{00000000-0005-0000-0000-000001000000}"/>
    <cellStyle name="Excel Built-in Normal 2" xfId="3" xr:uid="{00000000-0005-0000-0000-000002000000}"/>
    <cellStyle name="Hyperlink" xfId="7" builtinId="8"/>
    <cellStyle name="Normal" xfId="0" builtinId="0"/>
    <cellStyle name="Normal 3" xfId="2" xr:uid="{00000000-0005-0000-0000-000005000000}"/>
    <cellStyle name="Normal 4" xfId="4" xr:uid="{00000000-0005-0000-0000-000006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10</xdr:row>
      <xdr:rowOff>38100</xdr:rowOff>
    </xdr:from>
    <xdr:to>
      <xdr:col>20</xdr:col>
      <xdr:colOff>208814</xdr:colOff>
      <xdr:row>11</xdr:row>
      <xdr:rowOff>771382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2790825"/>
          <a:ext cx="5885714" cy="11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561975</xdr:colOff>
      <xdr:row>97</xdr:row>
      <xdr:rowOff>66675</xdr:rowOff>
    </xdr:from>
    <xdr:to>
      <xdr:col>21</xdr:col>
      <xdr:colOff>37632</xdr:colOff>
      <xdr:row>119</xdr:row>
      <xdr:rowOff>140671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8775" y="29451300"/>
          <a:ext cx="3742857" cy="41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97</xdr:row>
      <xdr:rowOff>438150</xdr:rowOff>
    </xdr:from>
    <xdr:to>
      <xdr:col>20</xdr:col>
      <xdr:colOff>351949</xdr:colOff>
      <xdr:row>125</xdr:row>
      <xdr:rowOff>569146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6825" y="29822775"/>
          <a:ext cx="3809524" cy="53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99</xdr:row>
      <xdr:rowOff>390525</xdr:rowOff>
    </xdr:from>
    <xdr:to>
      <xdr:col>18</xdr:col>
      <xdr:colOff>199717</xdr:colOff>
      <xdr:row>117</xdr:row>
      <xdr:rowOff>121794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50" y="30432375"/>
          <a:ext cx="2466667" cy="2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106</xdr:row>
      <xdr:rowOff>47625</xdr:rowOff>
    </xdr:from>
    <xdr:to>
      <xdr:col>25</xdr:col>
      <xdr:colOff>123065</xdr:colOff>
      <xdr:row>119</xdr:row>
      <xdr:rowOff>102894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39275" y="31994475"/>
          <a:ext cx="6076190" cy="16000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204</xdr:row>
      <xdr:rowOff>104775</xdr:rowOff>
    </xdr:from>
    <xdr:to>
      <xdr:col>7</xdr:col>
      <xdr:colOff>334701</xdr:colOff>
      <xdr:row>241</xdr:row>
      <xdr:rowOff>98592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47650" y="53164628"/>
          <a:ext cx="5802051" cy="7042317"/>
          <a:chOff x="527975" y="0"/>
          <a:chExt cx="5802051" cy="7042317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27975" y="0"/>
            <a:ext cx="5802050" cy="2520000"/>
            <a:chOff x="0" y="0"/>
            <a:chExt cx="5802050" cy="2520000"/>
          </a:xfrm>
        </xdr:grpSpPr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0" y="0"/>
              <a:ext cx="1888031" cy="2520000"/>
              <a:chOff x="0" y="0"/>
              <a:chExt cx="1888031" cy="2520000"/>
            </a:xfrm>
          </xdr:grpSpPr>
          <xdr:pic>
            <xdr:nvPicPr>
              <xdr:cNvPr id="28" name="Picture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0" y="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29" name="TextBox 4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 txBox="1"/>
            </xdr:nvSpPr>
            <xdr:spPr>
              <a:xfrm>
                <a:off x="35965" y="311150"/>
                <a:ext cx="878435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/>
                  <a:t>Building 2</a:t>
                </a:r>
                <a:endParaRPr lang="en-IN" sz="1200" b="1"/>
              </a:p>
            </xdr:txBody>
          </xdr:sp>
        </xdr:grpSp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952485" y="0"/>
              <a:ext cx="1888031" cy="2520000"/>
              <a:chOff x="1952485" y="0"/>
              <a:chExt cx="1888031" cy="2520000"/>
            </a:xfrm>
          </xdr:grpSpPr>
          <xdr:pic>
            <xdr:nvPicPr>
              <xdr:cNvPr id="26" name="Picture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952485" y="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27" name="TextBox 5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 txBox="1"/>
            </xdr:nvSpPr>
            <xdr:spPr>
              <a:xfrm>
                <a:off x="2296565" y="449649"/>
                <a:ext cx="941935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/>
                  <a:t>Building 2</a:t>
                </a:r>
                <a:endParaRPr lang="en-IN" sz="1200" b="1"/>
              </a:p>
            </xdr:txBody>
          </xdr:sp>
        </xdr:grpSp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3914019" y="0"/>
              <a:ext cx="1888031" cy="2520000"/>
              <a:chOff x="3914019" y="0"/>
              <a:chExt cx="1888031" cy="2520000"/>
            </a:xfrm>
          </xdr:grpSpPr>
          <xdr:pic>
            <xdr:nvPicPr>
              <xdr:cNvPr id="24" name="Picture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914019" y="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25" name="TextBox 6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 txBox="1"/>
            </xdr:nvSpPr>
            <xdr:spPr>
              <a:xfrm>
                <a:off x="4030115" y="119449"/>
                <a:ext cx="846685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/>
                  <a:t>Building 2</a:t>
                </a:r>
                <a:endParaRPr lang="en-IN" sz="1200" b="1"/>
              </a:p>
            </xdr:txBody>
          </xdr:sp>
        </xdr:grp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527975" y="2639449"/>
            <a:ext cx="5802051" cy="2520000"/>
            <a:chOff x="-1" y="2639449"/>
            <a:chExt cx="5802051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14019" y="263944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952484" y="2639449"/>
              <a:ext cx="1888031" cy="2520000"/>
              <a:chOff x="2074635" y="2682682"/>
              <a:chExt cx="1888031" cy="2520000"/>
            </a:xfrm>
          </xdr:grpSpPr>
          <xdr:pic>
            <xdr:nvPicPr>
              <xdr:cNvPr id="19" name="Picture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074635" y="2682682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20" name="TextBox 15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2187011" y="2831149"/>
                <a:ext cx="887889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/>
                  <a:t>Building 2</a:t>
                </a:r>
                <a:endParaRPr lang="en-IN" sz="1200" b="1"/>
              </a:p>
            </xdr:txBody>
          </xdr:sp>
        </xdr:grp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-1" y="2639449"/>
              <a:ext cx="1888031" cy="2520000"/>
              <a:chOff x="35965" y="2682682"/>
              <a:chExt cx="1888031" cy="2520000"/>
            </a:xfrm>
          </xdr:grpSpPr>
          <xdr:pic>
            <xdr:nvPicPr>
              <xdr:cNvPr id="17" name="Picture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5965" y="2682682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18" name="TextBox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74061" y="2959946"/>
                <a:ext cx="823929" cy="280205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/>
                  <a:t>Building 2</a:t>
                </a:r>
                <a:endParaRPr lang="en-IN" sz="1200" b="1"/>
              </a:p>
            </xdr:txBody>
          </xdr:sp>
        </xdr:grp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803249" y="5242317"/>
            <a:ext cx="5251502" cy="1800000"/>
            <a:chOff x="1619183" y="7344000"/>
            <a:chExt cx="5251502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19183" y="734400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95229" y="734400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522091" y="734400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</xdr:col>
      <xdr:colOff>238124</xdr:colOff>
      <xdr:row>294</xdr:row>
      <xdr:rowOff>95250</xdr:rowOff>
    </xdr:from>
    <xdr:to>
      <xdr:col>7</xdr:col>
      <xdr:colOff>219074</xdr:colOff>
      <xdr:row>329</xdr:row>
      <xdr:rowOff>76200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988918" y="70300103"/>
          <a:ext cx="4945156" cy="6648450"/>
          <a:chOff x="1089000" y="777914"/>
          <a:chExt cx="4680000" cy="8070840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/>
          <a:srcRect l="27829" t="20139" r="19518" b="13592"/>
          <a:stretch/>
        </xdr:blipFill>
        <xdr:spPr>
          <a:xfrm>
            <a:off x="1089000" y="777914"/>
            <a:ext cx="468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/>
        </xdr:nvGrpSpPr>
        <xdr:grpSpPr>
          <a:xfrm>
            <a:off x="1089000" y="4888754"/>
            <a:ext cx="4680000" cy="3960000"/>
            <a:chOff x="754743" y="3886431"/>
            <a:chExt cx="4680000" cy="396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6"/>
            <a:srcRect l="25765" t="18056" r="16450" b="11310"/>
            <a:stretch/>
          </xdr:blipFill>
          <xdr:spPr>
            <a:xfrm>
              <a:off x="754743" y="3886431"/>
              <a:ext cx="4680000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4" name="Freeform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1519084" y="3996813"/>
              <a:ext cx="1902542" cy="3605981"/>
            </a:xfrm>
            <a:custGeom>
              <a:avLst/>
              <a:gdLst>
                <a:gd name="connsiteX0" fmla="*/ 383458 w 1902542"/>
                <a:gd name="connsiteY0" fmla="*/ 1673942 h 3605981"/>
                <a:gd name="connsiteX1" fmla="*/ 766916 w 1902542"/>
                <a:gd name="connsiteY1" fmla="*/ 1688690 h 3605981"/>
                <a:gd name="connsiteX2" fmla="*/ 796413 w 1902542"/>
                <a:gd name="connsiteY2" fmla="*/ 1349477 h 3605981"/>
                <a:gd name="connsiteX3" fmla="*/ 619432 w 1902542"/>
                <a:gd name="connsiteY3" fmla="*/ 1268361 h 3605981"/>
                <a:gd name="connsiteX4" fmla="*/ 604684 w 1902542"/>
                <a:gd name="connsiteY4" fmla="*/ 1010264 h 3605981"/>
                <a:gd name="connsiteX5" fmla="*/ 405581 w 1902542"/>
                <a:gd name="connsiteY5" fmla="*/ 966019 h 3605981"/>
                <a:gd name="connsiteX6" fmla="*/ 0 w 1902542"/>
                <a:gd name="connsiteY6" fmla="*/ 575187 h 3605981"/>
                <a:gd name="connsiteX7" fmla="*/ 58993 w 1902542"/>
                <a:gd name="connsiteY7" fmla="*/ 516193 h 3605981"/>
                <a:gd name="connsiteX8" fmla="*/ 169606 w 1902542"/>
                <a:gd name="connsiteY8" fmla="*/ 412955 h 3605981"/>
                <a:gd name="connsiteX9" fmla="*/ 243348 w 1902542"/>
                <a:gd name="connsiteY9" fmla="*/ 250722 h 3605981"/>
                <a:gd name="connsiteX10" fmla="*/ 184355 w 1902542"/>
                <a:gd name="connsiteY10" fmla="*/ 117987 h 3605981"/>
                <a:gd name="connsiteX11" fmla="*/ 442451 w 1902542"/>
                <a:gd name="connsiteY11" fmla="*/ 0 h 3605981"/>
                <a:gd name="connsiteX12" fmla="*/ 516193 w 1902542"/>
                <a:gd name="connsiteY12" fmla="*/ 22122 h 3605981"/>
                <a:gd name="connsiteX13" fmla="*/ 663677 w 1902542"/>
                <a:gd name="connsiteY13" fmla="*/ 353961 h 3605981"/>
                <a:gd name="connsiteX14" fmla="*/ 619432 w 1902542"/>
                <a:gd name="connsiteY14" fmla="*/ 486697 h 3605981"/>
                <a:gd name="connsiteX15" fmla="*/ 715297 w 1902542"/>
                <a:gd name="connsiteY15" fmla="*/ 538316 h 3605981"/>
                <a:gd name="connsiteX16" fmla="*/ 663677 w 1902542"/>
                <a:gd name="connsiteY16" fmla="*/ 656303 h 3605981"/>
                <a:gd name="connsiteX17" fmla="*/ 744793 w 1902542"/>
                <a:gd name="connsiteY17" fmla="*/ 988142 h 3605981"/>
                <a:gd name="connsiteX18" fmla="*/ 1194619 w 1902542"/>
                <a:gd name="connsiteY18" fmla="*/ 1187245 h 3605981"/>
                <a:gd name="connsiteX19" fmla="*/ 1696064 w 1902542"/>
                <a:gd name="connsiteY19" fmla="*/ 1032387 h 3605981"/>
                <a:gd name="connsiteX20" fmla="*/ 1696064 w 1902542"/>
                <a:gd name="connsiteY20" fmla="*/ 1496961 h 3605981"/>
                <a:gd name="connsiteX21" fmla="*/ 1312606 w 1902542"/>
                <a:gd name="connsiteY21" fmla="*/ 1688690 h 3605981"/>
                <a:gd name="connsiteX22" fmla="*/ 1393722 w 1902542"/>
                <a:gd name="connsiteY22" fmla="*/ 2190135 h 3605981"/>
                <a:gd name="connsiteX23" fmla="*/ 1777181 w 1902542"/>
                <a:gd name="connsiteY23" fmla="*/ 2750574 h 3605981"/>
                <a:gd name="connsiteX24" fmla="*/ 1902542 w 1902542"/>
                <a:gd name="connsiteY24" fmla="*/ 3473245 h 3605981"/>
                <a:gd name="connsiteX25" fmla="*/ 1710813 w 1902542"/>
                <a:gd name="connsiteY25" fmla="*/ 3605981 h 3605981"/>
                <a:gd name="connsiteX26" fmla="*/ 1755058 w 1902542"/>
                <a:gd name="connsiteY26" fmla="*/ 2846439 h 3605981"/>
                <a:gd name="connsiteX27" fmla="*/ 1371600 w 1902542"/>
                <a:gd name="connsiteY27" fmla="*/ 2662084 h 3605981"/>
                <a:gd name="connsiteX28" fmla="*/ 1098755 w 1902542"/>
                <a:gd name="connsiteY28" fmla="*/ 2669458 h 3605981"/>
                <a:gd name="connsiteX29" fmla="*/ 966019 w 1902542"/>
                <a:gd name="connsiteY29" fmla="*/ 2839064 h 3605981"/>
                <a:gd name="connsiteX30" fmla="*/ 368710 w 1902542"/>
                <a:gd name="connsiteY30" fmla="*/ 2934929 h 3605981"/>
                <a:gd name="connsiteX31" fmla="*/ 435077 w 1902542"/>
                <a:gd name="connsiteY31" fmla="*/ 2109019 h 3605981"/>
                <a:gd name="connsiteX32" fmla="*/ 368710 w 1902542"/>
                <a:gd name="connsiteY32" fmla="*/ 1998406 h 3605981"/>
                <a:gd name="connsiteX33" fmla="*/ 383458 w 1902542"/>
                <a:gd name="connsiteY33" fmla="*/ 1673942 h 360598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</a:cxnLst>
              <a:rect l="l" t="t" r="r" b="b"/>
              <a:pathLst>
                <a:path w="1902542" h="3605981">
                  <a:moveTo>
                    <a:pt x="383458" y="1673942"/>
                  </a:moveTo>
                  <a:lnTo>
                    <a:pt x="766916" y="1688690"/>
                  </a:lnTo>
                  <a:lnTo>
                    <a:pt x="796413" y="1349477"/>
                  </a:lnTo>
                  <a:lnTo>
                    <a:pt x="619432" y="1268361"/>
                  </a:lnTo>
                  <a:lnTo>
                    <a:pt x="604684" y="1010264"/>
                  </a:lnTo>
                  <a:lnTo>
                    <a:pt x="405581" y="966019"/>
                  </a:lnTo>
                  <a:lnTo>
                    <a:pt x="0" y="575187"/>
                  </a:lnTo>
                  <a:lnTo>
                    <a:pt x="58993" y="516193"/>
                  </a:lnTo>
                  <a:lnTo>
                    <a:pt x="169606" y="412955"/>
                  </a:lnTo>
                  <a:lnTo>
                    <a:pt x="243348" y="250722"/>
                  </a:lnTo>
                  <a:lnTo>
                    <a:pt x="184355" y="117987"/>
                  </a:lnTo>
                  <a:lnTo>
                    <a:pt x="442451" y="0"/>
                  </a:lnTo>
                  <a:lnTo>
                    <a:pt x="516193" y="22122"/>
                  </a:lnTo>
                  <a:lnTo>
                    <a:pt x="663677" y="353961"/>
                  </a:lnTo>
                  <a:lnTo>
                    <a:pt x="619432" y="486697"/>
                  </a:lnTo>
                  <a:lnTo>
                    <a:pt x="715297" y="538316"/>
                  </a:lnTo>
                  <a:lnTo>
                    <a:pt x="663677" y="656303"/>
                  </a:lnTo>
                  <a:lnTo>
                    <a:pt x="744793" y="988142"/>
                  </a:lnTo>
                  <a:lnTo>
                    <a:pt x="1194619" y="1187245"/>
                  </a:lnTo>
                  <a:lnTo>
                    <a:pt x="1696064" y="1032387"/>
                  </a:lnTo>
                  <a:lnTo>
                    <a:pt x="1696064" y="1496961"/>
                  </a:lnTo>
                  <a:lnTo>
                    <a:pt x="1312606" y="1688690"/>
                  </a:lnTo>
                  <a:lnTo>
                    <a:pt x="1393722" y="2190135"/>
                  </a:lnTo>
                  <a:lnTo>
                    <a:pt x="1777181" y="2750574"/>
                  </a:lnTo>
                  <a:lnTo>
                    <a:pt x="1902542" y="3473245"/>
                  </a:lnTo>
                  <a:lnTo>
                    <a:pt x="1710813" y="3605981"/>
                  </a:lnTo>
                  <a:lnTo>
                    <a:pt x="1755058" y="2846439"/>
                  </a:lnTo>
                  <a:lnTo>
                    <a:pt x="1371600" y="2662084"/>
                  </a:lnTo>
                  <a:lnTo>
                    <a:pt x="1098755" y="2669458"/>
                  </a:lnTo>
                  <a:lnTo>
                    <a:pt x="966019" y="2839064"/>
                  </a:lnTo>
                  <a:lnTo>
                    <a:pt x="368710" y="2934929"/>
                  </a:lnTo>
                  <a:lnTo>
                    <a:pt x="435077" y="2109019"/>
                  </a:lnTo>
                  <a:lnTo>
                    <a:pt x="368710" y="1998406"/>
                  </a:lnTo>
                  <a:lnTo>
                    <a:pt x="383458" y="1673942"/>
                  </a:lnTo>
                  <a:close/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5" name="TextBox 31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2374490" y="4077929"/>
              <a:ext cx="222567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FF00"/>
                  </a:solidFill>
                </a:rPr>
                <a:t>Radha Nilaya Phase 2</a:t>
              </a:r>
              <a:endParaRPr lang="en-IN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1</xdr:col>
      <xdr:colOff>85725</xdr:colOff>
      <xdr:row>250</xdr:row>
      <xdr:rowOff>142874</xdr:rowOff>
    </xdr:from>
    <xdr:to>
      <xdr:col>7</xdr:col>
      <xdr:colOff>114300</xdr:colOff>
      <xdr:row>282</xdr:row>
      <xdr:rowOff>166874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836519" y="61965727"/>
          <a:ext cx="4992781" cy="6120000"/>
          <a:chOff x="1499869" y="509944"/>
          <a:chExt cx="3858263" cy="612000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499869" y="509944"/>
            <a:ext cx="3858263" cy="61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790700" y="3117850"/>
            <a:ext cx="1085850" cy="7302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911350" y="1778000"/>
            <a:ext cx="698500" cy="762000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2609850" y="1524000"/>
            <a:ext cx="952500" cy="1016000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1" name="TextBox 38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2656334" y="1860550"/>
            <a:ext cx="859531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Building 3 </a:t>
            </a:r>
          </a:p>
          <a:p>
            <a:r>
              <a:rPr lang="en-US" sz="1200" b="1"/>
              <a:t>(Wing A)</a:t>
            </a:r>
            <a:endParaRPr lang="en-IN" sz="1200" b="1"/>
          </a:p>
        </xdr:txBody>
      </xdr:sp>
      <xdr:sp macro="" textlink="">
        <xdr:nvSpPr>
          <xdr:cNvPr id="42" name="TextBox 39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1911350" y="1977340"/>
            <a:ext cx="744114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/>
              <a:t>Building 3 </a:t>
            </a:r>
          </a:p>
          <a:p>
            <a:r>
              <a:rPr lang="en-US" sz="1000" b="1"/>
              <a:t>(Wing B)</a:t>
            </a:r>
            <a:endParaRPr lang="en-IN" sz="1000" b="1"/>
          </a:p>
        </xdr:txBody>
      </xdr:sp>
      <xdr:sp macro="" textlink="">
        <xdr:nvSpPr>
          <xdr:cNvPr id="43" name="TextBox 4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847101" y="3313698"/>
            <a:ext cx="1029449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Building 2</a:t>
            </a:r>
            <a:endParaRPr lang="en-IN" sz="1600" b="1"/>
          </a:p>
        </xdr:txBody>
      </xdr: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6099" y="4266563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419101</xdr:colOff>
      <xdr:row>283</xdr:row>
      <xdr:rowOff>38100</xdr:rowOff>
    </xdr:from>
    <xdr:to>
      <xdr:col>5</xdr:col>
      <xdr:colOff>141109</xdr:colOff>
      <xdr:row>293</xdr:row>
      <xdr:rowOff>5100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67026" y="68046600"/>
          <a:ext cx="1331733" cy="1872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Dk8zVs2ByDbWGz3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8"/>
  <sheetViews>
    <sheetView tabSelected="1" view="pageBreakPreview" zoomScale="85" zoomScaleNormal="85" zoomScaleSheetLayoutView="85" zoomScalePageLayoutView="85" workbookViewId="0">
      <selection activeCell="E4" sqref="E4:H4"/>
    </sheetView>
  </sheetViews>
  <sheetFormatPr defaultColWidth="9.140625" defaultRowHeight="15" x14ac:dyDescent="0.25"/>
  <cols>
    <col min="1" max="1" width="11.28515625" style="10" customWidth="1"/>
    <col min="2" max="2" width="13.28515625" style="10" customWidth="1"/>
    <col min="3" max="3" width="12.140625" style="10" customWidth="1"/>
    <col min="4" max="4" width="12.42578125" style="10" customWidth="1"/>
    <col min="5" max="5" width="11.7109375" style="10" customWidth="1"/>
    <col min="6" max="6" width="13.28515625" style="10" customWidth="1"/>
    <col min="7" max="7" width="11.5703125" style="10" customWidth="1"/>
    <col min="8" max="8" width="11.85546875" style="10" customWidth="1"/>
    <col min="9" max="9" width="14.42578125" style="10" customWidth="1"/>
    <col min="10" max="13" width="9.140625" style="10"/>
    <col min="14" max="16" width="0" style="10" hidden="1" customWidth="1"/>
    <col min="17" max="16384" width="9.140625" style="10"/>
  </cols>
  <sheetData>
    <row r="1" spans="1:9" ht="43.9" customHeight="1" x14ac:dyDescent="0.25">
      <c r="A1" s="142" t="s">
        <v>132</v>
      </c>
      <c r="B1" s="142"/>
      <c r="C1" s="142"/>
      <c r="D1" s="142"/>
      <c r="E1" s="142"/>
      <c r="F1" s="142"/>
      <c r="G1" s="142"/>
      <c r="H1" s="142"/>
    </row>
    <row r="2" spans="1:9" x14ac:dyDescent="0.25">
      <c r="A2" s="143" t="s">
        <v>8</v>
      </c>
      <c r="B2" s="143"/>
      <c r="C2" s="143"/>
      <c r="D2" s="143"/>
      <c r="E2" s="143"/>
      <c r="F2" s="143"/>
      <c r="G2" s="143"/>
      <c r="H2" s="143"/>
    </row>
    <row r="3" spans="1:9" x14ac:dyDescent="0.25">
      <c r="A3" s="11" t="s">
        <v>16</v>
      </c>
      <c r="B3" s="145" t="s">
        <v>14</v>
      </c>
      <c r="C3" s="145"/>
      <c r="D3" s="145"/>
      <c r="E3" s="144" t="s">
        <v>17</v>
      </c>
      <c r="F3" s="144"/>
      <c r="G3" s="144"/>
      <c r="H3" s="144"/>
    </row>
    <row r="4" spans="1:9" ht="15" customHeight="1" x14ac:dyDescent="0.25">
      <c r="A4" s="12">
        <v>1</v>
      </c>
      <c r="B4" s="115" t="s">
        <v>18</v>
      </c>
      <c r="C4" s="115"/>
      <c r="D4" s="115"/>
      <c r="E4" s="146" t="s">
        <v>226</v>
      </c>
      <c r="F4" s="146"/>
      <c r="G4" s="146"/>
      <c r="H4" s="146"/>
    </row>
    <row r="5" spans="1:9" ht="33.75" customHeight="1" x14ac:dyDescent="0.25">
      <c r="A5" s="106">
        <v>2</v>
      </c>
      <c r="B5" s="115" t="s">
        <v>19</v>
      </c>
      <c r="C5" s="115"/>
      <c r="D5" s="115"/>
      <c r="E5" s="133" t="s">
        <v>181</v>
      </c>
      <c r="F5" s="133"/>
      <c r="G5" s="133"/>
      <c r="H5" s="133"/>
    </row>
    <row r="6" spans="1:9" ht="15.75" customHeight="1" x14ac:dyDescent="0.25">
      <c r="A6" s="107"/>
      <c r="B6" s="115"/>
      <c r="C6" s="115"/>
      <c r="D6" s="115"/>
      <c r="E6" s="148" t="s">
        <v>133</v>
      </c>
      <c r="F6" s="149"/>
      <c r="G6" s="153" t="s">
        <v>177</v>
      </c>
      <c r="H6" s="153"/>
    </row>
    <row r="7" spans="1:9" ht="15.75" customHeight="1" x14ac:dyDescent="0.25">
      <c r="A7" s="107"/>
      <c r="B7" s="150" t="s">
        <v>130</v>
      </c>
      <c r="C7" s="151"/>
      <c r="D7" s="151"/>
      <c r="E7" s="147" t="s">
        <v>176</v>
      </c>
      <c r="F7" s="139"/>
      <c r="G7" s="139"/>
      <c r="H7" s="140"/>
    </row>
    <row r="8" spans="1:9" x14ac:dyDescent="0.25">
      <c r="A8" s="107"/>
      <c r="B8" s="115" t="s">
        <v>84</v>
      </c>
      <c r="C8" s="115"/>
      <c r="D8" s="115"/>
      <c r="E8" s="148" t="s">
        <v>178</v>
      </c>
      <c r="F8" s="149"/>
      <c r="G8" s="148" t="s">
        <v>179</v>
      </c>
      <c r="H8" s="149"/>
    </row>
    <row r="9" spans="1:9" x14ac:dyDescent="0.25">
      <c r="A9" s="108"/>
      <c r="B9" s="115" t="s">
        <v>140</v>
      </c>
      <c r="C9" s="115"/>
      <c r="D9" s="115"/>
      <c r="E9" s="133" t="s">
        <v>10</v>
      </c>
      <c r="F9" s="133"/>
      <c r="G9" s="133"/>
      <c r="H9" s="133"/>
    </row>
    <row r="10" spans="1:9" x14ac:dyDescent="0.25">
      <c r="A10" s="12">
        <v>3</v>
      </c>
      <c r="B10" s="115" t="s">
        <v>20</v>
      </c>
      <c r="C10" s="115"/>
      <c r="D10" s="115"/>
      <c r="E10" s="133" t="s">
        <v>180</v>
      </c>
      <c r="F10" s="133"/>
      <c r="G10" s="133"/>
      <c r="H10" s="133"/>
    </row>
    <row r="11" spans="1:9" ht="33" customHeight="1" x14ac:dyDescent="0.25">
      <c r="A11" s="12">
        <v>4</v>
      </c>
      <c r="B11" s="115" t="s">
        <v>21</v>
      </c>
      <c r="C11" s="115"/>
      <c r="D11" s="115"/>
      <c r="E11" s="133" t="s">
        <v>181</v>
      </c>
      <c r="F11" s="133"/>
      <c r="G11" s="133"/>
      <c r="H11" s="133"/>
    </row>
    <row r="12" spans="1:9" ht="62.25" customHeight="1" x14ac:dyDescent="0.25">
      <c r="A12" s="12">
        <v>5</v>
      </c>
      <c r="B12" s="115" t="s">
        <v>22</v>
      </c>
      <c r="C12" s="115"/>
      <c r="D12" s="115"/>
      <c r="E12" s="133" t="s">
        <v>232</v>
      </c>
      <c r="F12" s="133"/>
      <c r="G12" s="133"/>
      <c r="H12" s="133"/>
      <c r="I12" s="183" t="s">
        <v>129</v>
      </c>
    </row>
    <row r="13" spans="1:9" ht="62.25" customHeight="1" x14ac:dyDescent="0.25">
      <c r="A13" s="12">
        <v>6</v>
      </c>
      <c r="B13" s="115" t="s">
        <v>23</v>
      </c>
      <c r="C13" s="115"/>
      <c r="D13" s="115"/>
      <c r="E13" s="116" t="str">
        <f>E12</f>
        <v>Proposed Residential Building On Land Bearing S. No. 158, H. No. 2/1/3, 4/1, 6,7, 8/1, 10, 14, 15, 11, 19, 35, 36 &amp; S. No. 164, H. No. 2/1 At Village Chandrapada, Tal. Vasai, Dist. Palghar.</v>
      </c>
      <c r="F13" s="116"/>
      <c r="G13" s="116"/>
      <c r="H13" s="116"/>
      <c r="I13" s="183"/>
    </row>
    <row r="14" spans="1:9" ht="15" customHeight="1" x14ac:dyDescent="0.25">
      <c r="A14" s="12">
        <v>7</v>
      </c>
      <c r="B14" s="115" t="s">
        <v>24</v>
      </c>
      <c r="C14" s="115"/>
      <c r="D14" s="115"/>
      <c r="E14" s="133">
        <v>45877</v>
      </c>
      <c r="F14" s="133"/>
      <c r="G14" s="133"/>
      <c r="H14" s="133"/>
    </row>
    <row r="15" spans="1:9" ht="15" customHeight="1" x14ac:dyDescent="0.25">
      <c r="A15" s="12">
        <v>8</v>
      </c>
      <c r="B15" s="115" t="s">
        <v>168</v>
      </c>
      <c r="C15" s="115"/>
      <c r="D15" s="115"/>
      <c r="E15" s="133">
        <v>45881</v>
      </c>
      <c r="F15" s="133"/>
      <c r="G15" s="133"/>
      <c r="H15" s="133"/>
    </row>
    <row r="16" spans="1:9" ht="64.5" customHeight="1" x14ac:dyDescent="0.25">
      <c r="A16" s="12">
        <v>9</v>
      </c>
      <c r="B16" s="115" t="s">
        <v>25</v>
      </c>
      <c r="C16" s="115"/>
      <c r="D16" s="115"/>
      <c r="E16" s="133" t="s">
        <v>182</v>
      </c>
      <c r="F16" s="133"/>
      <c r="G16" s="133"/>
      <c r="H16" s="133"/>
    </row>
    <row r="17" spans="1:10" ht="30.75" customHeight="1" x14ac:dyDescent="0.25">
      <c r="A17" s="12">
        <v>10</v>
      </c>
      <c r="B17" s="110" t="s">
        <v>26</v>
      </c>
      <c r="C17" s="110"/>
      <c r="D17" s="110"/>
      <c r="E17" s="124" t="s">
        <v>65</v>
      </c>
      <c r="F17" s="124"/>
      <c r="G17" s="124"/>
      <c r="H17" s="124"/>
    </row>
    <row r="18" spans="1:10" x14ac:dyDescent="0.25">
      <c r="A18" s="12">
        <v>11</v>
      </c>
      <c r="B18" s="115" t="s">
        <v>27</v>
      </c>
      <c r="C18" s="115"/>
      <c r="D18" s="115"/>
      <c r="E18" s="124" t="s">
        <v>65</v>
      </c>
      <c r="F18" s="124"/>
      <c r="G18" s="124"/>
      <c r="H18" s="124"/>
    </row>
    <row r="19" spans="1:10" ht="46.5" customHeight="1" x14ac:dyDescent="0.25">
      <c r="A19" s="12">
        <v>12</v>
      </c>
      <c r="B19" s="110" t="s">
        <v>28</v>
      </c>
      <c r="C19" s="110"/>
      <c r="D19" s="110"/>
      <c r="E19" s="124" t="s">
        <v>65</v>
      </c>
      <c r="F19" s="124"/>
      <c r="G19" s="124"/>
      <c r="H19" s="124"/>
    </row>
    <row r="20" spans="1:10" ht="47.25" customHeight="1" x14ac:dyDescent="0.25">
      <c r="A20" s="12">
        <v>13</v>
      </c>
      <c r="B20" s="110" t="s">
        <v>102</v>
      </c>
      <c r="C20" s="110"/>
      <c r="D20" s="110"/>
      <c r="E20" s="116">
        <v>8412847984</v>
      </c>
      <c r="F20" s="116"/>
      <c r="G20" s="116"/>
      <c r="H20" s="116"/>
    </row>
    <row r="21" spans="1:10" ht="29.25" customHeight="1" x14ac:dyDescent="0.25">
      <c r="A21" s="12">
        <v>14</v>
      </c>
      <c r="B21" s="110" t="s">
        <v>29</v>
      </c>
      <c r="C21" s="110"/>
      <c r="D21" s="110"/>
      <c r="E21" s="133"/>
      <c r="F21" s="133"/>
      <c r="G21" s="133"/>
      <c r="H21" s="133"/>
    </row>
    <row r="22" spans="1:10" ht="15" customHeight="1" x14ac:dyDescent="0.25">
      <c r="A22" s="12">
        <v>15</v>
      </c>
      <c r="B22" s="110" t="s">
        <v>30</v>
      </c>
      <c r="C22" s="110"/>
      <c r="D22" s="110"/>
      <c r="E22" s="152" t="s">
        <v>222</v>
      </c>
      <c r="F22" s="152"/>
      <c r="G22" s="152"/>
      <c r="H22" s="152"/>
      <c r="I22" s="184"/>
      <c r="J22" s="59"/>
    </row>
    <row r="23" spans="1:10" ht="30" customHeight="1" x14ac:dyDescent="0.25">
      <c r="A23" s="12">
        <v>16</v>
      </c>
      <c r="B23" s="110" t="s">
        <v>31</v>
      </c>
      <c r="C23" s="110"/>
      <c r="D23" s="110"/>
      <c r="E23" s="133" t="s">
        <v>224</v>
      </c>
      <c r="F23" s="133"/>
      <c r="G23" s="133"/>
      <c r="H23" s="133"/>
      <c r="I23" s="184"/>
      <c r="J23" s="59"/>
    </row>
    <row r="24" spans="1:10" ht="46.5" customHeight="1" x14ac:dyDescent="0.25">
      <c r="A24" s="12">
        <v>17</v>
      </c>
      <c r="B24" s="110" t="s">
        <v>103</v>
      </c>
      <c r="C24" s="110"/>
      <c r="D24" s="110"/>
      <c r="E24" s="133" t="s">
        <v>223</v>
      </c>
      <c r="F24" s="133"/>
      <c r="G24" s="133"/>
      <c r="H24" s="133"/>
      <c r="I24" s="184"/>
      <c r="J24" s="59"/>
    </row>
    <row r="25" spans="1:10" ht="31.5" customHeight="1" x14ac:dyDescent="0.25">
      <c r="A25" s="12">
        <v>18</v>
      </c>
      <c r="B25" s="110" t="s">
        <v>32</v>
      </c>
      <c r="C25" s="110"/>
      <c r="D25" s="110"/>
      <c r="E25" s="124" t="s">
        <v>65</v>
      </c>
      <c r="F25" s="124"/>
      <c r="G25" s="124"/>
      <c r="H25" s="124"/>
    </row>
    <row r="26" spans="1:10" x14ac:dyDescent="0.25">
      <c r="A26" s="12">
        <v>19</v>
      </c>
      <c r="B26" s="110" t="s">
        <v>33</v>
      </c>
      <c r="C26" s="110"/>
      <c r="D26" s="110"/>
      <c r="E26" s="133" t="s">
        <v>10</v>
      </c>
      <c r="F26" s="133"/>
      <c r="G26" s="133"/>
      <c r="H26" s="133"/>
    </row>
    <row r="27" spans="1:10" ht="45" customHeight="1" x14ac:dyDescent="0.25">
      <c r="A27" s="12">
        <v>20</v>
      </c>
      <c r="B27" s="110" t="s">
        <v>34</v>
      </c>
      <c r="C27" s="110"/>
      <c r="D27" s="110"/>
      <c r="E27" s="124" t="s">
        <v>65</v>
      </c>
      <c r="F27" s="124"/>
      <c r="G27" s="124"/>
      <c r="H27" s="124"/>
    </row>
    <row r="28" spans="1:10" x14ac:dyDescent="0.25">
      <c r="A28" s="12">
        <v>21</v>
      </c>
      <c r="B28" s="110" t="s">
        <v>35</v>
      </c>
      <c r="C28" s="110"/>
      <c r="D28" s="110"/>
      <c r="E28" s="133" t="s">
        <v>183</v>
      </c>
      <c r="F28" s="133"/>
      <c r="G28" s="133"/>
      <c r="H28" s="133"/>
    </row>
    <row r="29" spans="1:10" ht="15" customHeight="1" x14ac:dyDescent="0.25">
      <c r="A29" s="12">
        <v>22</v>
      </c>
      <c r="B29" s="110" t="s">
        <v>36</v>
      </c>
      <c r="C29" s="110"/>
      <c r="D29" s="110"/>
      <c r="E29" s="133" t="s">
        <v>225</v>
      </c>
      <c r="F29" s="133"/>
      <c r="G29" s="133"/>
      <c r="H29" s="133"/>
    </row>
    <row r="30" spans="1:10" ht="33.75" customHeight="1" x14ac:dyDescent="0.25">
      <c r="A30" s="12">
        <v>23</v>
      </c>
      <c r="B30" s="110" t="s">
        <v>37</v>
      </c>
      <c r="C30" s="110"/>
      <c r="D30" s="110"/>
      <c r="E30" s="133" t="s">
        <v>184</v>
      </c>
      <c r="F30" s="133"/>
      <c r="G30" s="133"/>
      <c r="H30" s="133"/>
    </row>
    <row r="31" spans="1:10" ht="33" customHeight="1" x14ac:dyDescent="0.25">
      <c r="A31" s="12">
        <v>24</v>
      </c>
      <c r="B31" s="110" t="s">
        <v>38</v>
      </c>
      <c r="C31" s="110"/>
      <c r="D31" s="110"/>
      <c r="E31" s="133" t="s">
        <v>10</v>
      </c>
      <c r="F31" s="133"/>
      <c r="G31" s="133"/>
      <c r="H31" s="133"/>
      <c r="I31" s="10" t="s">
        <v>185</v>
      </c>
    </row>
    <row r="32" spans="1:10" x14ac:dyDescent="0.25">
      <c r="A32" s="12">
        <v>25</v>
      </c>
      <c r="B32" s="110" t="s">
        <v>39</v>
      </c>
      <c r="C32" s="110"/>
      <c r="D32" s="110"/>
      <c r="E32" s="133" t="s">
        <v>186</v>
      </c>
      <c r="F32" s="133"/>
      <c r="G32" s="133"/>
      <c r="H32" s="133"/>
      <c r="I32" s="185" t="s">
        <v>129</v>
      </c>
      <c r="J32" s="186"/>
    </row>
    <row r="33" spans="1:10" ht="30" customHeight="1" x14ac:dyDescent="0.25">
      <c r="A33" s="12">
        <v>26</v>
      </c>
      <c r="B33" s="110" t="s">
        <v>40</v>
      </c>
      <c r="C33" s="110"/>
      <c r="D33" s="110"/>
      <c r="E33" s="116" t="str">
        <f>E32</f>
        <v>Vasai-Virar City Municipal Corporation. (VVCMC)</v>
      </c>
      <c r="F33" s="116"/>
      <c r="G33" s="116"/>
      <c r="H33" s="116"/>
      <c r="I33" s="185"/>
      <c r="J33" s="186"/>
    </row>
    <row r="34" spans="1:10" ht="33.75" customHeight="1" x14ac:dyDescent="0.25">
      <c r="A34" s="12">
        <v>27</v>
      </c>
      <c r="B34" s="110" t="s">
        <v>41</v>
      </c>
      <c r="C34" s="110"/>
      <c r="D34" s="110"/>
      <c r="E34" s="124" t="s">
        <v>68</v>
      </c>
      <c r="F34" s="124"/>
      <c r="G34" s="124"/>
      <c r="H34" s="124"/>
    </row>
    <row r="35" spans="1:10" ht="29.25" customHeight="1" x14ac:dyDescent="0.25">
      <c r="A35" s="12">
        <v>28</v>
      </c>
      <c r="B35" s="110" t="s">
        <v>42</v>
      </c>
      <c r="C35" s="110"/>
      <c r="D35" s="110"/>
      <c r="E35" s="124" t="str">
        <f>IF(AND(ISNUMBER(SEARCH("Flat",E167)),ISNUMBER(SEARCH("Shop",E167)),ISNUMBER(SEARCH("Office",E167))),"Residential + Commercial",IF(AND(ISNUMBER(SEARCH("Flat",E167)),ISNUMBER(SEARCH("Shop",E167))),"Residential + Commercial",IF(AND(ISNUMBER(SEARCH("Flat",E167)),ISNUMBER(SEARCH("Office",E167))),"Residential + Commercial",IF(AND(ISNUMBER(SEARCH("Shop",E167)),ISNUMBER(SEARCH("Office",E167))),"Commercial",IF(ISNUMBER(SEARCH("Shop",E167)),"Commercial",IF(ISNUMBER(SEARCH("Office",E167)),"Commercial",IF(ISNUMBER(SEARCH("Flat",E167)),"Residential")))))))</f>
        <v>Residential</v>
      </c>
      <c r="F35" s="124"/>
      <c r="G35" s="124"/>
      <c r="H35" s="124"/>
    </row>
    <row r="36" spans="1:10" ht="15" customHeight="1" x14ac:dyDescent="0.25">
      <c r="A36" s="12">
        <v>29</v>
      </c>
      <c r="B36" s="110" t="s">
        <v>164</v>
      </c>
      <c r="C36" s="110"/>
      <c r="D36" s="110"/>
      <c r="E36" s="187">
        <f>5500</f>
        <v>5500</v>
      </c>
      <c r="F36" s="187"/>
      <c r="G36" s="187"/>
      <c r="H36" s="187"/>
    </row>
    <row r="37" spans="1:10" ht="31.5" customHeight="1" x14ac:dyDescent="0.25">
      <c r="A37" s="12">
        <v>30</v>
      </c>
      <c r="B37" s="110" t="s">
        <v>80</v>
      </c>
      <c r="C37" s="110"/>
      <c r="D37" s="110"/>
      <c r="E37" s="124" t="s">
        <v>9</v>
      </c>
      <c r="F37" s="124"/>
      <c r="G37" s="124"/>
      <c r="H37" s="124"/>
    </row>
    <row r="38" spans="1:10" ht="31.5" customHeight="1" x14ac:dyDescent="0.25">
      <c r="A38" s="12">
        <v>31</v>
      </c>
      <c r="B38" s="110" t="s">
        <v>81</v>
      </c>
      <c r="C38" s="110"/>
      <c r="D38" s="110"/>
      <c r="E38" s="124" t="s">
        <v>69</v>
      </c>
      <c r="F38" s="124"/>
      <c r="G38" s="124"/>
      <c r="H38" s="124"/>
    </row>
    <row r="39" spans="1:10" ht="47.25" customHeight="1" x14ac:dyDescent="0.25">
      <c r="A39" s="12">
        <v>32</v>
      </c>
      <c r="B39" s="110" t="s">
        <v>43</v>
      </c>
      <c r="C39" s="110"/>
      <c r="D39" s="110"/>
      <c r="E39" s="124" t="s">
        <v>9</v>
      </c>
      <c r="F39" s="124"/>
      <c r="G39" s="124"/>
      <c r="H39" s="124"/>
    </row>
    <row r="40" spans="1:10" x14ac:dyDescent="0.25">
      <c r="A40" s="117">
        <v>33</v>
      </c>
      <c r="B40" s="116" t="s">
        <v>163</v>
      </c>
      <c r="C40" s="116"/>
      <c r="D40" s="116"/>
      <c r="E40" s="116">
        <f>5078.1</f>
        <v>5078.1000000000004</v>
      </c>
      <c r="F40" s="116"/>
      <c r="G40" s="116"/>
      <c r="H40" s="116"/>
    </row>
    <row r="41" spans="1:10" x14ac:dyDescent="0.25">
      <c r="A41" s="194"/>
      <c r="B41" s="116" t="s">
        <v>235</v>
      </c>
      <c r="C41" s="116"/>
      <c r="D41" s="116"/>
      <c r="E41" s="116">
        <f>8124.32</f>
        <v>8124.32</v>
      </c>
      <c r="F41" s="116"/>
      <c r="G41" s="116"/>
      <c r="H41" s="116"/>
      <c r="I41" s="10">
        <f>E41/E40</f>
        <v>1.5998739686103067</v>
      </c>
    </row>
    <row r="42" spans="1:10" s="211" customFormat="1" ht="15" customHeight="1" x14ac:dyDescent="0.25">
      <c r="A42" s="118"/>
      <c r="B42" s="116" t="s">
        <v>236</v>
      </c>
      <c r="C42" s="116"/>
      <c r="D42" s="116"/>
      <c r="E42" s="116">
        <f>2606.46+1525.32+2383.17</f>
        <v>6514.95</v>
      </c>
      <c r="F42" s="116"/>
      <c r="G42" s="116"/>
      <c r="H42" s="116"/>
    </row>
    <row r="43" spans="1:10" x14ac:dyDescent="0.25">
      <c r="A43" s="12">
        <v>34</v>
      </c>
      <c r="B43" s="116" t="s">
        <v>134</v>
      </c>
      <c r="C43" s="116"/>
      <c r="D43" s="116"/>
      <c r="E43" s="119">
        <f>5078.1/E40</f>
        <v>1</v>
      </c>
      <c r="F43" s="119"/>
      <c r="G43" s="119"/>
      <c r="H43" s="119"/>
    </row>
    <row r="44" spans="1:10" ht="15" customHeight="1" x14ac:dyDescent="0.25">
      <c r="A44" s="12">
        <f>A43+1</f>
        <v>35</v>
      </c>
      <c r="B44" s="120" t="s">
        <v>135</v>
      </c>
      <c r="C44" s="121"/>
      <c r="D44" s="122"/>
      <c r="E44" s="119">
        <f>3046.86/E40</f>
        <v>0.6</v>
      </c>
      <c r="F44" s="119"/>
      <c r="G44" s="119"/>
      <c r="H44" s="119"/>
    </row>
    <row r="45" spans="1:10" x14ac:dyDescent="0.25">
      <c r="A45" s="12">
        <f t="shared" ref="A45:A47" si="0">A44+1</f>
        <v>36</v>
      </c>
      <c r="B45" s="116" t="s">
        <v>136</v>
      </c>
      <c r="C45" s="116"/>
      <c r="D45" s="116"/>
      <c r="E45" s="119">
        <v>0</v>
      </c>
      <c r="F45" s="119"/>
      <c r="G45" s="119"/>
      <c r="H45" s="119"/>
    </row>
    <row r="46" spans="1:10" ht="16.5" customHeight="1" x14ac:dyDescent="0.25">
      <c r="A46" s="12">
        <f t="shared" si="0"/>
        <v>37</v>
      </c>
      <c r="B46" s="116" t="s">
        <v>44</v>
      </c>
      <c r="C46" s="116"/>
      <c r="D46" s="116"/>
      <c r="E46" s="119">
        <v>0</v>
      </c>
      <c r="F46" s="119"/>
      <c r="G46" s="119"/>
      <c r="H46" s="119"/>
    </row>
    <row r="47" spans="1:10" ht="16.5" customHeight="1" x14ac:dyDescent="0.25">
      <c r="A47" s="12">
        <f t="shared" si="0"/>
        <v>38</v>
      </c>
      <c r="B47" s="116" t="s">
        <v>137</v>
      </c>
      <c r="C47" s="116"/>
      <c r="D47" s="116"/>
      <c r="E47" s="119">
        <f>SUM(E43:H46)</f>
        <v>1.6</v>
      </c>
      <c r="F47" s="119"/>
      <c r="G47" s="119"/>
      <c r="H47" s="119"/>
    </row>
    <row r="48" spans="1:10" x14ac:dyDescent="0.25">
      <c r="A48" s="117">
        <v>39</v>
      </c>
      <c r="B48" s="110" t="s">
        <v>45</v>
      </c>
      <c r="C48" s="110"/>
      <c r="D48" s="110"/>
      <c r="E48" s="133">
        <v>45713</v>
      </c>
      <c r="F48" s="133"/>
      <c r="G48" s="133"/>
      <c r="H48" s="133"/>
    </row>
    <row r="49" spans="1:10" x14ac:dyDescent="0.25">
      <c r="A49" s="118"/>
      <c r="B49" s="110" t="s">
        <v>149</v>
      </c>
      <c r="C49" s="110"/>
      <c r="D49" s="110"/>
      <c r="E49" s="136" t="s">
        <v>234</v>
      </c>
      <c r="F49" s="136"/>
      <c r="G49" s="136"/>
      <c r="H49" s="136"/>
    </row>
    <row r="50" spans="1:10" ht="15.75" thickBot="1" x14ac:dyDescent="0.3">
      <c r="A50" s="33">
        <v>40</v>
      </c>
      <c r="B50" s="132" t="s">
        <v>46</v>
      </c>
      <c r="C50" s="132"/>
      <c r="D50" s="132"/>
      <c r="E50" s="132"/>
      <c r="F50" s="132"/>
      <c r="G50" s="132"/>
      <c r="H50" s="132"/>
    </row>
    <row r="51" spans="1:10" ht="15" customHeight="1" x14ac:dyDescent="0.25">
      <c r="A51" s="64" t="s">
        <v>152</v>
      </c>
      <c r="B51" s="65"/>
      <c r="C51" s="66" t="str">
        <f>E102</f>
        <v>Building 2 = G + 1st to 7th Floor</v>
      </c>
      <c r="D51" s="67"/>
      <c r="E51" s="67"/>
      <c r="F51" s="67"/>
      <c r="G51" s="67"/>
      <c r="H51" s="68"/>
      <c r="I51" s="5" t="str">
        <f ca="1">(IF(E55&gt;99%,"All work completed. Please provide OC.",IF(E55&gt;89.8%,"Plinth, RCC, Brick, Plaster, Flooring, Painting work Completed. Finishing work is in process.",IF(E55&lt;94%,(IF(C55=0,"Work not yet Started.",IF(D55=25%,"Piling work in process",IF(D55=50%,"Excavation work in process",IF(D55=100%,"Excavation work Completed. ","0")))&amp;(IF(C56=0%,"",IF(C56=J57,"Footing work is process",IF(C56=J58,"Footing work Completed",IF(C56=J59,"1st Basement Completed",IF(C56=J60,"1st &amp; 2nd Basement Completed",IF(C56=J61,"1st to 3rd Basement Completed",IF(C56=J62,"1st to 4th Basement Completed",IF(C56=J63,"Plinth work is process",IF(C56=J64,"Plinth work completed","0")))))))))))&amp;(IF(C57=(D52+F52+H52),", RCC Slab",IF(C57&gt;0,", RCC upto "&amp;C57&amp;" Slab",""))&amp;(IF(C58=H52,", Brickwork",IF(C58&gt;0,", Brickwork upto "&amp;C58&amp;" Floor",""))&amp;(IF(C59=H52,", Internal Plaster",IF(C59&gt;0,", Internal Plaster upto "&amp;C59&amp;" Floor",""))&amp;(IF(C60=H52,", External Plaster",IF(C60&gt;0,", External Plaster upto "&amp;C60&amp;" Floor",""))&amp;(IF(C61=H52,", Flooring",IF(C61&gt;0,", Flooring upto "&amp;C61&amp;" Floor",""))&amp;(IF(C62=H52,", Painting",IF(C62&gt;0,", Painting upto "&amp;C62&amp;" Floor",""))&amp;(IF(C63&gt;0,", Finishing upto "&amp;C63&amp;" Floor","")&amp;(IF(C57&gt;0.5," Completed",""))))))))))))))</f>
        <v>Excavation work Completed. Plinth work completed, RCC upto 5 Slab, Brickwork upto 2 Floor Completed</v>
      </c>
      <c r="J51" s="13"/>
    </row>
    <row r="52" spans="1:10" x14ac:dyDescent="0.25">
      <c r="A52" s="6" t="s">
        <v>85</v>
      </c>
      <c r="B52" s="7">
        <v>0</v>
      </c>
      <c r="C52" s="7" t="s">
        <v>87</v>
      </c>
      <c r="D52" s="7">
        <v>1</v>
      </c>
      <c r="E52" s="34" t="s">
        <v>86</v>
      </c>
      <c r="F52" s="7">
        <v>0</v>
      </c>
      <c r="G52" s="8" t="s">
        <v>104</v>
      </c>
      <c r="H52" s="37">
        <f ca="1">--TRIM(RIGHT(SUBSTITUTE(LEFT(C51,_xlfn.AGGREGATE(16,6,FIND({0,1,2,3,4,5,6,7,8,9},C51,ROW(INDIRECT("1:"&amp;LEN(C51)))),1))," ",REPT(" ",LEN(C51))),LEN(C51)))</f>
        <v>7</v>
      </c>
      <c r="I52" s="9"/>
      <c r="J52" s="14"/>
    </row>
    <row r="53" spans="1:10" ht="34.5" customHeight="1" x14ac:dyDescent="0.25">
      <c r="A53" s="69" t="s">
        <v>105</v>
      </c>
      <c r="B53" s="70"/>
      <c r="C53" s="71" t="str">
        <f ca="1">I51</f>
        <v>Excavation work Completed. Plinth work completed, RCC upto 5 Slab, Brickwork upto 2 Floor Completed</v>
      </c>
      <c r="D53" s="72"/>
      <c r="E53" s="72"/>
      <c r="F53" s="72"/>
      <c r="G53" s="72"/>
      <c r="H53" s="73"/>
      <c r="I53" s="9" t="s">
        <v>106</v>
      </c>
      <c r="J53" s="14"/>
    </row>
    <row r="54" spans="1:10" ht="15" customHeight="1" x14ac:dyDescent="0.25">
      <c r="A54" s="74" t="s">
        <v>4</v>
      </c>
      <c r="B54" s="75"/>
      <c r="C54" s="31" t="s">
        <v>107</v>
      </c>
      <c r="D54" s="31" t="s">
        <v>108</v>
      </c>
      <c r="E54" s="76" t="s">
        <v>109</v>
      </c>
      <c r="F54" s="75"/>
      <c r="G54" s="77" t="s">
        <v>110</v>
      </c>
      <c r="H54" s="78"/>
      <c r="I54" s="3" t="s">
        <v>111</v>
      </c>
      <c r="J54" s="15">
        <f ca="1">H52*25%</f>
        <v>1.75</v>
      </c>
    </row>
    <row r="55" spans="1:10" ht="15" customHeight="1" x14ac:dyDescent="0.25">
      <c r="A55" s="79" t="s">
        <v>112</v>
      </c>
      <c r="B55" s="77"/>
      <c r="C55" s="48">
        <f ca="1">J56</f>
        <v>7</v>
      </c>
      <c r="D55" s="32">
        <f ca="1">((100/H52)*C55)/100</f>
        <v>1</v>
      </c>
      <c r="E55" s="80">
        <f ca="1">(((C56/H52*20)+(30/(D52+F52+H52)*C57)+(10/(H52)*C58)+(5/(H52)*C59)+(5/H52*C60)+(10/H52*C61)+(5/H52*C62)+(5/H52*C63)+(10/H52*C64))/100)</f>
        <v>0.41607142857142854</v>
      </c>
      <c r="F55" s="80"/>
      <c r="G55" s="82">
        <f ca="1">((((C55/H52)*10)+((C56/H52)*20)+(30/(H52+F52+D52)*C57)+(10/H52*C58)+(5/H52*C59)+(5/H52*C60)+(10/H52*C61)+(5/H52*C62)+(5/H52*C63)+(0/H52*C64))/100)</f>
        <v>0.51607142857142851</v>
      </c>
      <c r="H55" s="83"/>
      <c r="I55" s="3" t="s">
        <v>88</v>
      </c>
      <c r="J55" s="16">
        <f ca="1">H52*50%</f>
        <v>3.5</v>
      </c>
    </row>
    <row r="56" spans="1:10" x14ac:dyDescent="0.25">
      <c r="A56" s="79" t="s">
        <v>5</v>
      </c>
      <c r="B56" s="77"/>
      <c r="C56" s="49">
        <f ca="1">J64</f>
        <v>7</v>
      </c>
      <c r="D56" s="32">
        <f ca="1">((100/H52)*C56)/100</f>
        <v>1</v>
      </c>
      <c r="E56" s="80"/>
      <c r="F56" s="80"/>
      <c r="G56" s="84"/>
      <c r="H56" s="85"/>
      <c r="I56" s="3" t="s">
        <v>89</v>
      </c>
      <c r="J56" s="16">
        <f ca="1">H52</f>
        <v>7</v>
      </c>
    </row>
    <row r="57" spans="1:10" ht="15" customHeight="1" x14ac:dyDescent="0.25">
      <c r="A57" s="79" t="s">
        <v>113</v>
      </c>
      <c r="B57" s="77"/>
      <c r="C57" s="49">
        <v>5</v>
      </c>
      <c r="D57" s="32">
        <f ca="1">((100/(D52+F52+H52))*C57)/100</f>
        <v>0.625</v>
      </c>
      <c r="E57" s="80"/>
      <c r="F57" s="80"/>
      <c r="G57" s="84"/>
      <c r="H57" s="85"/>
      <c r="I57" s="3" t="s">
        <v>90</v>
      </c>
      <c r="J57" s="17">
        <f ca="1">(IF(B52&gt;1,(H52/(B52+2)),H52/4))</f>
        <v>1.75</v>
      </c>
    </row>
    <row r="58" spans="1:10" ht="15" customHeight="1" x14ac:dyDescent="0.25">
      <c r="A58" s="79" t="s">
        <v>114</v>
      </c>
      <c r="B58" s="77" t="s">
        <v>115</v>
      </c>
      <c r="C58" s="48">
        <v>2</v>
      </c>
      <c r="D58" s="32">
        <f ca="1">((100/H52)*C58)/100</f>
        <v>0.28571428571428575</v>
      </c>
      <c r="E58" s="80"/>
      <c r="F58" s="80"/>
      <c r="G58" s="84"/>
      <c r="H58" s="85"/>
      <c r="I58" s="3" t="s">
        <v>91</v>
      </c>
      <c r="J58" s="17">
        <f ca="1">(IF(B52&gt;1,(H52/(B52+2)+J57),H52/4+J57))</f>
        <v>3.5</v>
      </c>
    </row>
    <row r="59" spans="1:10" ht="15" customHeight="1" x14ac:dyDescent="0.25">
      <c r="A59" s="79" t="s">
        <v>116</v>
      </c>
      <c r="B59" s="77" t="s">
        <v>115</v>
      </c>
      <c r="C59" s="48">
        <v>0</v>
      </c>
      <c r="D59" s="32">
        <f ca="1">((100/H52)*C59)/100</f>
        <v>0</v>
      </c>
      <c r="E59" s="80"/>
      <c r="F59" s="80"/>
      <c r="G59" s="84"/>
      <c r="H59" s="85"/>
      <c r="I59" s="3" t="s">
        <v>117</v>
      </c>
      <c r="J59" s="17">
        <f>(IF(B52&gt;1,(H52/(B52+2)+J58),0))</f>
        <v>0</v>
      </c>
    </row>
    <row r="60" spans="1:10" ht="15" customHeight="1" x14ac:dyDescent="0.25">
      <c r="A60" s="79" t="s">
        <v>172</v>
      </c>
      <c r="B60" s="77" t="s">
        <v>119</v>
      </c>
      <c r="C60" s="48">
        <v>0</v>
      </c>
      <c r="D60" s="32">
        <f ca="1">((100/(H52))*C60)/100</f>
        <v>0</v>
      </c>
      <c r="E60" s="80"/>
      <c r="F60" s="80"/>
      <c r="G60" s="84"/>
      <c r="H60" s="85"/>
      <c r="I60" s="3" t="s">
        <v>120</v>
      </c>
      <c r="J60" s="17">
        <f>(IF(B52&gt;2,(H52/(B52+2)+J59),0))</f>
        <v>0</v>
      </c>
    </row>
    <row r="61" spans="1:10" ht="15" customHeight="1" x14ac:dyDescent="0.25">
      <c r="A61" s="79" t="s">
        <v>121</v>
      </c>
      <c r="B61" s="77" t="s">
        <v>121</v>
      </c>
      <c r="C61" s="48">
        <v>0</v>
      </c>
      <c r="D61" s="32">
        <f ca="1">((100/H52)*C61)/100</f>
        <v>0</v>
      </c>
      <c r="E61" s="80"/>
      <c r="F61" s="80"/>
      <c r="G61" s="84"/>
      <c r="H61" s="85"/>
      <c r="I61" s="3" t="s">
        <v>122</v>
      </c>
      <c r="J61" s="18">
        <f>(IF(B52&gt;3,(H52/(B52+2)+J60),0))</f>
        <v>0</v>
      </c>
    </row>
    <row r="62" spans="1:10" ht="15" customHeight="1" x14ac:dyDescent="0.25">
      <c r="A62" s="79" t="s">
        <v>123</v>
      </c>
      <c r="B62" s="77"/>
      <c r="C62" s="48">
        <v>0</v>
      </c>
      <c r="D62" s="32">
        <f ca="1">((100/H52)*C62)/100</f>
        <v>0</v>
      </c>
      <c r="E62" s="80"/>
      <c r="F62" s="80"/>
      <c r="G62" s="84"/>
      <c r="H62" s="85"/>
      <c r="I62" s="3" t="s">
        <v>124</v>
      </c>
      <c r="J62" s="17">
        <f>(IF(B52&gt;4,(H52/(B52+2)+J61),0))</f>
        <v>0</v>
      </c>
    </row>
    <row r="63" spans="1:10" ht="15" customHeight="1" x14ac:dyDescent="0.25">
      <c r="A63" s="79" t="s">
        <v>171</v>
      </c>
      <c r="B63" s="77" t="s">
        <v>119</v>
      </c>
      <c r="C63" s="48">
        <v>0</v>
      </c>
      <c r="D63" s="32">
        <f ca="1">((100/(H52))*C63)/100</f>
        <v>0</v>
      </c>
      <c r="E63" s="80"/>
      <c r="F63" s="80"/>
      <c r="G63" s="84"/>
      <c r="H63" s="85"/>
      <c r="I63" s="3" t="s">
        <v>92</v>
      </c>
      <c r="J63" s="17">
        <f ca="1">(IF(B52=1,(H52/(B52+3)+J58),IF(B52=0,(H52/4+J58),IF(B52&gt;1,0))))</f>
        <v>5.25</v>
      </c>
    </row>
    <row r="64" spans="1:10" ht="15.75" customHeight="1" thickBot="1" x14ac:dyDescent="0.3">
      <c r="A64" s="88" t="s">
        <v>126</v>
      </c>
      <c r="B64" s="89"/>
      <c r="C64" s="50">
        <v>0</v>
      </c>
      <c r="D64" s="35">
        <f ca="1">((100/(H52))*C64)/100</f>
        <v>0</v>
      </c>
      <c r="E64" s="81"/>
      <c r="F64" s="81"/>
      <c r="G64" s="86"/>
      <c r="H64" s="87"/>
      <c r="I64" s="4" t="s">
        <v>93</v>
      </c>
      <c r="J64" s="19">
        <f ca="1">(IF(B52&gt;1.5,(H52/(B52+2)+J58+MAX(0,J59-J58)+MAX(0,J60-J59)+MAX(0,J61-J60)+MAX(0,J62-J61)+MAX(0,J63-J62)),IF(B52=1,(H52/(B52+3)+J63),IF(B52=0,H52/4+J63))))</f>
        <v>7</v>
      </c>
    </row>
    <row r="65" spans="1:10" x14ac:dyDescent="0.25">
      <c r="A65" s="64" t="s">
        <v>152</v>
      </c>
      <c r="B65" s="65"/>
      <c r="C65" s="66" t="str">
        <f>E103</f>
        <v>Building 3 (Wing A) = G + 1st to 4th Floor</v>
      </c>
      <c r="D65" s="67"/>
      <c r="E65" s="67"/>
      <c r="F65" s="67"/>
      <c r="G65" s="67"/>
      <c r="H65" s="68"/>
      <c r="I65" s="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Work not yet Started.</v>
      </c>
      <c r="J65" s="13"/>
    </row>
    <row r="66" spans="1:10" x14ac:dyDescent="0.25">
      <c r="A66" s="6" t="s">
        <v>85</v>
      </c>
      <c r="B66" s="7">
        <f>IF(AND(ISNUMBER(SEARCH("1B",C65))),1,IF(AND(ISNUMBER(SEARCH("2B",C65))),2,IF(AND(ISNUMBER(SEARCH("3B",C65))),3,IF(AND(ISNUMBER(SEARCH("4B",C65))),4,IF(ISNUMBER(SEARCH("5B",C65)),5,0)))))</f>
        <v>0</v>
      </c>
      <c r="C66" s="7" t="s">
        <v>87</v>
      </c>
      <c r="D66" s="7">
        <v>1</v>
      </c>
      <c r="E66" s="34" t="s">
        <v>86</v>
      </c>
      <c r="F66" s="7">
        <v>0</v>
      </c>
      <c r="G66" s="8" t="s">
        <v>104</v>
      </c>
      <c r="H66" s="37">
        <f ca="1">--TRIM(RIGHT(SUBSTITUTE(LEFT(C65,_xlfn.AGGREGATE(16,6,FIND({0,1,2,3,4,5,6,7,8,9},C65,ROW(INDIRECT("1:"&amp;LEN(C65)))),1))," ",REPT(" ",LEN(C65))),LEN(C65)))</f>
        <v>4</v>
      </c>
      <c r="I66" s="9"/>
      <c r="J66" s="14"/>
    </row>
    <row r="67" spans="1:10" x14ac:dyDescent="0.25">
      <c r="A67" s="69" t="s">
        <v>105</v>
      </c>
      <c r="B67" s="70"/>
      <c r="C67" s="71" t="str">
        <f ca="1">I65</f>
        <v>Work not yet Started.</v>
      </c>
      <c r="D67" s="72"/>
      <c r="E67" s="72"/>
      <c r="F67" s="72"/>
      <c r="G67" s="72"/>
      <c r="H67" s="73"/>
      <c r="I67" s="9" t="s">
        <v>106</v>
      </c>
      <c r="J67" s="14"/>
    </row>
    <row r="68" spans="1:10" x14ac:dyDescent="0.25">
      <c r="A68" s="74" t="s">
        <v>4</v>
      </c>
      <c r="B68" s="75"/>
      <c r="C68" s="31" t="s">
        <v>107</v>
      </c>
      <c r="D68" s="31" t="s">
        <v>108</v>
      </c>
      <c r="E68" s="76" t="s">
        <v>109</v>
      </c>
      <c r="F68" s="75"/>
      <c r="G68" s="77" t="s">
        <v>110</v>
      </c>
      <c r="H68" s="78"/>
      <c r="I68" s="3" t="s">
        <v>111</v>
      </c>
      <c r="J68" s="15">
        <f ca="1">H66*25%</f>
        <v>1</v>
      </c>
    </row>
    <row r="69" spans="1:10" x14ac:dyDescent="0.25">
      <c r="A69" s="79" t="s">
        <v>112</v>
      </c>
      <c r="B69" s="77"/>
      <c r="C69" s="48">
        <f>0</f>
        <v>0</v>
      </c>
      <c r="D69" s="32">
        <f ca="1">((100/H66)*C69)/100</f>
        <v>0</v>
      </c>
      <c r="E69" s="80">
        <f ca="1">(((C70/H66*20)+(30/(D66+F66+H66)*C71)+(10/(H66)*C72)+(5/(H66)*C73)+(5/H66*C74)+(10/H66*C75)+(5/H66*C76)+(5/H66*C77)+(10/H66*C78))/100)</f>
        <v>0</v>
      </c>
      <c r="F69" s="80"/>
      <c r="G69" s="82">
        <f ca="1">((((C69/H66)*10)+((C70/H66)*20)+(30/(H66+F66+D66)*C71)+(10/H66*C72)+(5/H66*C73)+(5/H66*C74)+(10/H66*C75)+(5/H66*C76)+(5/H66*C77)+(0/H66*C78))/100)</f>
        <v>0</v>
      </c>
      <c r="H69" s="83"/>
      <c r="I69" s="3" t="s">
        <v>88</v>
      </c>
      <c r="J69" s="16">
        <f ca="1">H66*50%</f>
        <v>2</v>
      </c>
    </row>
    <row r="70" spans="1:10" x14ac:dyDescent="0.25">
      <c r="A70" s="79" t="s">
        <v>5</v>
      </c>
      <c r="B70" s="77"/>
      <c r="C70" s="49">
        <f>0</f>
        <v>0</v>
      </c>
      <c r="D70" s="32">
        <f ca="1">((100/H66)*C70)/100</f>
        <v>0</v>
      </c>
      <c r="E70" s="80"/>
      <c r="F70" s="80"/>
      <c r="G70" s="84"/>
      <c r="H70" s="85"/>
      <c r="I70" s="3" t="s">
        <v>89</v>
      </c>
      <c r="J70" s="16">
        <f ca="1">H66</f>
        <v>4</v>
      </c>
    </row>
    <row r="71" spans="1:10" x14ac:dyDescent="0.25">
      <c r="A71" s="79" t="s">
        <v>113</v>
      </c>
      <c r="B71" s="77"/>
      <c r="C71" s="49">
        <v>0</v>
      </c>
      <c r="D71" s="32">
        <f ca="1">((100/(D66+F66+H66))*C71)/100</f>
        <v>0</v>
      </c>
      <c r="E71" s="80"/>
      <c r="F71" s="80"/>
      <c r="G71" s="84"/>
      <c r="H71" s="85"/>
      <c r="I71" s="3" t="s">
        <v>90</v>
      </c>
      <c r="J71" s="17">
        <f ca="1">(IF(B66&gt;1,(H66/(B66+2)),H66/4))</f>
        <v>1</v>
      </c>
    </row>
    <row r="72" spans="1:10" x14ac:dyDescent="0.25">
      <c r="A72" s="79" t="s">
        <v>114</v>
      </c>
      <c r="B72" s="77" t="s">
        <v>115</v>
      </c>
      <c r="C72" s="48">
        <v>0</v>
      </c>
      <c r="D72" s="32">
        <f ca="1">((100/H66)*C72)/100</f>
        <v>0</v>
      </c>
      <c r="E72" s="80"/>
      <c r="F72" s="80"/>
      <c r="G72" s="84"/>
      <c r="H72" s="85"/>
      <c r="I72" s="3" t="s">
        <v>91</v>
      </c>
      <c r="J72" s="17">
        <f ca="1">(IF(B66&gt;1,(H66/(B66+2)+J71),H66/4+J71))</f>
        <v>2</v>
      </c>
    </row>
    <row r="73" spans="1:10" x14ac:dyDescent="0.25">
      <c r="A73" s="79" t="s">
        <v>116</v>
      </c>
      <c r="B73" s="77" t="s">
        <v>115</v>
      </c>
      <c r="C73" s="48">
        <v>0</v>
      </c>
      <c r="D73" s="32">
        <f ca="1">((100/H66)*C73)/100</f>
        <v>0</v>
      </c>
      <c r="E73" s="80"/>
      <c r="F73" s="80"/>
      <c r="G73" s="84"/>
      <c r="H73" s="85"/>
      <c r="I73" s="3" t="s">
        <v>117</v>
      </c>
      <c r="J73" s="17">
        <f>(IF(B66&gt;1,(H66/(B66+2)+J72),0))</f>
        <v>0</v>
      </c>
    </row>
    <row r="74" spans="1:10" x14ac:dyDescent="0.25">
      <c r="A74" s="79" t="s">
        <v>118</v>
      </c>
      <c r="B74" s="77" t="s">
        <v>119</v>
      </c>
      <c r="C74" s="48">
        <v>0</v>
      </c>
      <c r="D74" s="32">
        <f ca="1">((100/(H66))*C74)/100</f>
        <v>0</v>
      </c>
      <c r="E74" s="80"/>
      <c r="F74" s="80"/>
      <c r="G74" s="84"/>
      <c r="H74" s="85"/>
      <c r="I74" s="3" t="s">
        <v>120</v>
      </c>
      <c r="J74" s="17">
        <f>(IF(B66&gt;2,(H66/(B66+2)+J73),0))</f>
        <v>0</v>
      </c>
    </row>
    <row r="75" spans="1:10" x14ac:dyDescent="0.25">
      <c r="A75" s="79" t="s">
        <v>121</v>
      </c>
      <c r="B75" s="77" t="s">
        <v>121</v>
      </c>
      <c r="C75" s="48">
        <v>0</v>
      </c>
      <c r="D75" s="32">
        <f ca="1">((100/H66)*C75)/100</f>
        <v>0</v>
      </c>
      <c r="E75" s="80"/>
      <c r="F75" s="80"/>
      <c r="G75" s="84"/>
      <c r="H75" s="85"/>
      <c r="I75" s="3" t="s">
        <v>122</v>
      </c>
      <c r="J75" s="18">
        <f>(IF(B66&gt;3,(H66/(B66+2)+J74),0))</f>
        <v>0</v>
      </c>
    </row>
    <row r="76" spans="1:10" x14ac:dyDescent="0.25">
      <c r="A76" s="79" t="s">
        <v>123</v>
      </c>
      <c r="B76" s="77"/>
      <c r="C76" s="48">
        <v>0</v>
      </c>
      <c r="D76" s="32">
        <f ca="1">((100/H66)*C76)/100</f>
        <v>0</v>
      </c>
      <c r="E76" s="80"/>
      <c r="F76" s="80"/>
      <c r="G76" s="84"/>
      <c r="H76" s="85"/>
      <c r="I76" s="3" t="s">
        <v>124</v>
      </c>
      <c r="J76" s="17">
        <f>(IF(B66&gt;4,(H66/(B66+2)+J75),0))</f>
        <v>0</v>
      </c>
    </row>
    <row r="77" spans="1:10" x14ac:dyDescent="0.25">
      <c r="A77" s="79" t="s">
        <v>125</v>
      </c>
      <c r="B77" s="77" t="s">
        <v>125</v>
      </c>
      <c r="C77" s="48">
        <v>0</v>
      </c>
      <c r="D77" s="32">
        <f ca="1">((100/(H66))*C77)/100</f>
        <v>0</v>
      </c>
      <c r="E77" s="80"/>
      <c r="F77" s="80"/>
      <c r="G77" s="84"/>
      <c r="H77" s="85"/>
      <c r="I77" s="3" t="s">
        <v>92</v>
      </c>
      <c r="J77" s="17">
        <f ca="1">(IF(B66=1,(H66/(B66+3)+J72),IF(B66=0,(H66/4+J72),IF(B66&gt;1,0))))</f>
        <v>3</v>
      </c>
    </row>
    <row r="78" spans="1:10" ht="15.75" thickBot="1" x14ac:dyDescent="0.3">
      <c r="A78" s="88" t="s">
        <v>126</v>
      </c>
      <c r="B78" s="89"/>
      <c r="C78" s="50">
        <v>0</v>
      </c>
      <c r="D78" s="35">
        <f ca="1">((100/(H66))*C78)/100</f>
        <v>0</v>
      </c>
      <c r="E78" s="81"/>
      <c r="F78" s="81"/>
      <c r="G78" s="86"/>
      <c r="H78" s="87"/>
      <c r="I78" s="4" t="s">
        <v>93</v>
      </c>
      <c r="J78" s="19">
        <f ca="1">(IF(B66&gt;1.5,(H66/(B66+2)+J72+MAX(0,J73-J72)+MAX(0,J74-J73)+MAX(0,J75-J74)+MAX(0,J76-J75)+MAX(0,J77-J76)),IF(B66=1,(H66/(B66+3)+J77),IF(B66=0,H66/4+J77))))</f>
        <v>4</v>
      </c>
    </row>
    <row r="79" spans="1:10" x14ac:dyDescent="0.25">
      <c r="A79" s="64" t="s">
        <v>152</v>
      </c>
      <c r="B79" s="65"/>
      <c r="C79" s="66" t="str">
        <f>E104</f>
        <v>Building 3 (Wing B) = G + 1st to 7th Floor</v>
      </c>
      <c r="D79" s="67"/>
      <c r="E79" s="67"/>
      <c r="F79" s="67"/>
      <c r="G79" s="67"/>
      <c r="H79" s="68"/>
      <c r="I79" s="5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Work not yet Started.</v>
      </c>
      <c r="J79" s="13"/>
    </row>
    <row r="80" spans="1:10" x14ac:dyDescent="0.25">
      <c r="A80" s="6" t="s">
        <v>85</v>
      </c>
      <c r="B80" s="7">
        <f>IF(AND(ISNUMBER(SEARCH("1B",C79))),1,IF(AND(ISNUMBER(SEARCH("2B",C79))),2,IF(AND(ISNUMBER(SEARCH("3B",C79))),3,IF(AND(ISNUMBER(SEARCH("4B",C79))),4,IF(ISNUMBER(SEARCH("5B",C79)),5,0)))))</f>
        <v>0</v>
      </c>
      <c r="C80" s="7" t="s">
        <v>87</v>
      </c>
      <c r="D80" s="7">
        <v>1</v>
      </c>
      <c r="E80" s="34" t="s">
        <v>86</v>
      </c>
      <c r="F80" s="7">
        <v>0</v>
      </c>
      <c r="G80" s="8" t="s">
        <v>104</v>
      </c>
      <c r="H80" s="37">
        <f ca="1">--TRIM(RIGHT(SUBSTITUTE(LEFT(C79,_xlfn.AGGREGATE(16,6,FIND({0,1,2,3,4,5,6,7,8,9},C79,ROW(INDIRECT("1:"&amp;LEN(C79)))),1))," ",REPT(" ",LEN(C79))),LEN(C79)))</f>
        <v>7</v>
      </c>
      <c r="I80" s="9"/>
      <c r="J80" s="14"/>
    </row>
    <row r="81" spans="1:10" x14ac:dyDescent="0.25">
      <c r="A81" s="69" t="s">
        <v>105</v>
      </c>
      <c r="B81" s="70"/>
      <c r="C81" s="71" t="str">
        <f ca="1">I79</f>
        <v>Work not yet Started.</v>
      </c>
      <c r="D81" s="72"/>
      <c r="E81" s="72"/>
      <c r="F81" s="72"/>
      <c r="G81" s="72"/>
      <c r="H81" s="73"/>
      <c r="I81" s="9" t="s">
        <v>106</v>
      </c>
      <c r="J81" s="14"/>
    </row>
    <row r="82" spans="1:10" x14ac:dyDescent="0.25">
      <c r="A82" s="74" t="s">
        <v>4</v>
      </c>
      <c r="B82" s="75"/>
      <c r="C82" s="31" t="s">
        <v>107</v>
      </c>
      <c r="D82" s="31" t="s">
        <v>108</v>
      </c>
      <c r="E82" s="76" t="s">
        <v>109</v>
      </c>
      <c r="F82" s="75"/>
      <c r="G82" s="77" t="s">
        <v>110</v>
      </c>
      <c r="H82" s="78"/>
      <c r="I82" s="3" t="s">
        <v>111</v>
      </c>
      <c r="J82" s="15">
        <f ca="1">H80*25%</f>
        <v>1.75</v>
      </c>
    </row>
    <row r="83" spans="1:10" x14ac:dyDescent="0.25">
      <c r="A83" s="79" t="s">
        <v>112</v>
      </c>
      <c r="B83" s="77"/>
      <c r="C83" s="48">
        <f>0</f>
        <v>0</v>
      </c>
      <c r="D83" s="32">
        <f ca="1">((100/H80)*C83)/100</f>
        <v>0</v>
      </c>
      <c r="E83" s="80">
        <f ca="1">(((C84/H80*20)+(30/(D80+F80+H80)*C85)+(10/(H80)*C86)+(5/(H80)*C87)+(5/H80*C88)+(10/H80*C89)+(5/H80*C90)+(5/H80*C91)+(10/H80*C92))/100)</f>
        <v>0</v>
      </c>
      <c r="F83" s="80"/>
      <c r="G83" s="82">
        <f ca="1">((((C83/H80)*10)+((C84/H80)*20)+(30/(H80+F80+D80)*C85)+(10/H80*C86)+(5/H80*C87)+(5/H80*C88)+(10/H80*C89)+(5/H80*C90)+(5/H80*C91)+(0/H80*C92))/100)</f>
        <v>0</v>
      </c>
      <c r="H83" s="83"/>
      <c r="I83" s="3" t="s">
        <v>88</v>
      </c>
      <c r="J83" s="16">
        <f ca="1">H80*50%</f>
        <v>3.5</v>
      </c>
    </row>
    <row r="84" spans="1:10" x14ac:dyDescent="0.25">
      <c r="A84" s="79" t="s">
        <v>5</v>
      </c>
      <c r="B84" s="77"/>
      <c r="C84" s="49">
        <f>0</f>
        <v>0</v>
      </c>
      <c r="D84" s="32">
        <f ca="1">((100/H80)*C84)/100</f>
        <v>0</v>
      </c>
      <c r="E84" s="80"/>
      <c r="F84" s="80"/>
      <c r="G84" s="84"/>
      <c r="H84" s="85"/>
      <c r="I84" s="3" t="s">
        <v>89</v>
      </c>
      <c r="J84" s="16">
        <f ca="1">H80</f>
        <v>7</v>
      </c>
    </row>
    <row r="85" spans="1:10" x14ac:dyDescent="0.25">
      <c r="A85" s="79" t="s">
        <v>113</v>
      </c>
      <c r="B85" s="77"/>
      <c r="C85" s="49">
        <v>0</v>
      </c>
      <c r="D85" s="32">
        <f ca="1">((100/(D80+F80+H80))*C85)/100</f>
        <v>0</v>
      </c>
      <c r="E85" s="80"/>
      <c r="F85" s="80"/>
      <c r="G85" s="84"/>
      <c r="H85" s="85"/>
      <c r="I85" s="3" t="s">
        <v>90</v>
      </c>
      <c r="J85" s="17">
        <f ca="1">(IF(B80&gt;1,(H80/(B80+2)),H80/4))</f>
        <v>1.75</v>
      </c>
    </row>
    <row r="86" spans="1:10" x14ac:dyDescent="0.25">
      <c r="A86" s="79" t="s">
        <v>114</v>
      </c>
      <c r="B86" s="77" t="s">
        <v>115</v>
      </c>
      <c r="C86" s="48">
        <v>0</v>
      </c>
      <c r="D86" s="32">
        <f ca="1">((100/H80)*C86)/100</f>
        <v>0</v>
      </c>
      <c r="E86" s="80"/>
      <c r="F86" s="80"/>
      <c r="G86" s="84"/>
      <c r="H86" s="85"/>
      <c r="I86" s="3" t="s">
        <v>91</v>
      </c>
      <c r="J86" s="17">
        <f ca="1">(IF(B80&gt;1,(H80/(B80+2)+J85),H80/4+J85))</f>
        <v>3.5</v>
      </c>
    </row>
    <row r="87" spans="1:10" x14ac:dyDescent="0.25">
      <c r="A87" s="79" t="s">
        <v>116</v>
      </c>
      <c r="B87" s="77" t="s">
        <v>115</v>
      </c>
      <c r="C87" s="48">
        <v>0</v>
      </c>
      <c r="D87" s="32">
        <f ca="1">((100/H80)*C87)/100</f>
        <v>0</v>
      </c>
      <c r="E87" s="80"/>
      <c r="F87" s="80"/>
      <c r="G87" s="84"/>
      <c r="H87" s="85"/>
      <c r="I87" s="3" t="s">
        <v>117</v>
      </c>
      <c r="J87" s="17">
        <f>(IF(B80&gt;1,(H80/(B80+2)+J86),0))</f>
        <v>0</v>
      </c>
    </row>
    <row r="88" spans="1:10" x14ac:dyDescent="0.25">
      <c r="A88" s="79" t="s">
        <v>118</v>
      </c>
      <c r="B88" s="77" t="s">
        <v>119</v>
      </c>
      <c r="C88" s="48">
        <v>0</v>
      </c>
      <c r="D88" s="32">
        <f ca="1">((100/(H80))*C88)/100</f>
        <v>0</v>
      </c>
      <c r="E88" s="80"/>
      <c r="F88" s="80"/>
      <c r="G88" s="84"/>
      <c r="H88" s="85"/>
      <c r="I88" s="3" t="s">
        <v>120</v>
      </c>
      <c r="J88" s="17">
        <f>(IF(B80&gt;2,(H80/(B80+2)+J87),0))</f>
        <v>0</v>
      </c>
    </row>
    <row r="89" spans="1:10" x14ac:dyDescent="0.25">
      <c r="A89" s="79" t="s">
        <v>121</v>
      </c>
      <c r="B89" s="77" t="s">
        <v>121</v>
      </c>
      <c r="C89" s="48">
        <v>0</v>
      </c>
      <c r="D89" s="32">
        <f ca="1">((100/H80)*C89)/100</f>
        <v>0</v>
      </c>
      <c r="E89" s="80"/>
      <c r="F89" s="80"/>
      <c r="G89" s="84"/>
      <c r="H89" s="85"/>
      <c r="I89" s="3" t="s">
        <v>122</v>
      </c>
      <c r="J89" s="18">
        <f>(IF(B80&gt;3,(H80/(B80+2)+J88),0))</f>
        <v>0</v>
      </c>
    </row>
    <row r="90" spans="1:10" x14ac:dyDescent="0.25">
      <c r="A90" s="79" t="s">
        <v>123</v>
      </c>
      <c r="B90" s="77"/>
      <c r="C90" s="48">
        <v>0</v>
      </c>
      <c r="D90" s="32">
        <f ca="1">((100/H80)*C90)/100</f>
        <v>0</v>
      </c>
      <c r="E90" s="80"/>
      <c r="F90" s="80"/>
      <c r="G90" s="84"/>
      <c r="H90" s="85"/>
      <c r="I90" s="3" t="s">
        <v>124</v>
      </c>
      <c r="J90" s="17">
        <f>(IF(B80&gt;4,(H80/(B80+2)+J89),0))</f>
        <v>0</v>
      </c>
    </row>
    <row r="91" spans="1:10" x14ac:dyDescent="0.25">
      <c r="A91" s="79" t="s">
        <v>125</v>
      </c>
      <c r="B91" s="77" t="s">
        <v>125</v>
      </c>
      <c r="C91" s="48">
        <v>0</v>
      </c>
      <c r="D91" s="32">
        <f ca="1">((100/(H80))*C91)/100</f>
        <v>0</v>
      </c>
      <c r="E91" s="80"/>
      <c r="F91" s="80"/>
      <c r="G91" s="84"/>
      <c r="H91" s="85"/>
      <c r="I91" s="3" t="s">
        <v>92</v>
      </c>
      <c r="J91" s="17">
        <f ca="1">(IF(B80=1,(H80/(B80+3)+J86),IF(B80=0,(H80/4+J86),IF(B80&gt;1,0))))</f>
        <v>5.25</v>
      </c>
    </row>
    <row r="92" spans="1:10" ht="15.75" thickBot="1" x14ac:dyDescent="0.3">
      <c r="A92" s="88" t="s">
        <v>126</v>
      </c>
      <c r="B92" s="89"/>
      <c r="C92" s="50">
        <v>0</v>
      </c>
      <c r="D92" s="35">
        <f ca="1">((100/(H80))*C92)/100</f>
        <v>0</v>
      </c>
      <c r="E92" s="81"/>
      <c r="F92" s="81"/>
      <c r="G92" s="86"/>
      <c r="H92" s="87"/>
      <c r="I92" s="4" t="s">
        <v>93</v>
      </c>
      <c r="J92" s="19">
        <f ca="1">(IF(B80&gt;1.5,(H80/(B80+2)+J86+MAX(0,J87-J86)+MAX(0,J88-J87)+MAX(0,J89-J88)+MAX(0,J90-J89)+MAX(0,J91-J90)),IF(B80=1,(H80/(B80+3)+J91),IF(B80=0,H80/4+J91))))</f>
        <v>7</v>
      </c>
    </row>
    <row r="93" spans="1:10" x14ac:dyDescent="0.25">
      <c r="A93" s="206">
        <v>41</v>
      </c>
      <c r="B93" s="207" t="s">
        <v>166</v>
      </c>
      <c r="C93" s="208"/>
      <c r="D93" s="208"/>
      <c r="E93" s="209" t="s">
        <v>151</v>
      </c>
      <c r="F93" s="210"/>
      <c r="G93" s="53"/>
      <c r="H93" s="38">
        <v>47848</v>
      </c>
    </row>
    <row r="94" spans="1:10" x14ac:dyDescent="0.25">
      <c r="A94" s="118"/>
      <c r="B94" s="201"/>
      <c r="C94" s="202"/>
      <c r="D94" s="202"/>
      <c r="E94" s="133" t="s">
        <v>150</v>
      </c>
      <c r="F94" s="133"/>
      <c r="G94" s="133"/>
      <c r="H94" s="36" t="s">
        <v>239</v>
      </c>
    </row>
    <row r="95" spans="1:10" ht="38.25" customHeight="1" x14ac:dyDescent="0.25">
      <c r="A95" s="12">
        <v>42</v>
      </c>
      <c r="B95" s="110" t="s">
        <v>70</v>
      </c>
      <c r="C95" s="110"/>
      <c r="D95" s="110"/>
      <c r="E95" s="124" t="s">
        <v>10</v>
      </c>
      <c r="F95" s="124"/>
      <c r="G95" s="124"/>
      <c r="H95" s="124"/>
    </row>
    <row r="96" spans="1:10" ht="183" customHeight="1" x14ac:dyDescent="0.25">
      <c r="A96" s="12">
        <v>43</v>
      </c>
      <c r="B96" s="110" t="s">
        <v>62</v>
      </c>
      <c r="C96" s="110"/>
      <c r="D96" s="110"/>
      <c r="E96" s="133" t="s">
        <v>218</v>
      </c>
      <c r="F96" s="133"/>
      <c r="G96" s="133"/>
      <c r="H96" s="133"/>
    </row>
    <row r="97" spans="1:11" s="22" customFormat="1" ht="30.75" customHeight="1" x14ac:dyDescent="0.25">
      <c r="A97" s="12">
        <v>44</v>
      </c>
      <c r="B97" s="141" t="s">
        <v>161</v>
      </c>
      <c r="C97" s="141"/>
      <c r="D97" s="141"/>
      <c r="E97" s="133" t="s">
        <v>220</v>
      </c>
      <c r="F97" s="133"/>
      <c r="G97" s="133"/>
      <c r="H97" s="133"/>
      <c r="I97" s="10"/>
      <c r="J97" s="10"/>
      <c r="K97" s="10"/>
    </row>
    <row r="98" spans="1:11" s="22" customFormat="1" ht="36" customHeight="1" x14ac:dyDescent="0.25">
      <c r="A98" s="12">
        <v>45</v>
      </c>
      <c r="B98" s="110" t="s">
        <v>63</v>
      </c>
      <c r="C98" s="110"/>
      <c r="D98" s="110"/>
      <c r="E98" s="124" t="s">
        <v>9</v>
      </c>
      <c r="F98" s="124"/>
      <c r="G98" s="124"/>
      <c r="H98" s="124"/>
      <c r="I98" s="10"/>
      <c r="J98" s="10"/>
      <c r="K98" s="10"/>
    </row>
    <row r="99" spans="1:11" ht="15.75" customHeight="1" x14ac:dyDescent="0.25">
      <c r="A99" s="106">
        <v>46</v>
      </c>
      <c r="B99" s="195" t="s">
        <v>64</v>
      </c>
      <c r="C99" s="196"/>
      <c r="D99" s="197"/>
      <c r="E99" s="137" t="s">
        <v>154</v>
      </c>
      <c r="F99" s="137"/>
      <c r="G99" s="137"/>
      <c r="H99" s="137"/>
    </row>
    <row r="100" spans="1:11" ht="45" customHeight="1" x14ac:dyDescent="0.25">
      <c r="A100" s="107"/>
      <c r="B100" s="198"/>
      <c r="C100" s="199"/>
      <c r="D100" s="200"/>
      <c r="E100" s="138" t="s">
        <v>233</v>
      </c>
      <c r="F100" s="139"/>
      <c r="G100" s="139"/>
      <c r="H100" s="140"/>
    </row>
    <row r="101" spans="1:11" s="22" customFormat="1" x14ac:dyDescent="0.25">
      <c r="A101" s="107"/>
      <c r="B101" s="198"/>
      <c r="C101" s="199"/>
      <c r="D101" s="200"/>
      <c r="E101" s="156" t="s">
        <v>155</v>
      </c>
      <c r="F101" s="157"/>
      <c r="G101" s="157"/>
      <c r="H101" s="158"/>
      <c r="I101" s="10"/>
      <c r="J101" s="10"/>
      <c r="K101" s="10"/>
    </row>
    <row r="102" spans="1:11" s="22" customFormat="1" x14ac:dyDescent="0.25">
      <c r="A102" s="107"/>
      <c r="B102" s="198"/>
      <c r="C102" s="199"/>
      <c r="D102" s="199"/>
      <c r="E102" s="159" t="s">
        <v>187</v>
      </c>
      <c r="F102" s="160"/>
      <c r="G102" s="160"/>
      <c r="H102" s="161"/>
      <c r="I102" s="10"/>
      <c r="J102" s="10"/>
      <c r="K102" s="10"/>
    </row>
    <row r="103" spans="1:11" s="22" customFormat="1" x14ac:dyDescent="0.25">
      <c r="A103" s="107"/>
      <c r="B103" s="198"/>
      <c r="C103" s="199"/>
      <c r="D103" s="199"/>
      <c r="E103" s="52" t="s">
        <v>238</v>
      </c>
      <c r="F103" s="213"/>
      <c r="G103" s="213"/>
      <c r="H103" s="53"/>
      <c r="I103" s="22" t="s">
        <v>219</v>
      </c>
      <c r="J103" s="10"/>
      <c r="K103" s="10"/>
    </row>
    <row r="104" spans="1:11" s="22" customFormat="1" x14ac:dyDescent="0.25">
      <c r="A104" s="108"/>
      <c r="B104" s="201"/>
      <c r="C104" s="202"/>
      <c r="D104" s="202"/>
      <c r="E104" s="203" t="s">
        <v>227</v>
      </c>
      <c r="F104" s="204"/>
      <c r="G104" s="204"/>
      <c r="H104" s="205"/>
      <c r="I104" s="22" t="s">
        <v>219</v>
      </c>
      <c r="J104" s="10"/>
      <c r="K104" s="10"/>
    </row>
    <row r="105" spans="1:11" x14ac:dyDescent="0.25">
      <c r="A105" s="134" t="s">
        <v>75</v>
      </c>
      <c r="B105" s="134"/>
      <c r="C105" s="134"/>
      <c r="D105" s="134"/>
      <c r="E105" s="135"/>
      <c r="F105" s="135"/>
      <c r="G105" s="135"/>
      <c r="H105" s="135"/>
    </row>
    <row r="106" spans="1:11" ht="30" customHeight="1" x14ac:dyDescent="0.25">
      <c r="A106" s="111" t="s">
        <v>169</v>
      </c>
      <c r="B106" s="111"/>
      <c r="C106" s="113" t="s">
        <v>188</v>
      </c>
      <c r="D106" s="113"/>
      <c r="E106" s="113"/>
      <c r="F106" s="20" t="s">
        <v>76</v>
      </c>
      <c r="G106" s="112">
        <v>45488</v>
      </c>
      <c r="H106" s="113"/>
    </row>
    <row r="107" spans="1:11" x14ac:dyDescent="0.25">
      <c r="A107" s="111" t="s">
        <v>170</v>
      </c>
      <c r="B107" s="111"/>
      <c r="C107" s="113" t="s">
        <v>191</v>
      </c>
      <c r="D107" s="113"/>
      <c r="E107" s="113"/>
      <c r="F107" s="20" t="s">
        <v>76</v>
      </c>
      <c r="G107" s="112">
        <v>45488</v>
      </c>
      <c r="H107" s="113"/>
      <c r="I107" s="10" t="s">
        <v>190</v>
      </c>
    </row>
    <row r="108" spans="1:11" x14ac:dyDescent="0.25">
      <c r="A108" s="172" t="s">
        <v>156</v>
      </c>
      <c r="B108" s="173"/>
      <c r="C108" s="113" t="s">
        <v>189</v>
      </c>
      <c r="D108" s="113"/>
      <c r="E108" s="113"/>
      <c r="F108" s="21" t="s">
        <v>76</v>
      </c>
      <c r="G108" s="112">
        <v>45488</v>
      </c>
      <c r="H108" s="113"/>
    </row>
    <row r="109" spans="1:11" ht="46.5" customHeight="1" x14ac:dyDescent="0.25">
      <c r="A109" s="174"/>
      <c r="B109" s="175"/>
      <c r="C109" s="54" t="s">
        <v>192</v>
      </c>
      <c r="D109" s="55"/>
      <c r="E109" s="55"/>
      <c r="F109" s="55"/>
      <c r="G109" s="55"/>
      <c r="H109" s="56"/>
    </row>
    <row r="110" spans="1:11" hidden="1" x14ac:dyDescent="0.25">
      <c r="A110" s="94" t="s">
        <v>173</v>
      </c>
      <c r="B110" s="95"/>
      <c r="C110" s="90"/>
      <c r="D110" s="90"/>
      <c r="E110" s="90"/>
      <c r="F110" s="41" t="s">
        <v>76</v>
      </c>
      <c r="G110" s="90"/>
      <c r="H110" s="90"/>
    </row>
    <row r="111" spans="1:11" ht="15" hidden="1" customHeight="1" x14ac:dyDescent="0.25">
      <c r="A111" s="96"/>
      <c r="B111" s="97"/>
      <c r="C111" s="91"/>
      <c r="D111" s="92"/>
      <c r="E111" s="92"/>
      <c r="F111" s="92"/>
      <c r="G111" s="92"/>
      <c r="H111" s="93"/>
    </row>
    <row r="112" spans="1:11" ht="15" hidden="1" customHeight="1" x14ac:dyDescent="0.25">
      <c r="A112" s="94" t="s">
        <v>175</v>
      </c>
      <c r="B112" s="95"/>
      <c r="C112" s="90"/>
      <c r="D112" s="90"/>
      <c r="E112" s="90"/>
      <c r="F112" s="41" t="s">
        <v>76</v>
      </c>
      <c r="G112" s="90"/>
      <c r="H112" s="90"/>
    </row>
    <row r="113" spans="1:16" ht="15" hidden="1" customHeight="1" x14ac:dyDescent="0.25">
      <c r="A113" s="96"/>
      <c r="B113" s="97"/>
      <c r="C113" s="91"/>
      <c r="D113" s="92"/>
      <c r="E113" s="92"/>
      <c r="F113" s="92"/>
      <c r="G113" s="92"/>
      <c r="H113" s="93"/>
      <c r="I113" s="22"/>
      <c r="J113" s="22"/>
      <c r="K113" s="22"/>
    </row>
    <row r="114" spans="1:16" ht="15" hidden="1" customHeight="1" x14ac:dyDescent="0.25">
      <c r="A114" s="94" t="s">
        <v>174</v>
      </c>
      <c r="B114" s="95"/>
      <c r="C114" s="100"/>
      <c r="D114" s="101"/>
      <c r="E114" s="102"/>
      <c r="F114" s="41" t="s">
        <v>76</v>
      </c>
      <c r="G114" s="90"/>
      <c r="H114" s="90"/>
      <c r="I114" s="22"/>
      <c r="J114" s="22"/>
      <c r="K114" s="22"/>
    </row>
    <row r="115" spans="1:16" ht="34.5" hidden="1" customHeight="1" x14ac:dyDescent="0.25">
      <c r="A115" s="98"/>
      <c r="B115" s="99"/>
      <c r="C115" s="103"/>
      <c r="D115" s="104"/>
      <c r="E115" s="105"/>
      <c r="F115" s="42" t="s">
        <v>153</v>
      </c>
      <c r="G115" s="90"/>
      <c r="H115" s="90"/>
    </row>
    <row r="116" spans="1:16" ht="34.5" hidden="1" customHeight="1" x14ac:dyDescent="0.25">
      <c r="A116" s="96"/>
      <c r="B116" s="97"/>
      <c r="C116" s="91"/>
      <c r="D116" s="92"/>
      <c r="E116" s="92"/>
      <c r="F116" s="92"/>
      <c r="G116" s="92"/>
      <c r="H116" s="93"/>
    </row>
    <row r="117" spans="1:16" x14ac:dyDescent="0.25">
      <c r="A117" s="178" t="s">
        <v>77</v>
      </c>
      <c r="B117" s="178"/>
      <c r="C117" s="179" t="s">
        <v>78</v>
      </c>
      <c r="D117" s="193"/>
      <c r="E117" s="193" t="s">
        <v>79</v>
      </c>
      <c r="F117" s="40" t="s">
        <v>76</v>
      </c>
      <c r="G117" s="179" t="s">
        <v>10</v>
      </c>
      <c r="H117" s="179" t="s">
        <v>10</v>
      </c>
    </row>
    <row r="118" spans="1:16" x14ac:dyDescent="0.25">
      <c r="A118" s="177" t="s">
        <v>83</v>
      </c>
      <c r="B118" s="177"/>
      <c r="C118" s="177"/>
      <c r="D118" s="177"/>
      <c r="E118" s="177"/>
      <c r="F118" s="177"/>
      <c r="G118" s="177"/>
      <c r="H118" s="177"/>
    </row>
    <row r="119" spans="1:16" x14ac:dyDescent="0.25">
      <c r="A119" s="176" t="s">
        <v>71</v>
      </c>
      <c r="B119" s="176"/>
      <c r="C119" s="114" t="s">
        <v>72</v>
      </c>
      <c r="D119" s="114"/>
      <c r="E119" s="163" t="s">
        <v>73</v>
      </c>
      <c r="F119" s="163"/>
      <c r="G119" s="163" t="s">
        <v>74</v>
      </c>
      <c r="H119" s="163"/>
    </row>
    <row r="120" spans="1:16" x14ac:dyDescent="0.25">
      <c r="A120" s="60" t="s">
        <v>193</v>
      </c>
      <c r="B120" s="60"/>
      <c r="C120" s="61">
        <f>COUNT(D131:D137)*7</f>
        <v>49</v>
      </c>
      <c r="D120" s="61"/>
      <c r="E120" s="61">
        <f t="shared" ref="E120" si="1">SUM(F131:F137)*7</f>
        <v>21876.53832</v>
      </c>
      <c r="F120" s="61"/>
      <c r="G120" s="61">
        <f>SUM(H131:H137)*7</f>
        <v>31720.980563999994</v>
      </c>
      <c r="H120" s="61"/>
      <c r="I120" s="22" t="s">
        <v>209</v>
      </c>
    </row>
    <row r="121" spans="1:16" x14ac:dyDescent="0.25">
      <c r="A121" s="62" t="s">
        <v>201</v>
      </c>
      <c r="B121" s="43" t="s">
        <v>200</v>
      </c>
      <c r="C121" s="61">
        <f>COUNT(D141:D147)*3+COUNT(D149:D150,D153:D155)</f>
        <v>26</v>
      </c>
      <c r="D121" s="61"/>
      <c r="E121" s="61">
        <f t="shared" ref="E121" si="2">SUM(F141:F147)*3+SUM(F149:F150,F153:F155)</f>
        <v>13519.314900000003</v>
      </c>
      <c r="F121" s="61"/>
      <c r="G121" s="61">
        <f>SUM(H141:H147)*3+SUM(H149:H150,H153:H155)</f>
        <v>19603.006604999999</v>
      </c>
      <c r="H121" s="61"/>
      <c r="I121" s="22" t="s">
        <v>209</v>
      </c>
    </row>
    <row r="122" spans="1:16" x14ac:dyDescent="0.25">
      <c r="A122" s="63"/>
      <c r="B122" s="43" t="s">
        <v>207</v>
      </c>
      <c r="C122" s="61">
        <f>COUNT(D159:D164)*7</f>
        <v>42</v>
      </c>
      <c r="D122" s="61"/>
      <c r="E122" s="61">
        <f t="shared" ref="E122" si="3">SUM(F159:F164)*7</f>
        <v>20282.363010000001</v>
      </c>
      <c r="F122" s="61"/>
      <c r="G122" s="61">
        <f>SUM(H159:H164)*7</f>
        <v>29409.426364499996</v>
      </c>
      <c r="H122" s="61"/>
      <c r="I122" s="22" t="s">
        <v>209</v>
      </c>
    </row>
    <row r="123" spans="1:16" x14ac:dyDescent="0.25">
      <c r="A123" s="180" t="s">
        <v>12</v>
      </c>
      <c r="B123" s="180"/>
      <c r="C123" s="162">
        <f>SUM(C120:C122)</f>
        <v>117</v>
      </c>
      <c r="D123" s="114"/>
      <c r="E123" s="163">
        <f>SUM(E120:E122)</f>
        <v>55678.216230000005</v>
      </c>
      <c r="F123" s="163"/>
      <c r="G123" s="163">
        <f>SUM(G120:G122)</f>
        <v>80733.413533499988</v>
      </c>
      <c r="H123" s="163"/>
    </row>
    <row r="124" spans="1:16" ht="15" customHeight="1" x14ac:dyDescent="0.25">
      <c r="A124" s="169" t="s">
        <v>148</v>
      </c>
      <c r="B124" s="169"/>
      <c r="C124" s="169"/>
      <c r="D124" s="169"/>
      <c r="E124" s="169"/>
      <c r="F124" s="169"/>
      <c r="G124" s="169"/>
      <c r="H124" s="169"/>
    </row>
    <row r="125" spans="1:16" ht="15" customHeight="1" x14ac:dyDescent="0.25">
      <c r="A125" s="182" t="s">
        <v>165</v>
      </c>
      <c r="B125" s="182"/>
      <c r="C125" s="182"/>
      <c r="D125" s="182"/>
      <c r="E125" s="182"/>
      <c r="F125" s="182"/>
      <c r="G125" s="182"/>
      <c r="H125" s="182"/>
      <c r="N125" s="10" t="e">
        <f t="shared" ref="N125:N126" si="4">O125&amp;" to "&amp;P125</f>
        <v>#REF!</v>
      </c>
      <c r="O125" s="10" t="e">
        <f>#REF!+1</f>
        <v>#REF!</v>
      </c>
      <c r="P125" s="10" t="e">
        <f>#REF!+1</f>
        <v>#REF!</v>
      </c>
    </row>
    <row r="126" spans="1:16" ht="45" customHeight="1" x14ac:dyDescent="0.25">
      <c r="A126" s="164" t="s">
        <v>157</v>
      </c>
      <c r="B126" s="171" t="s">
        <v>2</v>
      </c>
      <c r="C126" s="164" t="s">
        <v>162</v>
      </c>
      <c r="D126" s="164" t="s">
        <v>199</v>
      </c>
      <c r="E126" s="164" t="s">
        <v>198</v>
      </c>
      <c r="F126" s="165" t="s">
        <v>159</v>
      </c>
      <c r="G126" s="167" t="s">
        <v>160</v>
      </c>
      <c r="H126" s="1" t="s">
        <v>158</v>
      </c>
      <c r="I126" s="45">
        <f>10.764</f>
        <v>10.763999999999999</v>
      </c>
      <c r="N126" s="10" t="e">
        <f t="shared" si="4"/>
        <v>#REF!</v>
      </c>
      <c r="O126" s="10" t="e">
        <f t="shared" ref="O126" si="5">O125+1</f>
        <v>#REF!</v>
      </c>
      <c r="P126" s="10" t="e">
        <f t="shared" ref="P126" si="6">P125+1</f>
        <v>#REF!</v>
      </c>
    </row>
    <row r="127" spans="1:16" x14ac:dyDescent="0.25">
      <c r="A127" s="164"/>
      <c r="B127" s="171"/>
      <c r="C127" s="164"/>
      <c r="D127" s="164"/>
      <c r="E127" s="164"/>
      <c r="F127" s="166"/>
      <c r="G127" s="168"/>
      <c r="H127" s="44">
        <v>0.45</v>
      </c>
    </row>
    <row r="128" spans="1:16" ht="35.25" customHeight="1" x14ac:dyDescent="0.25">
      <c r="A128" s="57" t="s">
        <v>229</v>
      </c>
      <c r="B128" s="57"/>
      <c r="C128" s="57"/>
      <c r="D128" s="57"/>
      <c r="E128" s="57"/>
      <c r="F128" s="57"/>
      <c r="G128" s="58"/>
      <c r="H128" s="58"/>
      <c r="N128" s="10" t="e">
        <f ca="1">O128&amp;" &amp; "&amp;P128</f>
        <v>#REF!</v>
      </c>
      <c r="O128" s="10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28" s="10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29" spans="1:16" ht="15" customHeight="1" x14ac:dyDescent="0.25">
      <c r="A129" s="57" t="s">
        <v>194</v>
      </c>
      <c r="B129" s="57"/>
      <c r="C129" s="57"/>
      <c r="D129" s="57"/>
      <c r="E129" s="57"/>
      <c r="F129" s="57"/>
      <c r="G129" s="58"/>
      <c r="H129" s="58"/>
      <c r="I129" s="10" t="s">
        <v>237</v>
      </c>
      <c r="N129" s="10" t="str">
        <f ca="1">O129&amp;" &amp; "&amp;P129</f>
        <v>101 &amp; 701</v>
      </c>
      <c r="O129" s="10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</f>
        <v>101</v>
      </c>
      <c r="P129" s="10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701</v>
      </c>
    </row>
    <row r="130" spans="1:16" ht="15" customHeight="1" x14ac:dyDescent="0.25">
      <c r="A130" s="57" t="s">
        <v>195</v>
      </c>
      <c r="B130" s="57"/>
      <c r="C130" s="57"/>
      <c r="D130" s="57"/>
      <c r="E130" s="57"/>
      <c r="F130" s="57"/>
      <c r="G130" s="58"/>
      <c r="H130" s="58"/>
      <c r="N130" s="10" t="str">
        <f ca="1">O130&amp;" &amp; "&amp;P130</f>
        <v>101 &amp; 701</v>
      </c>
      <c r="O130" s="10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</f>
        <v>101</v>
      </c>
      <c r="P130" s="10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701</v>
      </c>
    </row>
    <row r="131" spans="1:16" ht="15" customHeight="1" x14ac:dyDescent="0.25">
      <c r="A131" s="29">
        <v>1</v>
      </c>
      <c r="B131" s="2" t="s">
        <v>196</v>
      </c>
      <c r="C131" s="46">
        <f>(28.17)*(10.764)</f>
        <v>303.22188</v>
      </c>
      <c r="D131" s="46">
        <f>(1.4*3.05+0.9*3)*(10.764)</f>
        <v>75.025079999999988</v>
      </c>
      <c r="E131" s="46">
        <f>(0.75*(3.05+3)+0.9*2.15)*(10.764)</f>
        <v>69.669989999999999</v>
      </c>
      <c r="F131" s="2">
        <f t="shared" ref="F131:F137" si="7">C131+D131+E131</f>
        <v>447.91694999999999</v>
      </c>
      <c r="G131" s="2">
        <v>0</v>
      </c>
      <c r="H131" s="2">
        <f t="shared" ref="H131:H137" si="8">F131*(($H$127)+1)+(IF(G131&lt;101,G131,IF(G131&lt;201,G131/2,IF(G131&lt;=301,G131/3,G131/4))))</f>
        <v>649.4795775</v>
      </c>
      <c r="I131" s="212">
        <f>3.05*3+2.15*2.4+3*2+2*(1.95*1.25)+0.9*0.9</f>
        <v>25.994999999999997</v>
      </c>
      <c r="N131" s="10" t="str">
        <f t="shared" ref="N131:N137" ca="1" si="9">O131&amp;" &amp; "&amp;P131</f>
        <v>102 &amp; 702</v>
      </c>
      <c r="O131" s="10">
        <f ca="1">O130+1</f>
        <v>102</v>
      </c>
      <c r="P131" s="10">
        <f ca="1">P130+1</f>
        <v>702</v>
      </c>
    </row>
    <row r="132" spans="1:16" ht="15" customHeight="1" x14ac:dyDescent="0.25">
      <c r="A132" s="29">
        <f>A131+1</f>
        <v>2</v>
      </c>
      <c r="B132" s="2" t="s">
        <v>196</v>
      </c>
      <c r="C132" s="46">
        <f>(28.65)*(10.764)</f>
        <v>308.38859999999994</v>
      </c>
      <c r="D132" s="46">
        <f>(1.4*3.05+0.9*2.9)*(10.764)</f>
        <v>74.056319999999985</v>
      </c>
      <c r="E132" s="46">
        <f>(0.75*(3.05+2.9)+0.9*2.25)*(10.764)</f>
        <v>69.83144999999999</v>
      </c>
      <c r="F132" s="2">
        <f t="shared" si="7"/>
        <v>452.27636999999993</v>
      </c>
      <c r="G132" s="2">
        <v>0</v>
      </c>
      <c r="H132" s="2">
        <f t="shared" si="8"/>
        <v>655.80073649999986</v>
      </c>
      <c r="I132" s="10">
        <f>3.05*3+2.25*2.75+2.9*2+1.25*(1.95+2.15)</f>
        <v>26.262499999999999</v>
      </c>
      <c r="N132" s="10" t="str">
        <f t="shared" ca="1" si="9"/>
        <v>103 &amp; 703</v>
      </c>
      <c r="O132" s="10">
        <f t="shared" ref="O132:O137" ca="1" si="10">O131+1</f>
        <v>103</v>
      </c>
      <c r="P132" s="10">
        <f t="shared" ref="P132:P137" ca="1" si="11">P131+1</f>
        <v>703</v>
      </c>
    </row>
    <row r="133" spans="1:16" ht="15" customHeight="1" x14ac:dyDescent="0.25">
      <c r="A133" s="29">
        <f>A132+1</f>
        <v>3</v>
      </c>
      <c r="B133" s="2" t="s">
        <v>196</v>
      </c>
      <c r="C133" s="46">
        <f>(28.65)*(10.764)</f>
        <v>308.38859999999994</v>
      </c>
      <c r="D133" s="46">
        <f>(1.4*3.05+0.9*2.9)*(10.764)</f>
        <v>74.056319999999985</v>
      </c>
      <c r="E133" s="46">
        <f>(0.75*(3.05+2.9)+0.9*2.25)*(10.764)</f>
        <v>69.83144999999999</v>
      </c>
      <c r="F133" s="2">
        <f t="shared" si="7"/>
        <v>452.27636999999993</v>
      </c>
      <c r="G133" s="2">
        <v>0</v>
      </c>
      <c r="H133" s="2">
        <f t="shared" si="8"/>
        <v>655.80073649999986</v>
      </c>
      <c r="N133" s="10" t="str">
        <f t="shared" ca="1" si="9"/>
        <v>104 &amp; 704</v>
      </c>
      <c r="O133" s="10">
        <f t="shared" ca="1" si="10"/>
        <v>104</v>
      </c>
      <c r="P133" s="10">
        <f t="shared" ca="1" si="11"/>
        <v>704</v>
      </c>
    </row>
    <row r="134" spans="1:16" ht="15" customHeight="1" x14ac:dyDescent="0.25">
      <c r="A134" s="29">
        <f>A133+1</f>
        <v>4</v>
      </c>
      <c r="B134" s="2" t="s">
        <v>196</v>
      </c>
      <c r="C134" s="46">
        <f>(28.52)*(10.764)</f>
        <v>306.98927999999995</v>
      </c>
      <c r="D134" s="46">
        <f>(1.4*3.05+2.75*0.9)*(10.764)</f>
        <v>72.603179999999981</v>
      </c>
      <c r="E134" s="46">
        <f>(0.75*(3.05+2.75)+0.9*2.05)*(10.764)</f>
        <v>66.682979999999986</v>
      </c>
      <c r="F134" s="2">
        <f t="shared" si="7"/>
        <v>446.27543999999995</v>
      </c>
      <c r="G134" s="2">
        <v>0</v>
      </c>
      <c r="H134" s="2">
        <f t="shared" si="8"/>
        <v>647.09938799999986</v>
      </c>
      <c r="N134" s="10" t="str">
        <f t="shared" ca="1" si="9"/>
        <v>105 &amp; 705</v>
      </c>
      <c r="O134" s="10">
        <f t="shared" ca="1" si="10"/>
        <v>105</v>
      </c>
      <c r="P134" s="10">
        <f t="shared" ca="1" si="11"/>
        <v>705</v>
      </c>
    </row>
    <row r="135" spans="1:16" ht="15" customHeight="1" x14ac:dyDescent="0.25">
      <c r="A135" s="29">
        <f>A134+1</f>
        <v>5</v>
      </c>
      <c r="B135" s="2" t="s">
        <v>196</v>
      </c>
      <c r="C135" s="46">
        <f>(28.65)*(10.764)</f>
        <v>308.38859999999994</v>
      </c>
      <c r="D135" s="46">
        <f>(1.4*3.05+0.9*2.9)*(10.764)</f>
        <v>74.056319999999985</v>
      </c>
      <c r="E135" s="46">
        <f>(0.75*(3.05+2.9)+0.9*2.25)*(10.764)</f>
        <v>69.83144999999999</v>
      </c>
      <c r="F135" s="2">
        <f t="shared" si="7"/>
        <v>452.27636999999993</v>
      </c>
      <c r="G135" s="2">
        <v>0</v>
      </c>
      <c r="H135" s="2">
        <f t="shared" si="8"/>
        <v>655.80073649999986</v>
      </c>
      <c r="N135" s="10" t="str">
        <f t="shared" ca="1" si="9"/>
        <v>106 &amp; 706</v>
      </c>
      <c r="O135" s="10">
        <f t="shared" ca="1" si="10"/>
        <v>106</v>
      </c>
      <c r="P135" s="10">
        <f t="shared" ca="1" si="11"/>
        <v>706</v>
      </c>
    </row>
    <row r="136" spans="1:16" ht="15" customHeight="1" x14ac:dyDescent="0.25">
      <c r="A136" s="23">
        <f t="shared" ref="A136:A137" si="12">A135+1</f>
        <v>6</v>
      </c>
      <c r="B136" s="2" t="s">
        <v>196</v>
      </c>
      <c r="C136" s="46">
        <f>(28.65)*(10.764)</f>
        <v>308.38859999999994</v>
      </c>
      <c r="D136" s="46">
        <f>(1.4*3.05+0.9*2.9)*(10.764)</f>
        <v>74.056319999999985</v>
      </c>
      <c r="E136" s="46">
        <f>(0.75*(3.05+2.9)+0.9*2.25)*(10.764)</f>
        <v>69.83144999999999</v>
      </c>
      <c r="F136" s="2">
        <f t="shared" si="7"/>
        <v>452.27636999999993</v>
      </c>
      <c r="G136" s="2">
        <v>0</v>
      </c>
      <c r="H136" s="2">
        <f t="shared" si="8"/>
        <v>655.80073649999986</v>
      </c>
      <c r="N136" s="10" t="str">
        <f t="shared" ca="1" si="9"/>
        <v>107 &amp; 707</v>
      </c>
      <c r="O136" s="10">
        <f t="shared" ca="1" si="10"/>
        <v>107</v>
      </c>
      <c r="P136" s="10">
        <f t="shared" ca="1" si="11"/>
        <v>707</v>
      </c>
    </row>
    <row r="137" spans="1:16" ht="15" customHeight="1" x14ac:dyDescent="0.25">
      <c r="A137" s="23">
        <f t="shared" si="12"/>
        <v>7</v>
      </c>
      <c r="B137" s="2" t="s">
        <v>196</v>
      </c>
      <c r="C137" s="46">
        <f>(29.43)*(10.764)</f>
        <v>316.78451999999999</v>
      </c>
      <c r="D137" s="46">
        <f>(1.1*3.05)*(10.764)</f>
        <v>36.113219999999998</v>
      </c>
      <c r="E137" s="46">
        <f>(0.75*(3.05+2.8)+0.9*2.25)*(10.764)</f>
        <v>69.024149999999992</v>
      </c>
      <c r="F137" s="2">
        <f t="shared" si="7"/>
        <v>421.92188999999996</v>
      </c>
      <c r="G137" s="2">
        <v>0</v>
      </c>
      <c r="H137" s="2">
        <f t="shared" si="8"/>
        <v>611.78674049999995</v>
      </c>
      <c r="N137" s="10" t="str">
        <f t="shared" ca="1" si="9"/>
        <v>108 &amp; 708</v>
      </c>
      <c r="O137" s="10">
        <f t="shared" ca="1" si="10"/>
        <v>108</v>
      </c>
      <c r="P137" s="10">
        <f t="shared" ca="1" si="11"/>
        <v>708</v>
      </c>
    </row>
    <row r="138" spans="1:16" ht="31.5" customHeight="1" x14ac:dyDescent="0.25">
      <c r="A138" s="57" t="s">
        <v>228</v>
      </c>
      <c r="B138" s="57"/>
      <c r="C138" s="57"/>
      <c r="D138" s="57"/>
      <c r="E138" s="57"/>
      <c r="F138" s="57"/>
      <c r="G138" s="58"/>
      <c r="H138" s="58"/>
      <c r="N138" s="10" t="e">
        <f ca="1">O138&amp;" &amp; "&amp;P138</f>
        <v>#REF!</v>
      </c>
      <c r="O138" s="10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38" s="10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39" spans="1:16" ht="15" customHeight="1" x14ac:dyDescent="0.25">
      <c r="A139" s="57" t="s">
        <v>206</v>
      </c>
      <c r="B139" s="57"/>
      <c r="C139" s="57"/>
      <c r="D139" s="57"/>
      <c r="E139" s="57"/>
      <c r="F139" s="57"/>
      <c r="G139" s="58"/>
      <c r="H139" s="58"/>
      <c r="N139" s="10" t="e">
        <f ca="1">O139&amp;" &amp; "&amp;P139</f>
        <v>#REF!</v>
      </c>
      <c r="O139" s="10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39" s="10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40" spans="1:16" ht="15" customHeight="1" x14ac:dyDescent="0.25">
      <c r="A140" s="57" t="s">
        <v>202</v>
      </c>
      <c r="B140" s="57"/>
      <c r="C140" s="57"/>
      <c r="D140" s="57"/>
      <c r="E140" s="57"/>
      <c r="F140" s="57"/>
      <c r="G140" s="57"/>
      <c r="H140" s="57"/>
      <c r="I140" s="59"/>
      <c r="J140" s="59"/>
      <c r="N140" s="10" t="e">
        <f ca="1">O140&amp;",..,"&amp;P140</f>
        <v>#REF!</v>
      </c>
      <c r="O140" s="10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40" s="10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41" spans="1:16" ht="15" customHeight="1" x14ac:dyDescent="0.25">
      <c r="A141" s="29">
        <v>1</v>
      </c>
      <c r="B141" s="2" t="s">
        <v>197</v>
      </c>
      <c r="C141" s="46">
        <f>(47.99)*(10.764)</f>
        <v>516.56435999999997</v>
      </c>
      <c r="D141" s="46">
        <f>(1.2*2.75)*(10.764)</f>
        <v>35.521199999999993</v>
      </c>
      <c r="E141" s="46">
        <f>(0.75*(2.75+2.75+2.85)+0.9*2.15)*(10.764)</f>
        <v>88.237889999999993</v>
      </c>
      <c r="F141" s="2">
        <f t="shared" ref="F141:F147" si="13">C141+D141+E141</f>
        <v>640.32344999999998</v>
      </c>
      <c r="G141" s="2">
        <v>0</v>
      </c>
      <c r="H141" s="2">
        <f t="shared" ref="H141:H147" si="14">F141*(($H$127)+1)+(IF(G141&lt;101,G141,IF(G141&lt;201,G141/2,IF(G141&lt;=301,G141/3,G141/4))))</f>
        <v>928.46900249999999</v>
      </c>
      <c r="I141" s="10">
        <f>2.75*2.6+1.6*2.9+2.15*2.75+2.75*2.75+2.85*3.2+2.05*1.2+1.25*2.1+3.8*0.9</f>
        <v>42.890000000000008</v>
      </c>
      <c r="J141" s="10">
        <f>1.2*2.75</f>
        <v>3.3</v>
      </c>
      <c r="N141" s="10" t="e">
        <f t="shared" ref="N141:N147" ca="1" si="15">O141&amp;",..,"&amp;P141</f>
        <v>#REF!</v>
      </c>
      <c r="O141" s="10" t="e">
        <f ca="1">O140+1</f>
        <v>#REF!</v>
      </c>
      <c r="P141" s="10" t="e">
        <f ca="1">P140+1</f>
        <v>#REF!</v>
      </c>
    </row>
    <row r="142" spans="1:16" ht="15" customHeight="1" x14ac:dyDescent="0.25">
      <c r="A142" s="29">
        <f>A141+1</f>
        <v>2</v>
      </c>
      <c r="B142" s="2" t="s">
        <v>197</v>
      </c>
      <c r="C142" s="46">
        <f>(47.54)*(10.764)</f>
        <v>511.72055999999998</v>
      </c>
      <c r="D142" s="46">
        <f>(1.2*2.75)*(10.764)</f>
        <v>35.521199999999993</v>
      </c>
      <c r="E142" s="46">
        <f>(0.75*(2.75+2.75+2.85)+0.9*2.15)*(10.764)</f>
        <v>88.237889999999993</v>
      </c>
      <c r="F142" s="2">
        <f t="shared" si="13"/>
        <v>635.47964999999999</v>
      </c>
      <c r="G142" s="2">
        <v>0</v>
      </c>
      <c r="H142" s="2">
        <f t="shared" si="14"/>
        <v>921.4454925</v>
      </c>
      <c r="N142" s="10" t="e">
        <f t="shared" ca="1" si="15"/>
        <v>#REF!</v>
      </c>
      <c r="O142" s="10" t="e">
        <f t="shared" ref="O142:O147" ca="1" si="16">O141+1</f>
        <v>#REF!</v>
      </c>
      <c r="P142" s="10" t="e">
        <f t="shared" ref="P142:P147" ca="1" si="17">P141+1</f>
        <v>#REF!</v>
      </c>
    </row>
    <row r="143" spans="1:16" ht="15" customHeight="1" x14ac:dyDescent="0.25">
      <c r="A143" s="29">
        <f>A142+1</f>
        <v>3</v>
      </c>
      <c r="B143" s="2" t="s">
        <v>197</v>
      </c>
      <c r="C143" s="46">
        <f>(46.67)*(10.764)</f>
        <v>502.35588000000001</v>
      </c>
      <c r="D143" s="46">
        <f>(0)*(10.764)</f>
        <v>0</v>
      </c>
      <c r="E143" s="46">
        <f>(0.75*(2.25+3.2+2.75+2.75))*(10.764)</f>
        <v>88.399349999999984</v>
      </c>
      <c r="F143" s="2">
        <f t="shared" si="13"/>
        <v>590.75522999999998</v>
      </c>
      <c r="G143" s="2">
        <v>0</v>
      </c>
      <c r="H143" s="2">
        <f t="shared" si="14"/>
        <v>856.59508349999999</v>
      </c>
      <c r="N143" s="10" t="e">
        <f t="shared" ca="1" si="15"/>
        <v>#REF!</v>
      </c>
      <c r="O143" s="10" t="e">
        <f t="shared" ca="1" si="16"/>
        <v>#REF!</v>
      </c>
      <c r="P143" s="10" t="e">
        <f t="shared" ca="1" si="17"/>
        <v>#REF!</v>
      </c>
    </row>
    <row r="144" spans="1:16" ht="15" customHeight="1" x14ac:dyDescent="0.25">
      <c r="A144" s="29">
        <f>A143+1</f>
        <v>4</v>
      </c>
      <c r="B144" s="2" t="s">
        <v>196</v>
      </c>
      <c r="C144" s="46">
        <f>(28.61)*(10.764)</f>
        <v>307.95803999999998</v>
      </c>
      <c r="D144" s="46">
        <f>(1.1*3.05+0.9*2.9)*(10.764)</f>
        <v>64.207259999999991</v>
      </c>
      <c r="E144" s="46">
        <f>(0.75*(3.05+2.9)+0.9*2.25)*(10.764)</f>
        <v>69.83144999999999</v>
      </c>
      <c r="F144" s="2">
        <f t="shared" si="13"/>
        <v>441.99675000000002</v>
      </c>
      <c r="G144" s="2">
        <v>0</v>
      </c>
      <c r="H144" s="2">
        <f t="shared" si="14"/>
        <v>640.89528749999999</v>
      </c>
      <c r="N144" s="10" t="e">
        <f t="shared" ca="1" si="15"/>
        <v>#REF!</v>
      </c>
      <c r="O144" s="10" t="e">
        <f t="shared" ca="1" si="16"/>
        <v>#REF!</v>
      </c>
      <c r="P144" s="10" t="e">
        <f t="shared" ca="1" si="17"/>
        <v>#REF!</v>
      </c>
    </row>
    <row r="145" spans="1:16" ht="15" customHeight="1" x14ac:dyDescent="0.25">
      <c r="A145" s="29">
        <f>A144+1</f>
        <v>5</v>
      </c>
      <c r="B145" s="2" t="s">
        <v>196</v>
      </c>
      <c r="C145" s="46">
        <f>(28.61)*(10.764)</f>
        <v>307.95803999999998</v>
      </c>
      <c r="D145" s="46">
        <f>(1.1*3.05+0.9*2.9)*(10.764)</f>
        <v>64.207259999999991</v>
      </c>
      <c r="E145" s="46">
        <f>(0.75*(3.05+2.9)+0.9*2.25)*(10.764)</f>
        <v>69.83144999999999</v>
      </c>
      <c r="F145" s="2">
        <f t="shared" si="13"/>
        <v>441.99675000000002</v>
      </c>
      <c r="G145" s="2">
        <v>0</v>
      </c>
      <c r="H145" s="2">
        <f t="shared" si="14"/>
        <v>640.89528749999999</v>
      </c>
      <c r="N145" s="10" t="e">
        <f t="shared" ca="1" si="15"/>
        <v>#REF!</v>
      </c>
      <c r="O145" s="10" t="e">
        <f t="shared" ca="1" si="16"/>
        <v>#REF!</v>
      </c>
      <c r="P145" s="10" t="e">
        <f t="shared" ca="1" si="17"/>
        <v>#REF!</v>
      </c>
    </row>
    <row r="146" spans="1:16" ht="15" customHeight="1" x14ac:dyDescent="0.25">
      <c r="A146" s="29">
        <f>A145+1</f>
        <v>6</v>
      </c>
      <c r="B146" s="2" t="s">
        <v>196</v>
      </c>
      <c r="C146" s="46">
        <f>(27.87)*(10.764)</f>
        <v>299.99268000000001</v>
      </c>
      <c r="D146" s="46">
        <f>(1.45*3.05+0.9*2.9)*(10.764)</f>
        <v>75.697829999999982</v>
      </c>
      <c r="E146" s="46">
        <f>(0.75*(3.05+2.9)+0.9*2.9)*(10.764)</f>
        <v>76.128389999999996</v>
      </c>
      <c r="F146" s="2">
        <f t="shared" si="13"/>
        <v>451.81889999999999</v>
      </c>
      <c r="G146" s="2">
        <v>0</v>
      </c>
      <c r="H146" s="2">
        <f t="shared" si="14"/>
        <v>655.13740499999994</v>
      </c>
      <c r="N146" s="10" t="e">
        <f t="shared" ca="1" si="15"/>
        <v>#REF!</v>
      </c>
      <c r="O146" s="10" t="e">
        <f t="shared" ca="1" si="16"/>
        <v>#REF!</v>
      </c>
      <c r="P146" s="10" t="e">
        <f t="shared" ca="1" si="17"/>
        <v>#REF!</v>
      </c>
    </row>
    <row r="147" spans="1:16" ht="15" customHeight="1" x14ac:dyDescent="0.25">
      <c r="A147" s="29">
        <f t="shared" ref="A147" si="18">A146+1</f>
        <v>7</v>
      </c>
      <c r="B147" s="2" t="s">
        <v>196</v>
      </c>
      <c r="C147" s="46">
        <f>(27.41)*(10.764)</f>
        <v>295.04123999999996</v>
      </c>
      <c r="D147" s="46">
        <f>(1.3*3.05+0.9*2.9)*(10.764)</f>
        <v>70.773299999999992</v>
      </c>
      <c r="E147" s="46">
        <f>(0.75*(3.05+2.9)+0.9*2.25)*(10.764)</f>
        <v>69.83144999999999</v>
      </c>
      <c r="F147" s="2">
        <f t="shared" si="13"/>
        <v>435.64598999999998</v>
      </c>
      <c r="G147" s="2">
        <v>0</v>
      </c>
      <c r="H147" s="2">
        <f t="shared" si="14"/>
        <v>631.68668549999995</v>
      </c>
      <c r="N147" s="10" t="e">
        <f t="shared" ca="1" si="15"/>
        <v>#REF!</v>
      </c>
      <c r="O147" s="10" t="e">
        <f t="shared" ca="1" si="16"/>
        <v>#REF!</v>
      </c>
      <c r="P147" s="10" t="e">
        <f t="shared" ca="1" si="17"/>
        <v>#REF!</v>
      </c>
    </row>
    <row r="148" spans="1:16" ht="15" customHeight="1" x14ac:dyDescent="0.25">
      <c r="A148" s="57" t="s">
        <v>203</v>
      </c>
      <c r="B148" s="57"/>
      <c r="C148" s="57"/>
      <c r="D148" s="57"/>
      <c r="E148" s="57"/>
      <c r="F148" s="57"/>
      <c r="G148" s="57"/>
      <c r="H148" s="57"/>
      <c r="I148" s="59"/>
      <c r="J148" s="59"/>
      <c r="N148" s="10" t="e">
        <f ca="1">O148&amp;",..,"&amp;P148</f>
        <v>#REF!</v>
      </c>
      <c r="O148" s="10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48" s="10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49" spans="1:16" ht="15" customHeight="1" x14ac:dyDescent="0.25">
      <c r="A149" s="29">
        <v>1</v>
      </c>
      <c r="B149" s="2" t="s">
        <v>197</v>
      </c>
      <c r="C149" s="46">
        <f>(47.99)*(10.764)</f>
        <v>516.56435999999997</v>
      </c>
      <c r="D149" s="46">
        <f>(1.2*2.75)*(10.764)</f>
        <v>35.521199999999993</v>
      </c>
      <c r="E149" s="46">
        <f>(0.75*(2.75+2.75+2.85)+0.9*2.15)*(10.764)</f>
        <v>88.237889999999993</v>
      </c>
      <c r="F149" s="2">
        <f t="shared" ref="F149:F155" si="19">C149+D149+E149</f>
        <v>640.32344999999998</v>
      </c>
      <c r="G149" s="2">
        <v>0</v>
      </c>
      <c r="H149" s="2">
        <f>F149*(($H$127)+1)+(IF(G149&lt;101,G149,IF(G149&lt;201,G149/2,IF(G149&lt;=301,G149/3,G149/4))))</f>
        <v>928.46900249999999</v>
      </c>
      <c r="I149" s="10">
        <f>2.75*2.6+1.6*2.9+2.15*2.75+2.75*2.75+2.85*3.2+2.05*1.2+1.25*2.1+3.8*0.9</f>
        <v>42.890000000000008</v>
      </c>
      <c r="J149" s="10">
        <f>1.2*2.75</f>
        <v>3.3</v>
      </c>
      <c r="N149" s="10" t="e">
        <f t="shared" ref="N149:N155" ca="1" si="20">O149&amp;",..,"&amp;P149</f>
        <v>#REF!</v>
      </c>
      <c r="O149" s="10" t="e">
        <f ca="1">O148+1</f>
        <v>#REF!</v>
      </c>
      <c r="P149" s="10" t="e">
        <f ca="1">P148+1</f>
        <v>#REF!</v>
      </c>
    </row>
    <row r="150" spans="1:16" ht="15" customHeight="1" x14ac:dyDescent="0.25">
      <c r="A150" s="29">
        <f>A149+1</f>
        <v>2</v>
      </c>
      <c r="B150" s="2" t="s">
        <v>197</v>
      </c>
      <c r="C150" s="46">
        <f>(47.54)*(10.764)</f>
        <v>511.72055999999998</v>
      </c>
      <c r="D150" s="46">
        <f>(1.2*2.75)*(10.764)</f>
        <v>35.521199999999993</v>
      </c>
      <c r="E150" s="46">
        <f>(0.75*(2.75+2.75+2.85)+0.9*2.15)*(10.764)</f>
        <v>88.237889999999993</v>
      </c>
      <c r="F150" s="2">
        <f t="shared" si="19"/>
        <v>635.47964999999999</v>
      </c>
      <c r="G150" s="2">
        <v>0</v>
      </c>
      <c r="H150" s="2">
        <f>F150*(($H$127)+1)+(IF(G150&lt;101,G150,IF(G150&lt;201,G150/2,IF(G150&lt;=301,G150/3,G150/4))))</f>
        <v>921.4454925</v>
      </c>
      <c r="N150" s="10" t="e">
        <f t="shared" ca="1" si="20"/>
        <v>#REF!</v>
      </c>
      <c r="O150" s="10" t="e">
        <f t="shared" ref="O150:P155" ca="1" si="21">O149+1</f>
        <v>#REF!</v>
      </c>
      <c r="P150" s="10" t="e">
        <f t="shared" ca="1" si="21"/>
        <v>#REF!</v>
      </c>
    </row>
    <row r="151" spans="1:16" ht="15" customHeight="1" x14ac:dyDescent="0.25">
      <c r="A151" s="29">
        <f>A150+1</f>
        <v>3</v>
      </c>
      <c r="B151" s="2" t="s">
        <v>204</v>
      </c>
      <c r="C151" s="125" t="s">
        <v>205</v>
      </c>
      <c r="D151" s="126"/>
      <c r="E151" s="126"/>
      <c r="F151" s="126"/>
      <c r="G151" s="126"/>
      <c r="H151" s="127"/>
      <c r="N151" s="10" t="e">
        <f t="shared" ca="1" si="20"/>
        <v>#REF!</v>
      </c>
      <c r="O151" s="10" t="e">
        <f t="shared" ca="1" si="21"/>
        <v>#REF!</v>
      </c>
      <c r="P151" s="10" t="e">
        <f t="shared" ca="1" si="21"/>
        <v>#REF!</v>
      </c>
    </row>
    <row r="152" spans="1:16" ht="15" customHeight="1" x14ac:dyDescent="0.25">
      <c r="A152" s="29">
        <f>A151+1</f>
        <v>4</v>
      </c>
      <c r="B152" s="2" t="s">
        <v>204</v>
      </c>
      <c r="C152" s="128"/>
      <c r="D152" s="129"/>
      <c r="E152" s="129"/>
      <c r="F152" s="129"/>
      <c r="G152" s="129"/>
      <c r="H152" s="130"/>
      <c r="N152" s="10" t="e">
        <f t="shared" ca="1" si="20"/>
        <v>#REF!</v>
      </c>
      <c r="O152" s="10" t="e">
        <f t="shared" ca="1" si="21"/>
        <v>#REF!</v>
      </c>
      <c r="P152" s="10" t="e">
        <f t="shared" ca="1" si="21"/>
        <v>#REF!</v>
      </c>
    </row>
    <row r="153" spans="1:16" ht="15" customHeight="1" x14ac:dyDescent="0.25">
      <c r="A153" s="29">
        <f>A152+1</f>
        <v>5</v>
      </c>
      <c r="B153" s="2" t="s">
        <v>196</v>
      </c>
      <c r="C153" s="46">
        <f>(28.61)*(10.764)</f>
        <v>307.95803999999998</v>
      </c>
      <c r="D153" s="46">
        <f>(1.1*3.05+0.9*2.9)*(10.764)</f>
        <v>64.207259999999991</v>
      </c>
      <c r="E153" s="46">
        <f>(0.75*(3.05+2.9)+0.9*2.25)*(10.764)</f>
        <v>69.83144999999999</v>
      </c>
      <c r="F153" s="2">
        <f t="shared" si="19"/>
        <v>441.99675000000002</v>
      </c>
      <c r="G153" s="2">
        <v>0</v>
      </c>
      <c r="H153" s="2">
        <f>F153*(($H$127)+1)+(IF(G153&lt;101,G153,IF(G153&lt;201,G153/2,IF(G153&lt;=301,G153/3,G153/4))))</f>
        <v>640.89528749999999</v>
      </c>
      <c r="N153" s="10" t="e">
        <f t="shared" ca="1" si="20"/>
        <v>#REF!</v>
      </c>
      <c r="O153" s="10" t="e">
        <f t="shared" ca="1" si="21"/>
        <v>#REF!</v>
      </c>
      <c r="P153" s="10" t="e">
        <f t="shared" ca="1" si="21"/>
        <v>#REF!</v>
      </c>
    </row>
    <row r="154" spans="1:16" ht="15" customHeight="1" x14ac:dyDescent="0.25">
      <c r="A154" s="29">
        <f>A153+1</f>
        <v>6</v>
      </c>
      <c r="B154" s="2" t="s">
        <v>196</v>
      </c>
      <c r="C154" s="46">
        <f>(27.87)*(10.764)</f>
        <v>299.99268000000001</v>
      </c>
      <c r="D154" s="46">
        <f>(1.45*3.05+0.9*2.9)*(10.764)</f>
        <v>75.697829999999982</v>
      </c>
      <c r="E154" s="46">
        <f>(0.75*(3.05+2.9)+0.9*2.9)*(10.764)</f>
        <v>76.128389999999996</v>
      </c>
      <c r="F154" s="2">
        <f t="shared" si="19"/>
        <v>451.81889999999999</v>
      </c>
      <c r="G154" s="2">
        <v>0</v>
      </c>
      <c r="H154" s="2">
        <f>F154*(($H$127)+1)+(IF(G154&lt;101,G154,IF(G154&lt;201,G154/2,IF(G154&lt;=301,G154/3,G154/4))))</f>
        <v>655.13740499999994</v>
      </c>
      <c r="N154" s="10" t="e">
        <f t="shared" ca="1" si="20"/>
        <v>#REF!</v>
      </c>
      <c r="O154" s="10" t="e">
        <f t="shared" ca="1" si="21"/>
        <v>#REF!</v>
      </c>
      <c r="P154" s="10" t="e">
        <f t="shared" ca="1" si="21"/>
        <v>#REF!</v>
      </c>
    </row>
    <row r="155" spans="1:16" ht="15" customHeight="1" x14ac:dyDescent="0.25">
      <c r="A155" s="29">
        <f t="shared" ref="A155" si="22">A154+1</f>
        <v>7</v>
      </c>
      <c r="B155" s="2" t="s">
        <v>196</v>
      </c>
      <c r="C155" s="46">
        <f>(27.41)*(10.764)</f>
        <v>295.04123999999996</v>
      </c>
      <c r="D155" s="46">
        <f>(1.3*3.05+0.9*2.9)*(10.764)</f>
        <v>70.773299999999992</v>
      </c>
      <c r="E155" s="46">
        <f>(0.75*(3.05+2.9)+0.9*2.25)*(10.764)</f>
        <v>69.83144999999999</v>
      </c>
      <c r="F155" s="2">
        <f t="shared" si="19"/>
        <v>435.64598999999998</v>
      </c>
      <c r="G155" s="2">
        <v>0</v>
      </c>
      <c r="H155" s="2">
        <f>F155*(($H$127)+1)+(IF(G155&lt;101,G155,IF(G155&lt;201,G155/2,IF(G155&lt;=301,G155/3,G155/4))))</f>
        <v>631.68668549999995</v>
      </c>
      <c r="N155" s="10" t="e">
        <f t="shared" ca="1" si="20"/>
        <v>#REF!</v>
      </c>
      <c r="O155" s="10" t="e">
        <f t="shared" ca="1" si="21"/>
        <v>#REF!</v>
      </c>
      <c r="P155" s="10" t="e">
        <f t="shared" ca="1" si="21"/>
        <v>#REF!</v>
      </c>
    </row>
    <row r="156" spans="1:16" ht="34.5" customHeight="1" x14ac:dyDescent="0.25">
      <c r="A156" s="57" t="s">
        <v>230</v>
      </c>
      <c r="B156" s="57"/>
      <c r="C156" s="57"/>
      <c r="D156" s="57"/>
      <c r="E156" s="57"/>
      <c r="F156" s="57"/>
      <c r="G156" s="58"/>
      <c r="H156" s="58"/>
      <c r="N156" s="10" t="str">
        <f ca="1">O156&amp;" &amp; "&amp;P156</f>
        <v>501 &amp; 5201</v>
      </c>
      <c r="O156" s="10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</f>
        <v>501</v>
      </c>
      <c r="P156" s="10">
        <f ca="1">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5201</v>
      </c>
    </row>
    <row r="157" spans="1:16" ht="15" customHeight="1" x14ac:dyDescent="0.25">
      <c r="A157" s="57" t="s">
        <v>208</v>
      </c>
      <c r="B157" s="57"/>
      <c r="C157" s="57"/>
      <c r="D157" s="57"/>
      <c r="E157" s="57"/>
      <c r="F157" s="57"/>
      <c r="G157" s="58"/>
      <c r="H157" s="58"/>
      <c r="N157" s="10" t="str">
        <f ca="1">O157&amp;" &amp; "&amp;P157</f>
        <v>501 &amp; 5201</v>
      </c>
      <c r="O157" s="10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</f>
        <v>501</v>
      </c>
      <c r="P157" s="10">
        <f ca="1">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5201</v>
      </c>
    </row>
    <row r="158" spans="1:16" x14ac:dyDescent="0.25">
      <c r="A158" s="57" t="s">
        <v>195</v>
      </c>
      <c r="B158" s="57"/>
      <c r="C158" s="57"/>
      <c r="D158" s="57"/>
      <c r="E158" s="57"/>
      <c r="F158" s="57"/>
      <c r="G158" s="57"/>
      <c r="H158" s="57"/>
      <c r="I158" s="59"/>
      <c r="J158" s="59"/>
    </row>
    <row r="159" spans="1:16" x14ac:dyDescent="0.25">
      <c r="A159" s="29">
        <v>1</v>
      </c>
      <c r="B159" s="2" t="s">
        <v>197</v>
      </c>
      <c r="C159" s="46">
        <f>(47.79)*(10.764)</f>
        <v>514.41156000000001</v>
      </c>
      <c r="D159" s="46">
        <f>(0)*(10.764)</f>
        <v>0</v>
      </c>
      <c r="E159" s="46">
        <f>(0.75*(2.9+2.75+3.05)+0.9*2.15)*(10.764)</f>
        <v>91.063439999999986</v>
      </c>
      <c r="F159" s="2">
        <f t="shared" ref="F159:F164" si="23">C159+D159+E159</f>
        <v>605.47500000000002</v>
      </c>
      <c r="G159" s="2">
        <v>0</v>
      </c>
      <c r="H159" s="2">
        <f t="shared" ref="H159:H164" si="24">F159*(($H$127)+1)+(IF(G159&lt;101,G159,IF(G159&lt;201,G159/2,IF(G159&lt;=301,G159/3,G159/4))))</f>
        <v>877.93875000000003</v>
      </c>
      <c r="I159" s="10">
        <f>4.25*2.9+3.05*2.15+2.75*2.9+3.05*3.25+1.25*(2+2.15)+1*1.5</f>
        <v>43.457500000000003</v>
      </c>
    </row>
    <row r="160" spans="1:16" x14ac:dyDescent="0.25">
      <c r="A160" s="29">
        <f>A159+1</f>
        <v>2</v>
      </c>
      <c r="B160" s="2" t="s">
        <v>196</v>
      </c>
      <c r="C160" s="46">
        <f>(29.47)*(10.764)</f>
        <v>317.21507999999994</v>
      </c>
      <c r="D160" s="46">
        <f>(1.05*3.05+0.9*3.15)*(10.764)</f>
        <v>64.987649999999988</v>
      </c>
      <c r="E160" s="46">
        <f>(0.75*(3.05+3.15)+0.9*2.25)*(10.764)</f>
        <v>71.849699999999984</v>
      </c>
      <c r="F160" s="2">
        <f t="shared" si="23"/>
        <v>454.0524299999999</v>
      </c>
      <c r="G160" s="2">
        <v>0</v>
      </c>
      <c r="H160" s="2">
        <f t="shared" si="24"/>
        <v>658.37602349999986</v>
      </c>
    </row>
    <row r="161" spans="1:9" x14ac:dyDescent="0.25">
      <c r="A161" s="29">
        <f>A160+1</f>
        <v>3</v>
      </c>
      <c r="B161" s="2" t="s">
        <v>196</v>
      </c>
      <c r="C161" s="46">
        <f>(28)*(10.764)</f>
        <v>301.392</v>
      </c>
      <c r="D161" s="46">
        <f>(1.06*3.05+2.25*0.8+3.45*0.91)*(10.764)</f>
        <v>87.968790000000013</v>
      </c>
      <c r="E161" s="46">
        <f>(0.75*(3.05+3.45)+0.9*2.25)*(10.764)</f>
        <v>74.271599999999992</v>
      </c>
      <c r="F161" s="2">
        <f t="shared" si="23"/>
        <v>463.63238999999999</v>
      </c>
      <c r="G161" s="2">
        <v>0</v>
      </c>
      <c r="H161" s="2">
        <f t="shared" si="24"/>
        <v>672.26696549999997</v>
      </c>
    </row>
    <row r="162" spans="1:9" x14ac:dyDescent="0.25">
      <c r="A162" s="29">
        <f>A161+1</f>
        <v>4</v>
      </c>
      <c r="B162" s="2" t="s">
        <v>197</v>
      </c>
      <c r="C162" s="46">
        <f>(43.05)*(10.764)</f>
        <v>463.39019999999994</v>
      </c>
      <c r="D162" s="46">
        <f>(0)*(10.764)</f>
        <v>0</v>
      </c>
      <c r="E162" s="46">
        <f>(0.75*(2.3+2.15+2.75))*(10.764)</f>
        <v>58.125599999999991</v>
      </c>
      <c r="F162" s="2">
        <f>C162+D162+E162</f>
        <v>521.5157999999999</v>
      </c>
      <c r="G162" s="2">
        <v>0</v>
      </c>
      <c r="H162" s="2">
        <f t="shared" si="24"/>
        <v>756.19790999999987</v>
      </c>
    </row>
    <row r="163" spans="1:9" x14ac:dyDescent="0.25">
      <c r="A163" s="29">
        <f>A162+1</f>
        <v>5</v>
      </c>
      <c r="B163" s="2" t="s">
        <v>196</v>
      </c>
      <c r="C163" s="46">
        <f>(27.75)*(10.764)</f>
        <v>298.70099999999996</v>
      </c>
      <c r="D163" s="46">
        <f>(1.4*2.75+0.9*2.9)*(10.764)</f>
        <v>69.53543999999998</v>
      </c>
      <c r="E163" s="46">
        <f>(0.75*(2.75+2.9)+0.9*2.25)*(10.764)</f>
        <v>67.40955000000001</v>
      </c>
      <c r="F163" s="2">
        <f t="shared" si="23"/>
        <v>435.64598999999998</v>
      </c>
      <c r="G163" s="2">
        <v>0</v>
      </c>
      <c r="H163" s="2">
        <f t="shared" si="24"/>
        <v>631.68668549999995</v>
      </c>
    </row>
    <row r="164" spans="1:9" x14ac:dyDescent="0.25">
      <c r="A164" s="29">
        <f>A163+1</f>
        <v>6</v>
      </c>
      <c r="B164" s="2" t="s">
        <v>196</v>
      </c>
      <c r="C164" s="46">
        <f>(27.48)*(10.764)</f>
        <v>295.79471999999998</v>
      </c>
      <c r="D164" s="46">
        <f>(1.15*2.95+0.9*3.05)*(10.764)</f>
        <v>66.064049999999995</v>
      </c>
      <c r="E164" s="46">
        <f>(0.75*(2.95+2.3+1.6))*(10.764)</f>
        <v>55.300049999999992</v>
      </c>
      <c r="F164" s="2">
        <f t="shared" si="23"/>
        <v>417.15881999999999</v>
      </c>
      <c r="G164" s="2">
        <v>0</v>
      </c>
      <c r="H164" s="2">
        <f t="shared" si="24"/>
        <v>604.88028899999995</v>
      </c>
      <c r="I164" s="10">
        <f>2.5*2.95+2.1*2.75+2*3.05+1.25*(2+1.85)+1.7</f>
        <v>25.762499999999999</v>
      </c>
    </row>
    <row r="165" spans="1:9" x14ac:dyDescent="0.25">
      <c r="A165" s="181"/>
      <c r="B165" s="181"/>
      <c r="C165" s="181"/>
      <c r="D165" s="181"/>
      <c r="E165" s="181"/>
      <c r="F165" s="181"/>
      <c r="G165" s="181"/>
      <c r="H165" s="181"/>
    </row>
    <row r="166" spans="1:9" ht="50.25" customHeight="1" x14ac:dyDescent="0.25">
      <c r="A166" s="12">
        <v>48</v>
      </c>
      <c r="B166" s="110" t="s">
        <v>47</v>
      </c>
      <c r="C166" s="110"/>
      <c r="D166" s="110"/>
      <c r="E166" s="133" t="s">
        <v>231</v>
      </c>
      <c r="F166" s="133"/>
      <c r="G166" s="133"/>
      <c r="H166" s="133"/>
    </row>
    <row r="167" spans="1:9" ht="31.5" customHeight="1" x14ac:dyDescent="0.25">
      <c r="A167" s="12">
        <v>49</v>
      </c>
      <c r="B167" s="110" t="s">
        <v>128</v>
      </c>
      <c r="C167" s="110"/>
      <c r="D167" s="110"/>
      <c r="E167" s="133" t="s">
        <v>210</v>
      </c>
      <c r="F167" s="133"/>
      <c r="G167" s="133"/>
      <c r="H167" s="133"/>
    </row>
    <row r="168" spans="1:9" x14ac:dyDescent="0.25">
      <c r="A168" s="12">
        <v>50</v>
      </c>
      <c r="B168" s="110" t="s">
        <v>48</v>
      </c>
      <c r="C168" s="110"/>
      <c r="D168" s="110"/>
      <c r="E168" s="124" t="s">
        <v>67</v>
      </c>
      <c r="F168" s="124"/>
      <c r="G168" s="124"/>
      <c r="H168" s="124"/>
    </row>
    <row r="169" spans="1:9" ht="27" customHeight="1" x14ac:dyDescent="0.25">
      <c r="A169" s="123">
        <v>51</v>
      </c>
      <c r="B169" s="110" t="s">
        <v>49</v>
      </c>
      <c r="C169" s="110"/>
      <c r="D169" s="110"/>
      <c r="E169" s="131" t="s">
        <v>66</v>
      </c>
      <c r="F169" s="131"/>
      <c r="G169" s="131"/>
      <c r="H169" s="131"/>
    </row>
    <row r="170" spans="1:9" ht="31.5" customHeight="1" x14ac:dyDescent="0.25">
      <c r="A170" s="123"/>
      <c r="B170" s="110"/>
      <c r="C170" s="110"/>
      <c r="D170" s="110"/>
      <c r="E170" s="116" t="s">
        <v>147</v>
      </c>
      <c r="F170" s="116"/>
      <c r="G170" s="116"/>
      <c r="H170" s="30">
        <v>4800</v>
      </c>
    </row>
    <row r="171" spans="1:9" x14ac:dyDescent="0.25">
      <c r="A171" s="12">
        <v>52</v>
      </c>
      <c r="B171" s="110" t="s">
        <v>50</v>
      </c>
      <c r="C171" s="110"/>
      <c r="D171" s="110"/>
      <c r="E171" s="133" t="s">
        <v>67</v>
      </c>
      <c r="F171" s="133"/>
      <c r="G171" s="133"/>
      <c r="H171" s="133"/>
    </row>
    <row r="172" spans="1:9" x14ac:dyDescent="0.25">
      <c r="A172" s="123">
        <v>53</v>
      </c>
      <c r="B172" s="110" t="s">
        <v>139</v>
      </c>
      <c r="C172" s="110"/>
      <c r="D172" s="110"/>
      <c r="E172" s="109" t="s">
        <v>138</v>
      </c>
      <c r="F172" s="109"/>
      <c r="G172" s="109"/>
      <c r="H172" s="109"/>
    </row>
    <row r="173" spans="1:9" ht="34.5" customHeight="1" x14ac:dyDescent="0.25">
      <c r="A173" s="123"/>
      <c r="B173" s="110"/>
      <c r="C173" s="110"/>
      <c r="D173" s="110"/>
      <c r="E173" s="116" t="s">
        <v>147</v>
      </c>
      <c r="F173" s="116"/>
      <c r="G173" s="116"/>
      <c r="H173" s="30">
        <f>H170</f>
        <v>4800</v>
      </c>
    </row>
    <row r="174" spans="1:9" ht="34.5" customHeight="1" x14ac:dyDescent="0.25">
      <c r="A174" s="123"/>
      <c r="B174" s="110"/>
      <c r="C174" s="110"/>
      <c r="D174" s="110"/>
      <c r="E174" s="110" t="s">
        <v>13</v>
      </c>
      <c r="F174" s="110"/>
      <c r="G174" s="110"/>
      <c r="H174" s="30">
        <v>300000</v>
      </c>
    </row>
    <row r="175" spans="1:9" x14ac:dyDescent="0.25">
      <c r="A175" s="12">
        <v>54</v>
      </c>
      <c r="B175" s="110" t="s">
        <v>51</v>
      </c>
      <c r="C175" s="110"/>
      <c r="D175" s="110"/>
      <c r="E175" s="124" t="s">
        <v>10</v>
      </c>
      <c r="F175" s="124"/>
      <c r="G175" s="124"/>
      <c r="H175" s="124"/>
    </row>
    <row r="176" spans="1:9" x14ac:dyDescent="0.25">
      <c r="A176" s="123">
        <v>55</v>
      </c>
      <c r="B176" s="110" t="s">
        <v>52</v>
      </c>
      <c r="C176" s="110"/>
      <c r="D176" s="110"/>
      <c r="E176" s="133" t="s">
        <v>211</v>
      </c>
      <c r="F176" s="133"/>
      <c r="G176" s="133"/>
      <c r="H176" s="47">
        <v>0.1</v>
      </c>
    </row>
    <row r="177" spans="1:8" x14ac:dyDescent="0.25">
      <c r="A177" s="123"/>
      <c r="B177" s="110"/>
      <c r="C177" s="110"/>
      <c r="D177" s="110"/>
      <c r="E177" s="133" t="s">
        <v>212</v>
      </c>
      <c r="F177" s="133"/>
      <c r="G177" s="133"/>
      <c r="H177" s="47">
        <v>0.2</v>
      </c>
    </row>
    <row r="178" spans="1:8" x14ac:dyDescent="0.25">
      <c r="A178" s="123"/>
      <c r="B178" s="110"/>
      <c r="C178" s="110"/>
      <c r="D178" s="110"/>
      <c r="E178" s="155" t="s">
        <v>5</v>
      </c>
      <c r="F178" s="155"/>
      <c r="G178" s="155"/>
      <c r="H178" s="47">
        <v>0.15</v>
      </c>
    </row>
    <row r="179" spans="1:8" x14ac:dyDescent="0.25">
      <c r="A179" s="123"/>
      <c r="B179" s="110"/>
      <c r="C179" s="110"/>
      <c r="D179" s="110"/>
      <c r="E179" s="133" t="s">
        <v>96</v>
      </c>
      <c r="F179" s="133"/>
      <c r="G179" s="133"/>
      <c r="H179" s="47">
        <v>0.05</v>
      </c>
    </row>
    <row r="180" spans="1:8" x14ac:dyDescent="0.25">
      <c r="A180" s="123"/>
      <c r="B180" s="110"/>
      <c r="C180" s="110"/>
      <c r="D180" s="110"/>
      <c r="E180" s="133" t="s">
        <v>97</v>
      </c>
      <c r="F180" s="133"/>
      <c r="G180" s="133"/>
      <c r="H180" s="47">
        <v>0.05</v>
      </c>
    </row>
    <row r="181" spans="1:8" x14ac:dyDescent="0.25">
      <c r="A181" s="123"/>
      <c r="B181" s="110"/>
      <c r="C181" s="110"/>
      <c r="D181" s="110"/>
      <c r="E181" s="133" t="s">
        <v>98</v>
      </c>
      <c r="F181" s="133"/>
      <c r="G181" s="133"/>
      <c r="H181" s="47">
        <v>0.05</v>
      </c>
    </row>
    <row r="182" spans="1:8" x14ac:dyDescent="0.25">
      <c r="A182" s="123"/>
      <c r="B182" s="110"/>
      <c r="C182" s="110"/>
      <c r="D182" s="110"/>
      <c r="E182" s="133" t="s">
        <v>99</v>
      </c>
      <c r="F182" s="133"/>
      <c r="G182" s="133"/>
      <c r="H182" s="47">
        <v>0.05</v>
      </c>
    </row>
    <row r="183" spans="1:8" x14ac:dyDescent="0.25">
      <c r="A183" s="123"/>
      <c r="B183" s="110"/>
      <c r="C183" s="110"/>
      <c r="D183" s="110"/>
      <c r="E183" s="133" t="s">
        <v>100</v>
      </c>
      <c r="F183" s="133"/>
      <c r="G183" s="133"/>
      <c r="H183" s="47">
        <v>0.05</v>
      </c>
    </row>
    <row r="184" spans="1:8" ht="30.75" customHeight="1" x14ac:dyDescent="0.25">
      <c r="A184" s="123"/>
      <c r="B184" s="110"/>
      <c r="C184" s="110"/>
      <c r="D184" s="110"/>
      <c r="E184" s="133" t="s">
        <v>213</v>
      </c>
      <c r="F184" s="133"/>
      <c r="G184" s="133"/>
      <c r="H184" s="47">
        <v>0.05</v>
      </c>
    </row>
    <row r="185" spans="1:8" ht="31.5" customHeight="1" x14ac:dyDescent="0.25">
      <c r="A185" s="123"/>
      <c r="B185" s="110"/>
      <c r="C185" s="110"/>
      <c r="D185" s="110"/>
      <c r="E185" s="155" t="s">
        <v>214</v>
      </c>
      <c r="F185" s="155"/>
      <c r="G185" s="155"/>
      <c r="H185" s="47">
        <v>0.1</v>
      </c>
    </row>
    <row r="186" spans="1:8" ht="48" customHeight="1" x14ac:dyDescent="0.25">
      <c r="A186" s="123"/>
      <c r="B186" s="110"/>
      <c r="C186" s="110"/>
      <c r="D186" s="110"/>
      <c r="E186" s="155" t="s">
        <v>215</v>
      </c>
      <c r="F186" s="155"/>
      <c r="G186" s="155"/>
      <c r="H186" s="47">
        <v>0.1</v>
      </c>
    </row>
    <row r="187" spans="1:8" x14ac:dyDescent="0.25">
      <c r="A187" s="123"/>
      <c r="B187" s="110"/>
      <c r="C187" s="110"/>
      <c r="D187" s="110"/>
      <c r="E187" s="155" t="s">
        <v>101</v>
      </c>
      <c r="F187" s="155"/>
      <c r="G187" s="155"/>
      <c r="H187" s="47">
        <v>0.05</v>
      </c>
    </row>
    <row r="188" spans="1:8" x14ac:dyDescent="0.25">
      <c r="A188" s="123"/>
      <c r="B188" s="110"/>
      <c r="C188" s="110"/>
      <c r="D188" s="110"/>
      <c r="E188" s="155" t="s">
        <v>12</v>
      </c>
      <c r="F188" s="155"/>
      <c r="G188" s="155"/>
      <c r="H188" s="47">
        <f>SUM(H176:H187)</f>
        <v>1.0000000000000002</v>
      </c>
    </row>
    <row r="189" spans="1:8" ht="49.5" customHeight="1" x14ac:dyDescent="0.25">
      <c r="A189" s="12">
        <v>56</v>
      </c>
      <c r="B189" s="110" t="s">
        <v>53</v>
      </c>
      <c r="C189" s="110"/>
      <c r="D189" s="110"/>
      <c r="E189" s="124" t="s">
        <v>65</v>
      </c>
      <c r="F189" s="124"/>
      <c r="G189" s="124"/>
      <c r="H189" s="124"/>
    </row>
    <row r="190" spans="1:8" x14ac:dyDescent="0.25">
      <c r="A190" s="12">
        <v>57</v>
      </c>
      <c r="B190" s="110" t="s">
        <v>54</v>
      </c>
      <c r="C190" s="110"/>
      <c r="D190" s="110"/>
      <c r="E190" s="124" t="s">
        <v>65</v>
      </c>
      <c r="F190" s="124"/>
      <c r="G190" s="124"/>
      <c r="H190" s="124"/>
    </row>
    <row r="191" spans="1:8" x14ac:dyDescent="0.25">
      <c r="A191" s="12">
        <v>58</v>
      </c>
      <c r="B191" s="110" t="s">
        <v>55</v>
      </c>
      <c r="C191" s="110"/>
      <c r="D191" s="110"/>
      <c r="E191" s="124" t="s">
        <v>65</v>
      </c>
      <c r="F191" s="124"/>
      <c r="G191" s="124"/>
      <c r="H191" s="124"/>
    </row>
    <row r="192" spans="1:8" x14ac:dyDescent="0.25">
      <c r="A192" s="12">
        <v>59</v>
      </c>
      <c r="B192" s="110" t="s">
        <v>56</v>
      </c>
      <c r="C192" s="110"/>
      <c r="D192" s="110"/>
      <c r="E192" s="124" t="s">
        <v>65</v>
      </c>
      <c r="F192" s="124"/>
      <c r="G192" s="124"/>
      <c r="H192" s="124"/>
    </row>
    <row r="193" spans="1:8" x14ac:dyDescent="0.25">
      <c r="A193" s="12">
        <v>60</v>
      </c>
      <c r="B193" s="110" t="s">
        <v>57</v>
      </c>
      <c r="C193" s="110"/>
      <c r="D193" s="110"/>
      <c r="E193" s="110"/>
      <c r="F193" s="110"/>
      <c r="G193" s="110"/>
      <c r="H193" s="110"/>
    </row>
    <row r="194" spans="1:8" x14ac:dyDescent="0.25">
      <c r="A194" s="12" t="s">
        <v>58</v>
      </c>
      <c r="B194" s="110" t="s">
        <v>59</v>
      </c>
      <c r="C194" s="110"/>
      <c r="D194" s="110"/>
      <c r="E194" s="124" t="s">
        <v>65</v>
      </c>
      <c r="F194" s="124"/>
      <c r="G194" s="124"/>
      <c r="H194" s="124"/>
    </row>
    <row r="195" spans="1:8" x14ac:dyDescent="0.25">
      <c r="A195" s="33" t="s">
        <v>61</v>
      </c>
      <c r="B195" s="132" t="s">
        <v>60</v>
      </c>
      <c r="C195" s="132"/>
      <c r="D195" s="132"/>
      <c r="E195" s="154" t="s">
        <v>67</v>
      </c>
      <c r="F195" s="154"/>
      <c r="G195" s="154"/>
      <c r="H195" s="154"/>
    </row>
    <row r="196" spans="1:8" x14ac:dyDescent="0.25">
      <c r="A196" s="51" t="s">
        <v>141</v>
      </c>
      <c r="B196" s="51"/>
      <c r="C196" s="51"/>
      <c r="D196" s="51"/>
      <c r="E196" s="51"/>
      <c r="F196" s="51"/>
      <c r="G196" s="51"/>
      <c r="H196" s="51"/>
    </row>
    <row r="197" spans="1:8" ht="33.75" customHeight="1" x14ac:dyDescent="0.25">
      <c r="A197" s="39">
        <v>1</v>
      </c>
      <c r="B197" s="51" t="s">
        <v>217</v>
      </c>
      <c r="C197" s="51"/>
      <c r="D197" s="51"/>
      <c r="E197" s="51"/>
      <c r="F197" s="51"/>
      <c r="G197" s="51"/>
      <c r="H197" s="51"/>
    </row>
    <row r="198" spans="1:8" x14ac:dyDescent="0.25">
      <c r="A198" s="39">
        <f t="shared" ref="A198:A203" si="25">A197+1</f>
        <v>2</v>
      </c>
      <c r="B198" s="51" t="s">
        <v>142</v>
      </c>
      <c r="C198" s="51"/>
      <c r="D198" s="51"/>
      <c r="E198" s="51"/>
      <c r="F198" s="51"/>
      <c r="G198" s="51"/>
      <c r="H198" s="51"/>
    </row>
    <row r="199" spans="1:8" x14ac:dyDescent="0.25">
      <c r="A199" s="39">
        <f t="shared" si="25"/>
        <v>3</v>
      </c>
      <c r="B199" s="51" t="s">
        <v>143</v>
      </c>
      <c r="C199" s="51"/>
      <c r="D199" s="51"/>
      <c r="E199" s="51"/>
      <c r="F199" s="51"/>
      <c r="G199" s="51"/>
      <c r="H199" s="51"/>
    </row>
    <row r="200" spans="1:8" x14ac:dyDescent="0.25">
      <c r="A200" s="39">
        <f t="shared" si="25"/>
        <v>4</v>
      </c>
      <c r="B200" s="51" t="s">
        <v>216</v>
      </c>
      <c r="C200" s="51"/>
      <c r="D200" s="51"/>
      <c r="E200" s="51"/>
      <c r="F200" s="51"/>
      <c r="G200" s="51"/>
      <c r="H200" s="51"/>
    </row>
    <row r="201" spans="1:8" x14ac:dyDescent="0.25">
      <c r="A201" s="39">
        <f t="shared" si="25"/>
        <v>5</v>
      </c>
      <c r="B201" s="51" t="s">
        <v>144</v>
      </c>
      <c r="C201" s="51"/>
      <c r="D201" s="51"/>
      <c r="E201" s="51"/>
      <c r="F201" s="51"/>
      <c r="G201" s="51"/>
      <c r="H201" s="51"/>
    </row>
    <row r="202" spans="1:8" x14ac:dyDescent="0.25">
      <c r="A202" s="39">
        <f t="shared" si="25"/>
        <v>6</v>
      </c>
      <c r="B202" s="51" t="s">
        <v>145</v>
      </c>
      <c r="C202" s="51"/>
      <c r="D202" s="51"/>
      <c r="E202" s="51"/>
      <c r="F202" s="51"/>
      <c r="G202" s="51"/>
      <c r="H202" s="51"/>
    </row>
    <row r="203" spans="1:8" ht="32.25" customHeight="1" x14ac:dyDescent="0.25">
      <c r="A203" s="39">
        <f t="shared" si="25"/>
        <v>7</v>
      </c>
      <c r="B203" s="51" t="s">
        <v>146</v>
      </c>
      <c r="C203" s="51"/>
      <c r="D203" s="51"/>
      <c r="E203" s="51"/>
      <c r="F203" s="51"/>
      <c r="G203" s="51"/>
      <c r="H203" s="51"/>
    </row>
    <row r="204" spans="1:8" x14ac:dyDescent="0.25">
      <c r="A204" s="24" t="s">
        <v>82</v>
      </c>
      <c r="B204" s="25"/>
      <c r="C204" s="25"/>
      <c r="D204" s="192" t="str">
        <f>E4</f>
        <v>Radha Nilaya Phase 2 (Krishnakunj)</v>
      </c>
      <c r="E204" s="192"/>
      <c r="F204" s="192"/>
      <c r="G204" s="192"/>
      <c r="H204" s="192"/>
    </row>
    <row r="205" spans="1:8" x14ac:dyDescent="0.25">
      <c r="A205" s="25"/>
      <c r="B205" s="25"/>
      <c r="C205" s="25"/>
      <c r="D205" s="25"/>
      <c r="E205" s="25"/>
      <c r="F205" s="25"/>
      <c r="G205" s="25"/>
      <c r="H205" s="25"/>
    </row>
    <row r="206" spans="1:8" x14ac:dyDescent="0.25">
      <c r="A206" s="25"/>
      <c r="B206" s="25"/>
      <c r="C206" s="25"/>
      <c r="D206" s="25"/>
      <c r="E206" s="25"/>
      <c r="F206" s="25"/>
      <c r="G206" s="25"/>
      <c r="H206" s="25"/>
    </row>
    <row r="225" spans="3:7" x14ac:dyDescent="0.25">
      <c r="C225" s="26"/>
      <c r="F225" s="170"/>
      <c r="G225" s="170"/>
    </row>
    <row r="251" spans="1:1" x14ac:dyDescent="0.25">
      <c r="A251" s="27" t="s">
        <v>131</v>
      </c>
    </row>
    <row r="295" spans="1:8" x14ac:dyDescent="0.25">
      <c r="A295" s="27" t="s">
        <v>15</v>
      </c>
      <c r="B295" s="25"/>
      <c r="C295" s="25"/>
      <c r="D295" s="28"/>
      <c r="E295" s="24"/>
      <c r="F295" s="25"/>
      <c r="G295" s="25"/>
      <c r="H295" s="25"/>
    </row>
    <row r="296" spans="1:8" x14ac:dyDescent="0.25">
      <c r="A296" s="25"/>
      <c r="B296" s="25"/>
      <c r="C296" s="25"/>
      <c r="D296" s="25"/>
      <c r="E296" s="25"/>
      <c r="F296" s="25"/>
      <c r="G296" s="25"/>
      <c r="H296" s="25"/>
    </row>
    <row r="297" spans="1:8" x14ac:dyDescent="0.25">
      <c r="A297" s="25"/>
      <c r="B297" s="25"/>
      <c r="C297" s="25"/>
      <c r="D297" s="25"/>
      <c r="E297" s="25"/>
      <c r="F297" s="25"/>
      <c r="G297" s="25"/>
      <c r="H297" s="25"/>
    </row>
    <row r="316" spans="3:7" x14ac:dyDescent="0.25">
      <c r="C316" s="26"/>
      <c r="F316" s="170"/>
      <c r="G316" s="170"/>
    </row>
    <row r="331" spans="1:8" x14ac:dyDescent="0.25">
      <c r="A331" s="115" t="s">
        <v>0</v>
      </c>
      <c r="B331" s="115"/>
      <c r="C331" s="115"/>
      <c r="D331" s="115"/>
      <c r="E331" s="115"/>
      <c r="F331" s="115"/>
      <c r="G331" s="115"/>
      <c r="H331" s="115"/>
    </row>
    <row r="332" spans="1:8" x14ac:dyDescent="0.25">
      <c r="A332" s="115" t="s">
        <v>3</v>
      </c>
      <c r="B332" s="115"/>
      <c r="C332" s="115"/>
      <c r="D332" s="115"/>
      <c r="E332" s="115"/>
      <c r="F332" s="115"/>
      <c r="G332" s="115"/>
      <c r="H332" s="115"/>
    </row>
    <row r="333" spans="1:8" x14ac:dyDescent="0.25">
      <c r="A333" s="115" t="s">
        <v>1</v>
      </c>
      <c r="B333" s="115"/>
      <c r="C333" s="115"/>
      <c r="D333" s="115"/>
      <c r="E333" s="115"/>
      <c r="F333" s="115"/>
      <c r="G333" s="115"/>
      <c r="H333" s="115"/>
    </row>
    <row r="334" spans="1:8" x14ac:dyDescent="0.25">
      <c r="A334" s="115" t="s">
        <v>6</v>
      </c>
      <c r="B334" s="115"/>
      <c r="C334" s="115"/>
      <c r="D334" s="115"/>
      <c r="E334" s="115"/>
      <c r="F334" s="115"/>
      <c r="G334" s="115"/>
      <c r="H334" s="115"/>
    </row>
    <row r="335" spans="1:8" x14ac:dyDescent="0.25">
      <c r="A335" s="115" t="s">
        <v>11</v>
      </c>
      <c r="B335" s="115"/>
      <c r="C335" s="115"/>
      <c r="D335" s="115"/>
      <c r="E335" s="115"/>
      <c r="F335" s="115"/>
      <c r="G335" s="115"/>
      <c r="H335" s="115"/>
    </row>
    <row r="336" spans="1:8" x14ac:dyDescent="0.25">
      <c r="A336" s="115" t="s">
        <v>7</v>
      </c>
      <c r="B336" s="115"/>
      <c r="C336" s="115"/>
      <c r="D336" s="115"/>
      <c r="E336" s="115"/>
      <c r="F336" s="115"/>
      <c r="G336" s="115"/>
      <c r="H336" s="115"/>
    </row>
    <row r="337" spans="1:8" ht="59.25" customHeight="1" x14ac:dyDescent="0.25">
      <c r="A337" s="189" t="s">
        <v>127</v>
      </c>
      <c r="B337" s="190"/>
      <c r="C337" s="191" t="s">
        <v>221</v>
      </c>
      <c r="D337" s="191"/>
      <c r="E337" s="188" t="s">
        <v>167</v>
      </c>
      <c r="F337" s="188"/>
      <c r="G337" s="142"/>
      <c r="H337" s="142"/>
    </row>
    <row r="338" spans="1:8" x14ac:dyDescent="0.25">
      <c r="A338" s="27"/>
    </row>
  </sheetData>
  <mergeCells count="322">
    <mergeCell ref="A40:A42"/>
    <mergeCell ref="B42:D42"/>
    <mergeCell ref="E42:H42"/>
    <mergeCell ref="B99:D104"/>
    <mergeCell ref="A99:A104"/>
    <mergeCell ref="E104:H104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E96:H96"/>
    <mergeCell ref="A93:A94"/>
    <mergeCell ref="B93:D94"/>
    <mergeCell ref="E93:G93"/>
    <mergeCell ref="E94:G94"/>
    <mergeCell ref="E45:H45"/>
    <mergeCell ref="B190:D190"/>
    <mergeCell ref="E194:H194"/>
    <mergeCell ref="A335:H335"/>
    <mergeCell ref="A333:H333"/>
    <mergeCell ref="E337:F337"/>
    <mergeCell ref="G337:H337"/>
    <mergeCell ref="E39:H39"/>
    <mergeCell ref="A337:B337"/>
    <mergeCell ref="C337:D337"/>
    <mergeCell ref="A196:H196"/>
    <mergeCell ref="B197:H197"/>
    <mergeCell ref="B198:H198"/>
    <mergeCell ref="B199:H199"/>
    <mergeCell ref="B200:H200"/>
    <mergeCell ref="B201:H201"/>
    <mergeCell ref="B202:H202"/>
    <mergeCell ref="B203:H203"/>
    <mergeCell ref="D204:H204"/>
    <mergeCell ref="A336:H336"/>
    <mergeCell ref="A331:H331"/>
    <mergeCell ref="A334:H334"/>
    <mergeCell ref="F225:G225"/>
    <mergeCell ref="C117:E117"/>
    <mergeCell ref="A172:A174"/>
    <mergeCell ref="E8:F8"/>
    <mergeCell ref="G8:H8"/>
    <mergeCell ref="I12:I13"/>
    <mergeCell ref="I23:J23"/>
    <mergeCell ref="I22:J22"/>
    <mergeCell ref="I24:J24"/>
    <mergeCell ref="I32:J33"/>
    <mergeCell ref="E29:H29"/>
    <mergeCell ref="E38:H38"/>
    <mergeCell ref="E25:H25"/>
    <mergeCell ref="E23:H23"/>
    <mergeCell ref="E30:H30"/>
    <mergeCell ref="E31:H31"/>
    <mergeCell ref="E32:H32"/>
    <mergeCell ref="E36:H36"/>
    <mergeCell ref="E37:H37"/>
    <mergeCell ref="E35:H35"/>
    <mergeCell ref="E27:H27"/>
    <mergeCell ref="E28:H28"/>
    <mergeCell ref="A119:B119"/>
    <mergeCell ref="G122:H122"/>
    <mergeCell ref="A118:H118"/>
    <mergeCell ref="A117:B117"/>
    <mergeCell ref="G117:H117"/>
    <mergeCell ref="E119:F119"/>
    <mergeCell ref="G119:H119"/>
    <mergeCell ref="C108:E108"/>
    <mergeCell ref="G108:H108"/>
    <mergeCell ref="A110:B111"/>
    <mergeCell ref="E183:G183"/>
    <mergeCell ref="G126:G127"/>
    <mergeCell ref="B166:D166"/>
    <mergeCell ref="B167:D167"/>
    <mergeCell ref="A124:H124"/>
    <mergeCell ref="A332:H332"/>
    <mergeCell ref="E190:H190"/>
    <mergeCell ref="E188:G188"/>
    <mergeCell ref="B194:D194"/>
    <mergeCell ref="E187:G187"/>
    <mergeCell ref="E191:H191"/>
    <mergeCell ref="B189:D189"/>
    <mergeCell ref="E189:H189"/>
    <mergeCell ref="E185:G185"/>
    <mergeCell ref="B176:D188"/>
    <mergeCell ref="E179:G179"/>
    <mergeCell ref="B191:D191"/>
    <mergeCell ref="F316:G316"/>
    <mergeCell ref="E186:G186"/>
    <mergeCell ref="E177:G177"/>
    <mergeCell ref="E182:G182"/>
    <mergeCell ref="A126:A127"/>
    <mergeCell ref="B126:B127"/>
    <mergeCell ref="B171:D171"/>
    <mergeCell ref="B172:D174"/>
    <mergeCell ref="E180:G180"/>
    <mergeCell ref="E176:G176"/>
    <mergeCell ref="C122:D122"/>
    <mergeCell ref="E122:F122"/>
    <mergeCell ref="C123:D123"/>
    <mergeCell ref="E174:G174"/>
    <mergeCell ref="G123:H123"/>
    <mergeCell ref="E126:E127"/>
    <mergeCell ref="F126:F127"/>
    <mergeCell ref="E123:F123"/>
    <mergeCell ref="A123:B123"/>
    <mergeCell ref="C126:C127"/>
    <mergeCell ref="D126:D127"/>
    <mergeCell ref="A165:H165"/>
    <mergeCell ref="A158:H158"/>
    <mergeCell ref="A125:H125"/>
    <mergeCell ref="E9:H9"/>
    <mergeCell ref="B25:D25"/>
    <mergeCell ref="B23:D23"/>
    <mergeCell ref="E26:H26"/>
    <mergeCell ref="E15:H15"/>
    <mergeCell ref="A59:B59"/>
    <mergeCell ref="B28:D28"/>
    <mergeCell ref="E48:H48"/>
    <mergeCell ref="E33:H33"/>
    <mergeCell ref="B48:D48"/>
    <mergeCell ref="B35:D35"/>
    <mergeCell ref="B34:D34"/>
    <mergeCell ref="E34:H34"/>
    <mergeCell ref="B29:D29"/>
    <mergeCell ref="B30:D30"/>
    <mergeCell ref="B31:D31"/>
    <mergeCell ref="B32:D32"/>
    <mergeCell ref="B33:D33"/>
    <mergeCell ref="B45:D45"/>
    <mergeCell ref="E16:H16"/>
    <mergeCell ref="B24:D24"/>
    <mergeCell ref="E24:H24"/>
    <mergeCell ref="B46:D46"/>
    <mergeCell ref="E46:H46"/>
    <mergeCell ref="B36:D36"/>
    <mergeCell ref="B17:D17"/>
    <mergeCell ref="B20:D20"/>
    <mergeCell ref="B18:D18"/>
    <mergeCell ref="B19:D19"/>
    <mergeCell ref="B21:D21"/>
    <mergeCell ref="E21:H21"/>
    <mergeCell ref="B22:D22"/>
    <mergeCell ref="E22:H22"/>
    <mergeCell ref="E17:H17"/>
    <mergeCell ref="E18:H18"/>
    <mergeCell ref="E19:H19"/>
    <mergeCell ref="E20:H20"/>
    <mergeCell ref="A1:H1"/>
    <mergeCell ref="A2:H2"/>
    <mergeCell ref="E12:H12"/>
    <mergeCell ref="E13:H13"/>
    <mergeCell ref="E14:H14"/>
    <mergeCell ref="B13:D13"/>
    <mergeCell ref="B14:D14"/>
    <mergeCell ref="B5:D6"/>
    <mergeCell ref="B4:D4"/>
    <mergeCell ref="B10:D10"/>
    <mergeCell ref="B11:D11"/>
    <mergeCell ref="E10:H10"/>
    <mergeCell ref="E11:H11"/>
    <mergeCell ref="B8:D8"/>
    <mergeCell ref="E3:H3"/>
    <mergeCell ref="B3:D3"/>
    <mergeCell ref="B12:D12"/>
    <mergeCell ref="E4:H4"/>
    <mergeCell ref="E7:H7"/>
    <mergeCell ref="E6:F6"/>
    <mergeCell ref="E5:H5"/>
    <mergeCell ref="B7:D7"/>
    <mergeCell ref="G6:H6"/>
    <mergeCell ref="B9:D9"/>
    <mergeCell ref="B43:D43"/>
    <mergeCell ref="A105:H105"/>
    <mergeCell ref="E49:H49"/>
    <mergeCell ref="A51:B51"/>
    <mergeCell ref="A62:B62"/>
    <mergeCell ref="E99:H99"/>
    <mergeCell ref="E100:H100"/>
    <mergeCell ref="B98:D98"/>
    <mergeCell ref="B97:D97"/>
    <mergeCell ref="B96:D96"/>
    <mergeCell ref="E44:H44"/>
    <mergeCell ref="B47:D47"/>
    <mergeCell ref="E47:H47"/>
    <mergeCell ref="E54:F54"/>
    <mergeCell ref="E101:H101"/>
    <mergeCell ref="E102:H102"/>
    <mergeCell ref="C53:H53"/>
    <mergeCell ref="A54:B54"/>
    <mergeCell ref="C65:H65"/>
    <mergeCell ref="E98:H98"/>
    <mergeCell ref="E95:H95"/>
    <mergeCell ref="I140:J140"/>
    <mergeCell ref="E170:G170"/>
    <mergeCell ref="A140:H140"/>
    <mergeCell ref="A130:H130"/>
    <mergeCell ref="A169:A170"/>
    <mergeCell ref="E168:H168"/>
    <mergeCell ref="I158:J158"/>
    <mergeCell ref="B168:D168"/>
    <mergeCell ref="C151:H152"/>
    <mergeCell ref="A156:H156"/>
    <mergeCell ref="A157:H157"/>
    <mergeCell ref="E169:H169"/>
    <mergeCell ref="E166:H166"/>
    <mergeCell ref="E167:H167"/>
    <mergeCell ref="B169:D170"/>
    <mergeCell ref="A5:A9"/>
    <mergeCell ref="E172:H172"/>
    <mergeCell ref="B27:D27"/>
    <mergeCell ref="A106:B106"/>
    <mergeCell ref="G106:H106"/>
    <mergeCell ref="C119:D119"/>
    <mergeCell ref="B26:D26"/>
    <mergeCell ref="B15:D15"/>
    <mergeCell ref="B16:D16"/>
    <mergeCell ref="B40:D40"/>
    <mergeCell ref="E40:H40"/>
    <mergeCell ref="B41:D41"/>
    <mergeCell ref="E41:H41"/>
    <mergeCell ref="A48:A49"/>
    <mergeCell ref="B49:D49"/>
    <mergeCell ref="E43:H43"/>
    <mergeCell ref="B44:D44"/>
    <mergeCell ref="A65:B65"/>
    <mergeCell ref="B39:D39"/>
    <mergeCell ref="B38:D38"/>
    <mergeCell ref="B37:D37"/>
    <mergeCell ref="B95:D95"/>
    <mergeCell ref="C121:D121"/>
    <mergeCell ref="B50:H50"/>
    <mergeCell ref="A67:B67"/>
    <mergeCell ref="C67:H67"/>
    <mergeCell ref="A68:B68"/>
    <mergeCell ref="E68:F68"/>
    <mergeCell ref="G68:H68"/>
    <mergeCell ref="A64:B64"/>
    <mergeCell ref="C51:H51"/>
    <mergeCell ref="A53:B53"/>
    <mergeCell ref="A60:B60"/>
    <mergeCell ref="G54:H54"/>
    <mergeCell ref="A55:B55"/>
    <mergeCell ref="E55:F64"/>
    <mergeCell ref="A61:B61"/>
    <mergeCell ref="G55:H64"/>
    <mergeCell ref="A56:B56"/>
    <mergeCell ref="A57:B57"/>
    <mergeCell ref="A58:B58"/>
    <mergeCell ref="A63:B63"/>
    <mergeCell ref="A92:B92"/>
    <mergeCell ref="G114:H114"/>
    <mergeCell ref="G115:H115"/>
    <mergeCell ref="C111:H111"/>
    <mergeCell ref="C113:H113"/>
    <mergeCell ref="C110:E110"/>
    <mergeCell ref="G110:H110"/>
    <mergeCell ref="A112:B113"/>
    <mergeCell ref="C112:E112"/>
    <mergeCell ref="G112:H112"/>
    <mergeCell ref="A114:B116"/>
    <mergeCell ref="C116:H116"/>
    <mergeCell ref="C114:E115"/>
    <mergeCell ref="E97:H97"/>
    <mergeCell ref="G107:H107"/>
    <mergeCell ref="C106:E106"/>
    <mergeCell ref="A107:B107"/>
    <mergeCell ref="C107:E107"/>
    <mergeCell ref="A108:B109"/>
    <mergeCell ref="I148:J148"/>
    <mergeCell ref="A120:B120"/>
    <mergeCell ref="C120:D120"/>
    <mergeCell ref="E120:F120"/>
    <mergeCell ref="G120:H120"/>
    <mergeCell ref="A121:A122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E103:H103"/>
    <mergeCell ref="C109:H109"/>
    <mergeCell ref="A128:H128"/>
    <mergeCell ref="A129:H129"/>
    <mergeCell ref="A138:H138"/>
    <mergeCell ref="A139:H139"/>
    <mergeCell ref="A148:H148"/>
    <mergeCell ref="B175:D175"/>
    <mergeCell ref="E175:H175"/>
    <mergeCell ref="E192:H192"/>
    <mergeCell ref="E195:H195"/>
    <mergeCell ref="E178:G178"/>
    <mergeCell ref="A176:A188"/>
    <mergeCell ref="B192:D192"/>
    <mergeCell ref="E181:G181"/>
    <mergeCell ref="E184:G184"/>
    <mergeCell ref="E121:F121"/>
    <mergeCell ref="G121:H121"/>
    <mergeCell ref="E171:H171"/>
    <mergeCell ref="B195:D195"/>
    <mergeCell ref="B193:H193"/>
    <mergeCell ref="E173:G173"/>
  </mergeCells>
  <dataValidations count="3">
    <dataValidation type="list" allowBlank="1" showInputMessage="1" showErrorMessage="1" sqref="H127" xr:uid="{00000000-0002-0000-0000-000000000000}">
      <formula1>".45,.50,.55,.60"</formula1>
    </dataValidation>
    <dataValidation type="list" allowBlank="1" showInputMessage="1" showErrorMessage="1" sqref="E17:H17" xr:uid="{00000000-0002-0000-0000-000001000000}">
      <formula1>"None,Yes"</formula1>
    </dataValidation>
    <dataValidation type="list" allowBlank="1" showInputMessage="1" showErrorMessage="1" sqref="B203:H203" xr:uid="{00000000-0002-0000-0000-000002000000}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 xr:uid="{00000000-0004-0000-0000-000000000000}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7" manualBreakCount="7">
    <brk id="50" max="16383" man="1"/>
    <brk id="123" max="16383" man="1"/>
    <brk id="165" max="16383" man="1"/>
    <brk id="195" max="16383" man="1"/>
    <brk id="203" max="7" man="1"/>
    <brk id="250" max="7" man="1"/>
    <brk id="294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9:O10"/>
  <sheetViews>
    <sheetView workbookViewId="0">
      <selection activeCell="L12" sqref="L12"/>
    </sheetView>
  </sheetViews>
  <sheetFormatPr defaultRowHeight="15" x14ac:dyDescent="0.25"/>
  <sheetData>
    <row r="9" spans="11:15" x14ac:dyDescent="0.25">
      <c r="K9" s="133" t="s">
        <v>94</v>
      </c>
      <c r="L9" s="133"/>
      <c r="M9" s="133"/>
      <c r="N9" s="133"/>
      <c r="O9" s="133"/>
    </row>
    <row r="10" spans="11:15" x14ac:dyDescent="0.25">
      <c r="K10" s="133" t="s">
        <v>95</v>
      </c>
      <c r="L10" s="133"/>
      <c r="M10" s="133"/>
      <c r="N10" s="133"/>
      <c r="O10" s="133"/>
    </row>
  </sheetData>
  <mergeCells count="2">
    <mergeCell ref="K9:O9"/>
    <mergeCell ref="K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SACHIN</cp:lastModifiedBy>
  <cp:lastPrinted>2025-08-16T06:40:54Z</cp:lastPrinted>
  <dcterms:created xsi:type="dcterms:W3CDTF">2013-11-23T05:32:33Z</dcterms:created>
  <dcterms:modified xsi:type="dcterms:W3CDTF">2025-08-16T06:44:23Z</dcterms:modified>
</cp:coreProperties>
</file>