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Shruti\Aug 25\Dump\DUMP\New folder\"/>
    </mc:Choice>
  </mc:AlternateContent>
  <bookViews>
    <workbookView xWindow="0" yWindow="0" windowWidth="20490" windowHeight="7755" tabRatio="725"/>
  </bookViews>
  <sheets>
    <sheet name="Report" sheetId="1" r:id="rId1"/>
    <sheet name="valuation" sheetId="5" r:id="rId2"/>
    <sheet name="Research" sheetId="4" r:id="rId3"/>
    <sheet name="Remarks" sheetId="6" r:id="rId4"/>
  </sheets>
  <definedNames>
    <definedName name="_xlnm.Print_Area" localSheetId="0">Report!$A$1:$H$378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27" i="1" l="1"/>
  <c r="M216" i="1"/>
  <c r="M217" i="1"/>
  <c r="M222" i="1"/>
  <c r="M196" i="1"/>
  <c r="M201" i="1"/>
  <c r="M205" i="1"/>
  <c r="M206" i="1"/>
  <c r="M211" i="1"/>
  <c r="J151" i="1"/>
  <c r="E43" i="1"/>
  <c r="G221" i="1" l="1"/>
  <c r="G220" i="1"/>
  <c r="G208" i="1"/>
  <c r="G207" i="1"/>
  <c r="E226" i="1"/>
  <c r="D226" i="1"/>
  <c r="E225" i="1"/>
  <c r="D225" i="1"/>
  <c r="E224" i="1"/>
  <c r="D224" i="1"/>
  <c r="E223" i="1"/>
  <c r="D223" i="1"/>
  <c r="E221" i="1"/>
  <c r="D221" i="1"/>
  <c r="E220" i="1"/>
  <c r="D220" i="1"/>
  <c r="E219" i="1"/>
  <c r="D219" i="1"/>
  <c r="E218" i="1"/>
  <c r="D218" i="1"/>
  <c r="E215" i="1"/>
  <c r="D215" i="1"/>
  <c r="E214" i="1"/>
  <c r="D214" i="1"/>
  <c r="E213" i="1"/>
  <c r="D213" i="1"/>
  <c r="E212" i="1"/>
  <c r="D212" i="1"/>
  <c r="E210" i="1"/>
  <c r="D210" i="1"/>
  <c r="E209" i="1"/>
  <c r="D209" i="1"/>
  <c r="E208" i="1"/>
  <c r="D208" i="1"/>
  <c r="F208" i="1" s="1"/>
  <c r="E207" i="1"/>
  <c r="D207" i="1"/>
  <c r="E204" i="1"/>
  <c r="D204" i="1"/>
  <c r="E203" i="1"/>
  <c r="D203" i="1"/>
  <c r="E202" i="1"/>
  <c r="D202" i="1"/>
  <c r="E200" i="1"/>
  <c r="D200" i="1"/>
  <c r="E199" i="1"/>
  <c r="D199" i="1"/>
  <c r="E198" i="1"/>
  <c r="D198" i="1"/>
  <c r="E197" i="1"/>
  <c r="D197" i="1"/>
  <c r="E195" i="1"/>
  <c r="D195" i="1"/>
  <c r="E194" i="1"/>
  <c r="D194" i="1"/>
  <c r="E193" i="1"/>
  <c r="D193" i="1"/>
  <c r="E192" i="1"/>
  <c r="D192" i="1"/>
  <c r="E191" i="1"/>
  <c r="D191" i="1"/>
  <c r="E190" i="1"/>
  <c r="D190" i="1"/>
  <c r="E189" i="1"/>
  <c r="D189" i="1"/>
  <c r="E187" i="1"/>
  <c r="D187" i="1"/>
  <c r="E186" i="1"/>
  <c r="D186" i="1"/>
  <c r="E185" i="1"/>
  <c r="D185" i="1"/>
  <c r="E184" i="1"/>
  <c r="D184" i="1"/>
  <c r="E183" i="1"/>
  <c r="D183" i="1"/>
  <c r="E182" i="1"/>
  <c r="D182" i="1"/>
  <c r="E181" i="1"/>
  <c r="D181" i="1"/>
  <c r="D175" i="1"/>
  <c r="F175" i="1" s="1"/>
  <c r="H175" i="1" s="1"/>
  <c r="D174" i="1"/>
  <c r="F174" i="1" s="1"/>
  <c r="H174" i="1" s="1"/>
  <c r="D173" i="1"/>
  <c r="F173" i="1" s="1"/>
  <c r="H173" i="1" s="1"/>
  <c r="D172" i="1"/>
  <c r="F172" i="1" s="1"/>
  <c r="H172" i="1" s="1"/>
  <c r="D171" i="1"/>
  <c r="F171" i="1" s="1"/>
  <c r="H171" i="1" s="1"/>
  <c r="D170" i="1"/>
  <c r="F170" i="1" s="1"/>
  <c r="H170" i="1" s="1"/>
  <c r="D169" i="1"/>
  <c r="F169" i="1" s="1"/>
  <c r="H169" i="1" s="1"/>
  <c r="D168" i="1"/>
  <c r="F168" i="1" s="1"/>
  <c r="H168" i="1" s="1"/>
  <c r="D165" i="1"/>
  <c r="F165" i="1" s="1"/>
  <c r="H165" i="1" s="1"/>
  <c r="D164" i="1"/>
  <c r="F164" i="1" s="1"/>
  <c r="H164" i="1" s="1"/>
  <c r="D163" i="1"/>
  <c r="F163" i="1" s="1"/>
  <c r="H163" i="1" s="1"/>
  <c r="D162" i="1"/>
  <c r="F162" i="1" s="1"/>
  <c r="H162" i="1" s="1"/>
  <c r="D161" i="1"/>
  <c r="F161" i="1" s="1"/>
  <c r="H161" i="1" s="1"/>
  <c r="D160" i="1"/>
  <c r="F160" i="1" s="1"/>
  <c r="H160" i="1" s="1"/>
  <c r="D157" i="1"/>
  <c r="F157" i="1" s="1"/>
  <c r="H157" i="1" s="1"/>
  <c r="D156" i="1"/>
  <c r="F156" i="1" s="1"/>
  <c r="H156" i="1" s="1"/>
  <c r="D155" i="1"/>
  <c r="F155" i="1" s="1"/>
  <c r="H155" i="1" s="1"/>
  <c r="D154" i="1"/>
  <c r="F154" i="1" s="1"/>
  <c r="H154" i="1" s="1"/>
  <c r="D153" i="1"/>
  <c r="F153" i="1" s="1"/>
  <c r="H153" i="1" s="1"/>
  <c r="D152" i="1"/>
  <c r="D151" i="1"/>
  <c r="D150" i="1"/>
  <c r="D149" i="1"/>
  <c r="A224" i="1"/>
  <c r="A225" i="1" s="1"/>
  <c r="A226" i="1" s="1"/>
  <c r="A219" i="1"/>
  <c r="A220" i="1" s="1"/>
  <c r="A221" i="1" s="1"/>
  <c r="A174" i="1"/>
  <c r="A175" i="1" s="1"/>
  <c r="A169" i="1"/>
  <c r="A170" i="1" s="1"/>
  <c r="A171" i="1" s="1"/>
  <c r="A172" i="1" s="1"/>
  <c r="A213" i="1"/>
  <c r="A214" i="1" s="1"/>
  <c r="A215" i="1" s="1"/>
  <c r="K208" i="1"/>
  <c r="K207" i="1"/>
  <c r="J208" i="1"/>
  <c r="I208" i="1"/>
  <c r="A208" i="1"/>
  <c r="A209" i="1" s="1"/>
  <c r="A210" i="1" s="1"/>
  <c r="A161" i="1"/>
  <c r="A162" i="1" s="1"/>
  <c r="A163" i="1" s="1"/>
  <c r="A164" i="1" s="1"/>
  <c r="A203" i="1"/>
  <c r="A204" i="1" s="1"/>
  <c r="A198" i="1"/>
  <c r="A199" i="1" s="1"/>
  <c r="A200" i="1" s="1"/>
  <c r="A194" i="1"/>
  <c r="A195" i="1" s="1"/>
  <c r="A190" i="1"/>
  <c r="A191" i="1" s="1"/>
  <c r="A192" i="1" s="1"/>
  <c r="J184" i="1"/>
  <c r="I184" i="1"/>
  <c r="J181" i="1"/>
  <c r="I181" i="1"/>
  <c r="I155" i="1"/>
  <c r="I151" i="1"/>
  <c r="I153" i="1"/>
  <c r="I148" i="1"/>
  <c r="A155" i="1"/>
  <c r="A156" i="1" s="1"/>
  <c r="A157" i="1" s="1"/>
  <c r="H208" i="1" l="1"/>
  <c r="M208" i="1" s="1"/>
  <c r="F219" i="1"/>
  <c r="H219" i="1" s="1"/>
  <c r="M219" i="1" s="1"/>
  <c r="F224" i="1"/>
  <c r="H224" i="1" s="1"/>
  <c r="M224" i="1" s="1"/>
  <c r="F184" i="1"/>
  <c r="H184" i="1" s="1"/>
  <c r="F193" i="1"/>
  <c r="H193" i="1" s="1"/>
  <c r="M193" i="1" s="1"/>
  <c r="F209" i="1"/>
  <c r="H209" i="1" s="1"/>
  <c r="M209" i="1" s="1"/>
  <c r="F220" i="1"/>
  <c r="H220" i="1" s="1"/>
  <c r="M220" i="1" s="1"/>
  <c r="F225" i="1"/>
  <c r="H225" i="1" s="1"/>
  <c r="M225" i="1" s="1"/>
  <c r="F204" i="1"/>
  <c r="H204" i="1" s="1"/>
  <c r="M204" i="1" s="1"/>
  <c r="F210" i="1"/>
  <c r="H210" i="1" s="1"/>
  <c r="M210" i="1" s="1"/>
  <c r="F221" i="1"/>
  <c r="H221" i="1" s="1"/>
  <c r="M221" i="1" s="1"/>
  <c r="F226" i="1"/>
  <c r="H226" i="1" s="1"/>
  <c r="M226" i="1" s="1"/>
  <c r="F195" i="1"/>
  <c r="H195" i="1" s="1"/>
  <c r="M195" i="1" s="1"/>
  <c r="F207" i="1"/>
  <c r="H207" i="1" s="1"/>
  <c r="F212" i="1"/>
  <c r="H212" i="1" s="1"/>
  <c r="M212" i="1" s="1"/>
  <c r="F218" i="1"/>
  <c r="H218" i="1" s="1"/>
  <c r="M218" i="1" s="1"/>
  <c r="F223" i="1"/>
  <c r="H223" i="1" s="1"/>
  <c r="M223" i="1" s="1"/>
  <c r="G133" i="1"/>
  <c r="G134" i="1"/>
  <c r="C133" i="1"/>
  <c r="E133" i="1"/>
  <c r="C134" i="1"/>
  <c r="E134" i="1"/>
  <c r="F214" i="1"/>
  <c r="H214" i="1" s="1"/>
  <c r="M214" i="1" s="1"/>
  <c r="F213" i="1"/>
  <c r="H213" i="1" s="1"/>
  <c r="M213" i="1" s="1"/>
  <c r="F215" i="1"/>
  <c r="H215" i="1" s="1"/>
  <c r="M215" i="1" s="1"/>
  <c r="F191" i="1"/>
  <c r="H191" i="1" s="1"/>
  <c r="M191" i="1" s="1"/>
  <c r="F199" i="1"/>
  <c r="H199" i="1" s="1"/>
  <c r="M199" i="1" s="1"/>
  <c r="F194" i="1"/>
  <c r="H194" i="1" s="1"/>
  <c r="M194" i="1" s="1"/>
  <c r="F192" i="1"/>
  <c r="H192" i="1" s="1"/>
  <c r="M192" i="1" s="1"/>
  <c r="F202" i="1"/>
  <c r="H202" i="1" s="1"/>
  <c r="M202" i="1" s="1"/>
  <c r="F189" i="1"/>
  <c r="H189" i="1" s="1"/>
  <c r="F197" i="1"/>
  <c r="H197" i="1" s="1"/>
  <c r="M197" i="1" s="1"/>
  <c r="F203" i="1"/>
  <c r="H203" i="1" s="1"/>
  <c r="M203" i="1" s="1"/>
  <c r="F200" i="1"/>
  <c r="H200" i="1" s="1"/>
  <c r="M200" i="1" s="1"/>
  <c r="F190" i="1"/>
  <c r="H190" i="1" s="1"/>
  <c r="F198" i="1"/>
  <c r="H198" i="1" s="1"/>
  <c r="M198" i="1" s="1"/>
  <c r="G51" i="1"/>
  <c r="G52" i="1" s="1"/>
  <c r="J42" i="1"/>
  <c r="C140" i="1" l="1"/>
  <c r="G140" i="1"/>
  <c r="E140" i="1"/>
  <c r="M190" i="1"/>
  <c r="K190" i="1"/>
  <c r="M207" i="1"/>
  <c r="G139" i="1"/>
  <c r="E139" i="1"/>
  <c r="M189" i="1"/>
  <c r="K189" i="1"/>
  <c r="C139" i="1"/>
  <c r="F150" i="1"/>
  <c r="H150" i="1" s="1"/>
  <c r="F151" i="1"/>
  <c r="H151" i="1" s="1"/>
  <c r="F152" i="1"/>
  <c r="H152" i="1" s="1"/>
  <c r="F149" i="1"/>
  <c r="H149" i="1" l="1"/>
  <c r="G132" i="1" s="1"/>
  <c r="G135" i="1" s="1"/>
  <c r="E132" i="1"/>
  <c r="E135" i="1" s="1"/>
  <c r="C132" i="1"/>
  <c r="C135" i="1" s="1"/>
  <c r="B230" i="1"/>
  <c r="G58" i="1" l="1"/>
  <c r="C58" i="1"/>
  <c r="G56" i="1"/>
  <c r="C56" i="1"/>
  <c r="C54" i="1"/>
  <c r="S33" i="1" l="1"/>
  <c r="F11" i="5" l="1"/>
  <c r="G11" i="5" s="1"/>
  <c r="F10" i="5"/>
  <c r="G10" i="5" s="1"/>
  <c r="F9" i="5"/>
  <c r="G9" i="5" s="1"/>
  <c r="F8" i="5"/>
  <c r="G8" i="5" s="1"/>
  <c r="F7" i="5"/>
  <c r="G7" i="5" s="1"/>
  <c r="F6" i="5"/>
  <c r="G6" i="5" s="1"/>
  <c r="F5" i="5"/>
  <c r="G5" i="5" s="1"/>
  <c r="G12" i="5" s="1"/>
  <c r="D253" i="1"/>
  <c r="B231" i="1"/>
  <c r="F187" i="1"/>
  <c r="H187" i="1" s="1"/>
  <c r="F186" i="1"/>
  <c r="H186" i="1" s="1"/>
  <c r="F185" i="1"/>
  <c r="H185" i="1" s="1"/>
  <c r="A186" i="1"/>
  <c r="A187" i="1" s="1"/>
  <c r="F183" i="1"/>
  <c r="H183" i="1" s="1"/>
  <c r="F182" i="1"/>
  <c r="H182" i="1" s="1"/>
  <c r="F181" i="1"/>
  <c r="A182" i="1"/>
  <c r="A183" i="1" s="1"/>
  <c r="A184" i="1" s="1"/>
  <c r="A150" i="1"/>
  <c r="A151" i="1" s="1"/>
  <c r="A152" i="1" s="1"/>
  <c r="A153" i="1" s="1"/>
  <c r="F129" i="1"/>
  <c r="C103" i="1"/>
  <c r="C89" i="1"/>
  <c r="C75" i="1"/>
  <c r="D69" i="1"/>
  <c r="D62" i="1"/>
  <c r="C51" i="1"/>
  <c r="E44" i="1"/>
  <c r="E45" i="1" s="1"/>
  <c r="E31" i="1"/>
  <c r="E28" i="1"/>
  <c r="E26" i="1"/>
  <c r="C16" i="1"/>
  <c r="I15" i="1"/>
  <c r="Z13" i="1"/>
  <c r="E8" i="1"/>
  <c r="E3" i="1"/>
  <c r="H90" i="1"/>
  <c r="H76" i="1"/>
  <c r="H104" i="1"/>
  <c r="H181" i="1" l="1"/>
  <c r="G138" i="1" s="1"/>
  <c r="G141" i="1" s="1"/>
  <c r="G142" i="1" s="1"/>
  <c r="C138" i="1"/>
  <c r="C141" i="1" s="1"/>
  <c r="C142" i="1" s="1"/>
  <c r="E138" i="1"/>
  <c r="E141" i="1" s="1"/>
  <c r="E142" i="1" s="1"/>
  <c r="J75" i="1"/>
  <c r="J77" i="1" s="1"/>
  <c r="J78" i="1"/>
  <c r="J79" i="1"/>
  <c r="J80" i="1"/>
  <c r="C79" i="1" s="1"/>
  <c r="J94" i="1"/>
  <c r="E93" i="1"/>
  <c r="D98" i="1"/>
  <c r="D100" i="1"/>
  <c r="D94" i="1"/>
  <c r="J93" i="1"/>
  <c r="D99" i="1"/>
  <c r="J89" i="1"/>
  <c r="J91" i="1" s="1"/>
  <c r="D97" i="1"/>
  <c r="J92" i="1"/>
  <c r="D96" i="1"/>
  <c r="D102" i="1"/>
  <c r="D101" i="1"/>
  <c r="D95" i="1"/>
  <c r="D83" i="1"/>
  <c r="D85" i="1"/>
  <c r="D84" i="1"/>
  <c r="D88" i="1"/>
  <c r="D82" i="1"/>
  <c r="D87" i="1"/>
  <c r="D81" i="1"/>
  <c r="D86" i="1"/>
  <c r="J103" i="1"/>
  <c r="J105" i="1" s="1"/>
  <c r="D112" i="1"/>
  <c r="D114" i="1"/>
  <c r="J108" i="1"/>
  <c r="D113" i="1"/>
  <c r="J107" i="1"/>
  <c r="D111" i="1"/>
  <c r="J106" i="1"/>
  <c r="D110" i="1"/>
  <c r="D116" i="1"/>
  <c r="D115" i="1"/>
  <c r="B104" i="1"/>
  <c r="B90" i="1"/>
  <c r="B76" i="1"/>
  <c r="J81" i="1" s="1"/>
  <c r="C107" i="1" l="1"/>
  <c r="D107" i="1" s="1"/>
  <c r="C93" i="1"/>
  <c r="D93" i="1" s="1"/>
  <c r="I90" i="1" s="1"/>
  <c r="I91" i="1" s="1"/>
  <c r="D79" i="1"/>
  <c r="D109" i="1"/>
  <c r="J114" i="1"/>
  <c r="J111" i="1"/>
  <c r="J113" i="1"/>
  <c r="J112" i="1"/>
  <c r="J109" i="1"/>
  <c r="J110" i="1" s="1"/>
  <c r="J115" i="1" s="1"/>
  <c r="J116" i="1" s="1"/>
  <c r="C108" i="1" s="1"/>
  <c r="J100" i="1"/>
  <c r="J97" i="1"/>
  <c r="J99" i="1"/>
  <c r="J98" i="1"/>
  <c r="J95" i="1"/>
  <c r="J96" i="1" s="1"/>
  <c r="J85" i="1"/>
  <c r="J83" i="1"/>
  <c r="J84" i="1"/>
  <c r="J82" i="1"/>
  <c r="J87" i="1" s="1"/>
  <c r="J88" i="1" s="1"/>
  <c r="C80" i="1" s="1"/>
  <c r="J86" i="1"/>
  <c r="G93" i="1" l="1"/>
  <c r="J76" i="1"/>
  <c r="J101" i="1"/>
  <c r="J102" i="1" s="1"/>
  <c r="J90" i="1" s="1"/>
  <c r="I89" i="1" s="1"/>
  <c r="C91" i="1" s="1"/>
  <c r="E107" i="1"/>
  <c r="D108" i="1"/>
  <c r="I104" i="1" s="1"/>
  <c r="J104" i="1"/>
  <c r="G107" i="1"/>
  <c r="E79" i="1"/>
  <c r="D80" i="1"/>
  <c r="I76" i="1" s="1"/>
  <c r="G79" i="1"/>
  <c r="D73" i="1" s="1"/>
  <c r="F74" i="1" l="1"/>
  <c r="D74" i="1"/>
  <c r="I105" i="1"/>
  <c r="I103" i="1" s="1"/>
  <c r="C105" i="1" s="1"/>
  <c r="I77" i="1"/>
  <c r="I75" i="1" s="1"/>
  <c r="C77"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78"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<sst xmlns="http://schemas.openxmlformats.org/spreadsheetml/2006/main" count="675" uniqueCount="358">
  <si>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</si>
  <si>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</si>
  <si>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</si>
  <si>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</si>
  <si>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</si>
  <si>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</si>
  <si>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</si>
  <si>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</si>
  <si>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</si>
  <si>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</si>
  <si>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</si>
  <si>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</si>
  <si>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</si>
  <si>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</si>
  <si>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</si>
  <si>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</si>
  <si>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</si>
  <si>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</si>
  <si>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</si>
  <si>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</si>
  <si>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</si>
  <si>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</si>
  <si>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</si>
  <si>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</si>
  <si>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</si>
  <si>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</si>
  <si>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</si>
  <si>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</si>
  <si>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</si>
  <si>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</si>
  <si>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</si>
  <si>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</si>
  <si>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</si>
  <si>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</si>
  <si>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</si>
  <si>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</si>
  <si>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</si>
  <si>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</si>
  <si>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</si>
  <si>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</si>
  <si>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</si>
  <si>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</si>
  <si>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</si>
  <si>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</si>
  <si>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</si>
  <si>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</si>
  <si>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</si>
  <si>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</si>
  <si>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</si>
  <si>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</si>
  <si>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</si>
  <si>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</si>
  <si>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</si>
  <si>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</si>
  <si>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</si>
  <si>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</si>
  <si>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</si>
  <si>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</si>
  <si>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</si>
  <si>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</si>
  <si>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</si>
  <si>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</si>
  <si>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</si>
  <si>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</si>
  <si>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</si>
  <si>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</si>
  <si>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</si>
  <si>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</si>
  <si>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</si>
  <si>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</si>
  <si>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</si>
  <si>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</si>
  <si>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</si>
  <si>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</si>
  <si>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</si>
  <si>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</si>
  <si>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</si>
  <si>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</si>
  <si>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</si>
  <si>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</si>
  <si>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</si>
  <si>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</si>
  <si>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</si>
  <si>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</si>
  <si>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</si>
  <si>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</si>
  <si>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</si>
  <si>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</si>
  <si>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</si>
  <si>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</si>
  <si>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</si>
  <si>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</si>
  <si>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</si>
  <si>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</si>
  <si>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</si>
  <si>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</si>
  <si>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</si>
  <si>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</si>
  <si>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</si>
  <si>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</si>
  <si>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</si>
  <si>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</si>
  <si>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</si>
  <si>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</si>
  <si>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</si>
  <si>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</si>
  <si>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</si>
  <si>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</si>
  <si>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</si>
  <si>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</si>
  <si>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</si>
  <si>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</si>
  <si>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</si>
  <si>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</si>
  <si>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</si>
  <si>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</si>
  <si>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</si>
  <si>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</si>
  <si>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</si>
  <si>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</si>
  <si>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</si>
  <si>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</si>
  <si>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</si>
  <si>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</si>
  <si>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</si>
  <si>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</si>
  <si>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</si>
  <si>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</si>
  <si>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</si>
  <si>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</si>
  <si>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</si>
  <si>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</si>
  <si>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</si>
  <si>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</si>
  <si>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</si>
  <si>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</si>
  <si>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</si>
  <si>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</si>
  <si>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</si>
  <si>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</si>
  <si>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</si>
  <si>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</si>
  <si>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</si>
  <si>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</si>
  <si>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</si>
  <si>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</si>
  <si>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</si>
  <si>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</si>
  <si>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</si>
  <si>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</si>
  <si>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</si>
  <si>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</si>
  <si>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</si>
  <si>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</si>
  <si>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</si>
  <si>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</si>
  <si>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</si>
  <si>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</si>
  <si>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</si>
  <si>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</si>
  <si>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</si>
  <si>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</si>
  <si>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</si>
  <si>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</si>
  <si>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</si>
  <si>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</si>
  <si>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</si>
  <si>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</si>
  <si>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</si>
  <si>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</si>
  <si>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</si>
  <si>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</si>
  <si>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</si>
  <si>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</si>
  <si>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</si>
  <si>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</si>
  <si>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</si>
  <si>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</si>
  <si>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</si>
  <si>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</si>
  <si>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</si>
  <si>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</si>
  <si>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</si>
  <si>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</si>
  <si>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</si>
  <si>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</si>
  <si>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</si>
  <si>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</si>
  <si>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</si>
  <si>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</si>
  <si>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</si>
  <si>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</si>
  <si>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</si>
  <si>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</si>
  <si>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</si>
  <si>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</si>
  <si>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</si>
  <si>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</si>
  <si>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</si>
  <si>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</si>
  <si>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</si>
  <si>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</si>
  <si>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</si>
  <si>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</si>
  <si>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</si>
  <si>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</si>
  <si>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</si>
  <si>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</si>
  <si>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</si>
  <si>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</si>
  <si>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</si>
  <si>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</si>
  <si>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</si>
  <si>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</si>
  <si>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</si>
  <si>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</si>
  <si>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</si>
  <si>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</si>
  <si>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</si>
  <si>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</si>
  <si>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</si>
  <si>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</si>
  <si>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</si>
  <si>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</si>
  <si>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</si>
  <si>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</si>
  <si>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</si>
  <si>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</si>
  <si>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</si>
  <si>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</si>
  <si>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</si>
  <si>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</si>
  <si>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</si>
  <si>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</si>
  <si>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</si>
  <si>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</si>
  <si>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</si>
  <si>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</si>
  <si>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</si>
  <si>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</si>
  <si>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</si>
  <si>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</si>
  <si>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</si>
  <si>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</si>
  <si>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</si>
  <si>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</si>
  <si>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</si>
  <si>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</si>
  <si>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</si>
  <si>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</si>
  <si>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</si>
  <si>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</si>
  <si>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</si>
  <si>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</si>
  <si>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</si>
  <si>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</si>
  <si>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</si>
  <si>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</si>
  <si>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</si>
  <si>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</si>
  <si>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</si>
  <si>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</si>
  <si>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</si>
  <si>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</si>
  <si>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</si>
  <si>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</si>
  <si>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</si>
  <si>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</si>
  <si>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</si>
  <si>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</si>
  <si>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</si>
  <si>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</si>
  <si>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</si>
  <si>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</si>
  <si>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</si>
  <si>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</si>
  <si>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</si>
  <si>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</si>
  <si>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</si>
  <si>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</si>
  <si>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</si>
  <si>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</si>
  <si>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</si>
  <si>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</si>
  <si>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</si>
  <si>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</si>
  <si>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</si>
  <si>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</si>
  <si>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</si>
  <si>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</si>
  <si>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</si>
  <si>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</si>
  <si>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</si>
  <si>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</si>
  <si>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Aj Homes</t>
  </si>
  <si>
    <t>Shri Hari Vitthal Vihar</t>
  </si>
  <si>
    <t>9604848789/9224020204</t>
  </si>
  <si>
    <t>Mr. Sanjay Wadile 9604848789</t>
  </si>
  <si>
    <t>P51700048796</t>
  </si>
  <si>
    <t>Approved Plans, CC, Sale Plans, Cost Sheet</t>
  </si>
  <si>
    <t>Plot No</t>
  </si>
  <si>
    <t>1, S.No.83/A/2/A, Proposed Group Housing Scheme</t>
  </si>
  <si>
    <t>Shahapur</t>
  </si>
  <si>
    <t>19.458833,73.324806</t>
  </si>
  <si>
    <t>https://maps.app.goo.gl/bRBTjBYWGgGARBCh6</t>
  </si>
  <si>
    <t>Internal Road</t>
  </si>
  <si>
    <t>Asangaon East</t>
  </si>
  <si>
    <t>Vitthal Rakhumai &amp; Hanuman Temple</t>
  </si>
  <si>
    <t>Open Plot</t>
  </si>
  <si>
    <t>Bhatsa Right Bank Canal - Minor - 10  / Service Road</t>
  </si>
  <si>
    <t>Adj.S.No.110, Adj. S.No.83/A (Pt.), Adj. S.No. 83/B / Bhatsa Right Bank Canal Service Road</t>
  </si>
  <si>
    <t>12.00 Mt. Wide Road/Adj.S.No.110</t>
  </si>
  <si>
    <t>Adj. Open Space</t>
  </si>
  <si>
    <t>Shahapur Nagar Panchayat</t>
  </si>
  <si>
    <t>S.N.P/NRV/BD/1394</t>
  </si>
  <si>
    <t>S.N.P/K-4/NRV/CC/1394/2022</t>
  </si>
  <si>
    <t>As per RERA - 31/08/2027</t>
  </si>
  <si>
    <r>
      <t xml:space="preserve">Proposed Amenities :                                                                                                                                                                                                                         </t>
    </r>
    <r>
      <rPr>
        <b/>
        <sz val="12"/>
        <color theme="1"/>
        <rFont val="Times New Roman"/>
        <family val="1"/>
      </rPr>
      <t xml:space="preserve">                                               </t>
    </r>
  </si>
  <si>
    <t>Childern Multipurpose Playing Equipment, Selfie Point, Jogging Track, Gazebo, Senior Citizen Seating Area, Water Fountain, Open Gym, Medition Area, Badminton Area, Plantation and landscaped garden, Street light in complex, Rain water Harvesting, Water Supply Facility, Society Office, Driver Room, CCTV Camera System will be provided in Entrance Lobby, Decorative Entrance Lobby etc.</t>
  </si>
  <si>
    <t>Building No.1</t>
  </si>
  <si>
    <t>Ground Floor For Commercial, Entrance Lobby, Driver's Room, Society Office &amp; Parking</t>
  </si>
  <si>
    <t>Shop</t>
  </si>
  <si>
    <t>1st Floor For Residential</t>
  </si>
  <si>
    <t>2BHK</t>
  </si>
  <si>
    <t>1BHK</t>
  </si>
  <si>
    <t>3BHK</t>
  </si>
  <si>
    <t>Balcony Area</t>
  </si>
  <si>
    <t>2nd to 7th &amp; 9th to 12th Floor</t>
  </si>
  <si>
    <t>8th Floor (Part Refuge Area)</t>
  </si>
  <si>
    <t>-</t>
  </si>
  <si>
    <t>Refuge Area</t>
  </si>
  <si>
    <t>Building No.2</t>
  </si>
  <si>
    <t>2nd to 7th Floor</t>
  </si>
  <si>
    <t>Building No.3</t>
  </si>
  <si>
    <t>We considered Gross carpet area = Net carpet + Balcony Area</t>
  </si>
  <si>
    <t>Commercial Area Details :Shops</t>
  </si>
  <si>
    <t>Residential Area Details :Flats</t>
  </si>
  <si>
    <t>Flats - 140, Shops - 23</t>
  </si>
  <si>
    <t>3.6 KM from Asangaon Railway Station</t>
  </si>
  <si>
    <t>Bhatsa Right Bank Canal</t>
  </si>
  <si>
    <t>Building No.1(Rajmata Jijau)</t>
  </si>
  <si>
    <t>Building No.2(Saau)</t>
  </si>
  <si>
    <t>Building No.3(Rajau)</t>
  </si>
  <si>
    <t>Building No.1(Rajmata Jijau) = Gr/St + 1st to 12th Floor</t>
  </si>
  <si>
    <t>Building No.2(Saau) = Gr/St + 1st to 7th Floor</t>
  </si>
  <si>
    <t>Building No.1(Rajmata Jijau) = Gr/St + 1st to 12th Floor
Building No.2(Saau) = Gr/St + 1st to 7th Floor
Building No.3(Rajau) = Gr/St + 1st to 7th Floor</t>
  </si>
  <si>
    <t>Building No.3(Rajau) = Gr/St + 1st to 7th Floor</t>
  </si>
  <si>
    <t>3800 to 4200</t>
  </si>
  <si>
    <t>Total Builtup Area = 12044.02 Sq.M
Building No.1(Rajmata Jijau) = Gr/St + 1st to 12th Floor
Building No.2(Saau) = Gr/St + 1st to 7th Floor
Building No.3(Rajau) = Gr/St + 1st to 7th Floor</t>
  </si>
  <si>
    <t>Building No.1(Rajmata Jijau)
Building No.2(Saau)
Building No.3(Rajau)</t>
  </si>
  <si>
    <t>Building Name as per sale plan</t>
  </si>
  <si>
    <t>The water body (canal) is located on the north side of the project.</t>
  </si>
  <si>
    <t xml:space="preserve">Construction work is in process at the time of Visit.
</t>
  </si>
  <si>
    <t>Mr. Sanjay 9224020204</t>
  </si>
  <si>
    <t>Office No. 1031, Wing J, Akshar Business Park, Plot No. 03 Sector 25, Near APMC Market, 
Vashi, Navi Mumbai, Maharashtra 400703 TEL: 022-46090378/79/80 
E mail : vsjcapf@gmail.com. Web site : www.vsjadon.com</t>
  </si>
  <si>
    <t>03 Buildings</t>
  </si>
  <si>
    <t>Shruti Tathare</t>
  </si>
  <si>
    <t>Mangesh Bapardekar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</si>
</sst>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4" fillId="0" borderId="0"/>
    <xf numFmtId="0" fontId="6" fillId="0" borderId="0"/>
    <xf numFmtId="0" fontId="3" fillId="0" borderId="0"/>
    <xf numFmtId="0" fontId="6" fillId="0" borderId="0"/>
    <xf numFmtId="0" fontId="2" fillId="0" borderId="0"/>
    <xf numFmtId="165" fontId="6" fillId="0" borderId="0" applyFont="0" applyFill="0" applyBorder="0" applyAlignment="0" applyProtection="0"/>
    <xf numFmtId="0" fontId="22" fillId="0" borderId="0"/>
    <xf numFmtId="9" fontId="23" fillId="0" borderId="0" applyFont="0" applyFill="0" applyBorder="0" applyAlignment="0" applyProtection="0"/>
    <xf numFmtId="43" fontId="23" fillId="0" borderId="0" applyFont="0" applyFill="0" applyBorder="0" applyAlignment="0" applyProtection="0"/>
    <xf numFmtId="0" fontId="28" fillId="0" borderId="0" applyNumberFormat="0" applyFill="0" applyBorder="0" applyAlignment="0" applyProtection="0"/>
  </cellStyleXfs>
  <cellXfs count="260">
    <xf numFmtId="0" fontId="0" fillId="0" borderId="0" xfId="0"/>
    <xf numFmtId="0" fontId="6" fillId="0" borderId="0" xfId="4"/>
    <xf numFmtId="0" fontId="2" fillId="0" borderId="0" xfId="5"/>
    <xf numFmtId="0" fontId="10" fillId="0" borderId="1" xfId="5" applyFont="1" applyBorder="1" applyAlignment="1">
      <alignment horizontal="center" vertical="top" wrapText="1"/>
    </xf>
    <xf numFmtId="0" fontId="21" fillId="0" borderId="0" xfId="4" applyFont="1"/>
    <xf numFmtId="0" fontId="2" fillId="0" borderId="1" xfId="5" applyBorder="1" applyAlignment="1">
      <alignment horizontal="center" vertical="center"/>
    </xf>
    <xf numFmtId="0" fontId="2" fillId="0" borderId="1" xfId="5" applyBorder="1" applyAlignment="1">
      <alignment horizontal="left"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2" fillId="0" borderId="1" xfId="5" applyBorder="1" applyAlignment="1">
      <alignment horizontal="left" vertical="center" wrapText="1"/>
    </xf>
    <xf numFmtId="0" fontId="10" fillId="0" borderId="1" xfId="5" applyFont="1" applyBorder="1" applyAlignment="1">
      <alignment horizontal="center" vertical="center"/>
    </xf>
    <xf numFmtId="1" fontId="20" fillId="0" borderId="1" xfId="5" applyNumberFormat="1" applyFont="1" applyBorder="1" applyAlignment="1">
      <alignment horizontal="center" vertical="center"/>
    </xf>
    <xf numFmtId="0" fontId="6" fillId="0" borderId="1" xfId="4" applyBorder="1" applyAlignment="1">
      <alignment horizontal="center" vertical="center"/>
    </xf>
    <xf numFmtId="0" fontId="19" fillId="0" borderId="0" xfId="0" applyFont="1" applyProtection="1">
      <protection hidden="1"/>
    </xf>
    <xf numFmtId="0" fontId="19" fillId="0" borderId="11" xfId="0" applyFont="1" applyBorder="1" applyProtection="1">
      <protection hidden="1"/>
    </xf>
    <xf numFmtId="0" fontId="13" fillId="0" borderId="4" xfId="1" applyFont="1" applyBorder="1" applyAlignment="1" applyProtection="1">
      <alignment horizontal="center" vertical="top"/>
      <protection locked="0"/>
    </xf>
    <xf numFmtId="0" fontId="13" fillId="0" borderId="5" xfId="1" applyFont="1" applyBorder="1" applyAlignment="1" applyProtection="1">
      <alignment horizontal="center" vertical="top"/>
      <protection locked="0"/>
    </xf>
    <xf numFmtId="0" fontId="7" fillId="0" borderId="1" xfId="1" applyFont="1" applyBorder="1" applyAlignment="1" applyProtection="1">
      <alignment vertical="top" wrapText="1"/>
      <protection locked="0"/>
    </xf>
    <xf numFmtId="9" fontId="8" fillId="0" borderId="1" xfId="8" applyFont="1" applyFill="1" applyBorder="1" applyAlignment="1" applyProtection="1">
      <alignment horizontal="center" vertical="top" wrapText="1"/>
      <protection locked="0"/>
    </xf>
    <xf numFmtId="9" fontId="8" fillId="0" borderId="7" xfId="8" applyFont="1" applyFill="1" applyBorder="1" applyAlignment="1" applyProtection="1">
      <alignment horizontal="center" vertical="top" wrapText="1"/>
      <protection locked="0"/>
    </xf>
    <xf numFmtId="0" fontId="8" fillId="0" borderId="0" xfId="1" applyFont="1"/>
    <xf numFmtId="0" fontId="16" fillId="0" borderId="0" xfId="1" applyFont="1"/>
    <xf numFmtId="0" fontId="13" fillId="0" borderId="0" xfId="1" applyFont="1"/>
    <xf numFmtId="1" fontId="8" fillId="0" borderId="0" xfId="1" applyNumberFormat="1" applyFont="1"/>
    <xf numFmtId="14" fontId="8" fillId="0" borderId="0" xfId="1" applyNumberFormat="1" applyFont="1"/>
    <xf numFmtId="0" fontId="8" fillId="0" borderId="0" xfId="1" applyFont="1" applyProtection="1">
      <protection hidden="1"/>
    </xf>
    <xf numFmtId="0" fontId="25" fillId="0" borderId="0" xfId="1" applyFont="1"/>
    <xf numFmtId="0" fontId="8" fillId="0" borderId="10" xfId="1" applyFont="1" applyBorder="1"/>
    <xf numFmtId="0" fontId="19"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7" fillId="0" borderId="0" xfId="1" applyFont="1"/>
    <xf numFmtId="0" fontId="7" fillId="0" borderId="0" xfId="2" applyFont="1"/>
    <xf numFmtId="0" fontId="8" fillId="0" borderId="0" xfId="0" applyFont="1" applyAlignment="1">
      <alignment horizontal="center" vertical="center"/>
    </xf>
    <xf numFmtId="1" fontId="8" fillId="0" borderId="0" xfId="1" applyNumberFormat="1" applyFont="1" applyAlignment="1">
      <alignment horizontal="center" vertical="center"/>
    </xf>
    <xf numFmtId="0" fontId="8" fillId="0" borderId="0" xfId="1" applyFont="1" applyAlignment="1">
      <alignment horizontal="center" vertical="center"/>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1" fontId="7"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center" wrapText="1"/>
      <protection locked="0"/>
    </xf>
    <xf numFmtId="0" fontId="26" fillId="2" borderId="30" xfId="0" applyFont="1" applyFill="1" applyBorder="1"/>
    <xf numFmtId="0" fontId="27" fillId="0" borderId="31" xfId="0" applyFont="1" applyBorder="1"/>
    <xf numFmtId="0" fontId="27" fillId="0" borderId="1" xfId="0" applyFont="1" applyBorder="1"/>
    <xf numFmtId="0" fontId="27" fillId="0" borderId="5" xfId="0" applyFont="1" applyBorder="1"/>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7" fillId="0" borderId="1" xfId="1" applyNumberFormat="1" applyFont="1" applyBorder="1" applyAlignment="1" applyProtection="1">
      <alignment horizontal="center" vertical="center" wrapText="1"/>
      <protection locked="0"/>
    </xf>
    <xf numFmtId="1" fontId="9" fillId="0" borderId="3"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7" fillId="0" borderId="1" xfId="1" applyNumberFormat="1" applyFont="1" applyBorder="1" applyAlignment="1" applyProtection="1">
      <alignment horizontal="center" vertical="center" wrapText="1"/>
      <protection locked="0"/>
    </xf>
    <xf numFmtId="1" fontId="7" fillId="0" borderId="1" xfId="1" applyNumberFormat="1" applyFont="1" applyFill="1" applyBorder="1" applyAlignment="1" applyProtection="1">
      <alignment horizontal="center" vertical="center" wrapText="1"/>
      <protection locked="0"/>
    </xf>
    <xf numFmtId="0" fontId="8" fillId="0" borderId="7" xfId="1" applyFont="1" applyBorder="1" applyAlignment="1" applyProtection="1">
      <alignment horizontal="center" vertical="top" wrapText="1"/>
      <protection locked="0"/>
    </xf>
    <xf numFmtId="0" fontId="8"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0" fontId="8" fillId="0" borderId="0" xfId="1" applyFont="1" applyAlignment="1">
      <alignment horizontal="center" vertical="center"/>
    </xf>
    <xf numFmtId="0" fontId="1" fillId="0" borderId="0" xfId="1" applyFont="1"/>
    <xf numFmtId="0" fontId="8" fillId="0" borderId="1" xfId="1" applyFont="1" applyBorder="1" applyAlignment="1" applyProtection="1">
      <alignment horizontal="center" vertical="top"/>
      <protection locked="0"/>
    </xf>
    <xf numFmtId="0" fontId="8" fillId="0" borderId="5" xfId="1" applyFont="1" applyBorder="1" applyAlignment="1" applyProtection="1">
      <alignment horizontal="center" vertical="top"/>
      <protection locked="0"/>
    </xf>
    <xf numFmtId="1" fontId="8" fillId="0" borderId="1" xfId="1"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0" fontId="13" fillId="0" borderId="7" xfId="1" applyFont="1" applyBorder="1" applyAlignment="1" applyProtection="1">
      <alignment horizontal="center" vertical="top" wrapText="1"/>
      <protection locked="0"/>
    </xf>
    <xf numFmtId="9" fontId="13" fillId="0" borderId="7" xfId="8" applyFont="1" applyFill="1" applyBorder="1" applyAlignment="1" applyProtection="1">
      <alignment horizontal="center" vertical="top" wrapText="1"/>
      <protection locked="0"/>
    </xf>
    <xf numFmtId="2" fontId="8" fillId="0" borderId="0" xfId="1" applyNumberFormat="1" applyFont="1" applyAlignment="1">
      <alignment horizontal="center" vertical="center"/>
    </xf>
    <xf numFmtId="9" fontId="11" fillId="0" borderId="16" xfId="8" applyFont="1" applyFill="1" applyBorder="1" applyAlignment="1" applyProtection="1">
      <alignment horizontal="center" vertical="top" wrapText="1"/>
      <protection locked="0"/>
    </xf>
    <xf numFmtId="1" fontId="8" fillId="0" borderId="1" xfId="1" applyNumberFormat="1" applyFont="1" applyBorder="1" applyAlignment="1">
      <alignment horizontal="center" vertical="center"/>
    </xf>
    <xf numFmtId="0" fontId="8" fillId="0" borderId="4" xfId="1" applyFont="1" applyBorder="1" applyAlignment="1" applyProtection="1">
      <alignment horizontal="center" vertical="top"/>
      <protection locked="0"/>
    </xf>
    <xf numFmtId="1" fontId="13" fillId="0" borderId="1"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13" fillId="0" borderId="1" xfId="1" applyFont="1" applyBorder="1" applyAlignment="1" applyProtection="1">
      <alignment horizontal="left" vertical="top"/>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0" fontId="8" fillId="0" borderId="1" xfId="0" applyFont="1" applyBorder="1" applyAlignment="1" applyProtection="1">
      <alignment horizontal="center" vertical="top" wrapText="1"/>
      <protection locked="0"/>
    </xf>
    <xf numFmtId="1" fontId="9" fillId="0" borderId="8" xfId="1" applyNumberFormat="1" applyFont="1" applyBorder="1" applyAlignment="1" applyProtection="1">
      <alignment horizontal="center" vertical="center" wrapText="1"/>
      <protection locked="0"/>
    </xf>
    <xf numFmtId="1" fontId="9" fillId="0" borderId="21" xfId="1" applyNumberFormat="1" applyFont="1" applyBorder="1" applyAlignment="1" applyProtection="1">
      <alignment horizontal="center" vertical="center" wrapText="1"/>
      <protection locked="0"/>
    </xf>
    <xf numFmtId="1" fontId="9" fillId="0" borderId="9"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8" fillId="0" borderId="25" xfId="1" applyFont="1" applyBorder="1" applyAlignment="1">
      <alignment horizontal="center"/>
    </xf>
    <xf numFmtId="0" fontId="8" fillId="0" borderId="0" xfId="1" applyFont="1" applyAlignment="1">
      <alignment horizontal="center"/>
    </xf>
    <xf numFmtId="167" fontId="13" fillId="0" borderId="1" xfId="9" applyNumberFormat="1" applyFont="1" applyFill="1" applyBorder="1" applyAlignment="1" applyProtection="1">
      <alignment horizontal="left" vertical="top"/>
      <protection locked="0"/>
    </xf>
    <xf numFmtId="0" fontId="11" fillId="0" borderId="1" xfId="1" applyFont="1" applyBorder="1" applyAlignment="1" applyProtection="1">
      <alignment horizontal="center" vertical="top"/>
      <protection locked="0"/>
    </xf>
    <xf numFmtId="1" fontId="9" fillId="0" borderId="1" xfId="0" applyNumberFormat="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0" fontId="9" fillId="0" borderId="8" xfId="1" applyFont="1" applyBorder="1" applyAlignment="1" applyProtection="1">
      <alignment horizontal="left" vertical="top" wrapText="1"/>
      <protection locked="0"/>
    </xf>
    <xf numFmtId="0" fontId="9" fillId="0" borderId="9" xfId="1" applyFont="1" applyBorder="1" applyAlignment="1" applyProtection="1">
      <alignment horizontal="left" vertical="top" wrapText="1"/>
      <protection locked="0"/>
    </xf>
    <xf numFmtId="0" fontId="9" fillId="0" borderId="21" xfId="1" applyFont="1" applyBorder="1" applyAlignment="1" applyProtection="1">
      <alignment horizontal="left" vertical="top" wrapText="1"/>
      <protection locked="0"/>
    </xf>
    <xf numFmtId="0" fontId="11" fillId="0" borderId="1" xfId="0" applyFont="1" applyBorder="1" applyAlignment="1" applyProtection="1">
      <alignment horizontal="center" vertical="top" wrapText="1"/>
      <protection locked="0"/>
    </xf>
    <xf numFmtId="0" fontId="11" fillId="0" borderId="1" xfId="0" applyFont="1" applyBorder="1" applyAlignment="1" applyProtection="1">
      <alignment horizontal="center" vertical="center"/>
      <protection locked="0"/>
    </xf>
    <xf numFmtId="0" fontId="7" fillId="0" borderId="1"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164" fontId="7" fillId="0" borderId="1" xfId="1" applyNumberFormat="1" applyFont="1" applyBorder="1" applyAlignment="1" applyProtection="1">
      <alignment horizontal="left" vertical="top"/>
      <protection locked="0"/>
    </xf>
    <xf numFmtId="0" fontId="11" fillId="0" borderId="22" xfId="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0" fontId="9" fillId="0" borderId="13" xfId="1" applyFont="1" applyBorder="1" applyAlignment="1" applyProtection="1">
      <alignment horizontal="left" vertical="top" wrapText="1"/>
      <protection locked="0"/>
    </xf>
    <xf numFmtId="0" fontId="9" fillId="0" borderId="14" xfId="1" applyFont="1" applyBorder="1" applyAlignment="1" applyProtection="1">
      <alignment horizontal="left" vertical="top" wrapText="1"/>
      <protection locked="0"/>
    </xf>
    <xf numFmtId="0" fontId="9" fillId="0" borderId="23" xfId="1" applyFont="1" applyBorder="1" applyAlignment="1" applyProtection="1">
      <alignment horizontal="left" vertical="top" wrapText="1"/>
      <protection locked="0"/>
    </xf>
    <xf numFmtId="0" fontId="8" fillId="0" borderId="4" xfId="1" applyFont="1" applyBorder="1" applyAlignment="1" applyProtection="1">
      <alignment horizontal="center" vertical="top" wrapText="1"/>
      <protection locked="0"/>
    </xf>
    <xf numFmtId="0" fontId="8" fillId="0" borderId="1" xfId="1" applyFont="1" applyBorder="1" applyAlignment="1" applyProtection="1">
      <alignment horizontal="center" vertical="top"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wrapText="1"/>
      <protection locked="0"/>
    </xf>
    <xf numFmtId="0" fontId="9" fillId="0" borderId="1" xfId="1" applyFont="1" applyBorder="1" applyAlignment="1" applyProtection="1">
      <alignment vertical="top"/>
      <protection locked="0"/>
    </xf>
    <xf numFmtId="0" fontId="13" fillId="0" borderId="1" xfId="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9" fillId="0" borderId="8" xfId="1" applyFont="1" applyBorder="1" applyAlignment="1" applyProtection="1">
      <alignment horizontal="left" vertical="top"/>
      <protection locked="0"/>
    </xf>
    <xf numFmtId="0" fontId="9" fillId="0" borderId="9" xfId="1" applyFont="1" applyBorder="1" applyAlignment="1" applyProtection="1">
      <alignment horizontal="left" vertical="top"/>
      <protection locked="0"/>
    </xf>
    <xf numFmtId="0" fontId="16" fillId="0" borderId="17" xfId="1" applyFont="1" applyBorder="1" applyAlignment="1" applyProtection="1">
      <alignment horizontal="left" vertical="top" wrapText="1"/>
      <protection locked="0"/>
    </xf>
    <xf numFmtId="0" fontId="16" fillId="0" borderId="18" xfId="1" applyFont="1" applyBorder="1" applyAlignment="1" applyProtection="1">
      <alignment horizontal="left" vertical="top" wrapText="1"/>
      <protection locked="0"/>
    </xf>
    <xf numFmtId="0" fontId="16" fillId="0" borderId="19" xfId="1" applyFont="1" applyBorder="1" applyAlignment="1" applyProtection="1">
      <alignment horizontal="left" vertical="top" wrapText="1"/>
      <protection locked="0"/>
    </xf>
    <xf numFmtId="0" fontId="16" fillId="0" borderId="20" xfId="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1" fontId="7" fillId="0" borderId="1" xfId="1" applyNumberFormat="1" applyFont="1" applyBorder="1" applyAlignment="1" applyProtection="1">
      <alignment horizontal="center" vertical="center" wrapText="1"/>
      <protection locked="0"/>
    </xf>
    <xf numFmtId="1" fontId="9" fillId="0" borderId="3" xfId="1"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0" fontId="8" fillId="0" borderId="6" xfId="1" applyFont="1" applyBorder="1" applyAlignment="1" applyProtection="1">
      <alignment horizontal="center" vertical="top" wrapText="1"/>
      <protection locked="0"/>
    </xf>
    <xf numFmtId="0" fontId="8" fillId="0" borderId="7" xfId="1" applyFont="1" applyBorder="1" applyAlignment="1" applyProtection="1">
      <alignment horizontal="center" vertical="top" wrapText="1"/>
      <protection locked="0"/>
    </xf>
    <xf numFmtId="1"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3" fillId="0" borderId="17" xfId="1" applyFont="1" applyBorder="1" applyAlignment="1" applyProtection="1">
      <alignment horizontal="left" vertical="top" wrapText="1"/>
      <protection locked="0"/>
    </xf>
    <xf numFmtId="0" fontId="13" fillId="0" borderId="24" xfId="1" applyFont="1" applyBorder="1" applyAlignment="1" applyProtection="1">
      <alignment horizontal="left" vertical="top" wrapText="1"/>
      <protection locked="0"/>
    </xf>
    <xf numFmtId="0" fontId="13" fillId="0" borderId="25" xfId="1" applyFont="1" applyBorder="1" applyAlignment="1" applyProtection="1">
      <alignment horizontal="left" vertical="top" wrapText="1"/>
      <protection locked="0"/>
    </xf>
    <xf numFmtId="0" fontId="13" fillId="0" borderId="0" xfId="1" applyFont="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9" fillId="0" borderId="22" xfId="1" applyFont="1" applyBorder="1" applyAlignment="1" applyProtection="1">
      <alignment horizontal="left" vertical="top" wrapText="1"/>
      <protection locked="0"/>
    </xf>
    <xf numFmtId="0" fontId="9" fillId="0" borderId="15"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1" fontId="11" fillId="0" borderId="3" xfId="0" applyNumberFormat="1" applyFont="1" applyBorder="1" applyAlignment="1" applyProtection="1">
      <alignment horizontal="center" vertical="top" wrapText="1"/>
      <protection locked="0"/>
    </xf>
    <xf numFmtId="0" fontId="11" fillId="0" borderId="3" xfId="0" applyFont="1" applyBorder="1" applyAlignment="1" applyProtection="1">
      <alignment horizontal="center" vertical="top" wrapText="1"/>
      <protection locked="0"/>
    </xf>
    <xf numFmtId="0" fontId="14" fillId="0" borderId="1" xfId="1" applyFont="1" applyBorder="1" applyAlignment="1" applyProtection="1">
      <alignment horizontal="left" vertical="top" wrapText="1"/>
      <protection locked="0"/>
    </xf>
    <xf numFmtId="0" fontId="14" fillId="0" borderId="5" xfId="1" applyFont="1" applyBorder="1" applyAlignment="1" applyProtection="1">
      <alignment horizontal="left" vertical="top" wrapText="1"/>
      <protection locked="0"/>
    </xf>
    <xf numFmtId="1" fontId="9" fillId="0" borderId="3"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0" fontId="8" fillId="0" borderId="5" xfId="1" applyFont="1" applyBorder="1" applyAlignment="1" applyProtection="1">
      <alignment horizontal="center" vertical="top" wrapText="1"/>
      <protection locked="0"/>
    </xf>
    <xf numFmtId="1" fontId="7" fillId="0" borderId="21" xfId="1" applyNumberFormat="1" applyFont="1" applyBorder="1" applyAlignment="1" applyProtection="1">
      <alignment horizontal="center" vertical="center" wrapText="1"/>
      <protection locked="0"/>
    </xf>
    <xf numFmtId="1" fontId="14" fillId="0" borderId="8" xfId="0" applyNumberFormat="1" applyFont="1" applyBorder="1" applyAlignment="1" applyProtection="1">
      <alignment vertical="top" wrapText="1"/>
      <protection locked="0"/>
    </xf>
    <xf numFmtId="1" fontId="14" fillId="0" borderId="21" xfId="0" applyNumberFormat="1" applyFont="1" applyBorder="1" applyAlignment="1" applyProtection="1">
      <alignment vertical="top" wrapText="1"/>
      <protection locked="0"/>
    </xf>
    <xf numFmtId="1" fontId="14" fillId="0" borderId="9" xfId="0" applyNumberFormat="1" applyFont="1" applyBorder="1" applyAlignment="1" applyProtection="1">
      <alignment vertical="top" wrapText="1"/>
      <protection locked="0"/>
    </xf>
    <xf numFmtId="1" fontId="9" fillId="0" borderId="1" xfId="0" applyNumberFormat="1" applyFont="1" applyBorder="1" applyAlignment="1" applyProtection="1">
      <alignment horizontal="left" vertical="top" wrapText="1"/>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67" fontId="8" fillId="0" borderId="1" xfId="9" applyNumberFormat="1" applyFont="1" applyFill="1" applyBorder="1" applyAlignment="1" applyProtection="1">
      <alignment horizontal="left" vertical="top"/>
      <protection locked="0"/>
    </xf>
    <xf numFmtId="0" fontId="9" fillId="0" borderId="1" xfId="1" applyFont="1" applyBorder="1" applyAlignment="1" applyProtection="1">
      <alignment horizontal="left" vertical="top"/>
      <protection locked="0"/>
    </xf>
    <xf numFmtId="1" fontId="18" fillId="0" borderId="8" xfId="0" applyNumberFormat="1" applyFont="1" applyBorder="1" applyAlignment="1" applyProtection="1">
      <alignment vertical="top" wrapText="1"/>
      <protection locked="0"/>
    </xf>
    <xf numFmtId="1" fontId="18" fillId="0" borderId="21" xfId="0" applyNumberFormat="1" applyFont="1" applyBorder="1" applyAlignment="1" applyProtection="1">
      <alignment vertical="top" wrapText="1"/>
      <protection locked="0"/>
    </xf>
    <xf numFmtId="1" fontId="18" fillId="0" borderId="9" xfId="0" applyNumberFormat="1" applyFont="1" applyBorder="1" applyAlignment="1" applyProtection="1">
      <alignment vertical="top" wrapText="1"/>
      <protection locked="0"/>
    </xf>
    <xf numFmtId="1" fontId="9" fillId="0" borderId="32" xfId="0"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wrapText="1"/>
      <protection locked="0"/>
    </xf>
    <xf numFmtId="0" fontId="11" fillId="0" borderId="33" xfId="0" applyFont="1" applyBorder="1" applyAlignment="1" applyProtection="1">
      <alignment horizontal="center" vertical="center"/>
      <protection locked="0"/>
    </xf>
    <xf numFmtId="1" fontId="11" fillId="0" borderId="33" xfId="0" applyNumberFormat="1" applyFont="1" applyBorder="1" applyAlignment="1" applyProtection="1">
      <alignment horizontal="center" vertical="top" wrapText="1"/>
      <protection locked="0"/>
    </xf>
    <xf numFmtId="0" fontId="9" fillId="0" borderId="16" xfId="1" applyFont="1" applyBorder="1" applyAlignment="1" applyProtection="1">
      <alignment horizontal="center" vertical="top"/>
      <protection locked="0"/>
    </xf>
    <xf numFmtId="1" fontId="11" fillId="0" borderId="1" xfId="0" applyNumberFormat="1" applyFont="1" applyBorder="1" applyAlignment="1" applyProtection="1">
      <alignment horizontal="center" vertical="center"/>
      <protection locked="0"/>
    </xf>
    <xf numFmtId="1" fontId="11" fillId="0" borderId="1" xfId="0" applyNumberFormat="1" applyFont="1" applyBorder="1" applyAlignment="1" applyProtection="1">
      <alignment horizontal="center" vertical="top" wrapText="1"/>
      <protection locked="0"/>
    </xf>
    <xf numFmtId="0" fontId="14" fillId="0" borderId="4"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9" fontId="8" fillId="0" borderId="17" xfId="8" applyFont="1" applyFill="1" applyBorder="1" applyAlignment="1" applyProtection="1">
      <alignment horizontal="center" vertical="center" wrapText="1"/>
      <protection locked="0"/>
    </xf>
    <xf numFmtId="9" fontId="8" fillId="0" borderId="18" xfId="8" applyFont="1" applyFill="1" applyBorder="1" applyAlignment="1" applyProtection="1">
      <alignment horizontal="center" vertical="center" wrapText="1"/>
      <protection locked="0"/>
    </xf>
    <xf numFmtId="9" fontId="8" fillId="0" borderId="25" xfId="8" applyFont="1" applyFill="1" applyBorder="1" applyAlignment="1" applyProtection="1">
      <alignment horizontal="center" vertical="center" wrapText="1"/>
      <protection locked="0"/>
    </xf>
    <xf numFmtId="9" fontId="8" fillId="0" borderId="26" xfId="8" applyFont="1" applyFill="1" applyBorder="1" applyAlignment="1" applyProtection="1">
      <alignment horizontal="center" vertical="center" wrapText="1"/>
      <protection locked="0"/>
    </xf>
    <xf numFmtId="9" fontId="8" fillId="0" borderId="28" xfId="8" applyFont="1" applyFill="1" applyBorder="1" applyAlignment="1" applyProtection="1">
      <alignment horizontal="center" vertical="center" wrapText="1"/>
      <protection locked="0"/>
    </xf>
    <xf numFmtId="9" fontId="8" fillId="0" borderId="29" xfId="8" applyFont="1" applyFill="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9" fontId="13" fillId="0" borderId="17" xfId="8" applyFont="1" applyFill="1" applyBorder="1" applyAlignment="1" applyProtection="1">
      <alignment horizontal="center" vertical="center" wrapText="1"/>
      <protection locked="0"/>
    </xf>
    <xf numFmtId="9" fontId="13" fillId="0" borderId="18" xfId="8" applyFont="1" applyFill="1" applyBorder="1" applyAlignment="1" applyProtection="1">
      <alignment horizontal="center" vertical="center" wrapText="1"/>
      <protection locked="0"/>
    </xf>
    <xf numFmtId="9" fontId="13" fillId="0" borderId="25" xfId="8" applyFont="1" applyFill="1" applyBorder="1" applyAlignment="1" applyProtection="1">
      <alignment horizontal="center" vertical="center" wrapText="1"/>
      <protection locked="0"/>
    </xf>
    <xf numFmtId="9" fontId="13" fillId="0" borderId="26" xfId="8" applyFont="1" applyFill="1" applyBorder="1" applyAlignment="1" applyProtection="1">
      <alignment horizontal="center" vertical="center" wrapText="1"/>
      <protection locked="0"/>
    </xf>
    <xf numFmtId="9" fontId="13" fillId="0" borderId="28" xfId="8" applyFont="1" applyFill="1" applyBorder="1" applyAlignment="1" applyProtection="1">
      <alignment horizontal="center" vertical="center" wrapText="1"/>
      <protection locked="0"/>
    </xf>
    <xf numFmtId="9" fontId="13" fillId="0" borderId="29" xfId="8" applyFont="1" applyFill="1" applyBorder="1" applyAlignment="1" applyProtection="1">
      <alignment horizontal="center" vertical="center" wrapText="1"/>
      <protection locked="0"/>
    </xf>
    <xf numFmtId="1" fontId="5" fillId="0" borderId="3" xfId="1" applyNumberFormat="1" applyFont="1" applyBorder="1" applyAlignment="1" applyProtection="1">
      <alignment horizontal="center" vertical="top" wrapText="1"/>
      <protection locked="0"/>
    </xf>
    <xf numFmtId="1" fontId="5" fillId="0" borderId="16"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9" fillId="0" borderId="1" xfId="1" applyFont="1" applyBorder="1" applyAlignment="1" applyProtection="1">
      <alignment horizontal="center" vertical="top"/>
      <protection locked="0"/>
    </xf>
    <xf numFmtId="14" fontId="13" fillId="0" borderId="1" xfId="1" applyNumberFormat="1" applyFont="1" applyBorder="1" applyAlignment="1" applyProtection="1">
      <alignment horizontal="left" vertical="top"/>
      <protection locked="0"/>
    </xf>
    <xf numFmtId="0" fontId="13" fillId="0" borderId="8" xfId="1" applyFont="1" applyBorder="1" applyAlignment="1" applyProtection="1">
      <alignment horizontal="center" wrapText="1"/>
      <protection locked="0"/>
    </xf>
    <xf numFmtId="0" fontId="13" fillId="0" borderId="21" xfId="1" applyFont="1" applyBorder="1" applyAlignment="1" applyProtection="1">
      <alignment horizontal="center" wrapText="1"/>
      <protection locked="0"/>
    </xf>
    <xf numFmtId="0" fontId="13" fillId="0" borderId="9" xfId="1" applyFont="1" applyBorder="1" applyAlignment="1" applyProtection="1">
      <alignment horizontal="center" wrapText="1"/>
      <protection locked="0"/>
    </xf>
    <xf numFmtId="0" fontId="13" fillId="0" borderId="1" xfId="1" applyFont="1" applyBorder="1" applyAlignment="1" applyProtection="1">
      <alignment horizontal="left"/>
      <protection locked="0"/>
    </xf>
    <xf numFmtId="0" fontId="13" fillId="0" borderId="8" xfId="1" applyFont="1" applyBorder="1" applyAlignment="1" applyProtection="1">
      <alignment horizontal="center" vertical="center"/>
      <protection locked="0"/>
    </xf>
    <xf numFmtId="0" fontId="13" fillId="0" borderId="21" xfId="1" applyFont="1" applyBorder="1" applyAlignment="1" applyProtection="1">
      <alignment horizontal="center" vertical="center"/>
      <protection locked="0"/>
    </xf>
    <xf numFmtId="0" fontId="13" fillId="0" borderId="9" xfId="1" applyFont="1" applyBorder="1" applyAlignment="1" applyProtection="1">
      <alignment horizontal="center" vertical="center"/>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vertical="center"/>
      <protection locked="0"/>
    </xf>
    <xf numFmtId="0" fontId="13" fillId="0" borderId="8" xfId="1" applyFont="1" applyBorder="1" applyAlignment="1" applyProtection="1">
      <alignment horizontal="center" vertical="center" wrapText="1"/>
      <protection locked="0"/>
    </xf>
    <xf numFmtId="0" fontId="13" fillId="0" borderId="21" xfId="1" applyFont="1" applyBorder="1" applyAlignment="1" applyProtection="1">
      <alignment horizontal="center" vertical="center" wrapText="1"/>
      <protection locked="0"/>
    </xf>
    <xf numFmtId="0" fontId="13" fillId="0" borderId="9" xfId="1" applyFont="1" applyBorder="1" applyAlignment="1" applyProtection="1">
      <alignment horizontal="center" vertical="center" wrapText="1"/>
      <protection locked="0"/>
    </xf>
    <xf numFmtId="0" fontId="14" fillId="0" borderId="8" xfId="1" applyFont="1" applyBorder="1" applyAlignment="1" applyProtection="1">
      <alignment horizontal="center" vertical="top"/>
      <protection locked="0"/>
    </xf>
    <xf numFmtId="0" fontId="14" fillId="0" borderId="21" xfId="1" applyFont="1" applyBorder="1" applyAlignment="1" applyProtection="1">
      <alignment horizontal="center" vertical="top"/>
      <protection locked="0"/>
    </xf>
    <xf numFmtId="0" fontId="14" fillId="0" borderId="9" xfId="1" applyFont="1" applyBorder="1" applyAlignment="1" applyProtection="1">
      <alignment horizontal="center" vertical="top"/>
      <protection locked="0"/>
    </xf>
    <xf numFmtId="0" fontId="14" fillId="0" borderId="1" xfId="1" applyFont="1" applyBorder="1" applyAlignment="1" applyProtection="1">
      <alignment horizontal="center"/>
      <protection locked="0"/>
    </xf>
    <xf numFmtId="0" fontId="13" fillId="0" borderId="1" xfId="1" applyFont="1" applyBorder="1" applyAlignment="1" applyProtection="1">
      <alignment horizontal="center" vertical="center" wrapText="1"/>
      <protection locked="0"/>
    </xf>
    <xf numFmtId="0" fontId="13" fillId="0" borderId="1" xfId="1" applyFont="1" applyBorder="1" applyAlignment="1" applyProtection="1">
      <alignment horizontal="center"/>
      <protection locked="0"/>
    </xf>
    <xf numFmtId="9" fontId="13" fillId="0" borderId="27" xfId="8" applyFont="1" applyFill="1" applyBorder="1" applyAlignment="1" applyProtection="1">
      <alignment horizontal="center" vertical="center" wrapText="1"/>
      <protection locked="0"/>
    </xf>
    <xf numFmtId="9" fontId="13" fillId="0" borderId="10" xfId="8" applyFont="1" applyFill="1" applyBorder="1" applyAlignment="1" applyProtection="1">
      <alignment horizontal="center" vertical="center" wrapText="1"/>
      <protection locked="0"/>
    </xf>
    <xf numFmtId="9" fontId="13" fillId="0" borderId="12" xfId="8" applyFont="1" applyFill="1" applyBorder="1" applyAlignment="1" applyProtection="1">
      <alignment horizontal="center" vertical="center" wrapText="1"/>
      <protection locked="0"/>
    </xf>
    <xf numFmtId="2" fontId="7" fillId="0" borderId="1" xfId="1" applyNumberFormat="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9" fontId="8" fillId="0" borderId="27" xfId="8" applyFont="1" applyFill="1" applyBorder="1" applyAlignment="1" applyProtection="1">
      <alignment horizontal="center" vertical="center" wrapText="1"/>
      <protection locked="0"/>
    </xf>
    <xf numFmtId="9" fontId="8" fillId="0" borderId="10" xfId="8" applyFont="1" applyFill="1" applyBorder="1" applyAlignment="1" applyProtection="1">
      <alignment horizontal="center" vertical="center" wrapText="1"/>
      <protection locked="0"/>
    </xf>
    <xf numFmtId="9" fontId="8" fillId="0" borderId="12" xfId="8" applyFont="1" applyFill="1" applyBorder="1" applyAlignment="1" applyProtection="1">
      <alignment horizontal="center" vertical="center" wrapText="1"/>
      <protection locked="0"/>
    </xf>
    <xf numFmtId="1" fontId="7" fillId="0" borderId="1" xfId="1" applyNumberFormat="1" applyFont="1" applyBorder="1" applyAlignment="1" applyProtection="1">
      <alignment horizontal="left" vertical="top" wrapText="1"/>
      <protection locked="0"/>
    </xf>
    <xf numFmtId="2" fontId="7" fillId="0" borderId="1" xfId="1" applyNumberFormat="1" applyFont="1" applyBorder="1" applyAlignment="1" applyProtection="1">
      <alignment horizontal="left" vertical="top"/>
      <protection locked="0"/>
    </xf>
    <xf numFmtId="0" fontId="11" fillId="0" borderId="4"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8" fillId="0" borderId="0" xfId="1" applyFont="1" applyAlignment="1">
      <alignment horizontal="center" vertical="center"/>
    </xf>
    <xf numFmtId="0" fontId="14" fillId="0" borderId="13" xfId="1" applyFont="1" applyBorder="1" applyAlignment="1" applyProtection="1">
      <alignment horizontal="left" vertical="top" wrapText="1"/>
      <protection locked="0"/>
    </xf>
    <xf numFmtId="0" fontId="14" fillId="0" borderId="14" xfId="1" applyFont="1" applyBorder="1" applyAlignment="1" applyProtection="1">
      <alignment horizontal="left" vertical="top" wrapText="1"/>
      <protection locked="0"/>
    </xf>
    <xf numFmtId="0" fontId="14" fillId="0" borderId="23" xfId="1" applyFont="1" applyBorder="1" applyAlignment="1" applyProtection="1">
      <alignment horizontal="left" vertical="top" wrapText="1"/>
      <protection locked="0"/>
    </xf>
    <xf numFmtId="0" fontId="8" fillId="0" borderId="3" xfId="1" applyFont="1" applyBorder="1" applyAlignment="1" applyProtection="1">
      <alignment horizontal="left" vertical="top" wrapText="1"/>
      <protection locked="0"/>
    </xf>
    <xf numFmtId="0" fontId="8" fillId="0" borderId="3" xfId="1" applyFont="1" applyBorder="1" applyAlignment="1" applyProtection="1">
      <alignment horizontal="left" vertical="top"/>
      <protection locked="0"/>
    </xf>
    <xf numFmtId="0" fontId="13" fillId="0" borderId="18"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5" xfId="1" applyFont="1" applyBorder="1" applyAlignment="1" applyProtection="1">
      <alignment horizontal="left" vertical="top" wrapText="1"/>
      <protection locked="0"/>
    </xf>
    <xf numFmtId="0" fontId="28" fillId="0" borderId="1" xfId="10" applyFill="1" applyBorder="1" applyAlignment="1" applyProtection="1">
      <alignment horizontal="left" vertical="top" wrapText="1"/>
      <protection locked="0"/>
    </xf>
    <xf numFmtId="1" fontId="9" fillId="0" borderId="33" xfId="0" applyNumberFormat="1" applyFont="1" applyBorder="1" applyAlignment="1" applyProtection="1">
      <alignment horizontal="center" vertical="top" wrapText="1"/>
      <protection locked="0"/>
    </xf>
    <xf numFmtId="1" fontId="9" fillId="0" borderId="34" xfId="0" applyNumberFormat="1" applyFont="1" applyBorder="1" applyAlignment="1" applyProtection="1">
      <alignment horizontal="center" vertical="top" wrapText="1"/>
      <protection locked="0"/>
    </xf>
    <xf numFmtId="0" fontId="7" fillId="0" borderId="8" xfId="1" applyFont="1" applyBorder="1" applyAlignment="1" applyProtection="1">
      <alignment vertical="top" wrapText="1"/>
      <protection locked="0"/>
    </xf>
    <xf numFmtId="0" fontId="7" fillId="0" borderId="21" xfId="1" applyFont="1" applyBorder="1" applyAlignment="1" applyProtection="1">
      <alignment vertical="top" wrapText="1"/>
      <protection locked="0"/>
    </xf>
    <xf numFmtId="0" fontId="7" fillId="0" borderId="9" xfId="1" applyFont="1" applyBorder="1" applyAlignment="1" applyProtection="1">
      <alignment vertical="top" wrapText="1"/>
      <protection locked="0"/>
    </xf>
    <xf numFmtId="0" fontId="8" fillId="0" borderId="1" xfId="1" applyFont="1" applyBorder="1" applyAlignment="1" applyProtection="1">
      <alignment horizontal="left" vertical="top" wrapText="1"/>
      <protection locked="0"/>
    </xf>
    <xf numFmtId="0" fontId="7" fillId="0" borderId="3" xfId="1" applyFont="1" applyBorder="1" applyAlignment="1" applyProtection="1">
      <alignment horizontal="left" vertical="top" wrapText="1"/>
      <protection locked="0"/>
    </xf>
    <xf numFmtId="0" fontId="13" fillId="0" borderId="3" xfId="1" applyFont="1" applyBorder="1" applyAlignment="1" applyProtection="1">
      <alignment horizontal="left" vertical="top" wrapText="1"/>
      <protection locked="0"/>
    </xf>
    <xf numFmtId="1" fontId="9" fillId="0" borderId="17"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0" fontId="9" fillId="0" borderId="16" xfId="1" applyFont="1" applyBorder="1" applyAlignment="1" applyProtection="1">
      <alignment horizontal="left" vertical="top"/>
      <protection locked="0"/>
    </xf>
    <xf numFmtId="0" fontId="13" fillId="0" borderId="5" xfId="1"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center" wrapText="1"/>
      <protection locked="0"/>
    </xf>
    <xf numFmtId="0" fontId="10"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1</xdr:col>
      <xdr:colOff>277581</xdr:colOff>
      <xdr:row>296</xdr:row>
      <xdr:rowOff>173182</xdr:rowOff>
    </xdr:from>
    <xdr:to>
      <xdr:col>6</xdr:col>
      <xdr:colOff>444463</xdr:colOff>
      <xdr:row>312</xdr:row>
      <xdr:rowOff>49670</xdr:rowOff>
    </xdr:to>
    <xdr:pic>
      <xdr:nvPicPr>
        <xdr:cNvPr id="6" name="Picture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1"/>
        <a:stretch>
          <a:fillRect/>
        </a:stretch>
      </xdr:blipFill>
      <xdr:spPr>
        <a:xfrm>
          <a:off x="1039581" y="57877364"/>
          <a:ext cx="4253973" cy="3201579"/>
        </a:xfrm>
        <a:prstGeom prst="rect">
          <a:avLst/>
        </a:prstGeom>
        <a:ln w="9525">
          <a:solidFill>
            <a:schemeClr val="tx1"/>
          </a:solidFill>
        </a:ln>
      </xdr:spPr>
    </xdr:pic>
    <xdr:clientData/>
  </xdr:twoCellAnchor>
  <xdr:twoCellAnchor editAs="oneCell">
    <xdr:from>
      <xdr:col>0</xdr:col>
      <xdr:colOff>225136</xdr:colOff>
      <xdr:row>313</xdr:row>
      <xdr:rowOff>73992</xdr:rowOff>
    </xdr:from>
    <xdr:to>
      <xdr:col>7</xdr:col>
      <xdr:colOff>390460</xdr:colOff>
      <xdr:row>329</xdr:row>
      <xdr:rowOff>25903</xdr:rowOff>
    </xdr:to>
    <xdr:pic>
      <xdr:nvPicPr>
        <xdr:cNvPr id="7" name="Picture 6">
          <a:extLst>
            <a:ext uri="{FF2B5EF4-FFF2-40B4-BE49-F238E27FC236}">
              <a16:creationId xmlns:a16="http://schemas.microsoft.com/office/drawing/2014/main" xmlns="" id="{00000000-0008-0000-0000-000007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225136" y="61311083"/>
          <a:ext cx="5741779" cy="3277003"/>
        </a:xfrm>
        <a:prstGeom prst="rect">
          <a:avLst/>
        </a:prstGeom>
        <a:ln w="9525">
          <a:solidFill>
            <a:schemeClr val="tx1"/>
          </a:solidFill>
        </a:ln>
      </xdr:spPr>
    </xdr:pic>
    <xdr:clientData/>
  </xdr:twoCellAnchor>
  <xdr:twoCellAnchor>
    <xdr:from>
      <xdr:col>3</xdr:col>
      <xdr:colOff>490679</xdr:colOff>
      <xdr:row>319</xdr:row>
      <xdr:rowOff>150805</xdr:rowOff>
    </xdr:from>
    <xdr:to>
      <xdr:col>5</xdr:col>
      <xdr:colOff>157477</xdr:colOff>
      <xdr:row>323</xdr:row>
      <xdr:rowOff>150112</xdr:rowOff>
    </xdr:to>
    <xdr:sp macro="" textlink="">
      <xdr:nvSpPr>
        <xdr:cNvPr id="8" name="Rectangle 7">
          <a:extLst>
            <a:ext uri="{FF2B5EF4-FFF2-40B4-BE49-F238E27FC236}">
              <a16:creationId xmlns:a16="http://schemas.microsoft.com/office/drawing/2014/main" xmlns="" id="{00000000-0008-0000-0000-000008000000}"/>
            </a:ext>
          </a:extLst>
        </xdr:cNvPr>
        <xdr:cNvSpPr/>
      </xdr:nvSpPr>
      <xdr:spPr>
        <a:xfrm>
          <a:off x="2897906" y="62634805"/>
          <a:ext cx="1363980" cy="830580"/>
        </a:xfrm>
        <a:prstGeom prst="rect">
          <a:avLst/>
        </a:prstGeom>
        <a:no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2</xdr:col>
      <xdr:colOff>282050</xdr:colOff>
      <xdr:row>319</xdr:row>
      <xdr:rowOff>150805</xdr:rowOff>
    </xdr:from>
    <xdr:to>
      <xdr:col>3</xdr:col>
      <xdr:colOff>323039</xdr:colOff>
      <xdr:row>323</xdr:row>
      <xdr:rowOff>150112</xdr:rowOff>
    </xdr:to>
    <xdr:sp macro="" textlink="">
      <xdr:nvSpPr>
        <xdr:cNvPr id="9" name="Rectangle 8">
          <a:extLst>
            <a:ext uri="{FF2B5EF4-FFF2-40B4-BE49-F238E27FC236}">
              <a16:creationId xmlns:a16="http://schemas.microsoft.com/office/drawing/2014/main" xmlns="" id="{00000000-0008-0000-0000-000009000000}"/>
            </a:ext>
          </a:extLst>
        </xdr:cNvPr>
        <xdr:cNvSpPr/>
      </xdr:nvSpPr>
      <xdr:spPr>
        <a:xfrm>
          <a:off x="1840686" y="62634805"/>
          <a:ext cx="889580" cy="830580"/>
        </a:xfrm>
        <a:prstGeom prst="rect">
          <a:avLst/>
        </a:prstGeom>
        <a:no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xdr:col>
      <xdr:colOff>200426</xdr:colOff>
      <xdr:row>319</xdr:row>
      <xdr:rowOff>51745</xdr:rowOff>
    </xdr:from>
    <xdr:to>
      <xdr:col>2</xdr:col>
      <xdr:colOff>219130</xdr:colOff>
      <xdr:row>323</xdr:row>
      <xdr:rowOff>150111</xdr:rowOff>
    </xdr:to>
    <xdr:sp macro="" textlink="">
      <xdr:nvSpPr>
        <xdr:cNvPr id="10" name="Rectangle 9">
          <a:extLst>
            <a:ext uri="{FF2B5EF4-FFF2-40B4-BE49-F238E27FC236}">
              <a16:creationId xmlns:a16="http://schemas.microsoft.com/office/drawing/2014/main" xmlns="" id="{00000000-0008-0000-0000-00000A000000}"/>
            </a:ext>
          </a:extLst>
        </xdr:cNvPr>
        <xdr:cNvSpPr/>
      </xdr:nvSpPr>
      <xdr:spPr>
        <a:xfrm>
          <a:off x="962426" y="62535745"/>
          <a:ext cx="815340" cy="929639"/>
        </a:xfrm>
        <a:prstGeom prst="rect">
          <a:avLst/>
        </a:prstGeom>
        <a:no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3</xdr:col>
      <xdr:colOff>688798</xdr:colOff>
      <xdr:row>318</xdr:row>
      <xdr:rowOff>128758</xdr:rowOff>
    </xdr:from>
    <xdr:to>
      <xdr:col>5</xdr:col>
      <xdr:colOff>88896</xdr:colOff>
      <xdr:row>319</xdr:row>
      <xdr:rowOff>182550</xdr:rowOff>
    </xdr:to>
    <xdr:sp macro="" textlink="">
      <xdr:nvSpPr>
        <xdr:cNvPr id="11" name="TextBox 7">
          <a:extLst>
            <a:ext uri="{FF2B5EF4-FFF2-40B4-BE49-F238E27FC236}">
              <a16:creationId xmlns:a16="http://schemas.microsoft.com/office/drawing/2014/main" xmlns="" id="{00000000-0008-0000-0000-00000B000000}"/>
            </a:ext>
          </a:extLst>
        </xdr:cNvPr>
        <xdr:cNvSpPr txBox="1"/>
      </xdr:nvSpPr>
      <xdr:spPr>
        <a:xfrm>
          <a:off x="3096025" y="62404940"/>
          <a:ext cx="1097280"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50" b="1">
              <a:solidFill>
                <a:srgbClr val="C00000"/>
              </a:solidFill>
            </a:rPr>
            <a:t>Building No.1</a:t>
          </a:r>
          <a:endParaRPr lang="en-IN" sz="1050" b="1">
            <a:solidFill>
              <a:srgbClr val="C00000"/>
            </a:solidFill>
          </a:endParaRPr>
        </a:p>
      </xdr:txBody>
    </xdr:sp>
    <xdr:clientData/>
  </xdr:twoCellAnchor>
  <xdr:twoCellAnchor>
    <xdr:from>
      <xdr:col>2</xdr:col>
      <xdr:colOff>309643</xdr:colOff>
      <xdr:row>318</xdr:row>
      <xdr:rowOff>128758</xdr:rowOff>
    </xdr:from>
    <xdr:to>
      <xdr:col>3</xdr:col>
      <xdr:colOff>558332</xdr:colOff>
      <xdr:row>319</xdr:row>
      <xdr:rowOff>182550</xdr:rowOff>
    </xdr:to>
    <xdr:sp macro="" textlink="">
      <xdr:nvSpPr>
        <xdr:cNvPr id="12" name="TextBox 11">
          <a:extLst>
            <a:ext uri="{FF2B5EF4-FFF2-40B4-BE49-F238E27FC236}">
              <a16:creationId xmlns:a16="http://schemas.microsoft.com/office/drawing/2014/main" xmlns="" id="{00000000-0008-0000-0000-00000C000000}"/>
            </a:ext>
          </a:extLst>
        </xdr:cNvPr>
        <xdr:cNvSpPr txBox="1"/>
      </xdr:nvSpPr>
      <xdr:spPr>
        <a:xfrm>
          <a:off x="1868279" y="62404940"/>
          <a:ext cx="1097280"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50" b="1">
              <a:solidFill>
                <a:srgbClr val="C00000"/>
              </a:solidFill>
            </a:rPr>
            <a:t>Building No.2</a:t>
          </a:r>
          <a:endParaRPr lang="en-IN" sz="1050" b="1">
            <a:solidFill>
              <a:srgbClr val="C00000"/>
            </a:solidFill>
          </a:endParaRPr>
        </a:p>
      </xdr:txBody>
    </xdr:sp>
    <xdr:clientData/>
  </xdr:twoCellAnchor>
  <xdr:twoCellAnchor>
    <xdr:from>
      <xdr:col>1</xdr:col>
      <xdr:colOff>115679</xdr:colOff>
      <xdr:row>318</xdr:row>
      <xdr:rowOff>27423</xdr:rowOff>
    </xdr:from>
    <xdr:to>
      <xdr:col>2</xdr:col>
      <xdr:colOff>416323</xdr:colOff>
      <xdr:row>319</xdr:row>
      <xdr:rowOff>81215</xdr:rowOff>
    </xdr:to>
    <xdr:sp macro="" textlink="">
      <xdr:nvSpPr>
        <xdr:cNvPr id="13" name="TextBox 12">
          <a:extLst>
            <a:ext uri="{FF2B5EF4-FFF2-40B4-BE49-F238E27FC236}">
              <a16:creationId xmlns:a16="http://schemas.microsoft.com/office/drawing/2014/main" xmlns="" id="{00000000-0008-0000-0000-00000D000000}"/>
            </a:ext>
          </a:extLst>
        </xdr:cNvPr>
        <xdr:cNvSpPr txBox="1"/>
      </xdr:nvSpPr>
      <xdr:spPr>
        <a:xfrm>
          <a:off x="877679" y="62303605"/>
          <a:ext cx="1097280"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50" b="1">
              <a:solidFill>
                <a:srgbClr val="C00000"/>
              </a:solidFill>
            </a:rPr>
            <a:t>Building No.3</a:t>
          </a:r>
          <a:endParaRPr lang="en-IN" sz="1050" b="1">
            <a:solidFill>
              <a:srgbClr val="C00000"/>
            </a:solidFill>
          </a:endParaRPr>
        </a:p>
      </xdr:txBody>
    </xdr:sp>
    <xdr:clientData/>
  </xdr:twoCellAnchor>
  <xdr:twoCellAnchor editAs="oneCell">
    <xdr:from>
      <xdr:col>0</xdr:col>
      <xdr:colOff>512669</xdr:colOff>
      <xdr:row>355</xdr:row>
      <xdr:rowOff>129021</xdr:rowOff>
    </xdr:from>
    <xdr:to>
      <xdr:col>7</xdr:col>
      <xdr:colOff>331019</xdr:colOff>
      <xdr:row>376</xdr:row>
      <xdr:rowOff>44413</xdr:rowOff>
    </xdr:to>
    <xdr:pic>
      <xdr:nvPicPr>
        <xdr:cNvPr id="15" name="Picture 14">
          <a:extLst>
            <a:ext uri="{FF2B5EF4-FFF2-40B4-BE49-F238E27FC236}">
              <a16:creationId xmlns:a16="http://schemas.microsoft.com/office/drawing/2014/main" xmlns="" id="{00000000-0008-0000-0000-00000F000000}"/>
            </a:ext>
          </a:extLst>
        </xdr:cNvPr>
        <xdr:cNvPicPr>
          <a:picLocks noChangeAspect="1"/>
        </xdr:cNvPicPr>
      </xdr:nvPicPr>
      <xdr:blipFill>
        <a:blip xmlns:r="http://schemas.openxmlformats.org/officeDocument/2006/relationships" r:embed="rId3"/>
        <a:stretch>
          <a:fillRect/>
        </a:stretch>
      </xdr:blipFill>
      <xdr:spPr>
        <a:xfrm>
          <a:off x="512669" y="76519521"/>
          <a:ext cx="5398879" cy="4151215"/>
        </a:xfrm>
        <a:prstGeom prst="rect">
          <a:avLst/>
        </a:prstGeom>
        <a:ln w="9525">
          <a:solidFill>
            <a:schemeClr val="tx1"/>
          </a:solidFill>
        </a:ln>
      </xdr:spPr>
    </xdr:pic>
    <xdr:clientData/>
  </xdr:twoCellAnchor>
  <xdr:twoCellAnchor editAs="oneCell">
    <xdr:from>
      <xdr:col>1</xdr:col>
      <xdr:colOff>56030</xdr:colOff>
      <xdr:row>336</xdr:row>
      <xdr:rowOff>134469</xdr:rowOff>
    </xdr:from>
    <xdr:to>
      <xdr:col>6</xdr:col>
      <xdr:colOff>616324</xdr:colOff>
      <xdr:row>355</xdr:row>
      <xdr:rowOff>10634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818030" y="72692557"/>
          <a:ext cx="4650441" cy="3708577"/>
        </a:xfrm>
        <a:prstGeom prst="rect">
          <a:avLst/>
        </a:prstGeom>
        <a:ln w="9525">
          <a:solidFill>
            <a:schemeClr val="tx1"/>
          </a:solidFill>
        </a:ln>
      </xdr:spPr>
    </xdr:pic>
    <xdr:clientData/>
  </xdr:twoCellAnchor>
  <xdr:twoCellAnchor>
    <xdr:from>
      <xdr:col>2</xdr:col>
      <xdr:colOff>291353</xdr:colOff>
      <xdr:row>355</xdr:row>
      <xdr:rowOff>100852</xdr:rowOff>
    </xdr:from>
    <xdr:to>
      <xdr:col>5</xdr:col>
      <xdr:colOff>683559</xdr:colOff>
      <xdr:row>362</xdr:row>
      <xdr:rowOff>67235</xdr:rowOff>
    </xdr:to>
    <xdr:sp macro="" textlink="">
      <xdr:nvSpPr>
        <xdr:cNvPr id="3" name="Freeform 2">
          <a:extLst>
            <a:ext uri="{FF2B5EF4-FFF2-40B4-BE49-F238E27FC236}">
              <a16:creationId xmlns:a16="http://schemas.microsoft.com/office/drawing/2014/main" xmlns="" id="{00000000-0008-0000-0000-000003000000}"/>
            </a:ext>
          </a:extLst>
        </xdr:cNvPr>
        <xdr:cNvSpPr/>
      </xdr:nvSpPr>
      <xdr:spPr>
        <a:xfrm>
          <a:off x="1848971" y="76143970"/>
          <a:ext cx="2947147" cy="1378324"/>
        </a:xfrm>
        <a:custGeom>
          <a:avLst/>
          <a:gdLst>
            <a:gd name="connsiteX0" fmla="*/ 0 w 2947147"/>
            <a:gd name="connsiteY0" fmla="*/ 0 h 1378324"/>
            <a:gd name="connsiteX1" fmla="*/ 560294 w 2947147"/>
            <a:gd name="connsiteY1" fmla="*/ 773206 h 1378324"/>
            <a:gd name="connsiteX2" fmla="*/ 974911 w 2947147"/>
            <a:gd name="connsiteY2" fmla="*/ 1199030 h 1378324"/>
            <a:gd name="connsiteX3" fmla="*/ 1423147 w 2947147"/>
            <a:gd name="connsiteY3" fmla="*/ 1367118 h 1378324"/>
            <a:gd name="connsiteX4" fmla="*/ 1770529 w 2947147"/>
            <a:gd name="connsiteY4" fmla="*/ 1378324 h 1378324"/>
            <a:gd name="connsiteX5" fmla="*/ 2162735 w 2947147"/>
            <a:gd name="connsiteY5" fmla="*/ 1131794 h 1378324"/>
            <a:gd name="connsiteX6" fmla="*/ 2454088 w 2947147"/>
            <a:gd name="connsiteY6" fmla="*/ 694765 h 1378324"/>
            <a:gd name="connsiteX7" fmla="*/ 2947147 w 2947147"/>
            <a:gd name="connsiteY7" fmla="*/ 33618 h 1378324"/>
            <a:gd name="connsiteX8" fmla="*/ 2835088 w 2947147"/>
            <a:gd name="connsiteY8" fmla="*/ 22412 h 1378324"/>
            <a:gd name="connsiteX9" fmla="*/ 1972235 w 2947147"/>
            <a:gd name="connsiteY9" fmla="*/ 1176618 h 1378324"/>
            <a:gd name="connsiteX10" fmla="*/ 1624853 w 2947147"/>
            <a:gd name="connsiteY10" fmla="*/ 1288677 h 1378324"/>
            <a:gd name="connsiteX11" fmla="*/ 1243853 w 2947147"/>
            <a:gd name="connsiteY11" fmla="*/ 1232647 h 1378324"/>
            <a:gd name="connsiteX12" fmla="*/ 638735 w 2947147"/>
            <a:gd name="connsiteY12" fmla="*/ 728383 h 1378324"/>
            <a:gd name="connsiteX13" fmla="*/ 89647 w 2947147"/>
            <a:gd name="connsiteY13" fmla="*/ 33618 h 1378324"/>
            <a:gd name="connsiteX14" fmla="*/ 0 w 2947147"/>
            <a:gd name="connsiteY14" fmla="*/ 0 h 13783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2947147" h="1378324">
              <a:moveTo>
                <a:pt x="0" y="0"/>
              </a:moveTo>
              <a:lnTo>
                <a:pt x="560294" y="773206"/>
              </a:lnTo>
              <a:lnTo>
                <a:pt x="974911" y="1199030"/>
              </a:lnTo>
              <a:lnTo>
                <a:pt x="1423147" y="1367118"/>
              </a:lnTo>
              <a:lnTo>
                <a:pt x="1770529" y="1378324"/>
              </a:lnTo>
              <a:lnTo>
                <a:pt x="2162735" y="1131794"/>
              </a:lnTo>
              <a:lnTo>
                <a:pt x="2454088" y="694765"/>
              </a:lnTo>
              <a:lnTo>
                <a:pt x="2947147" y="33618"/>
              </a:lnTo>
              <a:lnTo>
                <a:pt x="2835088" y="22412"/>
              </a:lnTo>
              <a:lnTo>
                <a:pt x="1972235" y="1176618"/>
              </a:lnTo>
              <a:lnTo>
                <a:pt x="1624853" y="1288677"/>
              </a:lnTo>
              <a:lnTo>
                <a:pt x="1243853" y="1232647"/>
              </a:lnTo>
              <a:lnTo>
                <a:pt x="638735" y="728383"/>
              </a:lnTo>
              <a:lnTo>
                <a:pt x="89647" y="33618"/>
              </a:lnTo>
              <a:lnTo>
                <a:pt x="0" y="0"/>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3</xdr:col>
      <xdr:colOff>705970</xdr:colOff>
      <xdr:row>359</xdr:row>
      <xdr:rowOff>123265</xdr:rowOff>
    </xdr:from>
    <xdr:to>
      <xdr:col>7</xdr:col>
      <xdr:colOff>22412</xdr:colOff>
      <xdr:row>364</xdr:row>
      <xdr:rowOff>22412</xdr:rowOff>
    </xdr:to>
    <xdr:sp macro="" textlink="">
      <xdr:nvSpPr>
        <xdr:cNvPr id="4" name="Rectangle 3">
          <a:extLst>
            <a:ext uri="{FF2B5EF4-FFF2-40B4-BE49-F238E27FC236}">
              <a16:creationId xmlns:a16="http://schemas.microsoft.com/office/drawing/2014/main" xmlns="" id="{00000000-0008-0000-0000-000004000000}"/>
            </a:ext>
          </a:extLst>
        </xdr:cNvPr>
        <xdr:cNvSpPr/>
      </xdr:nvSpPr>
      <xdr:spPr>
        <a:xfrm>
          <a:off x="3115235" y="76973206"/>
          <a:ext cx="2487706" cy="9076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800" b="1">
              <a:solidFill>
                <a:srgbClr val="FFFF00"/>
              </a:solidFill>
            </a:rPr>
            <a:t>Canal</a:t>
          </a:r>
        </a:p>
      </xdr:txBody>
    </xdr:sp>
    <xdr:clientData/>
  </xdr:twoCellAnchor>
  <xdr:twoCellAnchor editAs="oneCell">
    <xdr:from>
      <xdr:col>8</xdr:col>
      <xdr:colOff>437029</xdr:colOff>
      <xdr:row>361</xdr:row>
      <xdr:rowOff>11205</xdr:rowOff>
    </xdr:from>
    <xdr:to>
      <xdr:col>15</xdr:col>
      <xdr:colOff>187735</xdr:colOff>
      <xdr:row>376</xdr:row>
      <xdr:rowOff>164822</xdr:rowOff>
    </xdr:to>
    <xdr:pic>
      <xdr:nvPicPr>
        <xdr:cNvPr id="23" name="Picture 22">
          <a:extLst>
            <a:ext uri="{FF2B5EF4-FFF2-40B4-BE49-F238E27FC236}">
              <a16:creationId xmlns:a16="http://schemas.microsoft.com/office/drawing/2014/main" xmlns="" id="{00000000-0008-0000-0000-000017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6745941" y="77264558"/>
          <a:ext cx="5745853" cy="3179205"/>
        </a:xfrm>
        <a:prstGeom prst="rect">
          <a:avLst/>
        </a:prstGeom>
        <a:ln w="9525">
          <a:solidFill>
            <a:schemeClr val="tx1"/>
          </a:solidFill>
        </a:ln>
      </xdr:spPr>
    </xdr:pic>
    <xdr:clientData/>
  </xdr:twoCellAnchor>
  <xdr:twoCellAnchor>
    <xdr:from>
      <xdr:col>3</xdr:col>
      <xdr:colOff>448235</xdr:colOff>
      <xdr:row>363</xdr:row>
      <xdr:rowOff>0</xdr:rowOff>
    </xdr:from>
    <xdr:to>
      <xdr:col>4</xdr:col>
      <xdr:colOff>649941</xdr:colOff>
      <xdr:row>367</xdr:row>
      <xdr:rowOff>168088</xdr:rowOff>
    </xdr:to>
    <xdr:sp macro="" textlink="">
      <xdr:nvSpPr>
        <xdr:cNvPr id="5" name="Freeform 4">
          <a:extLst>
            <a:ext uri="{FF2B5EF4-FFF2-40B4-BE49-F238E27FC236}">
              <a16:creationId xmlns:a16="http://schemas.microsoft.com/office/drawing/2014/main" xmlns="" id="{00000000-0008-0000-0000-000005000000}"/>
            </a:ext>
          </a:extLst>
        </xdr:cNvPr>
        <xdr:cNvSpPr/>
      </xdr:nvSpPr>
      <xdr:spPr>
        <a:xfrm>
          <a:off x="2857500" y="77656765"/>
          <a:ext cx="1120588" cy="974911"/>
        </a:xfrm>
        <a:custGeom>
          <a:avLst/>
          <a:gdLst>
            <a:gd name="connsiteX0" fmla="*/ 0 w 1120588"/>
            <a:gd name="connsiteY0" fmla="*/ 537882 h 974911"/>
            <a:gd name="connsiteX1" fmla="*/ 336176 w 1120588"/>
            <a:gd name="connsiteY1" fmla="*/ 392206 h 974911"/>
            <a:gd name="connsiteX2" fmla="*/ 1042147 w 1120588"/>
            <a:gd name="connsiteY2" fmla="*/ 0 h 974911"/>
            <a:gd name="connsiteX3" fmla="*/ 1120588 w 1120588"/>
            <a:gd name="connsiteY3" fmla="*/ 190500 h 974911"/>
            <a:gd name="connsiteX4" fmla="*/ 1064559 w 1120588"/>
            <a:gd name="connsiteY4" fmla="*/ 515470 h 974911"/>
            <a:gd name="connsiteX5" fmla="*/ 874059 w 1120588"/>
            <a:gd name="connsiteY5" fmla="*/ 705970 h 974911"/>
            <a:gd name="connsiteX6" fmla="*/ 235324 w 1120588"/>
            <a:gd name="connsiteY6" fmla="*/ 974911 h 974911"/>
            <a:gd name="connsiteX7" fmla="*/ 0 w 1120588"/>
            <a:gd name="connsiteY7" fmla="*/ 537882 h 9749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20588" h="974911">
              <a:moveTo>
                <a:pt x="0" y="537882"/>
              </a:moveTo>
              <a:lnTo>
                <a:pt x="336176" y="392206"/>
              </a:lnTo>
              <a:lnTo>
                <a:pt x="1042147" y="0"/>
              </a:lnTo>
              <a:lnTo>
                <a:pt x="1120588" y="190500"/>
              </a:lnTo>
              <a:lnTo>
                <a:pt x="1064559" y="515470"/>
              </a:lnTo>
              <a:lnTo>
                <a:pt x="874059" y="705970"/>
              </a:lnTo>
              <a:lnTo>
                <a:pt x="235324" y="974911"/>
              </a:lnTo>
              <a:lnTo>
                <a:pt x="0" y="537882"/>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0</xdr:col>
      <xdr:colOff>180241</xdr:colOff>
      <xdr:row>253</xdr:row>
      <xdr:rowOff>34436</xdr:rowOff>
    </xdr:from>
    <xdr:to>
      <xdr:col>2</xdr:col>
      <xdr:colOff>533179</xdr:colOff>
      <xdr:row>265</xdr:row>
      <xdr:rowOff>188302</xdr:rowOff>
    </xdr:to>
    <xdr:pic>
      <xdr:nvPicPr>
        <xdr:cNvPr id="72" name="Picture 71" descr="https://vsjcllp.vsjadon.com/upload/insp-243324-843.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180241" y="53982571"/>
          <a:ext cx="1913573" cy="252778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605020</xdr:colOff>
      <xdr:row>253</xdr:row>
      <xdr:rowOff>40573</xdr:rowOff>
    </xdr:from>
    <xdr:to>
      <xdr:col>4</xdr:col>
      <xdr:colOff>758875</xdr:colOff>
      <xdr:row>265</xdr:row>
      <xdr:rowOff>194438</xdr:rowOff>
    </xdr:to>
    <xdr:pic>
      <xdr:nvPicPr>
        <xdr:cNvPr id="77" name="Picture 76" descr="https://vsjcllp.vsjadon.com/upload/insp-243324-862.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2165655" y="53988708"/>
          <a:ext cx="1919643" cy="25277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43961</xdr:colOff>
      <xdr:row>253</xdr:row>
      <xdr:rowOff>43961</xdr:rowOff>
    </xdr:from>
    <xdr:to>
      <xdr:col>7</xdr:col>
      <xdr:colOff>486558</xdr:colOff>
      <xdr:row>266</xdr:row>
      <xdr:rowOff>0</xdr:rowOff>
    </xdr:to>
    <xdr:pic>
      <xdr:nvPicPr>
        <xdr:cNvPr id="101" name="Picture 100" descr="https://vsjcllp.vsjadon.com/upload/insp-243324-92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154365" y="53992096"/>
          <a:ext cx="1915308" cy="252778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277691</xdr:colOff>
      <xdr:row>253</xdr:row>
      <xdr:rowOff>27512</xdr:rowOff>
    </xdr:from>
    <xdr:to>
      <xdr:col>7</xdr:col>
      <xdr:colOff>461596</xdr:colOff>
      <xdr:row>294</xdr:row>
      <xdr:rowOff>49114</xdr:rowOff>
    </xdr:to>
    <xdr:grpSp>
      <xdr:nvGrpSpPr>
        <xdr:cNvPr id="18" name="Group 17"/>
        <xdr:cNvGrpSpPr/>
      </xdr:nvGrpSpPr>
      <xdr:grpSpPr>
        <a:xfrm>
          <a:off x="277691" y="54104664"/>
          <a:ext cx="5766383" cy="8171689"/>
          <a:chOff x="277691" y="54104664"/>
          <a:chExt cx="5766383" cy="8171689"/>
        </a:xfrm>
      </xdr:grpSpPr>
      <xdr:pic>
        <xdr:nvPicPr>
          <xdr:cNvPr id="71" name="Picture 70" descr="https://vsjcllp.vsjadon.com/upload/insp-243324-1525.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4181922" y="60981058"/>
            <a:ext cx="976135" cy="128949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3" name="Picture 72" descr="https://vsjcllp.vsjadon.com/upload/insp-243324-845.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291737" y="60984025"/>
            <a:ext cx="1727920" cy="129074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4" name="Picture 73" descr="https://vsjcllp.vsjadon.com/upload/insp-243324-844.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4546831" y="56723686"/>
            <a:ext cx="1497243" cy="197457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5" name="Picture 74" descr="https://vsjcllp.vsjadon.com/upload/insp-243324-851.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277691" y="56734555"/>
            <a:ext cx="2645218" cy="197457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6" name="Picture 75" descr="https://vsjcllp.vsjadon.com/upload/insp-243324-861.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2989641" y="56727523"/>
            <a:ext cx="1492252" cy="197255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6" name="Picture 95" descr="https://vsjcllp.vsjadon.com/upload/insp-243324-874.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4104192" y="58765429"/>
            <a:ext cx="1642110" cy="214633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8" name="Picture 97" descr="https://vsjcllp.vsjadon.com/upload/insp-243324-880.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727882" y="58769727"/>
            <a:ext cx="1634528" cy="214633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9" name="Picture 98" descr="https://vsjcllp.vsjadon.com/upload/insp-243324-883.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2427823" y="58770047"/>
            <a:ext cx="1614268" cy="214633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0" name="Picture 99" descr="https://vsjcllp.vsjadon.com/upload/insp-243324-916.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3125093" y="60985613"/>
            <a:ext cx="969717" cy="129074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14" name="TextBox 13"/>
          <xdr:cNvSpPr txBox="1"/>
        </xdr:nvSpPr>
        <xdr:spPr>
          <a:xfrm>
            <a:off x="1689652" y="56744152"/>
            <a:ext cx="356152" cy="256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IN" sz="1100" b="1">
                <a:solidFill>
                  <a:srgbClr val="FF0000"/>
                </a:solidFill>
              </a:rPr>
              <a:t>B1</a:t>
            </a:r>
          </a:p>
        </xdr:txBody>
      </xdr:sp>
      <xdr:sp macro="" textlink="">
        <xdr:nvSpPr>
          <xdr:cNvPr id="102" name="TextBox 101"/>
          <xdr:cNvSpPr txBox="1"/>
        </xdr:nvSpPr>
        <xdr:spPr>
          <a:xfrm>
            <a:off x="1014843" y="57214310"/>
            <a:ext cx="356152" cy="256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IN" sz="1100" b="1">
                <a:solidFill>
                  <a:srgbClr val="FF0000"/>
                </a:solidFill>
              </a:rPr>
              <a:t>B2</a:t>
            </a:r>
          </a:p>
        </xdr:txBody>
      </xdr:sp>
      <xdr:sp macro="" textlink="">
        <xdr:nvSpPr>
          <xdr:cNvPr id="103" name="TextBox 102"/>
          <xdr:cNvSpPr txBox="1"/>
        </xdr:nvSpPr>
        <xdr:spPr>
          <a:xfrm>
            <a:off x="493039" y="57288853"/>
            <a:ext cx="356152" cy="256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IN" sz="1100" b="1">
                <a:solidFill>
                  <a:srgbClr val="FF0000"/>
                </a:solidFill>
              </a:rPr>
              <a:t>B3</a:t>
            </a:r>
          </a:p>
        </xdr:txBody>
      </xdr:sp>
      <xdr:sp macro="" textlink="">
        <xdr:nvSpPr>
          <xdr:cNvPr id="104" name="TextBox 103"/>
          <xdr:cNvSpPr txBox="1"/>
        </xdr:nvSpPr>
        <xdr:spPr>
          <a:xfrm>
            <a:off x="1422632" y="54123376"/>
            <a:ext cx="639737" cy="256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IN" sz="1100" b="1">
                <a:solidFill>
                  <a:srgbClr val="FF0000"/>
                </a:solidFill>
              </a:rPr>
              <a:t>Bldg 1</a:t>
            </a:r>
          </a:p>
        </xdr:txBody>
      </xdr:sp>
      <xdr:sp macro="" textlink="">
        <xdr:nvSpPr>
          <xdr:cNvPr id="105" name="TextBox 104"/>
          <xdr:cNvSpPr txBox="1"/>
        </xdr:nvSpPr>
        <xdr:spPr>
          <a:xfrm>
            <a:off x="2182220" y="54104664"/>
            <a:ext cx="639737" cy="256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IN" sz="1100" b="1">
                <a:solidFill>
                  <a:srgbClr val="FF0000"/>
                </a:solidFill>
              </a:rPr>
              <a:t>Bldg 2</a:t>
            </a:r>
          </a:p>
        </xdr:txBody>
      </xdr:sp>
      <xdr:sp macro="" textlink="">
        <xdr:nvSpPr>
          <xdr:cNvPr id="106" name="TextBox 105"/>
          <xdr:cNvSpPr txBox="1"/>
        </xdr:nvSpPr>
        <xdr:spPr>
          <a:xfrm>
            <a:off x="4999191" y="54116335"/>
            <a:ext cx="639737" cy="256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IN" sz="1100" b="1">
                <a:solidFill>
                  <a:srgbClr val="FF0000"/>
                </a:solidFill>
              </a:rPr>
              <a:t>Bldg 3</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bRBTjBYWGgGARBCh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36"/>
  <sheetViews>
    <sheetView tabSelected="1" view="pageBreakPreview" topLeftCell="A188" zoomScale="115" zoomScaleNormal="100" zoomScaleSheetLayoutView="115" zoomScalePageLayoutView="85" workbookViewId="0">
      <selection activeCell="I185" sqref="I185"/>
    </sheetView>
  </sheetViews>
  <sheetFormatPr defaultColWidth="9.140625" defaultRowHeight="15.75" x14ac:dyDescent="0.2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8" width="11" style="39" customWidth="1"/>
    <col min="9" max="9" width="17.42578125" style="20" customWidth="1"/>
    <col min="10" max="10" width="11.42578125" style="20" customWidth="1"/>
    <col min="11" max="11" width="10.5703125" style="20" bestFit="1" customWidth="1"/>
    <col min="12" max="12" width="13.85546875" style="20" bestFit="1" customWidth="1"/>
    <col min="13" max="13" width="11.85546875" style="20" customWidth="1"/>
    <col min="14" max="14" width="12.5703125" style="20" customWidth="1"/>
    <col min="15" max="15" width="12.140625" style="20" customWidth="1"/>
    <col min="16" max="16" width="11.7109375" style="20" customWidth="1"/>
    <col min="17" max="18" width="9.140625" style="20"/>
    <col min="19" max="19" width="10.85546875" style="20" bestFit="1" customWidth="1"/>
    <col min="20" max="20" width="10.7109375" style="20" customWidth="1"/>
    <col min="21"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26" ht="46.5" customHeight="1" x14ac:dyDescent="0.25">
      <c r="A1" s="198" t="s">
        <v>354</v>
      </c>
      <c r="B1" s="198"/>
      <c r="C1" s="198"/>
      <c r="D1" s="198"/>
      <c r="E1" s="198"/>
      <c r="F1" s="198"/>
      <c r="G1" s="198"/>
      <c r="H1" s="198"/>
    </row>
    <row r="2" spans="1:26" ht="16.5" customHeight="1" x14ac:dyDescent="0.25">
      <c r="A2" s="199" t="s">
        <v>0</v>
      </c>
      <c r="B2" s="199"/>
      <c r="C2" s="199"/>
      <c r="D2" s="199"/>
      <c r="E2" s="199"/>
      <c r="F2" s="199"/>
      <c r="G2" s="199"/>
      <c r="H2" s="199"/>
    </row>
    <row r="3" spans="1:26" x14ac:dyDescent="0.25">
      <c r="A3" s="81" t="s">
        <v>1</v>
      </c>
      <c r="B3" s="81"/>
      <c r="C3" s="81"/>
      <c r="D3" s="81"/>
      <c r="E3" s="81" t="str">
        <f ca="1">TEXT(TODAY(),"DD/MM/YYYY")</f>
        <v>18/08/2025</v>
      </c>
      <c r="F3" s="81"/>
      <c r="G3" s="81"/>
      <c r="H3" s="81"/>
      <c r="K3" s="56" t="s">
        <v>232</v>
      </c>
      <c r="L3" s="52" t="s">
        <v>230</v>
      </c>
      <c r="M3" s="52" t="s">
        <v>235</v>
      </c>
      <c r="N3" s="52" t="s">
        <v>233</v>
      </c>
      <c r="O3" s="52" t="s">
        <v>234</v>
      </c>
      <c r="P3" s="52" t="s">
        <v>236</v>
      </c>
    </row>
    <row r="4" spans="1:26" ht="15" customHeight="1" x14ac:dyDescent="0.25">
      <c r="A4" s="81" t="s">
        <v>229</v>
      </c>
      <c r="B4" s="81"/>
      <c r="C4" s="81"/>
      <c r="D4" s="81"/>
      <c r="E4" s="81" t="s">
        <v>230</v>
      </c>
      <c r="F4" s="81"/>
      <c r="G4" s="81"/>
      <c r="H4" s="81"/>
      <c r="K4" s="51" t="s">
        <v>231</v>
      </c>
      <c r="L4" s="52" t="s">
        <v>165</v>
      </c>
      <c r="M4" s="52" t="s">
        <v>240</v>
      </c>
      <c r="N4" s="52" t="s">
        <v>242</v>
      </c>
      <c r="O4" s="52" t="s">
        <v>244</v>
      </c>
      <c r="P4" s="52"/>
    </row>
    <row r="5" spans="1:26" ht="15" customHeight="1" x14ac:dyDescent="0.25">
      <c r="A5" s="81" t="s">
        <v>2</v>
      </c>
      <c r="B5" s="81"/>
      <c r="C5" s="81"/>
      <c r="D5" s="81"/>
      <c r="E5" s="81" t="s">
        <v>239</v>
      </c>
      <c r="F5" s="81"/>
      <c r="G5" s="81"/>
      <c r="H5" s="81"/>
      <c r="K5" s="51"/>
      <c r="L5" s="52" t="s">
        <v>237</v>
      </c>
      <c r="M5" s="52" t="s">
        <v>241</v>
      </c>
      <c r="N5" s="52" t="s">
        <v>243</v>
      </c>
      <c r="O5" s="52" t="s">
        <v>245</v>
      </c>
      <c r="P5" s="52"/>
    </row>
    <row r="6" spans="1:26" x14ac:dyDescent="0.25">
      <c r="A6" s="81" t="s">
        <v>3</v>
      </c>
      <c r="B6" s="81"/>
      <c r="C6" s="81"/>
      <c r="D6" s="81"/>
      <c r="E6" s="200">
        <v>45880</v>
      </c>
      <c r="F6" s="81"/>
      <c r="G6" s="81"/>
      <c r="H6" s="81"/>
      <c r="K6" s="51"/>
      <c r="L6" s="52" t="s">
        <v>238</v>
      </c>
      <c r="M6" s="52"/>
      <c r="N6" s="52"/>
      <c r="O6" s="52" t="s">
        <v>246</v>
      </c>
      <c r="P6" s="52"/>
    </row>
    <row r="7" spans="1:26" ht="16.5" customHeight="1" x14ac:dyDescent="0.25">
      <c r="A7" s="81" t="s">
        <v>4</v>
      </c>
      <c r="B7" s="81"/>
      <c r="C7" s="81"/>
      <c r="D7" s="81"/>
      <c r="E7" s="81" t="s">
        <v>294</v>
      </c>
      <c r="F7" s="81"/>
      <c r="G7" s="81"/>
      <c r="H7" s="81"/>
      <c r="K7" s="51"/>
      <c r="L7" s="52" t="s">
        <v>239</v>
      </c>
      <c r="M7" s="52"/>
      <c r="N7" s="52"/>
      <c r="O7" s="52" t="s">
        <v>246</v>
      </c>
      <c r="P7" s="52"/>
    </row>
    <row r="8" spans="1:26" ht="15" customHeight="1" x14ac:dyDescent="0.25">
      <c r="A8" s="81" t="s">
        <v>5</v>
      </c>
      <c r="B8" s="81"/>
      <c r="C8" s="81"/>
      <c r="D8" s="81"/>
      <c r="E8" s="81" t="str">
        <f>E7</f>
        <v>Aj Homes</v>
      </c>
      <c r="F8" s="81"/>
      <c r="G8" s="81"/>
      <c r="H8" s="81"/>
      <c r="K8" s="51"/>
      <c r="L8" s="52"/>
      <c r="M8" s="52"/>
      <c r="N8" s="52"/>
      <c r="O8" s="52" t="s">
        <v>247</v>
      </c>
      <c r="P8" s="52"/>
    </row>
    <row r="9" spans="1:26" x14ac:dyDescent="0.25">
      <c r="A9" s="81" t="s">
        <v>6</v>
      </c>
      <c r="B9" s="81"/>
      <c r="C9" s="81"/>
      <c r="D9" s="81"/>
      <c r="E9" s="182" t="s">
        <v>295</v>
      </c>
      <c r="F9" s="182"/>
      <c r="G9" s="182"/>
      <c r="H9" s="182"/>
      <c r="K9" s="51"/>
      <c r="L9" s="52"/>
      <c r="M9" s="52"/>
      <c r="N9" s="52"/>
      <c r="O9" s="52" t="s">
        <v>248</v>
      </c>
      <c r="P9" s="52"/>
    </row>
    <row r="10" spans="1:26" x14ac:dyDescent="0.25">
      <c r="A10" s="81" t="s">
        <v>162</v>
      </c>
      <c r="B10" s="81"/>
      <c r="C10" s="81"/>
      <c r="D10" s="81"/>
      <c r="E10" s="81" t="s">
        <v>296</v>
      </c>
      <c r="F10" s="81"/>
      <c r="G10" s="81"/>
      <c r="H10" s="81"/>
      <c r="K10" s="51"/>
      <c r="L10" s="52"/>
      <c r="M10" s="52"/>
      <c r="N10" s="52"/>
      <c r="O10" s="52"/>
      <c r="P10" s="52"/>
    </row>
    <row r="11" spans="1:26" x14ac:dyDescent="0.25">
      <c r="A11" s="81" t="s">
        <v>163</v>
      </c>
      <c r="B11" s="81"/>
      <c r="C11" s="81"/>
      <c r="D11" s="81"/>
      <c r="E11" s="81" t="s">
        <v>353</v>
      </c>
      <c r="F11" s="81"/>
      <c r="G11" s="81"/>
      <c r="H11" s="81"/>
      <c r="I11" s="81" t="s">
        <v>297</v>
      </c>
      <c r="J11" s="81"/>
      <c r="K11" s="81"/>
      <c r="L11" s="81"/>
    </row>
    <row r="12" spans="1:26" ht="48" customHeight="1" x14ac:dyDescent="0.25">
      <c r="A12" s="81" t="s">
        <v>7</v>
      </c>
      <c r="B12" s="81"/>
      <c r="C12" s="81"/>
      <c r="D12" s="81"/>
      <c r="E12" s="121" t="s">
        <v>349</v>
      </c>
      <c r="F12" s="81"/>
      <c r="G12" s="81"/>
      <c r="H12" s="81"/>
      <c r="I12" s="20" t="s">
        <v>350</v>
      </c>
    </row>
    <row r="13" spans="1:26" x14ac:dyDescent="0.25">
      <c r="A13" s="81" t="s">
        <v>166</v>
      </c>
      <c r="B13" s="81"/>
      <c r="C13" s="81"/>
      <c r="D13" s="81"/>
      <c r="E13" s="81" t="s">
        <v>28</v>
      </c>
      <c r="F13" s="81"/>
      <c r="G13" s="81"/>
      <c r="H13" s="81"/>
      <c r="S13" s="52" t="s">
        <v>174</v>
      </c>
      <c r="T13" s="52" t="s">
        <v>184</v>
      </c>
      <c r="U13" s="52" t="s">
        <v>167</v>
      </c>
      <c r="V13" s="52" t="s">
        <v>189</v>
      </c>
      <c r="W13" s="52" t="s">
        <v>207</v>
      </c>
      <c r="X13"/>
      <c r="Y13" t="s">
        <v>189</v>
      </c>
      <c r="Z13" t="e">
        <f ca="1">OFFSET($S$13,1,MATCH($G20,$S$13:$W$13,0)-1,15,1)</f>
        <v>#VALUE!</v>
      </c>
    </row>
    <row r="14" spans="1:26" x14ac:dyDescent="0.25">
      <c r="A14" s="100" t="s">
        <v>275</v>
      </c>
      <c r="B14" s="100"/>
      <c r="C14" s="100"/>
      <c r="D14" s="100"/>
      <c r="E14" s="121" t="s">
        <v>299</v>
      </c>
      <c r="F14" s="121"/>
      <c r="G14" s="121"/>
      <c r="H14" s="121"/>
      <c r="S14" s="52" t="s">
        <v>175</v>
      </c>
      <c r="T14" s="52" t="s">
        <v>182</v>
      </c>
      <c r="U14" s="52" t="s">
        <v>204</v>
      </c>
      <c r="V14" s="52" t="s">
        <v>190</v>
      </c>
      <c r="W14" s="52" t="s">
        <v>208</v>
      </c>
      <c r="X14"/>
      <c r="Y14"/>
      <c r="Z14"/>
    </row>
    <row r="15" spans="1:26" x14ac:dyDescent="0.25">
      <c r="A15" s="100" t="s">
        <v>8</v>
      </c>
      <c r="B15" s="100"/>
      <c r="C15" s="100"/>
      <c r="D15" s="100"/>
      <c r="E15" s="121" t="s">
        <v>298</v>
      </c>
      <c r="F15" s="81"/>
      <c r="G15" s="81"/>
      <c r="H15" s="81"/>
      <c r="I15" s="95" t="e">
        <f ca="1">OFFSET($D$5,1,MATCH($J13,$D$5:$H$5,0)-1,15,1)</f>
        <v>#N/A</v>
      </c>
      <c r="J15" s="96"/>
      <c r="K15" s="96"/>
      <c r="L15" s="96"/>
      <c r="M15" s="96"/>
      <c r="N15" s="96"/>
      <c r="O15" s="96"/>
      <c r="P15" s="96"/>
      <c r="S15" s="52" t="s">
        <v>176</v>
      </c>
      <c r="T15" s="52" t="s">
        <v>183</v>
      </c>
      <c r="U15" s="52" t="s">
        <v>205</v>
      </c>
      <c r="V15" s="52" t="s">
        <v>191</v>
      </c>
      <c r="W15" s="52" t="s">
        <v>221</v>
      </c>
      <c r="X15"/>
      <c r="Y15"/>
      <c r="Z15"/>
    </row>
    <row r="16" spans="1:26" ht="48.75" customHeight="1" x14ac:dyDescent="0.25">
      <c r="A16" s="106" t="s">
        <v>9</v>
      </c>
      <c r="B16" s="106"/>
      <c r="C16" s="106" t="str">
        <f>CONCATENATE((IF(OR(E9="",E9="NA"),"",E9)),", ",(IF(OR(A17="",A17="NA"),"",A17)),".",(IF(OR(C17="",C17="NA"),"",C17)),", near ",(IF(OR(C22="",C22="NA"),"",C22)),", ",(IF(OR(C19="",C19="NA"),"",C19)),", ",(IF(OR(C18="",C18="NA"),"",C18)),", ",(IF(OR(G19="",G19="NA"),"",G19)),", ",(IF(OR(C20="",C20="NA"),"",C20)),", ",(IF(OR(C21="",C21="NA"),"",C21)),", ",(IF(OR(G20="",G20="NA"),"",G20))," - ",(IF(OR(G21="",G21="NA"),"",G21)),".")</f>
        <v>Shri Hari Vitthal Vihar, Plot No.1, S.No.83/A/2/A, Proposed Group Housing Scheme, near Vitthal Rakhumai &amp; Hanuman Temple, Internal Road, Shahapur, Shahapur, Asangaon East, Shahpur, Thane  - 421601.</v>
      </c>
      <c r="D16" s="106"/>
      <c r="E16" s="106"/>
      <c r="F16" s="106"/>
      <c r="G16" s="106"/>
      <c r="H16" s="106"/>
      <c r="S16" s="52" t="s">
        <v>177</v>
      </c>
      <c r="T16" s="52" t="s">
        <v>185</v>
      </c>
      <c r="U16" s="52" t="s">
        <v>206</v>
      </c>
      <c r="V16" s="52" t="s">
        <v>192</v>
      </c>
      <c r="W16" s="52" t="s">
        <v>209</v>
      </c>
      <c r="X16"/>
      <c r="Y16"/>
      <c r="Z16"/>
    </row>
    <row r="17" spans="1:26" x14ac:dyDescent="0.25">
      <c r="A17" s="121" t="s">
        <v>300</v>
      </c>
      <c r="B17" s="121"/>
      <c r="C17" s="121" t="s">
        <v>301</v>
      </c>
      <c r="D17" s="121"/>
      <c r="E17" s="121"/>
      <c r="F17" s="121"/>
      <c r="G17" s="121"/>
      <c r="H17" s="121"/>
      <c r="S17" s="52" t="s">
        <v>178</v>
      </c>
      <c r="T17" s="52" t="s">
        <v>186</v>
      </c>
      <c r="U17" s="52" t="s">
        <v>167</v>
      </c>
      <c r="V17" s="52" t="s">
        <v>193</v>
      </c>
      <c r="W17" s="52" t="s">
        <v>210</v>
      </c>
      <c r="X17"/>
      <c r="Y17"/>
      <c r="Z17"/>
    </row>
    <row r="18" spans="1:26" ht="15.75" customHeight="1" x14ac:dyDescent="0.25">
      <c r="A18" s="121" t="s">
        <v>158</v>
      </c>
      <c r="B18" s="121"/>
      <c r="C18" s="121" t="s">
        <v>302</v>
      </c>
      <c r="D18" s="121"/>
      <c r="E18" s="121"/>
      <c r="F18" s="121"/>
      <c r="G18" s="121"/>
      <c r="H18" s="121"/>
      <c r="S18" s="52" t="s">
        <v>179</v>
      </c>
      <c r="T18" s="52" t="s">
        <v>184</v>
      </c>
      <c r="U18" s="52"/>
      <c r="V18" s="52" t="s">
        <v>194</v>
      </c>
      <c r="W18" s="52" t="s">
        <v>211</v>
      </c>
      <c r="X18"/>
      <c r="Y18"/>
      <c r="Z18"/>
    </row>
    <row r="19" spans="1:26" ht="15.75" customHeight="1" x14ac:dyDescent="0.25">
      <c r="A19" s="106" t="s">
        <v>10</v>
      </c>
      <c r="B19" s="106"/>
      <c r="C19" s="81" t="s">
        <v>305</v>
      </c>
      <c r="D19" s="81"/>
      <c r="E19" s="121" t="s">
        <v>69</v>
      </c>
      <c r="F19" s="121"/>
      <c r="G19" s="121" t="s">
        <v>302</v>
      </c>
      <c r="H19" s="121"/>
      <c r="S19" s="52" t="s">
        <v>180</v>
      </c>
      <c r="T19" s="52" t="s">
        <v>187</v>
      </c>
      <c r="U19" s="52"/>
      <c r="V19" s="52" t="s">
        <v>195</v>
      </c>
      <c r="W19" s="52" t="s">
        <v>212</v>
      </c>
      <c r="X19"/>
      <c r="Y19"/>
      <c r="Z19"/>
    </row>
    <row r="20" spans="1:26" x14ac:dyDescent="0.25">
      <c r="A20" s="100" t="s">
        <v>12</v>
      </c>
      <c r="B20" s="100"/>
      <c r="C20" s="121" t="s">
        <v>306</v>
      </c>
      <c r="D20" s="121"/>
      <c r="E20" s="121" t="s">
        <v>11</v>
      </c>
      <c r="F20" s="121"/>
      <c r="G20" s="204" t="s">
        <v>174</v>
      </c>
      <c r="H20" s="204"/>
      <c r="S20" s="52" t="s">
        <v>181</v>
      </c>
      <c r="T20" s="52" t="s">
        <v>188</v>
      </c>
      <c r="U20" s="52"/>
      <c r="V20" s="52" t="s">
        <v>196</v>
      </c>
      <c r="W20" s="52" t="s">
        <v>213</v>
      </c>
      <c r="X20"/>
      <c r="Y20"/>
      <c r="Z20"/>
    </row>
    <row r="21" spans="1:26" x14ac:dyDescent="0.25">
      <c r="A21" s="100" t="s">
        <v>70</v>
      </c>
      <c r="B21" s="100"/>
      <c r="C21" s="121" t="s">
        <v>176</v>
      </c>
      <c r="D21" s="121"/>
      <c r="E21" s="121" t="s">
        <v>13</v>
      </c>
      <c r="F21" s="121"/>
      <c r="G21" s="121">
        <v>421601</v>
      </c>
      <c r="H21" s="121"/>
      <c r="S21" s="52"/>
      <c r="T21" s="52"/>
      <c r="U21" s="52"/>
      <c r="V21" s="52" t="s">
        <v>197</v>
      </c>
      <c r="W21" s="52" t="s">
        <v>214</v>
      </c>
      <c r="X21"/>
      <c r="Y21"/>
      <c r="Z21"/>
    </row>
    <row r="22" spans="1:26" ht="48.75" customHeight="1" x14ac:dyDescent="0.25">
      <c r="A22" s="100" t="s">
        <v>117</v>
      </c>
      <c r="B22" s="100"/>
      <c r="C22" s="121" t="s">
        <v>307</v>
      </c>
      <c r="D22" s="121"/>
      <c r="E22" s="121" t="s">
        <v>14</v>
      </c>
      <c r="F22" s="121"/>
      <c r="G22" s="121" t="s">
        <v>338</v>
      </c>
      <c r="H22" s="121"/>
      <c r="S22" s="52"/>
      <c r="T22" s="52"/>
      <c r="U22" s="52"/>
      <c r="V22" s="52" t="s">
        <v>198</v>
      </c>
      <c r="W22" s="52" t="s">
        <v>215</v>
      </c>
      <c r="X22"/>
      <c r="Y22"/>
      <c r="Z22"/>
    </row>
    <row r="23" spans="1:26" ht="15" customHeight="1" x14ac:dyDescent="0.25">
      <c r="A23" s="106" t="s">
        <v>71</v>
      </c>
      <c r="B23" s="106"/>
      <c r="C23" s="106"/>
      <c r="D23" s="106"/>
      <c r="E23" s="81" t="s">
        <v>15</v>
      </c>
      <c r="F23" s="81"/>
      <c r="G23" s="81"/>
      <c r="H23" s="81"/>
      <c r="S23" s="52"/>
      <c r="T23" s="52"/>
      <c r="U23" s="52"/>
      <c r="V23" s="52" t="s">
        <v>199</v>
      </c>
      <c r="W23" s="52" t="s">
        <v>216</v>
      </c>
      <c r="X23"/>
      <c r="Y23"/>
      <c r="Z23"/>
    </row>
    <row r="24" spans="1:26" ht="18.75" customHeight="1" x14ac:dyDescent="0.25">
      <c r="A24" s="106"/>
      <c r="B24" s="106"/>
      <c r="C24" s="106"/>
      <c r="D24" s="106"/>
      <c r="E24" s="81"/>
      <c r="F24" s="81"/>
      <c r="G24" s="81"/>
      <c r="H24" s="81"/>
      <c r="S24" s="52"/>
      <c r="T24" s="52"/>
      <c r="U24" s="52"/>
      <c r="V24" s="52" t="s">
        <v>200</v>
      </c>
      <c r="W24" s="52" t="s">
        <v>217</v>
      </c>
      <c r="X24"/>
      <c r="Y24"/>
      <c r="Z24"/>
    </row>
    <row r="25" spans="1:26" ht="15" customHeight="1" x14ac:dyDescent="0.25">
      <c r="A25" s="106" t="s">
        <v>16</v>
      </c>
      <c r="B25" s="106"/>
      <c r="C25" s="106"/>
      <c r="D25" s="106"/>
      <c r="E25" s="121" t="s">
        <v>17</v>
      </c>
      <c r="F25" s="121"/>
      <c r="G25" s="121"/>
      <c r="H25" s="121"/>
      <c r="S25" s="52"/>
      <c r="T25" s="52"/>
      <c r="U25" s="52"/>
      <c r="V25" s="52" t="s">
        <v>201</v>
      </c>
      <c r="W25" s="52" t="s">
        <v>218</v>
      </c>
      <c r="X25"/>
      <c r="Y25"/>
      <c r="Z25"/>
    </row>
    <row r="26" spans="1:26" ht="15" customHeight="1" x14ac:dyDescent="0.25">
      <c r="A26" s="100" t="s">
        <v>18</v>
      </c>
      <c r="B26" s="100"/>
      <c r="C26" s="100"/>
      <c r="D26" s="100"/>
      <c r="E26" s="121" t="str">
        <f>IF(AND(G20="Mumbai"),"Upper Class","Middle Class")</f>
        <v>Middle Class</v>
      </c>
      <c r="F26" s="121"/>
      <c r="G26" s="121"/>
      <c r="H26" s="121"/>
      <c r="S26" s="52"/>
      <c r="T26" s="52"/>
      <c r="U26" s="52"/>
      <c r="V26" s="52" t="s">
        <v>202</v>
      </c>
      <c r="W26" s="52" t="s">
        <v>219</v>
      </c>
      <c r="X26"/>
      <c r="Y26"/>
      <c r="Z26"/>
    </row>
    <row r="27" spans="1:26" x14ac:dyDescent="0.25">
      <c r="A27" s="100" t="s">
        <v>19</v>
      </c>
      <c r="B27" s="100"/>
      <c r="C27" s="100"/>
      <c r="D27" s="100"/>
      <c r="E27" s="121" t="s">
        <v>20</v>
      </c>
      <c r="F27" s="121"/>
      <c r="G27" s="121"/>
      <c r="H27" s="121"/>
      <c r="S27" s="52"/>
      <c r="T27" s="52"/>
      <c r="U27" s="52"/>
      <c r="V27" s="52" t="s">
        <v>203</v>
      </c>
      <c r="W27" s="52" t="s">
        <v>220</v>
      </c>
      <c r="X27"/>
      <c r="Y27"/>
      <c r="Z27"/>
    </row>
    <row r="28" spans="1:26" ht="15.75" customHeight="1" x14ac:dyDescent="0.25">
      <c r="A28" s="100" t="s">
        <v>21</v>
      </c>
      <c r="B28" s="100"/>
      <c r="C28" s="100"/>
      <c r="D28" s="100"/>
      <c r="E28" s="121" t="str">
        <f>IF(AND(G20="Mumbai"),"Developed","Developing")</f>
        <v>Developing</v>
      </c>
      <c r="F28" s="121"/>
      <c r="G28" s="121"/>
      <c r="H28" s="121"/>
    </row>
    <row r="29" spans="1:26" x14ac:dyDescent="0.25">
      <c r="A29" s="100" t="s">
        <v>22</v>
      </c>
      <c r="B29" s="100"/>
      <c r="C29" s="100"/>
      <c r="D29" s="100"/>
      <c r="E29" s="121" t="s">
        <v>23</v>
      </c>
      <c r="F29" s="121"/>
      <c r="G29" s="121"/>
      <c r="H29" s="121"/>
    </row>
    <row r="30" spans="1:26" ht="15.75" customHeight="1" x14ac:dyDescent="0.25">
      <c r="A30" s="100" t="s">
        <v>76</v>
      </c>
      <c r="B30" s="100"/>
      <c r="C30" s="100"/>
      <c r="D30" s="100"/>
      <c r="E30" s="121" t="s">
        <v>77</v>
      </c>
      <c r="F30" s="121"/>
      <c r="G30" s="121"/>
      <c r="H30" s="121"/>
    </row>
    <row r="31" spans="1:26" ht="15" customHeight="1" x14ac:dyDescent="0.25">
      <c r="A31" s="100" t="s">
        <v>30</v>
      </c>
      <c r="B31" s="100"/>
      <c r="C31" s="100"/>
      <c r="D31" s="100"/>
      <c r="E31" s="121"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21"/>
      <c r="G31" s="121"/>
      <c r="H31" s="121"/>
    </row>
    <row r="32" spans="1:26" ht="15.75" customHeight="1" x14ac:dyDescent="0.25">
      <c r="A32" s="100" t="s">
        <v>88</v>
      </c>
      <c r="B32" s="100"/>
      <c r="C32" s="100"/>
      <c r="D32" s="100"/>
      <c r="E32" s="121" t="s">
        <v>31</v>
      </c>
      <c r="F32" s="121"/>
      <c r="G32" s="121"/>
      <c r="H32" s="121"/>
    </row>
    <row r="33" spans="1:19" s="21" customFormat="1" x14ac:dyDescent="0.25">
      <c r="A33" s="218" t="s">
        <v>89</v>
      </c>
      <c r="B33" s="218"/>
      <c r="C33" s="215" t="s">
        <v>168</v>
      </c>
      <c r="D33" s="216"/>
      <c r="E33" s="217"/>
      <c r="F33" s="215" t="s">
        <v>29</v>
      </c>
      <c r="G33" s="216"/>
      <c r="H33" s="217"/>
      <c r="S33" s="21" t="e">
        <f ca="1">OFFSET($S$13,1,MATCH($G20,$S$13:$W$13,0)-1,15,1)</f>
        <v>#VALUE!</v>
      </c>
    </row>
    <row r="34" spans="1:19" s="21" customFormat="1" ht="31.5" customHeight="1" x14ac:dyDescent="0.25">
      <c r="A34" s="211" t="s">
        <v>24</v>
      </c>
      <c r="B34" s="211" t="s">
        <v>28</v>
      </c>
      <c r="C34" s="212" t="s">
        <v>309</v>
      </c>
      <c r="D34" s="213"/>
      <c r="E34" s="214"/>
      <c r="F34" s="205" t="s">
        <v>305</v>
      </c>
      <c r="G34" s="206"/>
      <c r="H34" s="207"/>
    </row>
    <row r="35" spans="1:19" x14ac:dyDescent="0.25">
      <c r="A35" s="219" t="s">
        <v>25</v>
      </c>
      <c r="B35" s="219" t="s">
        <v>28</v>
      </c>
      <c r="C35" s="201" t="s">
        <v>312</v>
      </c>
      <c r="D35" s="202"/>
      <c r="E35" s="203"/>
      <c r="F35" s="201" t="s">
        <v>308</v>
      </c>
      <c r="G35" s="202"/>
      <c r="H35" s="203"/>
    </row>
    <row r="36" spans="1:19" s="21" customFormat="1" ht="49.5" customHeight="1" x14ac:dyDescent="0.25">
      <c r="A36" s="211" t="s">
        <v>27</v>
      </c>
      <c r="B36" s="211" t="s">
        <v>28</v>
      </c>
      <c r="C36" s="212" t="s">
        <v>310</v>
      </c>
      <c r="D36" s="213"/>
      <c r="E36" s="214"/>
      <c r="F36" s="205" t="s">
        <v>339</v>
      </c>
      <c r="G36" s="206"/>
      <c r="H36" s="207"/>
    </row>
    <row r="37" spans="1:19" x14ac:dyDescent="0.25">
      <c r="A37" s="220" t="s">
        <v>26</v>
      </c>
      <c r="B37" s="220" t="s">
        <v>28</v>
      </c>
      <c r="C37" s="208" t="s">
        <v>311</v>
      </c>
      <c r="D37" s="209"/>
      <c r="E37" s="210"/>
      <c r="F37" s="208" t="s">
        <v>308</v>
      </c>
      <c r="G37" s="209"/>
      <c r="H37" s="210"/>
    </row>
    <row r="38" spans="1:19" x14ac:dyDescent="0.25">
      <c r="A38" s="100" t="s">
        <v>276</v>
      </c>
      <c r="B38" s="100"/>
      <c r="C38" s="100"/>
      <c r="D38" s="100"/>
      <c r="E38" s="100"/>
      <c r="F38" s="100"/>
      <c r="G38" s="100"/>
      <c r="H38" s="100"/>
    </row>
    <row r="39" spans="1:19" ht="15.75" customHeight="1" x14ac:dyDescent="0.25">
      <c r="A39" s="100" t="s">
        <v>160</v>
      </c>
      <c r="B39" s="100"/>
      <c r="C39" s="170" t="s">
        <v>303</v>
      </c>
      <c r="D39" s="170"/>
      <c r="E39" s="170"/>
      <c r="F39" s="170"/>
      <c r="G39" s="170"/>
      <c r="H39" s="170"/>
    </row>
    <row r="40" spans="1:19" x14ac:dyDescent="0.25">
      <c r="A40" s="100" t="s">
        <v>157</v>
      </c>
      <c r="B40" s="100"/>
      <c r="C40" s="242" t="s">
        <v>304</v>
      </c>
      <c r="D40" s="121"/>
      <c r="E40" s="121"/>
      <c r="F40" s="121"/>
      <c r="G40" s="121"/>
      <c r="H40" s="121"/>
    </row>
    <row r="41" spans="1:19" x14ac:dyDescent="0.25">
      <c r="A41" s="170" t="s">
        <v>32</v>
      </c>
      <c r="B41" s="170"/>
      <c r="C41" s="170"/>
      <c r="D41" s="170"/>
      <c r="E41" s="170"/>
      <c r="F41" s="170"/>
      <c r="G41" s="170"/>
      <c r="H41" s="170"/>
    </row>
    <row r="42" spans="1:19" x14ac:dyDescent="0.25">
      <c r="A42" s="100" t="s">
        <v>33</v>
      </c>
      <c r="B42" s="100"/>
      <c r="C42" s="100"/>
      <c r="D42" s="100"/>
      <c r="E42" s="224">
        <v>4015.76</v>
      </c>
      <c r="F42" s="224"/>
      <c r="G42" s="224"/>
      <c r="H42" s="224"/>
      <c r="J42" s="20">
        <f>4015.76*1.75*1.1</f>
        <v>7730.3380000000006</v>
      </c>
    </row>
    <row r="43" spans="1:19" x14ac:dyDescent="0.25">
      <c r="A43" s="100" t="s">
        <v>34</v>
      </c>
      <c r="B43" s="100"/>
      <c r="C43" s="100"/>
      <c r="D43" s="100"/>
      <c r="E43" s="108">
        <f>7730.33/E42</f>
        <v>1.9249980078490745</v>
      </c>
      <c r="F43" s="108"/>
      <c r="G43" s="108"/>
      <c r="H43" s="108"/>
    </row>
    <row r="44" spans="1:19" x14ac:dyDescent="0.25">
      <c r="A44" s="100" t="s">
        <v>35</v>
      </c>
      <c r="B44" s="100"/>
      <c r="C44" s="100"/>
      <c r="D44" s="100"/>
      <c r="E44" s="108">
        <f>E46/E42-E43</f>
        <v>1.0741901906488438</v>
      </c>
      <c r="F44" s="108"/>
      <c r="G44" s="108"/>
      <c r="H44" s="108"/>
    </row>
    <row r="45" spans="1:19" x14ac:dyDescent="0.25">
      <c r="A45" s="100" t="s">
        <v>36</v>
      </c>
      <c r="B45" s="100"/>
      <c r="C45" s="100"/>
      <c r="D45" s="100"/>
      <c r="E45" s="108">
        <f>E43+E44</f>
        <v>2.9991881984979183</v>
      </c>
      <c r="F45" s="108"/>
      <c r="G45" s="108"/>
      <c r="H45" s="108"/>
    </row>
    <row r="46" spans="1:19" x14ac:dyDescent="0.25">
      <c r="A46" s="100" t="s">
        <v>87</v>
      </c>
      <c r="B46" s="100"/>
      <c r="C46" s="100"/>
      <c r="D46" s="100"/>
      <c r="E46" s="230">
        <v>12044.02</v>
      </c>
      <c r="F46" s="230"/>
      <c r="G46" s="230"/>
      <c r="H46" s="230"/>
    </row>
    <row r="47" spans="1:19" x14ac:dyDescent="0.25">
      <c r="A47" s="81" t="s">
        <v>37</v>
      </c>
      <c r="B47" s="81"/>
      <c r="C47" s="81"/>
      <c r="D47" s="81"/>
      <c r="E47" s="81" t="s">
        <v>355</v>
      </c>
      <c r="F47" s="81"/>
      <c r="G47" s="81"/>
      <c r="H47" s="81"/>
    </row>
    <row r="48" spans="1:19" x14ac:dyDescent="0.25">
      <c r="A48" s="170" t="s">
        <v>38</v>
      </c>
      <c r="B48" s="170"/>
      <c r="C48" s="170"/>
      <c r="D48" s="170"/>
      <c r="E48" s="170"/>
      <c r="F48" s="170"/>
      <c r="G48" s="170"/>
      <c r="H48" s="170"/>
    </row>
    <row r="49" spans="1:24" ht="33.75" customHeight="1" x14ac:dyDescent="0.25">
      <c r="A49" s="116" t="s">
        <v>146</v>
      </c>
      <c r="B49" s="117"/>
      <c r="C49" s="253" t="s">
        <v>313</v>
      </c>
      <c r="D49" s="254"/>
      <c r="E49" s="254"/>
      <c r="F49" s="254"/>
      <c r="G49" s="254"/>
      <c r="H49" s="255"/>
      <c r="R49" t="s">
        <v>249</v>
      </c>
      <c r="S49" t="s">
        <v>167</v>
      </c>
      <c r="T49" t="s">
        <v>174</v>
      </c>
      <c r="U49" t="s">
        <v>189</v>
      </c>
      <c r="V49" t="s">
        <v>184</v>
      </c>
    </row>
    <row r="50" spans="1:24" ht="15.75" customHeight="1" x14ac:dyDescent="0.25">
      <c r="A50" s="116" t="s">
        <v>39</v>
      </c>
      <c r="B50" s="117"/>
      <c r="C50" s="116" t="s">
        <v>314</v>
      </c>
      <c r="D50" s="118"/>
      <c r="E50" s="117"/>
      <c r="F50" s="17" t="s">
        <v>40</v>
      </c>
      <c r="G50" s="119">
        <v>44742</v>
      </c>
      <c r="H50" s="117"/>
      <c r="R50"/>
      <c r="S50" t="s">
        <v>250</v>
      </c>
      <c r="T50" t="s">
        <v>255</v>
      </c>
      <c r="U50" t="s">
        <v>266</v>
      </c>
      <c r="V50" t="s">
        <v>271</v>
      </c>
    </row>
    <row r="51" spans="1:24" x14ac:dyDescent="0.25">
      <c r="A51" s="116" t="s">
        <v>41</v>
      </c>
      <c r="B51" s="117"/>
      <c r="C51" s="116" t="str">
        <f>C50</f>
        <v>S.N.P/NRV/BD/1394</v>
      </c>
      <c r="D51" s="118"/>
      <c r="E51" s="117"/>
      <c r="F51" s="17" t="s">
        <v>40</v>
      </c>
      <c r="G51" s="119">
        <f>G50</f>
        <v>44742</v>
      </c>
      <c r="H51" s="117"/>
      <c r="R51"/>
      <c r="S51" t="s">
        <v>251</v>
      </c>
      <c r="T51" t="s">
        <v>256</v>
      </c>
      <c r="U51" t="s">
        <v>264</v>
      </c>
      <c r="V51" t="s">
        <v>272</v>
      </c>
    </row>
    <row r="52" spans="1:24" s="22" customFormat="1" ht="15.75" customHeight="1" x14ac:dyDescent="0.25">
      <c r="A52" s="129" t="s">
        <v>150</v>
      </c>
      <c r="B52" s="130"/>
      <c r="C52" s="116" t="s">
        <v>315</v>
      </c>
      <c r="D52" s="118"/>
      <c r="E52" s="117"/>
      <c r="F52" s="17" t="s">
        <v>40</v>
      </c>
      <c r="G52" s="119">
        <f>G51</f>
        <v>44742</v>
      </c>
      <c r="H52" s="117"/>
      <c r="R52"/>
      <c r="S52" t="s">
        <v>252</v>
      </c>
      <c r="T52" t="s">
        <v>257</v>
      </c>
      <c r="U52" t="s">
        <v>254</v>
      </c>
      <c r="V52" t="s">
        <v>273</v>
      </c>
    </row>
    <row r="53" spans="1:24" s="22" customFormat="1" ht="67.5" customHeight="1" x14ac:dyDescent="0.25">
      <c r="A53" s="131"/>
      <c r="B53" s="132"/>
      <c r="C53" s="133" t="s">
        <v>348</v>
      </c>
      <c r="D53" s="134"/>
      <c r="E53" s="134"/>
      <c r="F53" s="134"/>
      <c r="G53" s="134"/>
      <c r="H53" s="135"/>
      <c r="R53"/>
      <c r="S53" t="s">
        <v>253</v>
      </c>
      <c r="T53" t="s">
        <v>260</v>
      </c>
      <c r="U53" t="s">
        <v>267</v>
      </c>
    </row>
    <row r="54" spans="1:24" s="22" customFormat="1" hidden="1" x14ac:dyDescent="0.25">
      <c r="A54" s="125" t="s">
        <v>277</v>
      </c>
      <c r="B54" s="126"/>
      <c r="C54" s="116" t="str">
        <f>C53</f>
        <v>Total Builtup Area = 12044.02 Sq.M
Building No.1(Rajmata Jijau) = Gr/St + 1st to 12th Floor
Building No.2(Saau) = Gr/St + 1st to 7th Floor
Building No.3(Rajau) = Gr/St + 1st to 7th Floor</v>
      </c>
      <c r="D54" s="118"/>
      <c r="E54" s="117"/>
      <c r="F54" s="17" t="s">
        <v>40</v>
      </c>
      <c r="G54" s="116"/>
      <c r="H54" s="117"/>
      <c r="R54"/>
      <c r="S54" t="s">
        <v>252</v>
      </c>
      <c r="T54" t="s">
        <v>257</v>
      </c>
      <c r="U54" t="s">
        <v>254</v>
      </c>
      <c r="V54" t="s">
        <v>273</v>
      </c>
    </row>
    <row r="55" spans="1:24" s="22" customFormat="1" ht="32.25" hidden="1" customHeight="1" x14ac:dyDescent="0.25">
      <c r="A55" s="127"/>
      <c r="B55" s="128"/>
      <c r="C55" s="245"/>
      <c r="D55" s="246"/>
      <c r="E55" s="246"/>
      <c r="F55" s="246"/>
      <c r="G55" s="246"/>
      <c r="H55" s="247"/>
      <c r="R55"/>
      <c r="S55" t="s">
        <v>254</v>
      </c>
      <c r="T55" t="s">
        <v>258</v>
      </c>
      <c r="U55" t="s">
        <v>268</v>
      </c>
      <c r="V55" s="20"/>
      <c r="W55" s="20"/>
      <c r="X55" s="20"/>
    </row>
    <row r="56" spans="1:24" s="22" customFormat="1" ht="34.5" hidden="1" customHeight="1" x14ac:dyDescent="0.25">
      <c r="A56" s="125" t="s">
        <v>278</v>
      </c>
      <c r="B56" s="126"/>
      <c r="C56" s="116">
        <f>C55</f>
        <v>0</v>
      </c>
      <c r="D56" s="118"/>
      <c r="E56" s="117"/>
      <c r="F56" s="17" t="s">
        <v>40</v>
      </c>
      <c r="G56" s="116">
        <f>G55</f>
        <v>0</v>
      </c>
      <c r="H56" s="117"/>
      <c r="R56"/>
      <c r="S56" s="20"/>
      <c r="T56" t="s">
        <v>259</v>
      </c>
      <c r="U56" t="s">
        <v>269</v>
      </c>
      <c r="V56" s="20"/>
      <c r="W56" s="20"/>
      <c r="X56" s="20"/>
    </row>
    <row r="57" spans="1:24" s="22" customFormat="1" ht="41.25" hidden="1" customHeight="1" x14ac:dyDescent="0.25">
      <c r="A57" s="127"/>
      <c r="B57" s="128"/>
      <c r="C57" s="116"/>
      <c r="D57" s="118"/>
      <c r="E57" s="118"/>
      <c r="F57" s="118"/>
      <c r="G57" s="118"/>
      <c r="H57" s="117"/>
      <c r="R57"/>
      <c r="S57" s="20"/>
      <c r="T57" t="s">
        <v>261</v>
      </c>
      <c r="U57" t="s">
        <v>270</v>
      </c>
      <c r="V57" s="20"/>
      <c r="W57" s="20"/>
      <c r="X57" s="20"/>
    </row>
    <row r="58" spans="1:24" s="22" customFormat="1" ht="15.75" hidden="1" customHeight="1" x14ac:dyDescent="0.25">
      <c r="A58" s="125" t="s">
        <v>279</v>
      </c>
      <c r="B58" s="126"/>
      <c r="C58" s="116">
        <f>C57</f>
        <v>0</v>
      </c>
      <c r="D58" s="118"/>
      <c r="E58" s="117"/>
      <c r="F58" s="17" t="s">
        <v>40</v>
      </c>
      <c r="G58" s="116">
        <f>G57</f>
        <v>0</v>
      </c>
      <c r="H58" s="117"/>
      <c r="R58"/>
      <c r="S58" s="20"/>
      <c r="T58" t="s">
        <v>262</v>
      </c>
      <c r="U58" s="20" t="s">
        <v>293</v>
      </c>
      <c r="V58" s="20"/>
      <c r="W58" s="20"/>
      <c r="X58" s="20"/>
    </row>
    <row r="59" spans="1:24" s="22" customFormat="1" ht="30" hidden="1" customHeight="1" x14ac:dyDescent="0.25">
      <c r="A59" s="127"/>
      <c r="B59" s="128"/>
      <c r="C59" s="116"/>
      <c r="D59" s="118"/>
      <c r="E59" s="118"/>
      <c r="F59" s="118"/>
      <c r="G59" s="118"/>
      <c r="H59" s="117"/>
      <c r="R59"/>
      <c r="S59" s="20"/>
      <c r="T59" t="s">
        <v>263</v>
      </c>
      <c r="U59" s="20"/>
      <c r="V59" s="20"/>
      <c r="W59" s="20"/>
      <c r="X59" s="20"/>
    </row>
    <row r="60" spans="1:24" x14ac:dyDescent="0.25">
      <c r="A60" s="101" t="s">
        <v>42</v>
      </c>
      <c r="B60" s="102"/>
      <c r="C60" s="101" t="s">
        <v>101</v>
      </c>
      <c r="D60" s="103"/>
      <c r="E60" s="102"/>
      <c r="F60" s="42" t="s">
        <v>40</v>
      </c>
      <c r="G60" s="123" t="s">
        <v>28</v>
      </c>
      <c r="H60" s="124"/>
      <c r="R60"/>
      <c r="T60" t="s">
        <v>265</v>
      </c>
    </row>
    <row r="61" spans="1:24" x14ac:dyDescent="0.25">
      <c r="A61" s="120" t="s">
        <v>44</v>
      </c>
      <c r="B61" s="120"/>
      <c r="C61" s="120"/>
      <c r="D61" s="120"/>
      <c r="E61" s="120"/>
      <c r="F61" s="120"/>
      <c r="G61" s="120"/>
      <c r="H61" s="120"/>
      <c r="T61" t="s">
        <v>274</v>
      </c>
    </row>
    <row r="62" spans="1:24" x14ac:dyDescent="0.25">
      <c r="A62" s="106" t="s">
        <v>86</v>
      </c>
      <c r="B62" s="106"/>
      <c r="C62" s="106"/>
      <c r="D62" s="100">
        <f>E46</f>
        <v>12044.02</v>
      </c>
      <c r="E62" s="100"/>
      <c r="F62" s="100"/>
      <c r="G62" s="100"/>
      <c r="H62" s="100"/>
      <c r="R62"/>
      <c r="T62" s="67" t="s">
        <v>313</v>
      </c>
    </row>
    <row r="63" spans="1:24" x14ac:dyDescent="0.25">
      <c r="A63" s="121" t="s">
        <v>45</v>
      </c>
      <c r="B63" s="81"/>
      <c r="C63" s="81"/>
      <c r="D63" s="122" t="s">
        <v>337</v>
      </c>
      <c r="E63" s="122"/>
      <c r="F63" s="122"/>
      <c r="G63" s="122"/>
      <c r="H63" s="122"/>
      <c r="I63" s="23"/>
      <c r="R63"/>
    </row>
    <row r="64" spans="1:24" ht="48.75" customHeight="1" x14ac:dyDescent="0.25">
      <c r="A64" s="144" t="s">
        <v>46</v>
      </c>
      <c r="B64" s="145"/>
      <c r="C64" s="239"/>
      <c r="D64" s="237" t="s">
        <v>345</v>
      </c>
      <c r="E64" s="238"/>
      <c r="F64" s="238"/>
      <c r="G64" s="238"/>
      <c r="H64" s="238"/>
      <c r="R64"/>
    </row>
    <row r="65" spans="1:19" ht="15.75" customHeight="1" x14ac:dyDescent="0.25">
      <c r="A65" s="144" t="s">
        <v>84</v>
      </c>
      <c r="B65" s="145"/>
      <c r="C65" s="145"/>
      <c r="D65" s="122" t="s">
        <v>343</v>
      </c>
      <c r="E65" s="122"/>
      <c r="F65" s="122"/>
      <c r="G65" s="122"/>
      <c r="H65" s="122"/>
      <c r="R65"/>
    </row>
    <row r="66" spans="1:19" ht="15.75" customHeight="1" x14ac:dyDescent="0.25">
      <c r="A66" s="146"/>
      <c r="B66" s="147"/>
      <c r="C66" s="147"/>
      <c r="D66" s="122" t="s">
        <v>344</v>
      </c>
      <c r="E66" s="122"/>
      <c r="F66" s="122"/>
      <c r="G66" s="122"/>
      <c r="H66" s="122"/>
      <c r="R66"/>
    </row>
    <row r="67" spans="1:19" ht="15.75" customHeight="1" x14ac:dyDescent="0.25">
      <c r="A67" s="148"/>
      <c r="B67" s="149"/>
      <c r="C67" s="149"/>
      <c r="D67" s="122" t="s">
        <v>346</v>
      </c>
      <c r="E67" s="122"/>
      <c r="F67" s="122"/>
      <c r="G67" s="122"/>
      <c r="H67" s="122"/>
      <c r="S67"/>
    </row>
    <row r="68" spans="1:19" ht="15.75" customHeight="1" x14ac:dyDescent="0.25">
      <c r="A68" s="100" t="s">
        <v>43</v>
      </c>
      <c r="B68" s="100"/>
      <c r="C68" s="100"/>
      <c r="D68" s="225" t="s">
        <v>316</v>
      </c>
      <c r="E68" s="225"/>
      <c r="F68" s="225"/>
      <c r="G68" s="225"/>
      <c r="H68" s="225"/>
      <c r="J68" s="24"/>
      <c r="K68" s="23"/>
      <c r="N68" s="23"/>
      <c r="S68"/>
    </row>
    <row r="69" spans="1:19" ht="15.75" customHeight="1" x14ac:dyDescent="0.25">
      <c r="A69" s="100" t="s">
        <v>82</v>
      </c>
      <c r="B69" s="100"/>
      <c r="C69" s="100"/>
      <c r="D69" s="229" t="str">
        <f>(IF(G60="NA","60 Years After Completion",IF(G60&lt;&gt;"NA",""&amp;60-ROUNDDOWN((E3-G60)/360,0)&amp;" Years"," ")))</f>
        <v>60 Years After Completion</v>
      </c>
      <c r="E69" s="229"/>
      <c r="F69" s="229"/>
      <c r="G69" s="229"/>
      <c r="H69" s="229"/>
      <c r="N69" s="23"/>
      <c r="S69"/>
    </row>
    <row r="70" spans="1:19" ht="15.75" customHeight="1" x14ac:dyDescent="0.25">
      <c r="A70" s="100" t="s">
        <v>83</v>
      </c>
      <c r="B70" s="100"/>
      <c r="C70" s="100"/>
      <c r="D70" s="106" t="s">
        <v>23</v>
      </c>
      <c r="E70" s="106"/>
      <c r="F70" s="106"/>
      <c r="G70" s="106"/>
      <c r="H70" s="106"/>
      <c r="J70" s="25"/>
      <c r="K70" s="25"/>
      <c r="S70"/>
    </row>
    <row r="71" spans="1:19" ht="114" customHeight="1" x14ac:dyDescent="0.25">
      <c r="A71" s="122" t="s">
        <v>317</v>
      </c>
      <c r="B71" s="122"/>
      <c r="C71" s="122"/>
      <c r="D71" s="248" t="s">
        <v>318</v>
      </c>
      <c r="E71" s="248"/>
      <c r="F71" s="248"/>
      <c r="G71" s="248"/>
      <c r="H71" s="248"/>
      <c r="S71"/>
    </row>
    <row r="72" spans="1:19" x14ac:dyDescent="0.25">
      <c r="A72" s="106" t="s">
        <v>143</v>
      </c>
      <c r="B72" s="106"/>
      <c r="C72" s="106"/>
      <c r="D72" s="106" t="s">
        <v>28</v>
      </c>
      <c r="E72" s="106"/>
      <c r="F72" s="106"/>
      <c r="G72" s="106"/>
      <c r="H72" s="106"/>
      <c r="I72" s="26"/>
      <c r="J72" s="26"/>
      <c r="K72" s="26"/>
      <c r="L72" s="26"/>
      <c r="M72" s="26"/>
      <c r="N72" s="26"/>
    </row>
    <row r="73" spans="1:19" ht="15.75" customHeight="1" x14ac:dyDescent="0.25">
      <c r="A73" s="107" t="s">
        <v>81</v>
      </c>
      <c r="B73" s="107"/>
      <c r="C73" s="107"/>
      <c r="D73" s="250" t="str">
        <f ca="1">(IF(G79&gt;95%,"Nothing",IF(G79&gt;0%,"Cement, Aggregate, Steel, etc",IF(G79=0%,"Work not yet Started"))))</f>
        <v>Cement, Aggregate, Steel, etc</v>
      </c>
      <c r="E73" s="250"/>
      <c r="F73" s="250"/>
      <c r="G73" s="250"/>
      <c r="H73" s="250"/>
      <c r="J73" s="25"/>
      <c r="S73"/>
    </row>
    <row r="74" spans="1:19" ht="33.75" customHeight="1" thickBot="1" x14ac:dyDescent="0.3">
      <c r="A74" s="249" t="s">
        <v>114</v>
      </c>
      <c r="B74" s="249"/>
      <c r="C74" s="249"/>
      <c r="D74" s="250" t="str">
        <f ca="1">(IF(D73="Nothing","Yes",IF(D73="Cement, Aggregate, Steel, etc","Under Construction",IF(D73="Work not yet Started","Work not yet Started"))))</f>
        <v>Under Construction</v>
      </c>
      <c r="E74" s="250"/>
      <c r="F74" s="250" t="str">
        <f ca="1">(IF(D73="Nothing","Yes",IF(D73="Cement, Aggregate, Steel, etc","Under Construction",IF(D73="Work not yet Started","Work not yet Started"))))</f>
        <v>Under Construction</v>
      </c>
      <c r="G74" s="250"/>
      <c r="H74" s="250"/>
      <c r="S74"/>
    </row>
    <row r="75" spans="1:19" ht="15.75" customHeight="1" x14ac:dyDescent="0.25">
      <c r="A75" s="150" t="s">
        <v>135</v>
      </c>
      <c r="B75" s="151"/>
      <c r="C75" s="152" t="str">
        <f>D65</f>
        <v>Building No.1(Rajmata Jijau) = Gr/St + 1st to 12th Floor</v>
      </c>
      <c r="D75" s="153"/>
      <c r="E75" s="153"/>
      <c r="F75" s="153"/>
      <c r="G75" s="153"/>
      <c r="H75" s="154"/>
      <c r="I75" s="44" t="str">
        <f ca="1">IF(D88=100%,"All work Completed. Possession granted to the Building.",IF(D87=100%,"All work Completed, Waiting for OC",I76&amp;""&amp;I77&amp;""&amp;J76&amp;""&amp;J75&amp;" "&amp;J77))</f>
        <v>Excavation, Plinth, RCC Slab, Brickwork Completed, Internal Plaster upto 10 Floor, External Plaster upto 7 Floor Completed</v>
      </c>
      <c r="J75" s="45"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Internal Plaster upto 10 Floor, External Plaster upto 7 Floor</v>
      </c>
      <c r="S75"/>
    </row>
    <row r="76" spans="1:19" x14ac:dyDescent="0.25">
      <c r="A76" s="15" t="s">
        <v>137</v>
      </c>
      <c r="B76" s="48">
        <f>IF(AND(ISNUMBER(SEARCH("1B",C75))),1,IF(AND(ISNUMBER(SEARCH("2B",C75))),2,IF(AND(ISNUMBER(SEARCH("3B",C75))),3,IF(AND(ISNUMBER(SEARCH("4B",C75))),4,IF(ISNUMBER(SEARCH("5B",C75)),5,0)))))</f>
        <v>0</v>
      </c>
      <c r="C76" s="68" t="s">
        <v>68</v>
      </c>
      <c r="D76" s="68">
        <v>1</v>
      </c>
      <c r="E76" s="68" t="s">
        <v>67</v>
      </c>
      <c r="F76" s="68">
        <v>0</v>
      </c>
      <c r="G76" s="68" t="s">
        <v>75</v>
      </c>
      <c r="H76" s="69">
        <f ca="1">--TRIM(RIGHT(SUBSTITUTE(LEFT(C75,_xlfn.AGGREGATE(16,6,FIND({0,1,2,3,4,5,6,7,8,9},C75,ROW(INDIRECT("1:"&amp;LEN(C75)))),1))," ",REPT(" ",LEN(C75))),LEN(C75)))</f>
        <v>12</v>
      </c>
      <c r="I76" s="46" t="str">
        <f ca="1">IF(D79=100%,"Excavation","")&amp;IF(D80=100%,", Plinth","")&amp;IF(D81=100%,", RCC Slab","")&amp;IF(D82=100%,", Brickwork","")&amp;IF(D83=100%,", Internal Plaster","")&amp;IF(D84=100%,", External Plaster","")&amp;IF(D85=100%,", Flooring","")&amp;IF(D86=100%,", Painting","")&amp;IF(D87=100%,", Building common Amenities","")</f>
        <v>Excavation, Plinth, RCC Slab, Brickwork</v>
      </c>
      <c r="J76" s="47"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0.95" customHeight="1" x14ac:dyDescent="0.25">
      <c r="A77" s="181" t="s">
        <v>85</v>
      </c>
      <c r="B77" s="182"/>
      <c r="C77" s="240" t="str">
        <f ca="1">I75</f>
        <v>Excavation, Plinth, RCC Slab, Brickwork Completed, Internal Plaster upto 10 Floor, External Plaster upto 7 Floor Completed</v>
      </c>
      <c r="D77" s="240"/>
      <c r="E77" s="240"/>
      <c r="F77" s="240"/>
      <c r="G77" s="240"/>
      <c r="H77" s="241"/>
      <c r="I77" s="46" t="str">
        <f ca="1">IF(I76&lt;&gt;""," Completed","")</f>
        <v xml:space="preserve"> Completed</v>
      </c>
      <c r="J77" s="47" t="str">
        <f ca="1">IF(J75&lt;&gt;"","Completed","")</f>
        <v>Completed</v>
      </c>
      <c r="S77"/>
    </row>
    <row r="78" spans="1:19" ht="15.75" customHeight="1" x14ac:dyDescent="0.25">
      <c r="A78" s="114" t="s">
        <v>47</v>
      </c>
      <c r="B78" s="115"/>
      <c r="C78" s="64" t="s">
        <v>134</v>
      </c>
      <c r="D78" s="64" t="s">
        <v>78</v>
      </c>
      <c r="E78" s="115" t="s">
        <v>80</v>
      </c>
      <c r="F78" s="115"/>
      <c r="G78" s="115" t="s">
        <v>79</v>
      </c>
      <c r="H78" s="161"/>
      <c r="I78" s="13" t="s">
        <v>136</v>
      </c>
      <c r="J78" s="27">
        <f ca="1">H76*25%</f>
        <v>3</v>
      </c>
      <c r="S78"/>
    </row>
    <row r="79" spans="1:19" x14ac:dyDescent="0.25">
      <c r="A79" s="114" t="s">
        <v>123</v>
      </c>
      <c r="B79" s="115"/>
      <c r="C79" s="64">
        <f ca="1">J80</f>
        <v>12</v>
      </c>
      <c r="D79" s="18">
        <f ca="1">((100/H76)*C79)/100</f>
        <v>1</v>
      </c>
      <c r="E79" s="183">
        <f ca="1">(((C80/H76*10)+(40/(D76+F76+H76)*C81)+(7.5/(H76)*C82)+(7.5/(H76)*C83)+(10/H76*C84)+(10/H76*C85)+(5/H76*C86)+(5/H76*C87)+(5/H76*C88))/100)</f>
        <v>0.6958333333333333</v>
      </c>
      <c r="F79" s="184"/>
      <c r="G79" s="183">
        <f ca="1">((((C79/H76)*20)+((C80/H76)*25)+(30/(H76+F76+D76)*C81)+(5/H76*C82)+(5/H76*C83)+(5/H76*C84)+(5/H76*C85)+(0/H76*C86)+(0/H76*C87)+(5/H76*C88))/100)</f>
        <v>0.87083333333333346</v>
      </c>
      <c r="H79" s="226"/>
      <c r="I79" s="13" t="s">
        <v>96</v>
      </c>
      <c r="J79" s="28">
        <f ca="1">H76*50%</f>
        <v>6</v>
      </c>
    </row>
    <row r="80" spans="1:19" x14ac:dyDescent="0.25">
      <c r="A80" s="114" t="s">
        <v>48</v>
      </c>
      <c r="B80" s="115"/>
      <c r="C80" s="70">
        <f ca="1">J88</f>
        <v>12</v>
      </c>
      <c r="D80" s="18">
        <f ca="1">((100/H76)*C80)/100</f>
        <v>1</v>
      </c>
      <c r="E80" s="185"/>
      <c r="F80" s="186"/>
      <c r="G80" s="185"/>
      <c r="H80" s="227"/>
      <c r="I80" s="13" t="s">
        <v>97</v>
      </c>
      <c r="J80" s="28">
        <f ca="1">H76</f>
        <v>12</v>
      </c>
      <c r="S80"/>
    </row>
    <row r="81" spans="1:19" ht="15.75" customHeight="1" x14ac:dyDescent="0.25">
      <c r="A81" s="114" t="s">
        <v>124</v>
      </c>
      <c r="B81" s="115"/>
      <c r="C81" s="64">
        <v>13</v>
      </c>
      <c r="D81" s="18">
        <f ca="1">((100/(D76+F76+H76))*C81)/100</f>
        <v>1</v>
      </c>
      <c r="E81" s="185"/>
      <c r="F81" s="186"/>
      <c r="G81" s="185"/>
      <c r="H81" s="227"/>
      <c r="I81" s="13" t="s">
        <v>98</v>
      </c>
      <c r="J81" s="29">
        <f ca="1">(IF(B76&gt;1,(H76/(B76+2)),H76/4))</f>
        <v>3</v>
      </c>
      <c r="S81"/>
    </row>
    <row r="82" spans="1:19" ht="15.75" customHeight="1" x14ac:dyDescent="0.25">
      <c r="A82" s="114" t="s">
        <v>131</v>
      </c>
      <c r="B82" s="115" t="s">
        <v>125</v>
      </c>
      <c r="C82" s="64">
        <v>12</v>
      </c>
      <c r="D82" s="18">
        <f ca="1">((100/H76)*C82)/100</f>
        <v>1</v>
      </c>
      <c r="E82" s="185"/>
      <c r="F82" s="186"/>
      <c r="G82" s="185"/>
      <c r="H82" s="227"/>
      <c r="I82" s="13" t="s">
        <v>99</v>
      </c>
      <c r="J82" s="29">
        <f ca="1">(IF(B76&gt;1,(H76/(B76+2)+J81),H76/4+J81))</f>
        <v>6</v>
      </c>
    </row>
    <row r="83" spans="1:19" ht="15.75" customHeight="1" x14ac:dyDescent="0.25">
      <c r="A83" s="114" t="s">
        <v>132</v>
      </c>
      <c r="B83" s="115" t="s">
        <v>125</v>
      </c>
      <c r="C83" s="64">
        <v>10</v>
      </c>
      <c r="D83" s="18">
        <f ca="1">((100/H76)*C83)/100</f>
        <v>0.83333333333333348</v>
      </c>
      <c r="E83" s="185"/>
      <c r="F83" s="186"/>
      <c r="G83" s="185"/>
      <c r="H83" s="227"/>
      <c r="I83" s="13" t="s">
        <v>141</v>
      </c>
      <c r="J83" s="29">
        <f>(IF(B76&gt;1,(H76/(B76+2)+J82),0))</f>
        <v>0</v>
      </c>
    </row>
    <row r="84" spans="1:19" ht="15" customHeight="1" x14ac:dyDescent="0.25">
      <c r="A84" s="114" t="s">
        <v>130</v>
      </c>
      <c r="B84" s="115" t="s">
        <v>127</v>
      </c>
      <c r="C84" s="64">
        <v>7</v>
      </c>
      <c r="D84" s="18">
        <f ca="1">((100/(H76))*C84)/100</f>
        <v>0.58333333333333337</v>
      </c>
      <c r="E84" s="185"/>
      <c r="F84" s="186"/>
      <c r="G84" s="185"/>
      <c r="H84" s="227"/>
      <c r="I84" s="13" t="s">
        <v>138</v>
      </c>
      <c r="J84" s="29">
        <f>(IF(B76&gt;2,(H76/(B76+2)+J83),0))</f>
        <v>0</v>
      </c>
    </row>
    <row r="85" spans="1:19" ht="15.75" customHeight="1" x14ac:dyDescent="0.25">
      <c r="A85" s="114" t="s">
        <v>126</v>
      </c>
      <c r="B85" s="115" t="s">
        <v>126</v>
      </c>
      <c r="C85" s="64">
        <v>0</v>
      </c>
      <c r="D85" s="18">
        <f ca="1">((100/H76)*C85)/100</f>
        <v>0</v>
      </c>
      <c r="E85" s="185"/>
      <c r="F85" s="186"/>
      <c r="G85" s="185"/>
      <c r="H85" s="227"/>
      <c r="I85" s="13" t="s">
        <v>139</v>
      </c>
      <c r="J85" s="30">
        <f>(IF(B76&gt;3,(H76/(B76+2)+J84),0))</f>
        <v>0</v>
      </c>
    </row>
    <row r="86" spans="1:19" ht="15.75" customHeight="1" x14ac:dyDescent="0.25">
      <c r="A86" s="114" t="s">
        <v>133</v>
      </c>
      <c r="B86" s="115"/>
      <c r="C86" s="64">
        <v>0</v>
      </c>
      <c r="D86" s="18">
        <f ca="1">((100/H76)*C86)/100</f>
        <v>0</v>
      </c>
      <c r="E86" s="185"/>
      <c r="F86" s="186"/>
      <c r="G86" s="185"/>
      <c r="H86" s="227"/>
      <c r="I86" s="13" t="s">
        <v>140</v>
      </c>
      <c r="J86" s="29">
        <f>(IF(B76&gt;4,(H76/(B76+2)+J85),0))</f>
        <v>0</v>
      </c>
    </row>
    <row r="87" spans="1:19" ht="15.75" customHeight="1" x14ac:dyDescent="0.25">
      <c r="A87" s="114" t="s">
        <v>128</v>
      </c>
      <c r="B87" s="115" t="s">
        <v>128</v>
      </c>
      <c r="C87" s="64">
        <v>0</v>
      </c>
      <c r="D87" s="18">
        <f ca="1">((100/(H76))*C87)/100</f>
        <v>0</v>
      </c>
      <c r="E87" s="185"/>
      <c r="F87" s="186"/>
      <c r="G87" s="185"/>
      <c r="H87" s="227"/>
      <c r="I87" s="13" t="s">
        <v>142</v>
      </c>
      <c r="J87" s="29">
        <f ca="1">(IF(B76=1,(H76/(B76+3)+J82),IF(B76=0,(H76/4+J82),IF(B76&gt;1,0))))</f>
        <v>9</v>
      </c>
    </row>
    <row r="88" spans="1:19" ht="16.5" thickBot="1" x14ac:dyDescent="0.3">
      <c r="A88" s="140" t="s">
        <v>129</v>
      </c>
      <c r="B88" s="141"/>
      <c r="C88" s="63">
        <v>0</v>
      </c>
      <c r="D88" s="19">
        <f ca="1">((100/(H76))*C88)/100</f>
        <v>0</v>
      </c>
      <c r="E88" s="187"/>
      <c r="F88" s="188"/>
      <c r="G88" s="187"/>
      <c r="H88" s="228"/>
      <c r="I88" s="14" t="s">
        <v>100</v>
      </c>
      <c r="J88" s="31">
        <f ca="1">(IF(B76&gt;1.5,(H76/(B76+2)+J82+MAX(0,J83-J82)+MAX(0,J84-J83)+MAX(0,J85-J84)+MAX(0,J86-J85)+MAX(0,J87-J86)),IF(B76=1,(H76/(B76+3)+J87),IF(B76=0,H76/4+J87))))</f>
        <v>12</v>
      </c>
    </row>
    <row r="89" spans="1:19" ht="15.75" customHeight="1" x14ac:dyDescent="0.25">
      <c r="A89" s="109" t="s">
        <v>135</v>
      </c>
      <c r="B89" s="110"/>
      <c r="C89" s="111" t="str">
        <f>D66</f>
        <v>Building No.2(Saau) = Gr/St + 1st to 7th Floor</v>
      </c>
      <c r="D89" s="112"/>
      <c r="E89" s="112"/>
      <c r="F89" s="112"/>
      <c r="G89" s="112"/>
      <c r="H89" s="113"/>
      <c r="I89" s="44" t="str">
        <f ca="1">IF(D102=100%,"All work Completed. Possession granted to the Building.",IF(D101=100%,"All work Completed, Waiting for OC",I90&amp;""&amp;I91&amp;""&amp;J90&amp;""&amp;J89&amp;" "&amp;J91))</f>
        <v>Excavation, Plinth, RCC Slab, Brickwork, Internal Plaster, External Plaster Completed, Flooring upto 4 Floor, Painting upto 2 Floor Completed</v>
      </c>
      <c r="J89" s="45"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Flooring upto 4 Floor, Painting upto 2 Floor</v>
      </c>
    </row>
    <row r="90" spans="1:19" x14ac:dyDescent="0.25">
      <c r="A90" s="78" t="s">
        <v>137</v>
      </c>
      <c r="B90" s="68">
        <f>IF(AND(ISNUMBER(SEARCH("1B",C89))),1,IF(AND(ISNUMBER(SEARCH("2B",C89))),2,IF(AND(ISNUMBER(SEARCH("3B",C89))),3,IF(AND(ISNUMBER(SEARCH("4B",C89))),4,IF(ISNUMBER(SEARCH("5B",C89)),5,0)))))</f>
        <v>0</v>
      </c>
      <c r="C90" s="68" t="s">
        <v>68</v>
      </c>
      <c r="D90" s="68">
        <v>1</v>
      </c>
      <c r="E90" s="68" t="s">
        <v>67</v>
      </c>
      <c r="F90" s="68">
        <v>0</v>
      </c>
      <c r="G90" s="68" t="s">
        <v>75</v>
      </c>
      <c r="H90" s="69">
        <f ca="1">--TRIM(RIGHT(SUBSTITUTE(LEFT(C89,_xlfn.AGGREGATE(16,6,FIND({0,1,2,3,4,5,6,7,8,9},C89,ROW(INDIRECT("1:"&amp;LEN(C89)))),1))," ",REPT(" ",LEN(C89))),LEN(C89)))</f>
        <v>7</v>
      </c>
      <c r="I90" s="46" t="str">
        <f ca="1">IF(D93=100%,"Excavation","")&amp;IF(D94=100%,", Plinth","")&amp;IF(D95=100%,", RCC Slab","")&amp;IF(D96=100%,", Brickwork","")&amp;IF(D97=100%,", Internal Plaster","")&amp;IF(D98=100%,", External Plaster","")&amp;IF(D99=100%,", Flooring","")&amp;IF(D100=100%,", Painting","")&amp;IF(D101=100%,", Building common Amenities","")</f>
        <v>Excavation, Plinth, RCC Slab, Brickwork, Internal Plaster, External Plaster</v>
      </c>
      <c r="J90" s="47"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ht="32.25" customHeight="1" x14ac:dyDescent="0.25">
      <c r="A91" s="231" t="s">
        <v>85</v>
      </c>
      <c r="B91" s="232"/>
      <c r="C91" s="240" t="str">
        <f ca="1">(IF($G$60="NA",I89,"All work Completed. OC Received."))</f>
        <v>Excavation, Plinth, RCC Slab, Brickwork, Internal Plaster, External Plaster Completed, Flooring upto 4 Floor, Painting upto 2 Floor Completed</v>
      </c>
      <c r="D91" s="240"/>
      <c r="E91" s="240"/>
      <c r="F91" s="240"/>
      <c r="G91" s="240"/>
      <c r="H91" s="241"/>
      <c r="I91" s="46" t="str">
        <f ca="1">IF(I90&lt;&gt;""," Completed","")</f>
        <v xml:space="preserve"> Completed</v>
      </c>
      <c r="J91" s="47" t="str">
        <f ca="1">IF(J89&lt;&gt;"","Completed","")</f>
        <v>Completed</v>
      </c>
    </row>
    <row r="92" spans="1:19" ht="15.75" customHeight="1" x14ac:dyDescent="0.25">
      <c r="A92" s="114" t="s">
        <v>47</v>
      </c>
      <c r="B92" s="115"/>
      <c r="C92" s="64" t="s">
        <v>134</v>
      </c>
      <c r="D92" s="64" t="s">
        <v>78</v>
      </c>
      <c r="E92" s="115" t="s">
        <v>80</v>
      </c>
      <c r="F92" s="115"/>
      <c r="G92" s="115" t="s">
        <v>79</v>
      </c>
      <c r="H92" s="161"/>
      <c r="I92" s="13" t="s">
        <v>136</v>
      </c>
      <c r="J92" s="27">
        <f ca="1">H90*25%</f>
        <v>1.75</v>
      </c>
    </row>
    <row r="93" spans="1:19" x14ac:dyDescent="0.25">
      <c r="A93" s="114" t="s">
        <v>123</v>
      </c>
      <c r="B93" s="115"/>
      <c r="C93" s="64">
        <f ca="1">J94</f>
        <v>7</v>
      </c>
      <c r="D93" s="18">
        <f ca="1">((100/H90)*C93)/100</f>
        <v>1</v>
      </c>
      <c r="E93" s="183">
        <f ca="1">(((C94/H90*10)+(40/(D90+F90+H90)*C95)+(7.5/(H90)*C96)+(7.5/(H90)*C97)+(10/H90*C98)+(10/H90*C99)+(5/H90*C100)+(5/H90*C101)+(5/H90*C102))/100)</f>
        <v>0.8214285714285714</v>
      </c>
      <c r="F93" s="184"/>
      <c r="G93" s="183">
        <f ca="1">((((C93/H90)*20)+((C94/H90)*25)+(30/(H90+F90+D90)*C95)+(5/H90*C96)+(5/H90*C97)+(5/H90*C98)+(5/H90*C99)+(0/H90*C100)+(0/H90*C101)+(5/H90*C102))/100)</f>
        <v>0.9285714285714286</v>
      </c>
      <c r="H93" s="226"/>
      <c r="I93" s="13" t="s">
        <v>96</v>
      </c>
      <c r="J93" s="28">
        <f ca="1">H90*50%</f>
        <v>3.5</v>
      </c>
    </row>
    <row r="94" spans="1:19" x14ac:dyDescent="0.25">
      <c r="A94" s="114" t="s">
        <v>48</v>
      </c>
      <c r="B94" s="115"/>
      <c r="C94" s="70">
        <v>7</v>
      </c>
      <c r="D94" s="18">
        <f ca="1">((100/H90)*C94)/100</f>
        <v>1</v>
      </c>
      <c r="E94" s="185"/>
      <c r="F94" s="186"/>
      <c r="G94" s="185"/>
      <c r="H94" s="227"/>
      <c r="I94" s="13" t="s">
        <v>97</v>
      </c>
      <c r="J94" s="28">
        <f ca="1">H90</f>
        <v>7</v>
      </c>
    </row>
    <row r="95" spans="1:19" ht="15.75" customHeight="1" x14ac:dyDescent="0.25">
      <c r="A95" s="114" t="s">
        <v>124</v>
      </c>
      <c r="B95" s="115"/>
      <c r="C95" s="64">
        <v>8</v>
      </c>
      <c r="D95" s="18">
        <f ca="1">((100/(D90+F90+H90))*C95)/100</f>
        <v>1</v>
      </c>
      <c r="E95" s="185"/>
      <c r="F95" s="186"/>
      <c r="G95" s="185"/>
      <c r="H95" s="227"/>
      <c r="I95" s="13" t="s">
        <v>98</v>
      </c>
      <c r="J95" s="29">
        <f ca="1">(IF(B90&gt;1,(H90/(B90+2)),H90/4))</f>
        <v>1.75</v>
      </c>
    </row>
    <row r="96" spans="1:19" ht="15.75" customHeight="1" x14ac:dyDescent="0.25">
      <c r="A96" s="114" t="s">
        <v>131</v>
      </c>
      <c r="B96" s="115" t="s">
        <v>125</v>
      </c>
      <c r="C96" s="64">
        <v>7</v>
      </c>
      <c r="D96" s="18">
        <f ca="1">((100/H90)*C96)/100</f>
        <v>1</v>
      </c>
      <c r="E96" s="185"/>
      <c r="F96" s="186"/>
      <c r="G96" s="185"/>
      <c r="H96" s="227"/>
      <c r="I96" s="13" t="s">
        <v>99</v>
      </c>
      <c r="J96" s="29">
        <f ca="1">(IF(B90&gt;1,(H90/(B90+2)+J95),H90/4+J95))</f>
        <v>3.5</v>
      </c>
    </row>
    <row r="97" spans="1:10" ht="15.75" customHeight="1" x14ac:dyDescent="0.25">
      <c r="A97" s="114" t="s">
        <v>132</v>
      </c>
      <c r="B97" s="115" t="s">
        <v>125</v>
      </c>
      <c r="C97" s="64">
        <v>7</v>
      </c>
      <c r="D97" s="18">
        <f ca="1">((100/H90)*C97)/100</f>
        <v>1</v>
      </c>
      <c r="E97" s="185"/>
      <c r="F97" s="186"/>
      <c r="G97" s="185"/>
      <c r="H97" s="227"/>
      <c r="I97" s="13" t="s">
        <v>141</v>
      </c>
      <c r="J97" s="29">
        <f>(IF(B90&gt;1,(H90/(B90+2)+J96),0))</f>
        <v>0</v>
      </c>
    </row>
    <row r="98" spans="1:10" ht="15" customHeight="1" x14ac:dyDescent="0.25">
      <c r="A98" s="114" t="s">
        <v>130</v>
      </c>
      <c r="B98" s="115" t="s">
        <v>127</v>
      </c>
      <c r="C98" s="64">
        <v>7</v>
      </c>
      <c r="D98" s="18">
        <f ca="1">((100/(H90))*C98)/100</f>
        <v>1</v>
      </c>
      <c r="E98" s="185"/>
      <c r="F98" s="186"/>
      <c r="G98" s="185"/>
      <c r="H98" s="227"/>
      <c r="I98" s="13" t="s">
        <v>138</v>
      </c>
      <c r="J98" s="29">
        <f>(IF(B90&gt;2,(H90/(B90+2)+J97),0))</f>
        <v>0</v>
      </c>
    </row>
    <row r="99" spans="1:10" ht="15.75" customHeight="1" x14ac:dyDescent="0.25">
      <c r="A99" s="114" t="s">
        <v>126</v>
      </c>
      <c r="B99" s="115" t="s">
        <v>126</v>
      </c>
      <c r="C99" s="64">
        <v>4</v>
      </c>
      <c r="D99" s="18">
        <f ca="1">((100/H90)*C99)/100</f>
        <v>0.57142857142857151</v>
      </c>
      <c r="E99" s="185"/>
      <c r="F99" s="186"/>
      <c r="G99" s="185"/>
      <c r="H99" s="227"/>
      <c r="I99" s="13" t="s">
        <v>139</v>
      </c>
      <c r="J99" s="30">
        <f>(IF(B90&gt;3,(H90/(B90+2)+J98),0))</f>
        <v>0</v>
      </c>
    </row>
    <row r="100" spans="1:10" ht="15.75" customHeight="1" x14ac:dyDescent="0.25">
      <c r="A100" s="114" t="s">
        <v>133</v>
      </c>
      <c r="B100" s="115"/>
      <c r="C100" s="64">
        <v>2</v>
      </c>
      <c r="D100" s="18">
        <f ca="1">((100/H90)*C100)/100</f>
        <v>0.28571428571428575</v>
      </c>
      <c r="E100" s="185"/>
      <c r="F100" s="186"/>
      <c r="G100" s="185"/>
      <c r="H100" s="227"/>
      <c r="I100" s="13" t="s">
        <v>140</v>
      </c>
      <c r="J100" s="29">
        <f>(IF(B90&gt;4,(H90/(B90+2)+J99),0))</f>
        <v>0</v>
      </c>
    </row>
    <row r="101" spans="1:10" ht="15.75" customHeight="1" x14ac:dyDescent="0.25">
      <c r="A101" s="114" t="s">
        <v>128</v>
      </c>
      <c r="B101" s="115" t="s">
        <v>128</v>
      </c>
      <c r="C101" s="64">
        <v>0</v>
      </c>
      <c r="D101" s="18">
        <f ca="1">((100/(H90))*C101)/100</f>
        <v>0</v>
      </c>
      <c r="E101" s="185"/>
      <c r="F101" s="186"/>
      <c r="G101" s="185"/>
      <c r="H101" s="227"/>
      <c r="I101" s="13" t="s">
        <v>142</v>
      </c>
      <c r="J101" s="29">
        <f ca="1">(IF(B90=1,(H90/(B90+3)+J96),IF(B90=0,(H90/4+J96),IF(B90&gt;1,0))))</f>
        <v>5.25</v>
      </c>
    </row>
    <row r="102" spans="1:10" ht="16.5" thickBot="1" x14ac:dyDescent="0.3">
      <c r="A102" s="140" t="s">
        <v>129</v>
      </c>
      <c r="B102" s="141"/>
      <c r="C102" s="63">
        <v>0</v>
      </c>
      <c r="D102" s="19">
        <f ca="1">((100/(H90))*C102)/100</f>
        <v>0</v>
      </c>
      <c r="E102" s="187"/>
      <c r="F102" s="188"/>
      <c r="G102" s="187"/>
      <c r="H102" s="228"/>
      <c r="I102" s="14" t="s">
        <v>100</v>
      </c>
      <c r="J102" s="31">
        <f ca="1">(IF(B90&gt;1.5,(H90/(B90+2)+J96+MAX(0,J97-J96)+MAX(0,J98-J97)+MAX(0,J99-J98)+MAX(0,J100-J99)+MAX(0,J101-J100)),IF(B90=1,(H90/(B90+3)+J101),IF(B90=0,H90/4+J101))))</f>
        <v>7</v>
      </c>
    </row>
    <row r="103" spans="1:10" ht="15.75" customHeight="1" x14ac:dyDescent="0.25">
      <c r="A103" s="150" t="s">
        <v>135</v>
      </c>
      <c r="B103" s="151"/>
      <c r="C103" s="234" t="str">
        <f>D67</f>
        <v>Building No.3(Rajau) = Gr/St + 1st to 7th Floor</v>
      </c>
      <c r="D103" s="235"/>
      <c r="E103" s="235"/>
      <c r="F103" s="235"/>
      <c r="G103" s="235"/>
      <c r="H103" s="236"/>
      <c r="I103" s="44" t="str">
        <f ca="1">IF(D116=100%,"All work Completed. Possession granted to the Building.",IF(D115=100%,"All work Completed, Waiting for OC",I104&amp;""&amp;I105&amp;""&amp;J104&amp;""&amp;J103&amp;" "&amp;J105))</f>
        <v>Excavation, Plinth, RCC Slab, Brickwork, Internal Plaster Completed, External Plaster upto 5 Floor, Flooring upto 2 Floor Completed</v>
      </c>
      <c r="J103" s="45"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External Plaster upto 5 Floor, Flooring upto 2 Floor</v>
      </c>
    </row>
    <row r="104" spans="1:10" x14ac:dyDescent="0.25">
      <c r="A104" s="15" t="s">
        <v>137</v>
      </c>
      <c r="B104" s="49">
        <f>IF(AND(ISNUMBER(SEARCH("1B",C103))),1,IF(AND(ISNUMBER(SEARCH("2B",C103))),2,IF(AND(ISNUMBER(SEARCH("3B",C103))),3,IF(AND(ISNUMBER(SEARCH("4B",C103))),4,IF(ISNUMBER(SEARCH("5B",C103)),5,0)))))</f>
        <v>0</v>
      </c>
      <c r="C104" s="49" t="s">
        <v>68</v>
      </c>
      <c r="D104" s="49">
        <v>1</v>
      </c>
      <c r="E104" s="49" t="s">
        <v>67</v>
      </c>
      <c r="F104" s="49">
        <v>0</v>
      </c>
      <c r="G104" s="49" t="s">
        <v>75</v>
      </c>
      <c r="H104" s="16">
        <f ca="1">--TRIM(RIGHT(SUBSTITUTE(LEFT(C103,_xlfn.AGGREGATE(16,6,FIND({0,1,2,3,4,5,6,7,8,9},C103,ROW(INDIRECT("1:"&amp;LEN(C103)))),1))," ",REPT(" ",LEN(C103))),LEN(C103)))</f>
        <v>7</v>
      </c>
      <c r="I104" s="46" t="str">
        <f ca="1">IF(D107=100%,"Excavation","")&amp;IF(D108=100%,", Plinth","")&amp;IF(D109=100%,", RCC Slab","")&amp;IF(D110=100%,", Brickwork","")&amp;IF(D111=100%,", Internal Plaster","")&amp;IF(D112=100%,", External Plaster","")&amp;IF(D113=100%,", Flooring","")&amp;IF(D114=100%,", Painting","")&amp;IF(D115=100%,", Building common Amenities","")</f>
        <v>Excavation, Plinth, RCC Slab, Brickwork, Internal Plaster</v>
      </c>
      <c r="J104" s="47"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row>
    <row r="105" spans="1:10" ht="30.95" customHeight="1" x14ac:dyDescent="0.25">
      <c r="A105" s="181" t="s">
        <v>85</v>
      </c>
      <c r="B105" s="182"/>
      <c r="C105" s="157" t="str">
        <f ca="1">(IF($G$60="NA",I103,"All work Completed. OC Received."))</f>
        <v>Excavation, Plinth, RCC Slab, Brickwork, Internal Plaster Completed, External Plaster upto 5 Floor, Flooring upto 2 Floor Completed</v>
      </c>
      <c r="D105" s="157"/>
      <c r="E105" s="157"/>
      <c r="F105" s="157"/>
      <c r="G105" s="157"/>
      <c r="H105" s="158"/>
      <c r="I105" s="46" t="str">
        <f ca="1">IF(I104&lt;&gt;""," Completed","")</f>
        <v xml:space="preserve"> Completed</v>
      </c>
      <c r="J105" s="47" t="str">
        <f ca="1">IF(J103&lt;&gt;"","Completed","")</f>
        <v>Completed</v>
      </c>
    </row>
    <row r="106" spans="1:10" ht="15.75" customHeight="1" x14ac:dyDescent="0.25">
      <c r="A106" s="114" t="s">
        <v>47</v>
      </c>
      <c r="B106" s="115"/>
      <c r="C106" s="71" t="s">
        <v>134</v>
      </c>
      <c r="D106" s="71" t="s">
        <v>78</v>
      </c>
      <c r="E106" s="189" t="s">
        <v>80</v>
      </c>
      <c r="F106" s="189"/>
      <c r="G106" s="189" t="s">
        <v>79</v>
      </c>
      <c r="H106" s="257"/>
      <c r="I106" s="13" t="s">
        <v>136</v>
      </c>
      <c r="J106" s="27">
        <f ca="1">H104*25%</f>
        <v>1.75</v>
      </c>
    </row>
    <row r="107" spans="1:10" x14ac:dyDescent="0.25">
      <c r="A107" s="114" t="s">
        <v>123</v>
      </c>
      <c r="B107" s="115"/>
      <c r="C107" s="71">
        <f ca="1">J108</f>
        <v>7</v>
      </c>
      <c r="D107" s="72">
        <f ca="1">((100/H104)*C107)/100</f>
        <v>1</v>
      </c>
      <c r="E107" s="190">
        <f ca="1">(((C108/H104*10)+(40/(D104+F104+H104)*C109)+(7.5/(H104)*C110)+(7.5/(H104)*C111)+(10/H104*C112)+(10/H104*C113)+(5/H104*C114)+(5/H104*C115)+(5/H104*C116))/100)</f>
        <v>0.75</v>
      </c>
      <c r="F107" s="191"/>
      <c r="G107" s="190">
        <f ca="1">((((C107/H104)*20)+((C108/H104)*25)+(30/(H104+F104+D104)*C109)+(5/H104*C110)+(5/H104*C111)+(5/H104*C112)+(5/H104*C113)+(0/H104*C114)+(0/H104*C115)+(5/H104*C116))/100)</f>
        <v>0.9</v>
      </c>
      <c r="H107" s="221"/>
      <c r="I107" s="13" t="s">
        <v>96</v>
      </c>
      <c r="J107" s="28">
        <f ca="1">H104*50%</f>
        <v>3.5</v>
      </c>
    </row>
    <row r="108" spans="1:10" x14ac:dyDescent="0.25">
      <c r="A108" s="114" t="s">
        <v>48</v>
      </c>
      <c r="B108" s="115"/>
      <c r="C108" s="79">
        <f ca="1">J116</f>
        <v>7</v>
      </c>
      <c r="D108" s="72">
        <f ca="1">((100/H104)*C108)/100</f>
        <v>1</v>
      </c>
      <c r="E108" s="192"/>
      <c r="F108" s="193"/>
      <c r="G108" s="192"/>
      <c r="H108" s="222"/>
      <c r="I108" s="13" t="s">
        <v>97</v>
      </c>
      <c r="J108" s="28">
        <f ca="1">H104</f>
        <v>7</v>
      </c>
    </row>
    <row r="109" spans="1:10" ht="15.75" customHeight="1" x14ac:dyDescent="0.25">
      <c r="A109" s="114" t="s">
        <v>124</v>
      </c>
      <c r="B109" s="115"/>
      <c r="C109" s="71">
        <v>8</v>
      </c>
      <c r="D109" s="72">
        <f ca="1">((100/(D104+F104+H104))*C109)/100</f>
        <v>1</v>
      </c>
      <c r="E109" s="192"/>
      <c r="F109" s="193"/>
      <c r="G109" s="192"/>
      <c r="H109" s="222"/>
      <c r="I109" s="13" t="s">
        <v>98</v>
      </c>
      <c r="J109" s="29">
        <f ca="1">(IF(B104&gt;1,(H104/(B104+2)),H104/4))</f>
        <v>1.75</v>
      </c>
    </row>
    <row r="110" spans="1:10" ht="15.75" customHeight="1" x14ac:dyDescent="0.25">
      <c r="A110" s="114" t="s">
        <v>131</v>
      </c>
      <c r="B110" s="115" t="s">
        <v>125</v>
      </c>
      <c r="C110" s="71">
        <v>7</v>
      </c>
      <c r="D110" s="72">
        <f ca="1">((100/H104)*C110)/100</f>
        <v>1</v>
      </c>
      <c r="E110" s="192"/>
      <c r="F110" s="193"/>
      <c r="G110" s="192"/>
      <c r="H110" s="222"/>
      <c r="I110" s="13" t="s">
        <v>99</v>
      </c>
      <c r="J110" s="29">
        <f ca="1">(IF(B104&gt;1,(H104/(B104+2)+J109),H104/4+J109))</f>
        <v>3.5</v>
      </c>
    </row>
    <row r="111" spans="1:10" ht="15.75" customHeight="1" x14ac:dyDescent="0.25">
      <c r="A111" s="114" t="s">
        <v>132</v>
      </c>
      <c r="B111" s="115" t="s">
        <v>125</v>
      </c>
      <c r="C111" s="71">
        <v>7</v>
      </c>
      <c r="D111" s="72">
        <f ca="1">((100/H104)*C111)/100</f>
        <v>1</v>
      </c>
      <c r="E111" s="192"/>
      <c r="F111" s="193"/>
      <c r="G111" s="192"/>
      <c r="H111" s="222"/>
      <c r="I111" s="13" t="s">
        <v>141</v>
      </c>
      <c r="J111" s="29">
        <f>(IF(B104&gt;1,(H104/(B104+2)+J110),0))</f>
        <v>0</v>
      </c>
    </row>
    <row r="112" spans="1:10" ht="15" customHeight="1" x14ac:dyDescent="0.25">
      <c r="A112" s="114" t="s">
        <v>130</v>
      </c>
      <c r="B112" s="115" t="s">
        <v>127</v>
      </c>
      <c r="C112" s="71">
        <v>5</v>
      </c>
      <c r="D112" s="72">
        <f ca="1">((100/(H104))*C112)/100</f>
        <v>0.7142857142857143</v>
      </c>
      <c r="E112" s="192"/>
      <c r="F112" s="193"/>
      <c r="G112" s="192"/>
      <c r="H112" s="222"/>
      <c r="I112" s="13" t="s">
        <v>138</v>
      </c>
      <c r="J112" s="29">
        <f>(IF(B104&gt;2,(H104/(B104+2)+J111),0))</f>
        <v>0</v>
      </c>
    </row>
    <row r="113" spans="1:22" ht="15.75" customHeight="1" x14ac:dyDescent="0.25">
      <c r="A113" s="114" t="s">
        <v>126</v>
      </c>
      <c r="B113" s="115" t="s">
        <v>126</v>
      </c>
      <c r="C113" s="71">
        <v>2</v>
      </c>
      <c r="D113" s="72">
        <f ca="1">((100/H104)*C113)/100</f>
        <v>0.28571428571428575</v>
      </c>
      <c r="E113" s="192"/>
      <c r="F113" s="193"/>
      <c r="G113" s="192"/>
      <c r="H113" s="222"/>
      <c r="I113" s="13" t="s">
        <v>139</v>
      </c>
      <c r="J113" s="30">
        <f>(IF(B104&gt;3,(H104/(B104+2)+J112),0))</f>
        <v>0</v>
      </c>
    </row>
    <row r="114" spans="1:22" ht="15.75" customHeight="1" x14ac:dyDescent="0.25">
      <c r="A114" s="114" t="s">
        <v>133</v>
      </c>
      <c r="B114" s="115"/>
      <c r="C114" s="71">
        <v>0</v>
      </c>
      <c r="D114" s="72">
        <f ca="1">((100/H104)*C114)/100</f>
        <v>0</v>
      </c>
      <c r="E114" s="192"/>
      <c r="F114" s="193"/>
      <c r="G114" s="192"/>
      <c r="H114" s="222"/>
      <c r="I114" s="13" t="s">
        <v>140</v>
      </c>
      <c r="J114" s="29">
        <f>(IF(B104&gt;4,(H104/(B104+2)+J113),0))</f>
        <v>0</v>
      </c>
    </row>
    <row r="115" spans="1:22" ht="15.75" customHeight="1" x14ac:dyDescent="0.25">
      <c r="A115" s="114" t="s">
        <v>128</v>
      </c>
      <c r="B115" s="115" t="s">
        <v>128</v>
      </c>
      <c r="C115" s="71">
        <v>0</v>
      </c>
      <c r="D115" s="72">
        <f ca="1">((100/(H104))*C115)/100</f>
        <v>0</v>
      </c>
      <c r="E115" s="192"/>
      <c r="F115" s="193"/>
      <c r="G115" s="192"/>
      <c r="H115" s="222"/>
      <c r="I115" s="13" t="s">
        <v>142</v>
      </c>
      <c r="J115" s="29">
        <f ca="1">(IF(B104=1,(H104/(B104+3)+J110),IF(B104=0,(H104/4+J110),IF(B104&gt;1,0))))</f>
        <v>5.25</v>
      </c>
    </row>
    <row r="116" spans="1:22" ht="16.5" thickBot="1" x14ac:dyDescent="0.3">
      <c r="A116" s="140" t="s">
        <v>129</v>
      </c>
      <c r="B116" s="141"/>
      <c r="C116" s="73">
        <v>0</v>
      </c>
      <c r="D116" s="74">
        <f ca="1">((100/(H104))*C116)/100</f>
        <v>0</v>
      </c>
      <c r="E116" s="194"/>
      <c r="F116" s="195"/>
      <c r="G116" s="194"/>
      <c r="H116" s="223"/>
      <c r="I116" s="14" t="s">
        <v>100</v>
      </c>
      <c r="J116" s="31">
        <f ca="1">(IF(B104&gt;1.5,(H104/(B104+2)+J110+MAX(0,J111-J110)+MAX(0,J112-J111)+MAX(0,J113-J112)+MAX(0,J114-J113)+MAX(0,J115-J114)),IF(B104=1,(H104/(B104+3)+J115),IF(B104=0,H104/4+J115))))</f>
        <v>7</v>
      </c>
    </row>
    <row r="117" spans="1:22" x14ac:dyDescent="0.25">
      <c r="A117" s="256" t="s">
        <v>152</v>
      </c>
      <c r="B117" s="256"/>
      <c r="C117" s="256"/>
      <c r="D117" s="256"/>
      <c r="E117" s="256"/>
      <c r="F117" s="178" t="s">
        <v>156</v>
      </c>
      <c r="G117" s="178"/>
      <c r="H117" s="178"/>
      <c r="R117" t="s">
        <v>249</v>
      </c>
      <c r="S117" t="s">
        <v>167</v>
      </c>
      <c r="T117" t="s">
        <v>174</v>
      </c>
      <c r="U117" t="s">
        <v>189</v>
      </c>
      <c r="V117" t="s">
        <v>184</v>
      </c>
    </row>
    <row r="118" spans="1:22" x14ac:dyDescent="0.25">
      <c r="A118" s="100" t="s">
        <v>154</v>
      </c>
      <c r="B118" s="100"/>
      <c r="C118" s="100"/>
      <c r="D118" s="100"/>
      <c r="E118" s="100"/>
      <c r="F118" s="97">
        <v>3500</v>
      </c>
      <c r="G118" s="97"/>
      <c r="H118" s="97"/>
      <c r="I118" s="20" t="s">
        <v>347</v>
      </c>
      <c r="R118"/>
      <c r="S118">
        <v>800000</v>
      </c>
      <c r="T118">
        <v>150000</v>
      </c>
      <c r="U118">
        <v>100000</v>
      </c>
      <c r="V118">
        <v>100000</v>
      </c>
    </row>
    <row r="119" spans="1:22" x14ac:dyDescent="0.25">
      <c r="A119" s="100" t="s">
        <v>153</v>
      </c>
      <c r="B119" s="100"/>
      <c r="C119" s="100"/>
      <c r="D119" s="100"/>
      <c r="E119" s="100"/>
      <c r="F119" s="97">
        <v>7000</v>
      </c>
      <c r="G119" s="97"/>
      <c r="H119" s="97"/>
      <c r="R119"/>
      <c r="S119">
        <v>900000</v>
      </c>
      <c r="T119">
        <v>200000</v>
      </c>
      <c r="U119">
        <v>150000</v>
      </c>
      <c r="V119">
        <v>150000</v>
      </c>
    </row>
    <row r="120" spans="1:22" hidden="1" x14ac:dyDescent="0.25">
      <c r="A120" s="100" t="s">
        <v>155</v>
      </c>
      <c r="B120" s="100"/>
      <c r="C120" s="100"/>
      <c r="D120" s="100"/>
      <c r="E120" s="100"/>
      <c r="F120" s="97"/>
      <c r="G120" s="97"/>
      <c r="H120" s="97"/>
      <c r="R120"/>
      <c r="S120">
        <v>1000000</v>
      </c>
      <c r="T120">
        <v>250000</v>
      </c>
      <c r="U120">
        <v>200000</v>
      </c>
      <c r="V120">
        <v>200000</v>
      </c>
    </row>
    <row r="121" spans="1:22" s="32" customFormat="1" hidden="1" x14ac:dyDescent="0.25">
      <c r="A121" s="100" t="s">
        <v>170</v>
      </c>
      <c r="B121" s="100"/>
      <c r="C121" s="100"/>
      <c r="D121" s="100"/>
      <c r="E121" s="100"/>
      <c r="F121" s="97"/>
      <c r="G121" s="97"/>
      <c r="H121" s="97"/>
      <c r="R121"/>
      <c r="S121">
        <v>1100000</v>
      </c>
      <c r="T121">
        <v>300000</v>
      </c>
      <c r="U121">
        <v>250000</v>
      </c>
      <c r="V121" s="22">
        <v>250000</v>
      </c>
    </row>
    <row r="122" spans="1:22" s="32" customFormat="1" hidden="1" x14ac:dyDescent="0.25">
      <c r="A122" s="100" t="s">
        <v>90</v>
      </c>
      <c r="B122" s="100"/>
      <c r="C122" s="100"/>
      <c r="D122" s="100"/>
      <c r="E122" s="100"/>
      <c r="F122" s="97"/>
      <c r="G122" s="97"/>
      <c r="H122" s="97"/>
      <c r="R122"/>
      <c r="S122">
        <v>1200000</v>
      </c>
      <c r="T122">
        <v>350000</v>
      </c>
      <c r="U122">
        <v>300000</v>
      </c>
      <c r="V122">
        <v>300000</v>
      </c>
    </row>
    <row r="123" spans="1:22" s="32" customFormat="1" hidden="1" x14ac:dyDescent="0.25">
      <c r="A123" s="100" t="s">
        <v>91</v>
      </c>
      <c r="B123" s="100"/>
      <c r="C123" s="100"/>
      <c r="D123" s="100"/>
      <c r="E123" s="100"/>
      <c r="F123" s="97"/>
      <c r="G123" s="97"/>
      <c r="H123" s="97"/>
      <c r="R123"/>
      <c r="S123">
        <v>1300000</v>
      </c>
      <c r="T123">
        <v>400000</v>
      </c>
      <c r="U123">
        <v>350000</v>
      </c>
      <c r="V123" s="22">
        <v>400000</v>
      </c>
    </row>
    <row r="124" spans="1:22" s="32" customFormat="1" hidden="1" x14ac:dyDescent="0.25">
      <c r="A124" s="100" t="s">
        <v>92</v>
      </c>
      <c r="B124" s="100"/>
      <c r="C124" s="100"/>
      <c r="D124" s="100"/>
      <c r="E124" s="100"/>
      <c r="F124" s="97"/>
      <c r="G124" s="97"/>
      <c r="H124" s="97"/>
      <c r="R124"/>
      <c r="S124">
        <v>1400000</v>
      </c>
      <c r="T124">
        <v>500000</v>
      </c>
      <c r="U124">
        <v>400000</v>
      </c>
      <c r="V124"/>
    </row>
    <row r="125" spans="1:22" s="32" customFormat="1" hidden="1" x14ac:dyDescent="0.25">
      <c r="A125" s="100" t="s">
        <v>93</v>
      </c>
      <c r="B125" s="100"/>
      <c r="C125" s="100"/>
      <c r="D125" s="100"/>
      <c r="E125" s="100"/>
      <c r="F125" s="97"/>
      <c r="G125" s="97"/>
      <c r="H125" s="97"/>
      <c r="R125"/>
      <c r="S125">
        <v>1500000</v>
      </c>
      <c r="T125">
        <v>600000</v>
      </c>
      <c r="U125">
        <v>500000</v>
      </c>
      <c r="V125" s="22"/>
    </row>
    <row r="126" spans="1:22" s="32" customFormat="1" hidden="1" x14ac:dyDescent="0.25">
      <c r="A126" s="100" t="s">
        <v>94</v>
      </c>
      <c r="B126" s="100"/>
      <c r="C126" s="100"/>
      <c r="D126" s="100"/>
      <c r="E126" s="100"/>
      <c r="F126" s="97"/>
      <c r="G126" s="97"/>
      <c r="H126" s="97"/>
      <c r="R126"/>
      <c r="S126">
        <v>1600000</v>
      </c>
      <c r="T126">
        <v>700000</v>
      </c>
      <c r="U126">
        <v>600000</v>
      </c>
      <c r="V126"/>
    </row>
    <row r="127" spans="1:22" s="32" customFormat="1" hidden="1" x14ac:dyDescent="0.25">
      <c r="A127" s="100" t="s">
        <v>95</v>
      </c>
      <c r="B127" s="100"/>
      <c r="C127" s="100"/>
      <c r="D127" s="100"/>
      <c r="E127" s="100"/>
      <c r="F127" s="97"/>
      <c r="G127" s="97"/>
      <c r="H127" s="97"/>
      <c r="R127"/>
      <c r="S127">
        <v>1700000</v>
      </c>
      <c r="T127">
        <v>800000</v>
      </c>
      <c r="U127"/>
      <c r="V127" s="22"/>
    </row>
    <row r="128" spans="1:22" x14ac:dyDescent="0.25">
      <c r="A128" s="100" t="s">
        <v>49</v>
      </c>
      <c r="B128" s="100"/>
      <c r="C128" s="100"/>
      <c r="D128" s="100"/>
      <c r="E128" s="100"/>
      <c r="F128" s="169">
        <v>100000</v>
      </c>
      <c r="G128" s="169"/>
      <c r="H128" s="169"/>
      <c r="R128"/>
      <c r="S128">
        <v>1800000</v>
      </c>
      <c r="T128">
        <v>900000</v>
      </c>
      <c r="U128"/>
    </row>
    <row r="129" spans="1:22" s="33" customFormat="1" x14ac:dyDescent="0.25">
      <c r="A129" s="170" t="s">
        <v>50</v>
      </c>
      <c r="B129" s="170"/>
      <c r="C129" s="170"/>
      <c r="D129" s="170"/>
      <c r="E129" s="170"/>
      <c r="F129" s="97">
        <f>F118*0.8</f>
        <v>2800</v>
      </c>
      <c r="G129" s="97"/>
      <c r="H129" s="97"/>
      <c r="R129" s="20"/>
      <c r="S129" s="20"/>
      <c r="T129">
        <v>1000000</v>
      </c>
      <c r="U129"/>
      <c r="V129" s="20"/>
    </row>
    <row r="130" spans="1:22" s="34" customFormat="1" ht="15.75" customHeight="1" x14ac:dyDescent="0.25">
      <c r="A130" s="160" t="s">
        <v>335</v>
      </c>
      <c r="B130" s="160"/>
      <c r="C130" s="160"/>
      <c r="D130" s="160"/>
      <c r="E130" s="160"/>
      <c r="F130" s="160"/>
      <c r="G130" s="160"/>
      <c r="H130" s="160"/>
      <c r="R130"/>
      <c r="S130" s="20"/>
      <c r="T130">
        <v>100000</v>
      </c>
      <c r="U130"/>
      <c r="V130" s="20"/>
    </row>
    <row r="131" spans="1:22" s="34" customFormat="1" ht="15.75" customHeight="1" x14ac:dyDescent="0.25">
      <c r="A131" s="99" t="s">
        <v>51</v>
      </c>
      <c r="B131" s="99"/>
      <c r="C131" s="105" t="s">
        <v>73</v>
      </c>
      <c r="D131" s="105"/>
      <c r="E131" s="104" t="s">
        <v>52</v>
      </c>
      <c r="F131" s="104"/>
      <c r="G131" s="99" t="s">
        <v>53</v>
      </c>
      <c r="H131" s="99"/>
      <c r="R131"/>
      <c r="S131" s="20"/>
      <c r="T131"/>
      <c r="U131" s="20"/>
      <c r="V131" s="20"/>
    </row>
    <row r="132" spans="1:22" s="34" customFormat="1" x14ac:dyDescent="0.25">
      <c r="A132" s="85" t="s">
        <v>319</v>
      </c>
      <c r="B132" s="85"/>
      <c r="C132" s="86">
        <f>COUNT(F149:F157)</f>
        <v>9</v>
      </c>
      <c r="D132" s="87"/>
      <c r="E132" s="88">
        <f>SUM(F149:F157)</f>
        <v>1585.96776</v>
      </c>
      <c r="F132" s="89"/>
      <c r="G132" s="88">
        <f>SUM(H149:H157)</f>
        <v>2458.2500279999999</v>
      </c>
      <c r="H132" s="89"/>
      <c r="R132"/>
      <c r="S132" s="20"/>
      <c r="T132"/>
      <c r="U132" s="20"/>
      <c r="V132" s="20"/>
    </row>
    <row r="133" spans="1:22" s="34" customFormat="1" x14ac:dyDescent="0.25">
      <c r="A133" s="85" t="s">
        <v>331</v>
      </c>
      <c r="B133" s="85"/>
      <c r="C133" s="86">
        <f>COUNT(F160:F165)</f>
        <v>6</v>
      </c>
      <c r="D133" s="87"/>
      <c r="E133" s="88">
        <f>SUM(F160:F165)</f>
        <v>1415.8965599999999</v>
      </c>
      <c r="F133" s="89"/>
      <c r="G133" s="88">
        <f>SUM(H160:H165)</f>
        <v>2194.6396679999998</v>
      </c>
      <c r="H133" s="89"/>
      <c r="R133"/>
      <c r="S133" s="20"/>
      <c r="T133"/>
      <c r="U133" s="20"/>
      <c r="V133" s="20"/>
    </row>
    <row r="134" spans="1:22" s="34" customFormat="1" x14ac:dyDescent="0.25">
      <c r="A134" s="85" t="s">
        <v>333</v>
      </c>
      <c r="B134" s="85"/>
      <c r="C134" s="86">
        <f>COUNT(F168:F175)</f>
        <v>8</v>
      </c>
      <c r="D134" s="87"/>
      <c r="E134" s="88">
        <f>SUM(F168:F175)</f>
        <v>1299.7530000000002</v>
      </c>
      <c r="F134" s="89"/>
      <c r="G134" s="88">
        <f>SUM(H168:H175)</f>
        <v>2014.61715</v>
      </c>
      <c r="H134" s="89"/>
      <c r="R134"/>
      <c r="S134" s="20"/>
      <c r="T134"/>
      <c r="U134" s="20"/>
      <c r="V134" s="20"/>
    </row>
    <row r="135" spans="1:22" s="34" customFormat="1" x14ac:dyDescent="0.25">
      <c r="A135" s="160" t="s">
        <v>145</v>
      </c>
      <c r="B135" s="160"/>
      <c r="C135" s="179">
        <f t="shared" ref="C135:G135" si="0">SUM(C132:D134)</f>
        <v>23</v>
      </c>
      <c r="D135" s="105"/>
      <c r="E135" s="180">
        <f t="shared" si="0"/>
        <v>4301.6173199999994</v>
      </c>
      <c r="F135" s="104"/>
      <c r="G135" s="99">
        <f t="shared" si="0"/>
        <v>6667.5068460000002</v>
      </c>
      <c r="H135" s="99"/>
      <c r="R135"/>
      <c r="S135" s="20"/>
      <c r="T135"/>
      <c r="U135" s="20"/>
      <c r="V135" s="20"/>
    </row>
    <row r="136" spans="1:22" s="34" customFormat="1" x14ac:dyDescent="0.25">
      <c r="A136" s="160" t="s">
        <v>336</v>
      </c>
      <c r="B136" s="160"/>
      <c r="C136" s="160"/>
      <c r="D136" s="160"/>
      <c r="E136" s="160"/>
      <c r="F136" s="160"/>
      <c r="G136" s="160"/>
      <c r="H136" s="160"/>
      <c r="T136"/>
    </row>
    <row r="137" spans="1:22" s="34" customFormat="1" ht="15.75" customHeight="1" x14ac:dyDescent="0.25">
      <c r="A137" s="99" t="s">
        <v>51</v>
      </c>
      <c r="B137" s="99"/>
      <c r="C137" s="105" t="s">
        <v>73</v>
      </c>
      <c r="D137" s="105"/>
      <c r="E137" s="104" t="s">
        <v>52</v>
      </c>
      <c r="F137" s="104"/>
      <c r="G137" s="99" t="s">
        <v>53</v>
      </c>
      <c r="H137" s="99"/>
      <c r="T137"/>
    </row>
    <row r="138" spans="1:22" s="34" customFormat="1" x14ac:dyDescent="0.25">
      <c r="A138" s="85" t="s">
        <v>319</v>
      </c>
      <c r="B138" s="85"/>
      <c r="C138" s="86">
        <f>COUNT(F181:F187)+COUNT(F189:F195)*10+COUNT(F197:F200,F202:F204)</f>
        <v>84</v>
      </c>
      <c r="D138" s="86"/>
      <c r="E138" s="88">
        <f>SUM(F181:F187)+SUM(F189:F195)*10+SUM(F197:F200,F202:F204)</f>
        <v>48669.641280000003</v>
      </c>
      <c r="F138" s="88"/>
      <c r="G138" s="88">
        <f>SUM(H181:H187)+SUM(H189:H195)*10+SUM(H197:H200,H202:H204)</f>
        <v>73004.461920000002</v>
      </c>
      <c r="H138" s="88"/>
      <c r="T138"/>
    </row>
    <row r="139" spans="1:22" s="34" customFormat="1" x14ac:dyDescent="0.25">
      <c r="A139" s="85" t="s">
        <v>331</v>
      </c>
      <c r="B139" s="85"/>
      <c r="C139" s="86">
        <f>COUNT(F207:F210)+COUNT(F212:F215)*6</f>
        <v>28</v>
      </c>
      <c r="D139" s="86"/>
      <c r="E139" s="88">
        <f>SUM(F207:F210)+SUM(F212:F215)*6</f>
        <v>21863.729159999999</v>
      </c>
      <c r="F139" s="88"/>
      <c r="G139" s="88">
        <f>SUM(H207:H210)+SUM(H212:H215)*6</f>
        <v>32936.010119999999</v>
      </c>
      <c r="H139" s="88"/>
      <c r="T139"/>
    </row>
    <row r="140" spans="1:22" s="34" customFormat="1" x14ac:dyDescent="0.25">
      <c r="A140" s="85" t="s">
        <v>333</v>
      </c>
      <c r="B140" s="85"/>
      <c r="C140" s="86">
        <f>COUNT(F218:F221)+COUNT(F223:F226)*6</f>
        <v>28</v>
      </c>
      <c r="D140" s="86"/>
      <c r="E140" s="88">
        <f>SUM(F218:F221)+SUM(F223:F226)*6</f>
        <v>25554.166559999998</v>
      </c>
      <c r="F140" s="88"/>
      <c r="G140" s="88">
        <f>SUM(H218:H221)+SUM(H223:H226)*6</f>
        <v>38501.536319999999</v>
      </c>
      <c r="H140" s="88"/>
      <c r="T140"/>
    </row>
    <row r="141" spans="1:22" s="34" customFormat="1" ht="16.5" thickBot="1" x14ac:dyDescent="0.3">
      <c r="A141" s="258" t="s">
        <v>145</v>
      </c>
      <c r="B141" s="258"/>
      <c r="C141" s="142">
        <f t="shared" ref="C141:G141" si="1">SUM(C138:D140)</f>
        <v>140</v>
      </c>
      <c r="D141" s="143"/>
      <c r="E141" s="155">
        <f t="shared" si="1"/>
        <v>96087.536999999997</v>
      </c>
      <c r="F141" s="156"/>
      <c r="G141" s="159">
        <f t="shared" si="1"/>
        <v>144442.00835999998</v>
      </c>
      <c r="H141" s="159"/>
      <c r="T141"/>
    </row>
    <row r="142" spans="1:22" s="33" customFormat="1" ht="16.5" thickBot="1" x14ac:dyDescent="0.3">
      <c r="A142" s="174" t="s">
        <v>161</v>
      </c>
      <c r="B142" s="175"/>
      <c r="C142" s="176">
        <f>C135+C141</f>
        <v>163</v>
      </c>
      <c r="D142" s="176"/>
      <c r="E142" s="177">
        <f>E135+E141</f>
        <v>100389.15432</v>
      </c>
      <c r="F142" s="177"/>
      <c r="G142" s="243">
        <f>G135+G141</f>
        <v>151109.51520599998</v>
      </c>
      <c r="H142" s="244"/>
      <c r="T142" s="34"/>
    </row>
    <row r="143" spans="1:22" x14ac:dyDescent="0.25">
      <c r="A143" s="178" t="s">
        <v>54</v>
      </c>
      <c r="B143" s="178"/>
      <c r="C143" s="178"/>
      <c r="D143" s="178"/>
      <c r="E143" s="178"/>
      <c r="F143" s="178"/>
      <c r="G143" s="178"/>
      <c r="H143" s="178"/>
      <c r="T143" s="34"/>
    </row>
    <row r="144" spans="1:22" x14ac:dyDescent="0.25">
      <c r="A144" s="98" t="s">
        <v>169</v>
      </c>
      <c r="B144" s="98"/>
      <c r="C144" s="98"/>
      <c r="D144" s="98"/>
      <c r="E144" s="98"/>
      <c r="F144" s="98"/>
      <c r="G144" s="98"/>
      <c r="H144" s="98"/>
      <c r="T144" s="34"/>
    </row>
    <row r="145" spans="1:20" s="36" customFormat="1" ht="47.25" x14ac:dyDescent="0.25">
      <c r="A145" s="138" t="s">
        <v>115</v>
      </c>
      <c r="B145" s="138" t="s">
        <v>171</v>
      </c>
      <c r="C145" s="138" t="s">
        <v>55</v>
      </c>
      <c r="D145" s="138" t="s">
        <v>227</v>
      </c>
      <c r="E145" s="196" t="s">
        <v>151</v>
      </c>
      <c r="F145" s="138" t="s">
        <v>56</v>
      </c>
      <c r="G145" s="196" t="s">
        <v>57</v>
      </c>
      <c r="H145" s="54" t="s">
        <v>144</v>
      </c>
      <c r="T145" s="34"/>
    </row>
    <row r="146" spans="1:20" s="36" customFormat="1" x14ac:dyDescent="0.25">
      <c r="A146" s="139"/>
      <c r="B146" s="139"/>
      <c r="C146" s="139"/>
      <c r="D146" s="139"/>
      <c r="E146" s="197"/>
      <c r="F146" s="139"/>
      <c r="G146" s="197"/>
      <c r="H146" s="76">
        <v>0.55000000000000004</v>
      </c>
      <c r="I146" s="77">
        <v>10.763999999999999</v>
      </c>
      <c r="J146" s="35"/>
      <c r="T146" s="34"/>
    </row>
    <row r="147" spans="1:20" s="36" customFormat="1" ht="15.75" customHeight="1" x14ac:dyDescent="0.25">
      <c r="A147" s="90" t="s">
        <v>340</v>
      </c>
      <c r="B147" s="91"/>
      <c r="C147" s="91"/>
      <c r="D147" s="91"/>
      <c r="E147" s="91"/>
      <c r="F147" s="91"/>
      <c r="G147" s="91"/>
      <c r="H147" s="92"/>
      <c r="I147" s="35"/>
      <c r="L147" s="233"/>
      <c r="M147" s="233"/>
      <c r="N147" s="35"/>
      <c r="T147" s="34"/>
    </row>
    <row r="148" spans="1:20" s="36" customFormat="1" ht="15.75" customHeight="1" x14ac:dyDescent="0.25">
      <c r="A148" s="90" t="s">
        <v>320</v>
      </c>
      <c r="B148" s="91"/>
      <c r="C148" s="91"/>
      <c r="D148" s="91"/>
      <c r="E148" s="91"/>
      <c r="F148" s="91"/>
      <c r="G148" s="91"/>
      <c r="H148" s="92"/>
      <c r="I148" s="35">
        <f>3.05*5.7</f>
        <v>17.384999999999998</v>
      </c>
      <c r="L148" s="233"/>
      <c r="M148" s="233"/>
      <c r="N148" s="35"/>
      <c r="T148" s="33"/>
    </row>
    <row r="149" spans="1:20" s="36" customFormat="1" ht="15.75" customHeight="1" x14ac:dyDescent="0.25">
      <c r="A149" s="93">
        <v>1</v>
      </c>
      <c r="B149" s="94"/>
      <c r="C149" s="41" t="s">
        <v>321</v>
      </c>
      <c r="D149" s="77">
        <f>(17.38)*10.764</f>
        <v>187.07831999999999</v>
      </c>
      <c r="E149" s="41">
        <v>0</v>
      </c>
      <c r="F149" s="61">
        <f>D149+(IF(E149&lt;201,E149,IF(E149&lt;301,E149/2,E149/3)))</f>
        <v>187.07831999999999</v>
      </c>
      <c r="G149" s="62">
        <v>0</v>
      </c>
      <c r="H149" s="61">
        <f>(F149+(IF(G149&lt;101,G149,IF(G149&lt;201,G149/2,IF(G149&lt;=301,G149/3,G149/4)))))*(($H$146)+1)</f>
        <v>289.97139599999997</v>
      </c>
      <c r="I149" s="35"/>
      <c r="L149" s="233"/>
      <c r="M149" s="233"/>
      <c r="N149" s="35"/>
      <c r="T149" s="20"/>
    </row>
    <row r="150" spans="1:20" s="36" customFormat="1" ht="15.75" customHeight="1" x14ac:dyDescent="0.25">
      <c r="A150" s="93">
        <f>A149+1</f>
        <v>2</v>
      </c>
      <c r="B150" s="94"/>
      <c r="C150" s="65" t="s">
        <v>321</v>
      </c>
      <c r="D150" s="77">
        <f>(14.53)*10.764</f>
        <v>156.40091999999999</v>
      </c>
      <c r="E150" s="41">
        <v>0</v>
      </c>
      <c r="F150" s="61">
        <f t="shared" ref="F150:F152" si="2">D150+(IF(E150&lt;201,E150,IF(E150&lt;301,E150/2,E150/3)))</f>
        <v>156.40091999999999</v>
      </c>
      <c r="G150" s="53">
        <v>0</v>
      </c>
      <c r="H150" s="61">
        <f t="shared" ref="H150:H152" si="3">(F150+(IF(G150&lt;101,G150,IF(G150&lt;201,G150/2,IF(G150&lt;=301,G150/3,G150/4)))))*(($H$146)+1)</f>
        <v>242.421426</v>
      </c>
      <c r="I150" s="35"/>
      <c r="L150" s="233"/>
      <c r="M150" s="233"/>
      <c r="N150" s="35"/>
      <c r="T150" s="20"/>
    </row>
    <row r="151" spans="1:20" s="36" customFormat="1" ht="15.75" customHeight="1" x14ac:dyDescent="0.25">
      <c r="A151" s="93">
        <f>A150+1</f>
        <v>3</v>
      </c>
      <c r="B151" s="94"/>
      <c r="C151" s="65" t="s">
        <v>321</v>
      </c>
      <c r="D151" s="77">
        <f>(21.15)*10.764</f>
        <v>227.65859999999998</v>
      </c>
      <c r="E151" s="41">
        <v>0</v>
      </c>
      <c r="F151" s="61">
        <f t="shared" si="2"/>
        <v>227.65859999999998</v>
      </c>
      <c r="G151" s="53">
        <v>0</v>
      </c>
      <c r="H151" s="61">
        <f t="shared" si="3"/>
        <v>352.87082999999996</v>
      </c>
      <c r="I151" s="35">
        <f>2.75*7.05</f>
        <v>19.387499999999999</v>
      </c>
      <c r="J151" s="36">
        <f>3*7.05</f>
        <v>21.15</v>
      </c>
      <c r="N151" s="35"/>
    </row>
    <row r="152" spans="1:20" x14ac:dyDescent="0.25">
      <c r="A152" s="93">
        <f>A151+1</f>
        <v>4</v>
      </c>
      <c r="B152" s="94"/>
      <c r="C152" s="65" t="s">
        <v>321</v>
      </c>
      <c r="D152" s="77">
        <f>(19.38+1.2*1.2)*10.764</f>
        <v>224.10647999999998</v>
      </c>
      <c r="E152" s="41">
        <v>0</v>
      </c>
      <c r="F152" s="61">
        <f t="shared" si="2"/>
        <v>224.10647999999998</v>
      </c>
      <c r="G152" s="53">
        <v>0</v>
      </c>
      <c r="H152" s="61">
        <f t="shared" si="3"/>
        <v>347.36504399999995</v>
      </c>
      <c r="I152" s="35"/>
      <c r="T152" s="36"/>
    </row>
    <row r="153" spans="1:20" s="36" customFormat="1" x14ac:dyDescent="0.25">
      <c r="A153" s="93">
        <f>A152+1</f>
        <v>5</v>
      </c>
      <c r="B153" s="94"/>
      <c r="C153" s="65" t="s">
        <v>321</v>
      </c>
      <c r="D153" s="77">
        <f>(13.24)*10.764</f>
        <v>142.51535999999999</v>
      </c>
      <c r="E153" s="65">
        <v>0</v>
      </c>
      <c r="F153" s="65">
        <f t="shared" ref="F153" si="4">D153+(IF(E153&lt;201,E153,IF(E153&lt;301,E153/2,E153/3)))</f>
        <v>142.51535999999999</v>
      </c>
      <c r="G153" s="65">
        <v>0</v>
      </c>
      <c r="H153" s="65">
        <f t="shared" ref="H153" si="5">(F153+(IF(G153&lt;101,G153,IF(G153&lt;201,G153/2,IF(G153&lt;=301,G153/3,G153/4)))))*(($H$146)+1)</f>
        <v>220.89880799999997</v>
      </c>
      <c r="I153" s="75">
        <f>3.05*3.9+0.9*1.4</f>
        <v>13.154999999999999</v>
      </c>
    </row>
    <row r="154" spans="1:20" s="36" customFormat="1" x14ac:dyDescent="0.25">
      <c r="A154" s="93">
        <v>6</v>
      </c>
      <c r="B154" s="94"/>
      <c r="C154" s="65" t="s">
        <v>321</v>
      </c>
      <c r="D154" s="77">
        <f>(13.08)*10.764</f>
        <v>140.79311999999999</v>
      </c>
      <c r="E154" s="65">
        <v>0</v>
      </c>
      <c r="F154" s="65">
        <f>D154+(IF(E154&lt;201,E154,IF(E154&lt;301,E154/2,E154/3)))</f>
        <v>140.79311999999999</v>
      </c>
      <c r="G154" s="62">
        <v>0</v>
      </c>
      <c r="H154" s="65">
        <f>(F154+(IF(G154&lt;101,G154,IF(G154&lt;201,G154/2,IF(G154&lt;=301,G154/3,G154/4)))))*(($H$146)+1)</f>
        <v>218.22933599999999</v>
      </c>
      <c r="J154" s="35"/>
    </row>
    <row r="155" spans="1:20" s="36" customFormat="1" ht="15.75" customHeight="1" x14ac:dyDescent="0.25">
      <c r="A155" s="93">
        <f>A154+1</f>
        <v>7</v>
      </c>
      <c r="B155" s="94"/>
      <c r="C155" s="65" t="s">
        <v>321</v>
      </c>
      <c r="D155" s="77">
        <f>(13.08)*10.764</f>
        <v>140.79311999999999</v>
      </c>
      <c r="E155" s="65">
        <v>0</v>
      </c>
      <c r="F155" s="65">
        <f t="shared" ref="F155:F157" si="6">D155+(IF(E155&lt;201,E155,IF(E155&lt;301,E155/2,E155/3)))</f>
        <v>140.79311999999999</v>
      </c>
      <c r="G155" s="65">
        <v>0</v>
      </c>
      <c r="H155" s="65">
        <f t="shared" ref="H155:H157" si="7">(F155+(IF(G155&lt;101,G155,IF(G155&lt;201,G155/2,IF(G155&lt;=301,G155/3,G155/4)))))*(($H$146)+1)</f>
        <v>218.22933599999999</v>
      </c>
      <c r="I155" s="75">
        <f>2.4*5.25+0.5*1.2</f>
        <v>13.2</v>
      </c>
      <c r="L155" s="233"/>
      <c r="M155" s="233"/>
      <c r="N155" s="35"/>
    </row>
    <row r="156" spans="1:20" s="36" customFormat="1" ht="15.75" customHeight="1" x14ac:dyDescent="0.25">
      <c r="A156" s="93">
        <f>A155+1</f>
        <v>8</v>
      </c>
      <c r="B156" s="94"/>
      <c r="C156" s="65" t="s">
        <v>321</v>
      </c>
      <c r="D156" s="77">
        <f>(13.24)*10.764</f>
        <v>142.51535999999999</v>
      </c>
      <c r="E156" s="65">
        <v>0</v>
      </c>
      <c r="F156" s="65">
        <f t="shared" si="6"/>
        <v>142.51535999999999</v>
      </c>
      <c r="G156" s="65">
        <v>0</v>
      </c>
      <c r="H156" s="65">
        <f t="shared" si="7"/>
        <v>220.89880799999997</v>
      </c>
      <c r="I156" s="35"/>
      <c r="L156" s="233"/>
      <c r="M156" s="233"/>
      <c r="N156" s="35"/>
    </row>
    <row r="157" spans="1:20" s="36" customFormat="1" ht="15.75" customHeight="1" x14ac:dyDescent="0.25">
      <c r="A157" s="93">
        <f>A156+1</f>
        <v>9</v>
      </c>
      <c r="B157" s="94"/>
      <c r="C157" s="65" t="s">
        <v>321</v>
      </c>
      <c r="D157" s="77">
        <f>(19.38+1.2*1.2)*10.764</f>
        <v>224.10647999999998</v>
      </c>
      <c r="E157" s="65">
        <v>0</v>
      </c>
      <c r="F157" s="65">
        <f t="shared" si="6"/>
        <v>224.10647999999998</v>
      </c>
      <c r="G157" s="65">
        <v>0</v>
      </c>
      <c r="H157" s="65">
        <f t="shared" si="7"/>
        <v>347.36504399999995</v>
      </c>
      <c r="I157" s="35"/>
      <c r="L157" s="233"/>
      <c r="M157" s="233"/>
      <c r="N157" s="35"/>
    </row>
    <row r="158" spans="1:20" s="36" customFormat="1" ht="15.75" customHeight="1" x14ac:dyDescent="0.25">
      <c r="A158" s="90" t="s">
        <v>341</v>
      </c>
      <c r="B158" s="91"/>
      <c r="C158" s="91"/>
      <c r="D158" s="91"/>
      <c r="E158" s="91"/>
      <c r="F158" s="91"/>
      <c r="G158" s="91"/>
      <c r="H158" s="92"/>
      <c r="I158" s="35"/>
      <c r="L158" s="233"/>
      <c r="M158" s="233"/>
      <c r="N158" s="35"/>
      <c r="T158" s="20"/>
    </row>
    <row r="159" spans="1:20" s="36" customFormat="1" x14ac:dyDescent="0.25">
      <c r="A159" s="90" t="s">
        <v>320</v>
      </c>
      <c r="B159" s="91"/>
      <c r="C159" s="91"/>
      <c r="D159" s="91"/>
      <c r="E159" s="91"/>
      <c r="F159" s="91"/>
      <c r="G159" s="91"/>
      <c r="H159" s="92"/>
      <c r="I159" s="35"/>
      <c r="L159" s="233"/>
      <c r="M159" s="233"/>
    </row>
    <row r="160" spans="1:20" s="36" customFormat="1" x14ac:dyDescent="0.25">
      <c r="A160" s="93">
        <v>1</v>
      </c>
      <c r="B160" s="94"/>
      <c r="C160" s="65" t="s">
        <v>321</v>
      </c>
      <c r="D160" s="77">
        <f>(19.2)*10.764</f>
        <v>206.66879999999998</v>
      </c>
      <c r="E160" s="65">
        <v>0</v>
      </c>
      <c r="F160" s="65">
        <f>D160+(IF(E160&lt;201,E160,IF(E160&lt;301,E160/2,E160/3)))</f>
        <v>206.66879999999998</v>
      </c>
      <c r="G160" s="62">
        <v>0</v>
      </c>
      <c r="H160" s="65">
        <f>(F160+(IF(G160&lt;101,G160,IF(G160&lt;201,G160/2,IF(G160&lt;=301,G160/3,G160/4)))))*(($H$146)+1)</f>
        <v>320.33663999999999</v>
      </c>
      <c r="I160" s="35"/>
      <c r="N160" s="35"/>
    </row>
    <row r="161" spans="1:20" s="36" customFormat="1" x14ac:dyDescent="0.25">
      <c r="A161" s="93">
        <f>A160+1</f>
        <v>2</v>
      </c>
      <c r="B161" s="94"/>
      <c r="C161" s="65" t="s">
        <v>321</v>
      </c>
      <c r="D161" s="77">
        <f>(21)*10.764</f>
        <v>226.04399999999998</v>
      </c>
      <c r="E161" s="65">
        <v>0</v>
      </c>
      <c r="F161" s="65">
        <f t="shared" ref="F161:F164" si="8">D161+(IF(E161&lt;201,E161,IF(E161&lt;301,E161/2,E161/3)))</f>
        <v>226.04399999999998</v>
      </c>
      <c r="G161" s="65">
        <v>0</v>
      </c>
      <c r="H161" s="65">
        <f t="shared" ref="H161:H164" si="9">(F161+(IF(G161&lt;101,G161,IF(G161&lt;201,G161/2,IF(G161&lt;=301,G161/3,G161/4)))))*(($H$146)+1)</f>
        <v>350.3682</v>
      </c>
      <c r="I161" s="35"/>
      <c r="N161" s="35"/>
    </row>
    <row r="162" spans="1:20" s="36" customFormat="1" x14ac:dyDescent="0.25">
      <c r="A162" s="93">
        <f>A161+1</f>
        <v>3</v>
      </c>
      <c r="B162" s="94"/>
      <c r="C162" s="65" t="s">
        <v>321</v>
      </c>
      <c r="D162" s="77">
        <f>(27.52)*10.764</f>
        <v>296.22528</v>
      </c>
      <c r="E162" s="65">
        <v>0</v>
      </c>
      <c r="F162" s="65">
        <f t="shared" si="8"/>
        <v>296.22528</v>
      </c>
      <c r="G162" s="65">
        <v>0</v>
      </c>
      <c r="H162" s="65">
        <f t="shared" si="9"/>
        <v>459.14918399999999</v>
      </c>
      <c r="I162" s="35"/>
      <c r="N162" s="35"/>
    </row>
    <row r="163" spans="1:20" s="36" customFormat="1" x14ac:dyDescent="0.25">
      <c r="A163" s="93">
        <f>A162+1</f>
        <v>4</v>
      </c>
      <c r="B163" s="94"/>
      <c r="C163" s="65" t="s">
        <v>321</v>
      </c>
      <c r="D163" s="77">
        <f>(27.52)*10.764</f>
        <v>296.22528</v>
      </c>
      <c r="E163" s="65">
        <v>0</v>
      </c>
      <c r="F163" s="65">
        <f t="shared" si="8"/>
        <v>296.22528</v>
      </c>
      <c r="G163" s="65">
        <v>0</v>
      </c>
      <c r="H163" s="65">
        <f t="shared" si="9"/>
        <v>459.14918399999999</v>
      </c>
      <c r="I163" s="35"/>
      <c r="N163" s="35"/>
    </row>
    <row r="164" spans="1:20" s="36" customFormat="1" x14ac:dyDescent="0.25">
      <c r="A164" s="93">
        <f>A163+1</f>
        <v>5</v>
      </c>
      <c r="B164" s="94"/>
      <c r="C164" s="65" t="s">
        <v>321</v>
      </c>
      <c r="D164" s="77">
        <f>(17.1)*10.764</f>
        <v>184.06440000000001</v>
      </c>
      <c r="E164" s="65">
        <v>0</v>
      </c>
      <c r="F164" s="65">
        <f t="shared" si="8"/>
        <v>184.06440000000001</v>
      </c>
      <c r="G164" s="65">
        <v>0</v>
      </c>
      <c r="H164" s="65">
        <f t="shared" si="9"/>
        <v>285.29982000000001</v>
      </c>
      <c r="I164" s="35"/>
      <c r="N164" s="35"/>
    </row>
    <row r="165" spans="1:20" s="36" customFormat="1" ht="15.75" customHeight="1" x14ac:dyDescent="0.25">
      <c r="A165" s="93">
        <v>6</v>
      </c>
      <c r="B165" s="94"/>
      <c r="C165" s="65" t="s">
        <v>321</v>
      </c>
      <c r="D165" s="77">
        <f>(19.2)*10.764</f>
        <v>206.66879999999998</v>
      </c>
      <c r="E165" s="65">
        <v>0</v>
      </c>
      <c r="F165" s="65">
        <f>D165+(IF(E165&lt;201,E165,IF(E165&lt;301,E165/2,E165/3)))</f>
        <v>206.66879999999998</v>
      </c>
      <c r="G165" s="62">
        <v>0</v>
      </c>
      <c r="H165" s="65">
        <f>(F165+(IF(G165&lt;101,G165,IF(G165&lt;201,G165/2,IF(G165&lt;=301,G165/3,G165/4)))))*(($H$146)+1)</f>
        <v>320.33663999999999</v>
      </c>
      <c r="I165" s="35"/>
    </row>
    <row r="166" spans="1:20" s="36" customFormat="1" ht="15.75" customHeight="1" x14ac:dyDescent="0.25">
      <c r="A166" s="90" t="s">
        <v>342</v>
      </c>
      <c r="B166" s="91"/>
      <c r="C166" s="91"/>
      <c r="D166" s="91"/>
      <c r="E166" s="91"/>
      <c r="F166" s="91"/>
      <c r="G166" s="91"/>
      <c r="H166" s="92"/>
      <c r="I166" s="35"/>
    </row>
    <row r="167" spans="1:20" s="36" customFormat="1" ht="15.75" customHeight="1" x14ac:dyDescent="0.25">
      <c r="A167" s="90" t="s">
        <v>320</v>
      </c>
      <c r="B167" s="91"/>
      <c r="C167" s="91"/>
      <c r="D167" s="91"/>
      <c r="E167" s="91"/>
      <c r="F167" s="91"/>
      <c r="G167" s="91"/>
      <c r="H167" s="92"/>
    </row>
    <row r="168" spans="1:20" s="36" customFormat="1" ht="15.75" customHeight="1" x14ac:dyDescent="0.25">
      <c r="A168" s="93">
        <v>1</v>
      </c>
      <c r="B168" s="94"/>
      <c r="C168" s="65" t="s">
        <v>321</v>
      </c>
      <c r="D168" s="77">
        <f>(14.73)*10.764</f>
        <v>158.55372</v>
      </c>
      <c r="E168" s="65">
        <v>0</v>
      </c>
      <c r="F168" s="65">
        <f>D168+(IF(E168&lt;201,E168,IF(E168&lt;301,E168/2,E168/3)))</f>
        <v>158.55372</v>
      </c>
      <c r="G168" s="62">
        <v>0</v>
      </c>
      <c r="H168" s="65">
        <f>(F168+(IF(G168&lt;101,G168,IF(G168&lt;201,G168/2,IF(G168&lt;=301,G168/3,G168/4)))))*(($H$146)+1)</f>
        <v>245.75826599999999</v>
      </c>
    </row>
    <row r="169" spans="1:20" s="36" customFormat="1" ht="15.75" customHeight="1" x14ac:dyDescent="0.25">
      <c r="A169" s="93">
        <f>A168+1</f>
        <v>2</v>
      </c>
      <c r="B169" s="94"/>
      <c r="C169" s="65" t="s">
        <v>321</v>
      </c>
      <c r="D169" s="77">
        <f>(12.08)*10.764</f>
        <v>130.02912000000001</v>
      </c>
      <c r="E169" s="65">
        <v>0</v>
      </c>
      <c r="F169" s="65">
        <f t="shared" ref="F169:F172" si="10">D169+(IF(E169&lt;201,E169,IF(E169&lt;301,E169/2,E169/3)))</f>
        <v>130.02912000000001</v>
      </c>
      <c r="G169" s="65">
        <v>0</v>
      </c>
      <c r="H169" s="65">
        <f t="shared" ref="H169:H172" si="11">(F169+(IF(G169&lt;101,G169,IF(G169&lt;201,G169/2,IF(G169&lt;=301,G169/3,G169/4)))))*(($H$146)+1)</f>
        <v>201.54513600000001</v>
      </c>
    </row>
    <row r="170" spans="1:20" s="36" customFormat="1" ht="15.75" customHeight="1" x14ac:dyDescent="0.25">
      <c r="A170" s="93">
        <f>A169+1</f>
        <v>3</v>
      </c>
      <c r="B170" s="94"/>
      <c r="C170" s="65" t="s">
        <v>321</v>
      </c>
      <c r="D170" s="77">
        <f>(16.75)*10.764</f>
        <v>180.297</v>
      </c>
      <c r="E170" s="65">
        <v>0</v>
      </c>
      <c r="F170" s="65">
        <f t="shared" si="10"/>
        <v>180.297</v>
      </c>
      <c r="G170" s="65">
        <v>0</v>
      </c>
      <c r="H170" s="65">
        <f t="shared" si="11"/>
        <v>279.46035000000001</v>
      </c>
    </row>
    <row r="171" spans="1:20" s="36" customFormat="1" x14ac:dyDescent="0.25">
      <c r="A171" s="93">
        <f>A170+1</f>
        <v>4</v>
      </c>
      <c r="B171" s="94"/>
      <c r="C171" s="65" t="s">
        <v>321</v>
      </c>
      <c r="D171" s="77">
        <f>(20.5)*10.764</f>
        <v>220.66199999999998</v>
      </c>
      <c r="E171" s="65">
        <v>0</v>
      </c>
      <c r="F171" s="65">
        <f t="shared" si="10"/>
        <v>220.66199999999998</v>
      </c>
      <c r="G171" s="65">
        <v>0</v>
      </c>
      <c r="H171" s="65">
        <f t="shared" si="11"/>
        <v>342.02609999999999</v>
      </c>
      <c r="I171" s="35"/>
    </row>
    <row r="172" spans="1:20" s="36" customFormat="1" ht="15.75" customHeight="1" x14ac:dyDescent="0.25">
      <c r="A172" s="93">
        <f>A171+1</f>
        <v>5</v>
      </c>
      <c r="B172" s="94"/>
      <c r="C172" s="65" t="s">
        <v>321</v>
      </c>
      <c r="D172" s="77">
        <f>(20.5)*10.764</f>
        <v>220.66199999999998</v>
      </c>
      <c r="E172" s="65">
        <v>0</v>
      </c>
      <c r="F172" s="65">
        <f t="shared" si="10"/>
        <v>220.66199999999998</v>
      </c>
      <c r="G172" s="65">
        <v>0</v>
      </c>
      <c r="H172" s="65">
        <f t="shared" si="11"/>
        <v>342.02609999999999</v>
      </c>
      <c r="I172" s="35"/>
    </row>
    <row r="173" spans="1:20" s="36" customFormat="1" ht="15.75" customHeight="1" x14ac:dyDescent="0.25">
      <c r="A173" s="93">
        <v>6</v>
      </c>
      <c r="B173" s="94"/>
      <c r="C173" s="65" t="s">
        <v>321</v>
      </c>
      <c r="D173" s="77">
        <f>(14.19)*10.764</f>
        <v>152.74115999999998</v>
      </c>
      <c r="E173" s="65">
        <v>0</v>
      </c>
      <c r="F173" s="65">
        <f>D173+(IF(E173&lt;201,E173,IF(E173&lt;301,E173/2,E173/3)))</f>
        <v>152.74115999999998</v>
      </c>
      <c r="G173" s="62">
        <v>0</v>
      </c>
      <c r="H173" s="65">
        <f>(F173+(IF(G173&lt;101,G173,IF(G173&lt;201,G173/2,IF(G173&lt;=301,G173/3,G173/4)))))*(($H$146)+1)</f>
        <v>236.74879799999997</v>
      </c>
      <c r="I173" s="35"/>
    </row>
    <row r="174" spans="1:20" s="36" customFormat="1" ht="15.75" customHeight="1" x14ac:dyDescent="0.25">
      <c r="A174" s="93">
        <f>A173+1</f>
        <v>7</v>
      </c>
      <c r="B174" s="94"/>
      <c r="C174" s="65" t="s">
        <v>321</v>
      </c>
      <c r="D174" s="77">
        <f>(12.08)*10.764</f>
        <v>130.02912000000001</v>
      </c>
      <c r="E174" s="65">
        <v>0</v>
      </c>
      <c r="F174" s="65">
        <f t="shared" ref="F174:F175" si="12">D174+(IF(E174&lt;201,E174,IF(E174&lt;301,E174/2,E174/3)))</f>
        <v>130.02912000000001</v>
      </c>
      <c r="G174" s="65">
        <v>0</v>
      </c>
      <c r="H174" s="65">
        <f>(F174+(IF(G174&lt;101,G174,IF(G174&lt;201,G174/2,IF(G174&lt;=301,G174/3,G174/4)))))*(($H$146)+1)</f>
        <v>201.54513600000001</v>
      </c>
      <c r="I174" s="35"/>
    </row>
    <row r="175" spans="1:20" s="36" customFormat="1" ht="15.75" customHeight="1" x14ac:dyDescent="0.25">
      <c r="A175" s="93">
        <f>A174+1</f>
        <v>8</v>
      </c>
      <c r="B175" s="94"/>
      <c r="C175" s="65" t="s">
        <v>321</v>
      </c>
      <c r="D175" s="77">
        <f>(9.92)*10.764</f>
        <v>106.77887999999999</v>
      </c>
      <c r="E175" s="65">
        <v>0</v>
      </c>
      <c r="F175" s="65">
        <f t="shared" si="12"/>
        <v>106.77887999999999</v>
      </c>
      <c r="G175" s="65">
        <v>0</v>
      </c>
      <c r="H175" s="65">
        <f>(F175+(IF(G175&lt;101,G175,IF(G175&lt;201,G175/2,IF(G175&lt;=301,G175/3,G175/4)))))*(($H$146)+1)</f>
        <v>165.50726399999999</v>
      </c>
      <c r="I175" s="35"/>
    </row>
    <row r="176" spans="1:20" s="34" customFormat="1" x14ac:dyDescent="0.25">
      <c r="A176" s="93"/>
      <c r="B176" s="162"/>
      <c r="C176" s="162"/>
      <c r="D176" s="162"/>
      <c r="E176" s="162"/>
      <c r="F176" s="162"/>
      <c r="G176" s="162"/>
      <c r="H176" s="94"/>
      <c r="T176" s="36"/>
    </row>
    <row r="177" spans="1:20" s="34" customFormat="1" ht="47.25" x14ac:dyDescent="0.25">
      <c r="A177" s="251" t="s">
        <v>116</v>
      </c>
      <c r="B177" s="138" t="s">
        <v>172</v>
      </c>
      <c r="C177" s="138" t="s">
        <v>55</v>
      </c>
      <c r="D177" s="138" t="s">
        <v>227</v>
      </c>
      <c r="E177" s="138" t="s">
        <v>326</v>
      </c>
      <c r="F177" s="138" t="s">
        <v>56</v>
      </c>
      <c r="G177" s="196" t="s">
        <v>57</v>
      </c>
      <c r="H177" s="54" t="s">
        <v>144</v>
      </c>
      <c r="T177" s="36"/>
    </row>
    <row r="178" spans="1:20" s="34" customFormat="1" ht="15.75" customHeight="1" x14ac:dyDescent="0.25">
      <c r="A178" s="252"/>
      <c r="B178" s="139"/>
      <c r="C178" s="139"/>
      <c r="D178" s="139"/>
      <c r="E178" s="139"/>
      <c r="F178" s="139"/>
      <c r="G178" s="197"/>
      <c r="H178" s="76">
        <v>0.5</v>
      </c>
      <c r="T178" s="66"/>
    </row>
    <row r="179" spans="1:20" s="34" customFormat="1" ht="15.75" customHeight="1" x14ac:dyDescent="0.25">
      <c r="A179" s="90" t="s">
        <v>340</v>
      </c>
      <c r="B179" s="91"/>
      <c r="C179" s="91"/>
      <c r="D179" s="91"/>
      <c r="E179" s="91"/>
      <c r="F179" s="91"/>
      <c r="G179" s="91"/>
      <c r="H179" s="92"/>
      <c r="T179" s="36"/>
    </row>
    <row r="180" spans="1:20" s="34" customFormat="1" ht="15.75" customHeight="1" x14ac:dyDescent="0.25">
      <c r="A180" s="90" t="s">
        <v>322</v>
      </c>
      <c r="B180" s="91"/>
      <c r="C180" s="91"/>
      <c r="D180" s="91"/>
      <c r="E180" s="91"/>
      <c r="F180" s="91"/>
      <c r="G180" s="91"/>
      <c r="H180" s="92"/>
      <c r="T180" s="36"/>
    </row>
    <row r="181" spans="1:20" s="34" customFormat="1" ht="15.75" customHeight="1" x14ac:dyDescent="0.25">
      <c r="A181" s="93">
        <v>1</v>
      </c>
      <c r="B181" s="94"/>
      <c r="C181" s="41" t="s">
        <v>323</v>
      </c>
      <c r="D181" s="77">
        <f>(53.53)*10.764</f>
        <v>576.19691999999998</v>
      </c>
      <c r="E181" s="77">
        <f>(9.65)*10.764</f>
        <v>103.87259999999999</v>
      </c>
      <c r="F181" s="53">
        <f t="shared" ref="F181:F187" si="13">D181+E181</f>
        <v>680.06952000000001</v>
      </c>
      <c r="G181" s="53">
        <v>0</v>
      </c>
      <c r="H181" s="53">
        <f t="shared" ref="H181:H187" si="14">F181*(($H$178)+1)+(IF(G181&lt;101,G181,IF(G181&lt;201,G181/2,IF(G181&lt;=301,G181/3,G181/4))))</f>
        <v>1020.10428</v>
      </c>
      <c r="I181" s="35">
        <f>3*5.14+2.55*2.75+3.05*3+3.05*2.9+1.2*1.85*2+2.55*2.15</f>
        <v>50.349999999999994</v>
      </c>
      <c r="J181" s="36">
        <f>3*1.2+3*1+3.05</f>
        <v>9.6499999999999986</v>
      </c>
    </row>
    <row r="182" spans="1:20" s="34" customFormat="1" x14ac:dyDescent="0.25">
      <c r="A182" s="93">
        <f>A181+1</f>
        <v>2</v>
      </c>
      <c r="B182" s="94"/>
      <c r="C182" s="65" t="s">
        <v>324</v>
      </c>
      <c r="D182" s="77">
        <f>(42.25)*10.764</f>
        <v>454.779</v>
      </c>
      <c r="E182" s="77">
        <f>(3.3)*10.764</f>
        <v>35.521199999999993</v>
      </c>
      <c r="F182" s="53">
        <f t="shared" si="13"/>
        <v>490.30020000000002</v>
      </c>
      <c r="G182" s="53">
        <v>0</v>
      </c>
      <c r="H182" s="53">
        <f t="shared" si="14"/>
        <v>735.45029999999997</v>
      </c>
      <c r="I182" s="35"/>
      <c r="J182" s="36"/>
    </row>
    <row r="183" spans="1:20" s="34" customFormat="1" x14ac:dyDescent="0.25">
      <c r="A183" s="93">
        <f>A182+1</f>
        <v>3</v>
      </c>
      <c r="B183" s="94"/>
      <c r="C183" s="65" t="s">
        <v>324</v>
      </c>
      <c r="D183" s="77">
        <f>(40.83)*10.764</f>
        <v>439.49411999999995</v>
      </c>
      <c r="E183" s="77">
        <f>(3.3)*10.764</f>
        <v>35.521199999999993</v>
      </c>
      <c r="F183" s="53">
        <f t="shared" si="13"/>
        <v>475.01531999999997</v>
      </c>
      <c r="G183" s="53">
        <v>0</v>
      </c>
      <c r="H183" s="53">
        <f t="shared" si="14"/>
        <v>712.52297999999996</v>
      </c>
      <c r="I183" s="35"/>
      <c r="J183" s="36"/>
    </row>
    <row r="184" spans="1:20" s="34" customFormat="1" x14ac:dyDescent="0.25">
      <c r="A184" s="93">
        <f>A183+1</f>
        <v>4</v>
      </c>
      <c r="B184" s="94"/>
      <c r="C184" s="65" t="s">
        <v>325</v>
      </c>
      <c r="D184" s="77">
        <f>(64.92)*10.764</f>
        <v>698.79887999999994</v>
      </c>
      <c r="E184" s="77">
        <f>(8.67)*10.764</f>
        <v>93.323879999999988</v>
      </c>
      <c r="F184" s="65">
        <f t="shared" si="13"/>
        <v>792.12275999999997</v>
      </c>
      <c r="G184" s="65">
        <v>0</v>
      </c>
      <c r="H184" s="65">
        <f t="shared" si="14"/>
        <v>1188.1841399999998</v>
      </c>
      <c r="I184" s="35">
        <f>3.15*5.14+2.42*3+2.4*3.25+3.05*3+3.05*3.25+1.2*2.1+1.9*1.2+3.7*1.2+1.2*1.1</f>
        <v>60.8735</v>
      </c>
      <c r="J184" s="36">
        <f>2.42+3+3.25</f>
        <v>8.67</v>
      </c>
    </row>
    <row r="185" spans="1:20" s="34" customFormat="1" x14ac:dyDescent="0.25">
      <c r="A185" s="137">
        <v>5</v>
      </c>
      <c r="B185" s="137"/>
      <c r="C185" s="65" t="s">
        <v>324</v>
      </c>
      <c r="D185" s="77">
        <f>(40.76)*10.764</f>
        <v>438.74063999999993</v>
      </c>
      <c r="E185" s="77">
        <f>(8)*10.764</f>
        <v>86.111999999999995</v>
      </c>
      <c r="F185" s="53">
        <f t="shared" si="13"/>
        <v>524.85263999999995</v>
      </c>
      <c r="G185" s="53">
        <v>0</v>
      </c>
      <c r="H185" s="53">
        <f t="shared" si="14"/>
        <v>787.27895999999987</v>
      </c>
    </row>
    <row r="186" spans="1:20" s="34" customFormat="1" x14ac:dyDescent="0.25">
      <c r="A186" s="137">
        <f>A185+1</f>
        <v>6</v>
      </c>
      <c r="B186" s="137"/>
      <c r="C186" s="65" t="s">
        <v>324</v>
      </c>
      <c r="D186" s="77">
        <f>(40.76)*10.764</f>
        <v>438.74063999999993</v>
      </c>
      <c r="E186" s="77">
        <f>(8)*10.764</f>
        <v>86.111999999999995</v>
      </c>
      <c r="F186" s="53">
        <f t="shared" si="13"/>
        <v>524.85263999999995</v>
      </c>
      <c r="G186" s="53">
        <v>0</v>
      </c>
      <c r="H186" s="53">
        <f t="shared" si="14"/>
        <v>787.27895999999987</v>
      </c>
    </row>
    <row r="187" spans="1:20" x14ac:dyDescent="0.25">
      <c r="A187" s="137">
        <f>A186+1</f>
        <v>7</v>
      </c>
      <c r="B187" s="137"/>
      <c r="C187" s="65" t="s">
        <v>323</v>
      </c>
      <c r="D187" s="77">
        <f>(53.88)*10.764</f>
        <v>579.96432000000004</v>
      </c>
      <c r="E187" s="77">
        <f>(11.45)*10.764</f>
        <v>123.24779999999998</v>
      </c>
      <c r="F187" s="53">
        <f t="shared" si="13"/>
        <v>703.21212000000003</v>
      </c>
      <c r="G187" s="53">
        <v>0</v>
      </c>
      <c r="H187" s="53">
        <f t="shared" si="14"/>
        <v>1054.81818</v>
      </c>
      <c r="T187" s="34"/>
    </row>
    <row r="188" spans="1:20" x14ac:dyDescent="0.25">
      <c r="A188" s="90" t="s">
        <v>327</v>
      </c>
      <c r="B188" s="91"/>
      <c r="C188" s="91"/>
      <c r="D188" s="91"/>
      <c r="E188" s="91"/>
      <c r="F188" s="91"/>
      <c r="G188" s="91"/>
      <c r="H188" s="92"/>
      <c r="M188" s="20">
        <v>3500</v>
      </c>
      <c r="T188" s="34"/>
    </row>
    <row r="189" spans="1:20" ht="15.75" customHeight="1" x14ac:dyDescent="0.25">
      <c r="A189" s="93">
        <v>1</v>
      </c>
      <c r="B189" s="94"/>
      <c r="C189" s="65" t="s">
        <v>323</v>
      </c>
      <c r="D189" s="77">
        <f>(53.53)*10.764</f>
        <v>576.19691999999998</v>
      </c>
      <c r="E189" s="77">
        <f>(9.65)*10.764</f>
        <v>103.87259999999999</v>
      </c>
      <c r="F189" s="65">
        <f t="shared" ref="F189:F195" si="15">D189+E189</f>
        <v>680.06952000000001</v>
      </c>
      <c r="G189" s="65">
        <v>0</v>
      </c>
      <c r="H189" s="65">
        <f t="shared" ref="H189:H195" si="16">F189*(($H$178)+1)+(IF(G189&lt;101,G189,IF(G189&lt;201,G189/2,IF(G189&lt;=301,G189/3,G189/4))))</f>
        <v>1020.10428</v>
      </c>
      <c r="K189" s="20">
        <f>4300000/H189</f>
        <v>4215.2553266417035</v>
      </c>
      <c r="M189" s="20">
        <f>M$188*H189</f>
        <v>3570364.98</v>
      </c>
      <c r="T189" s="34"/>
    </row>
    <row r="190" spans="1:20" x14ac:dyDescent="0.25">
      <c r="A190" s="93">
        <f>A189+1</f>
        <v>2</v>
      </c>
      <c r="B190" s="94"/>
      <c r="C190" s="65" t="s">
        <v>324</v>
      </c>
      <c r="D190" s="77">
        <f>(42.25)*10.764</f>
        <v>454.779</v>
      </c>
      <c r="E190" s="77">
        <f>(3.3)*10.764</f>
        <v>35.521199999999993</v>
      </c>
      <c r="F190" s="65">
        <f t="shared" si="15"/>
        <v>490.30020000000002</v>
      </c>
      <c r="G190" s="65">
        <v>0</v>
      </c>
      <c r="H190" s="65">
        <f t="shared" si="16"/>
        <v>735.45029999999997</v>
      </c>
      <c r="K190" s="20">
        <f>2800000/H190</f>
        <v>3807.1913221056543</v>
      </c>
      <c r="M190" s="20">
        <f t="shared" ref="M190:M227" si="17">M$188*H190</f>
        <v>2574076.0499999998</v>
      </c>
      <c r="T190" s="34"/>
    </row>
    <row r="191" spans="1:20" x14ac:dyDescent="0.25">
      <c r="A191" s="93">
        <f>A190+1</f>
        <v>3</v>
      </c>
      <c r="B191" s="94"/>
      <c r="C191" s="65" t="s">
        <v>324</v>
      </c>
      <c r="D191" s="77">
        <f>(40.83)*10.764</f>
        <v>439.49411999999995</v>
      </c>
      <c r="E191" s="77">
        <f>(3.3)*10.764</f>
        <v>35.521199999999993</v>
      </c>
      <c r="F191" s="65">
        <f t="shared" si="15"/>
        <v>475.01531999999997</v>
      </c>
      <c r="G191" s="65">
        <v>0</v>
      </c>
      <c r="H191" s="65">
        <f t="shared" si="16"/>
        <v>712.52297999999996</v>
      </c>
      <c r="M191" s="20">
        <f t="shared" si="17"/>
        <v>2493830.4299999997</v>
      </c>
      <c r="T191" s="34"/>
    </row>
    <row r="192" spans="1:20" x14ac:dyDescent="0.25">
      <c r="A192" s="93">
        <f>A191+1</f>
        <v>4</v>
      </c>
      <c r="B192" s="94"/>
      <c r="C192" s="65" t="s">
        <v>325</v>
      </c>
      <c r="D192" s="77">
        <f>(64.92)*10.764</f>
        <v>698.79887999999994</v>
      </c>
      <c r="E192" s="77">
        <f>(8.67)*10.764</f>
        <v>93.323879999999988</v>
      </c>
      <c r="F192" s="65">
        <f t="shared" si="15"/>
        <v>792.12275999999997</v>
      </c>
      <c r="G192" s="65">
        <v>0</v>
      </c>
      <c r="H192" s="65">
        <f t="shared" si="16"/>
        <v>1188.1841399999998</v>
      </c>
      <c r="M192" s="20">
        <f t="shared" si="17"/>
        <v>4158644.4899999993</v>
      </c>
      <c r="T192" s="34"/>
    </row>
    <row r="193" spans="1:13" x14ac:dyDescent="0.25">
      <c r="A193" s="137">
        <v>5</v>
      </c>
      <c r="B193" s="137"/>
      <c r="C193" s="65" t="s">
        <v>324</v>
      </c>
      <c r="D193" s="77">
        <f>(40.76)*10.764</f>
        <v>438.74063999999993</v>
      </c>
      <c r="E193" s="77">
        <f>(3.3)*10.764</f>
        <v>35.521199999999993</v>
      </c>
      <c r="F193" s="65">
        <f t="shared" si="15"/>
        <v>474.26183999999989</v>
      </c>
      <c r="G193" s="65">
        <v>0</v>
      </c>
      <c r="H193" s="65">
        <f t="shared" si="16"/>
        <v>711.39275999999984</v>
      </c>
      <c r="M193" s="20">
        <f t="shared" si="17"/>
        <v>2489874.6599999992</v>
      </c>
    </row>
    <row r="194" spans="1:13" x14ac:dyDescent="0.25">
      <c r="A194" s="137">
        <f>A193+1</f>
        <v>6</v>
      </c>
      <c r="B194" s="137"/>
      <c r="C194" s="65" t="s">
        <v>324</v>
      </c>
      <c r="D194" s="77">
        <f>(40.76)*10.764</f>
        <v>438.74063999999993</v>
      </c>
      <c r="E194" s="77">
        <f>(3.3)*10.764</f>
        <v>35.521199999999993</v>
      </c>
      <c r="F194" s="65">
        <f t="shared" si="15"/>
        <v>474.26183999999989</v>
      </c>
      <c r="G194" s="65">
        <v>0</v>
      </c>
      <c r="H194" s="65">
        <f t="shared" si="16"/>
        <v>711.39275999999984</v>
      </c>
      <c r="M194" s="20">
        <f t="shared" si="17"/>
        <v>2489874.6599999992</v>
      </c>
    </row>
    <row r="195" spans="1:13" x14ac:dyDescent="0.25">
      <c r="A195" s="137">
        <f>A194+1</f>
        <v>7</v>
      </c>
      <c r="B195" s="137"/>
      <c r="C195" s="65" t="s">
        <v>323</v>
      </c>
      <c r="D195" s="77">
        <f>(53.88)*10.764</f>
        <v>579.96432000000004</v>
      </c>
      <c r="E195" s="77">
        <f>(9.65)*10.764</f>
        <v>103.87259999999999</v>
      </c>
      <c r="F195" s="65">
        <f t="shared" si="15"/>
        <v>683.83692000000008</v>
      </c>
      <c r="G195" s="65">
        <v>0</v>
      </c>
      <c r="H195" s="65">
        <f t="shared" si="16"/>
        <v>1025.7553800000001</v>
      </c>
      <c r="M195" s="20">
        <f t="shared" si="17"/>
        <v>3590143.83</v>
      </c>
    </row>
    <row r="196" spans="1:13" x14ac:dyDescent="0.25">
      <c r="A196" s="90" t="s">
        <v>328</v>
      </c>
      <c r="B196" s="91"/>
      <c r="C196" s="91"/>
      <c r="D196" s="91"/>
      <c r="E196" s="91"/>
      <c r="F196" s="91"/>
      <c r="G196" s="91"/>
      <c r="H196" s="92"/>
      <c r="M196" s="20">
        <f t="shared" si="17"/>
        <v>0</v>
      </c>
    </row>
    <row r="197" spans="1:13" x14ac:dyDescent="0.25">
      <c r="A197" s="93">
        <v>1</v>
      </c>
      <c r="B197" s="94"/>
      <c r="C197" s="65" t="s">
        <v>323</v>
      </c>
      <c r="D197" s="77">
        <f>(53.53)*10.764</f>
        <v>576.19691999999998</v>
      </c>
      <c r="E197" s="77">
        <f>(9.65)*10.764</f>
        <v>103.87259999999999</v>
      </c>
      <c r="F197" s="65">
        <f>D197+E197</f>
        <v>680.06952000000001</v>
      </c>
      <c r="G197" s="65">
        <v>0</v>
      </c>
      <c r="H197" s="65">
        <f>F197*(($H$178)+1)+(IF(G197&lt;101,G197,IF(G197&lt;201,G197/2,IF(G197&lt;=301,G197/3,G197/4))))</f>
        <v>1020.10428</v>
      </c>
      <c r="M197" s="20">
        <f t="shared" si="17"/>
        <v>3570364.98</v>
      </c>
    </row>
    <row r="198" spans="1:13" x14ac:dyDescent="0.25">
      <c r="A198" s="93">
        <f>A197+1</f>
        <v>2</v>
      </c>
      <c r="B198" s="94"/>
      <c r="C198" s="65" t="s">
        <v>324</v>
      </c>
      <c r="D198" s="77">
        <f>(42.25)*10.764</f>
        <v>454.779</v>
      </c>
      <c r="E198" s="77">
        <f>(3.3)*10.764</f>
        <v>35.521199999999993</v>
      </c>
      <c r="F198" s="65">
        <f>D198+E198</f>
        <v>490.30020000000002</v>
      </c>
      <c r="G198" s="65">
        <v>0</v>
      </c>
      <c r="H198" s="65">
        <f>F198*(($H$178)+1)+(IF(G198&lt;101,G198,IF(G198&lt;201,G198/2,IF(G198&lt;=301,G198/3,G198/4))))</f>
        <v>735.45029999999997</v>
      </c>
      <c r="M198" s="20">
        <f t="shared" si="17"/>
        <v>2574076.0499999998</v>
      </c>
    </row>
    <row r="199" spans="1:13" x14ac:dyDescent="0.25">
      <c r="A199" s="93">
        <f>A198+1</f>
        <v>3</v>
      </c>
      <c r="B199" s="94"/>
      <c r="C199" s="65" t="s">
        <v>324</v>
      </c>
      <c r="D199" s="77">
        <f>(40.83)*10.764</f>
        <v>439.49411999999995</v>
      </c>
      <c r="E199" s="77">
        <f>(3.3)*10.764</f>
        <v>35.521199999999993</v>
      </c>
      <c r="F199" s="65">
        <f>D199+E199</f>
        <v>475.01531999999997</v>
      </c>
      <c r="G199" s="65">
        <v>0</v>
      </c>
      <c r="H199" s="65">
        <f>F199*(($H$178)+1)+(IF(G199&lt;101,G199,IF(G199&lt;201,G199/2,IF(G199&lt;=301,G199/3,G199/4))))</f>
        <v>712.52297999999996</v>
      </c>
      <c r="M199" s="20">
        <f t="shared" si="17"/>
        <v>2493830.4299999997</v>
      </c>
    </row>
    <row r="200" spans="1:13" x14ac:dyDescent="0.25">
      <c r="A200" s="93">
        <f>A199+1</f>
        <v>4</v>
      </c>
      <c r="B200" s="94"/>
      <c r="C200" s="65" t="s">
        <v>324</v>
      </c>
      <c r="D200" s="77">
        <f>(41.29)*10.764</f>
        <v>444.44555999999994</v>
      </c>
      <c r="E200" s="77">
        <f>(5.42)*10.764</f>
        <v>58.340879999999999</v>
      </c>
      <c r="F200" s="65">
        <f>D200+E200</f>
        <v>502.78643999999997</v>
      </c>
      <c r="G200" s="65">
        <v>0</v>
      </c>
      <c r="H200" s="65">
        <f>F200*(($H$178)+1)+(IF(G200&lt;101,G200,IF(G200&lt;201,G200/2,IF(G200&lt;=301,G200/3,G200/4))))</f>
        <v>754.17966000000001</v>
      </c>
      <c r="M200" s="20">
        <f t="shared" si="17"/>
        <v>2639628.81</v>
      </c>
    </row>
    <row r="201" spans="1:13" x14ac:dyDescent="0.25">
      <c r="A201" s="93" t="s">
        <v>329</v>
      </c>
      <c r="B201" s="94"/>
      <c r="C201" s="93" t="s">
        <v>330</v>
      </c>
      <c r="D201" s="162"/>
      <c r="E201" s="162"/>
      <c r="F201" s="162"/>
      <c r="G201" s="162"/>
      <c r="H201" s="94"/>
      <c r="M201" s="20">
        <f t="shared" si="17"/>
        <v>0</v>
      </c>
    </row>
    <row r="202" spans="1:13" ht="15" customHeight="1" x14ac:dyDescent="0.25">
      <c r="A202" s="137">
        <v>5</v>
      </c>
      <c r="B202" s="137"/>
      <c r="C202" s="65" t="s">
        <v>324</v>
      </c>
      <c r="D202" s="77">
        <f>(40.76)*10.764</f>
        <v>438.74063999999993</v>
      </c>
      <c r="E202" s="77">
        <f>(3.3)*10.764</f>
        <v>35.521199999999993</v>
      </c>
      <c r="F202" s="65">
        <f>D202+E202</f>
        <v>474.26183999999989</v>
      </c>
      <c r="G202" s="65">
        <v>0</v>
      </c>
      <c r="H202" s="65">
        <f>F202*(($H$178)+1)+(IF(G202&lt;101,G202,IF(G202&lt;201,G202/2,IF(G202&lt;=301,G202/3,G202/4))))</f>
        <v>711.39275999999984</v>
      </c>
      <c r="M202" s="20">
        <f t="shared" si="17"/>
        <v>2489874.6599999992</v>
      </c>
    </row>
    <row r="203" spans="1:13" x14ac:dyDescent="0.25">
      <c r="A203" s="137">
        <f>A202+1</f>
        <v>6</v>
      </c>
      <c r="B203" s="137"/>
      <c r="C203" s="65" t="s">
        <v>324</v>
      </c>
      <c r="D203" s="77">
        <f>(40.76)*10.764</f>
        <v>438.74063999999993</v>
      </c>
      <c r="E203" s="77">
        <f>(3.3)*10.764</f>
        <v>35.521199999999993</v>
      </c>
      <c r="F203" s="65">
        <f>D203+E203</f>
        <v>474.26183999999989</v>
      </c>
      <c r="G203" s="65">
        <v>0</v>
      </c>
      <c r="H203" s="65">
        <f>F203*(($H$178)+1)+(IF(G203&lt;101,G203,IF(G203&lt;201,G203/2,IF(G203&lt;=301,G203/3,G203/4))))</f>
        <v>711.39275999999984</v>
      </c>
      <c r="M203" s="20">
        <f t="shared" si="17"/>
        <v>2489874.6599999992</v>
      </c>
    </row>
    <row r="204" spans="1:13" x14ac:dyDescent="0.25">
      <c r="A204" s="137">
        <f>A203+1</f>
        <v>7</v>
      </c>
      <c r="B204" s="137"/>
      <c r="C204" s="65" t="s">
        <v>323</v>
      </c>
      <c r="D204" s="77">
        <f>(53.88)*10.764</f>
        <v>579.96432000000004</v>
      </c>
      <c r="E204" s="77">
        <f>(9.65)*10.764</f>
        <v>103.87259999999999</v>
      </c>
      <c r="F204" s="65">
        <f>D204+E204</f>
        <v>683.83692000000008</v>
      </c>
      <c r="G204" s="65">
        <v>0</v>
      </c>
      <c r="H204" s="65">
        <f>F204*(($H$178)+1)+(IF(G204&lt;101,G204,IF(G204&lt;201,G204/2,IF(G204&lt;=301,G204/3,G204/4))))</f>
        <v>1025.7553800000001</v>
      </c>
      <c r="M204" s="20">
        <f t="shared" si="17"/>
        <v>3590143.83</v>
      </c>
    </row>
    <row r="205" spans="1:13" x14ac:dyDescent="0.25">
      <c r="A205" s="90" t="s">
        <v>341</v>
      </c>
      <c r="B205" s="91"/>
      <c r="C205" s="91"/>
      <c r="D205" s="91"/>
      <c r="E205" s="91"/>
      <c r="F205" s="91"/>
      <c r="G205" s="91"/>
      <c r="H205" s="92"/>
      <c r="M205" s="20">
        <f t="shared" si="17"/>
        <v>0</v>
      </c>
    </row>
    <row r="206" spans="1:13" x14ac:dyDescent="0.25">
      <c r="A206" s="90" t="s">
        <v>322</v>
      </c>
      <c r="B206" s="91"/>
      <c r="C206" s="91"/>
      <c r="D206" s="91"/>
      <c r="E206" s="91"/>
      <c r="F206" s="91"/>
      <c r="G206" s="91"/>
      <c r="H206" s="92"/>
      <c r="M206" s="20">
        <f t="shared" si="17"/>
        <v>0</v>
      </c>
    </row>
    <row r="207" spans="1:13" x14ac:dyDescent="0.25">
      <c r="A207" s="93">
        <v>1</v>
      </c>
      <c r="B207" s="94"/>
      <c r="C207" s="65" t="s">
        <v>323</v>
      </c>
      <c r="D207" s="77">
        <f>(63.78)*10.764</f>
        <v>686.52791999999999</v>
      </c>
      <c r="E207" s="77">
        <f>(6.4)*10.764</f>
        <v>68.889600000000002</v>
      </c>
      <c r="F207" s="65">
        <f>D207+E207</f>
        <v>755.41751999999997</v>
      </c>
      <c r="G207" s="77">
        <f>(7.67)*10.764</f>
        <v>82.559879999999993</v>
      </c>
      <c r="H207" s="65">
        <f>F207*(($H$178)+1)+(IF(G207&lt;101,G207,IF(G207&lt;201,G207/2,IF(G207&lt;=301,G207/3,G207/4))))</f>
        <v>1215.68616</v>
      </c>
      <c r="K207" s="20">
        <f>2.45*3.13</f>
        <v>7.6684999999999999</v>
      </c>
      <c r="M207" s="20">
        <f t="shared" si="17"/>
        <v>4254901.5599999996</v>
      </c>
    </row>
    <row r="208" spans="1:13" x14ac:dyDescent="0.25">
      <c r="A208" s="93">
        <f>A207+1</f>
        <v>2</v>
      </c>
      <c r="B208" s="94"/>
      <c r="C208" s="65" t="s">
        <v>323</v>
      </c>
      <c r="D208" s="77">
        <f>(63.78)*10.764</f>
        <v>686.52791999999999</v>
      </c>
      <c r="E208" s="77">
        <f>(8.85)*10.764</f>
        <v>95.261399999999995</v>
      </c>
      <c r="F208" s="65">
        <f>D208+E208</f>
        <v>781.78931999999998</v>
      </c>
      <c r="G208" s="77">
        <f>(10.75)*10.764</f>
        <v>115.71299999999999</v>
      </c>
      <c r="H208" s="65">
        <f>F208*(($H$178)+1)+(IF(G208&lt;101,G208,IF(G208&lt;201,G208/2,IF(G208&lt;=301,G208/3,G208/4))))</f>
        <v>1230.5404800000001</v>
      </c>
      <c r="I208" s="23">
        <f>3.2*5+1.2*2.7+1.87*2.65+3.72*2.45+2.85*3.2+3.2*3.35+2.08*1.5+2.1*1.5+1.2*1</f>
        <v>60.619500000000002</v>
      </c>
      <c r="J208" s="20">
        <f>2.445+3.2+3.2</f>
        <v>8.8449999999999989</v>
      </c>
      <c r="K208" s="20">
        <f>1.85*5+2*0.75</f>
        <v>10.75</v>
      </c>
      <c r="M208" s="20">
        <f t="shared" si="17"/>
        <v>4306891.6800000006</v>
      </c>
    </row>
    <row r="209" spans="1:20" x14ac:dyDescent="0.25">
      <c r="A209" s="93">
        <f>A208+1</f>
        <v>3</v>
      </c>
      <c r="B209" s="94"/>
      <c r="C209" s="65" t="s">
        <v>323</v>
      </c>
      <c r="D209" s="77">
        <f>(63.78)*10.764</f>
        <v>686.52791999999999</v>
      </c>
      <c r="E209" s="77">
        <f>(8.85)*10.764</f>
        <v>95.261399999999995</v>
      </c>
      <c r="F209" s="65">
        <f>D209+E209</f>
        <v>781.78931999999998</v>
      </c>
      <c r="G209" s="65">
        <v>0</v>
      </c>
      <c r="H209" s="65">
        <f>F209*(($H$178)+1)+(IF(G209&lt;101,G209,IF(G209&lt;201,G209/2,IF(G209&lt;=301,G209/3,G209/4))))</f>
        <v>1172.68398</v>
      </c>
      <c r="M209" s="20">
        <f t="shared" si="17"/>
        <v>4104393.93</v>
      </c>
    </row>
    <row r="210" spans="1:20" x14ac:dyDescent="0.25">
      <c r="A210" s="93">
        <f>A209+1</f>
        <v>4</v>
      </c>
      <c r="B210" s="94"/>
      <c r="C210" s="65" t="s">
        <v>323</v>
      </c>
      <c r="D210" s="77">
        <f>(63.78)*10.764</f>
        <v>686.52791999999999</v>
      </c>
      <c r="E210" s="77">
        <f>(8.85)*10.764</f>
        <v>95.261399999999995</v>
      </c>
      <c r="F210" s="65">
        <f>D210+E210</f>
        <v>781.78931999999998</v>
      </c>
      <c r="G210" s="65">
        <v>0</v>
      </c>
      <c r="H210" s="65">
        <f>F210*(($H$178)+1)+(IF(G210&lt;101,G210,IF(G210&lt;201,G210/2,IF(G210&lt;=301,G210/3,G210/4))))</f>
        <v>1172.68398</v>
      </c>
      <c r="M210" s="20">
        <f t="shared" si="17"/>
        <v>4104393.93</v>
      </c>
    </row>
    <row r="211" spans="1:20" x14ac:dyDescent="0.25">
      <c r="A211" s="90" t="s">
        <v>332</v>
      </c>
      <c r="B211" s="91"/>
      <c r="C211" s="91"/>
      <c r="D211" s="91"/>
      <c r="E211" s="91"/>
      <c r="F211" s="91"/>
      <c r="G211" s="91"/>
      <c r="H211" s="92"/>
      <c r="M211" s="20">
        <f t="shared" si="17"/>
        <v>0</v>
      </c>
    </row>
    <row r="212" spans="1:20" x14ac:dyDescent="0.25">
      <c r="A212" s="93">
        <v>1</v>
      </c>
      <c r="B212" s="94"/>
      <c r="C212" s="65" t="s">
        <v>323</v>
      </c>
      <c r="D212" s="77">
        <f>(63.78)*10.764</f>
        <v>686.52791999999999</v>
      </c>
      <c r="E212" s="77">
        <f>(8.85)*10.764</f>
        <v>95.261399999999995</v>
      </c>
      <c r="F212" s="65">
        <f>D212+E212</f>
        <v>781.78931999999998</v>
      </c>
      <c r="G212" s="65">
        <v>0</v>
      </c>
      <c r="H212" s="65">
        <f>F212*(($H$178)+1)+(IF(G212&lt;101,G212,IF(G212&lt;201,G212/2,IF(G212&lt;=301,G212/3,G212/4))))</f>
        <v>1172.68398</v>
      </c>
      <c r="M212" s="20">
        <f t="shared" si="17"/>
        <v>4104393.93</v>
      </c>
    </row>
    <row r="213" spans="1:20" x14ac:dyDescent="0.25">
      <c r="A213" s="93">
        <f>A212+1</f>
        <v>2</v>
      </c>
      <c r="B213" s="94"/>
      <c r="C213" s="65" t="s">
        <v>323</v>
      </c>
      <c r="D213" s="77">
        <f>(63.78)*10.764</f>
        <v>686.52791999999999</v>
      </c>
      <c r="E213" s="77">
        <f>(8.85)*10.764</f>
        <v>95.261399999999995</v>
      </c>
      <c r="F213" s="65">
        <f>D213+E213</f>
        <v>781.78931999999998</v>
      </c>
      <c r="G213" s="65">
        <v>0</v>
      </c>
      <c r="H213" s="65">
        <f>F213*(($H$178)+1)+(IF(G213&lt;101,G213,IF(G213&lt;201,G213/2,IF(G213&lt;=301,G213/3,G213/4))))</f>
        <v>1172.68398</v>
      </c>
      <c r="M213" s="20">
        <f t="shared" si="17"/>
        <v>4104393.93</v>
      </c>
    </row>
    <row r="214" spans="1:20" x14ac:dyDescent="0.25">
      <c r="A214" s="93">
        <f>A213+1</f>
        <v>3</v>
      </c>
      <c r="B214" s="94"/>
      <c r="C214" s="65" t="s">
        <v>323</v>
      </c>
      <c r="D214" s="77">
        <f>(63.78)*10.764</f>
        <v>686.52791999999999</v>
      </c>
      <c r="E214" s="77">
        <f>(8.85)*10.764</f>
        <v>95.261399999999995</v>
      </c>
      <c r="F214" s="65">
        <f>D214+E214</f>
        <v>781.78931999999998</v>
      </c>
      <c r="G214" s="65">
        <v>0</v>
      </c>
      <c r="H214" s="65">
        <f>F214*(($H$178)+1)+(IF(G214&lt;101,G214,IF(G214&lt;201,G214/2,IF(G214&lt;=301,G214/3,G214/4))))</f>
        <v>1172.68398</v>
      </c>
      <c r="M214" s="20">
        <f t="shared" si="17"/>
        <v>4104393.93</v>
      </c>
    </row>
    <row r="215" spans="1:20" x14ac:dyDescent="0.25">
      <c r="A215" s="93">
        <f>A214+1</f>
        <v>4</v>
      </c>
      <c r="B215" s="94"/>
      <c r="C215" s="65" t="s">
        <v>323</v>
      </c>
      <c r="D215" s="77">
        <f>(63.78)*10.764</f>
        <v>686.52791999999999</v>
      </c>
      <c r="E215" s="77">
        <f>(8.85)*10.764</f>
        <v>95.261399999999995</v>
      </c>
      <c r="F215" s="65">
        <f>D215+E215</f>
        <v>781.78931999999998</v>
      </c>
      <c r="G215" s="65">
        <v>0</v>
      </c>
      <c r="H215" s="65">
        <f>F215*(($H$178)+1)+(IF(G215&lt;101,G215,IF(G215&lt;201,G215/2,IF(G215&lt;=301,G215/3,G215/4))))</f>
        <v>1172.68398</v>
      </c>
      <c r="M215" s="20">
        <f t="shared" si="17"/>
        <v>4104393.93</v>
      </c>
    </row>
    <row r="216" spans="1:20" x14ac:dyDescent="0.25">
      <c r="A216" s="90" t="s">
        <v>342</v>
      </c>
      <c r="B216" s="91"/>
      <c r="C216" s="91"/>
      <c r="D216" s="91"/>
      <c r="E216" s="91"/>
      <c r="F216" s="91"/>
      <c r="G216" s="91"/>
      <c r="H216" s="92"/>
      <c r="M216" s="20">
        <f t="shared" si="17"/>
        <v>0</v>
      </c>
    </row>
    <row r="217" spans="1:20" x14ac:dyDescent="0.25">
      <c r="A217" s="90" t="s">
        <v>322</v>
      </c>
      <c r="B217" s="91"/>
      <c r="C217" s="91"/>
      <c r="D217" s="91"/>
      <c r="E217" s="91"/>
      <c r="F217" s="91"/>
      <c r="G217" s="91"/>
      <c r="H217" s="92"/>
      <c r="M217" s="20">
        <f t="shared" si="17"/>
        <v>0</v>
      </c>
    </row>
    <row r="218" spans="1:20" x14ac:dyDescent="0.25">
      <c r="A218" s="93">
        <v>1</v>
      </c>
      <c r="B218" s="94"/>
      <c r="C218" s="65" t="s">
        <v>325</v>
      </c>
      <c r="D218" s="77">
        <f>(77.2)*10.764</f>
        <v>830.98079999999993</v>
      </c>
      <c r="E218" s="77">
        <f>(7.64)*10.764</f>
        <v>82.236959999999996</v>
      </c>
      <c r="F218" s="65">
        <f>D218+E218</f>
        <v>913.21775999999988</v>
      </c>
      <c r="G218" s="65">
        <v>0</v>
      </c>
      <c r="H218" s="65">
        <f>F218*(($H$178)+1)+(IF(G218&lt;101,G218,IF(G218&lt;201,G218/2,IF(G218&lt;=301,G218/3,G218/4))))</f>
        <v>1369.8266399999998</v>
      </c>
      <c r="M218" s="20">
        <f t="shared" si="17"/>
        <v>4794393.2399999993</v>
      </c>
    </row>
    <row r="219" spans="1:20" x14ac:dyDescent="0.25">
      <c r="A219" s="93">
        <f>A218+1</f>
        <v>2</v>
      </c>
      <c r="B219" s="94"/>
      <c r="C219" s="65" t="s">
        <v>325</v>
      </c>
      <c r="D219" s="77">
        <f>(77.2)*10.764</f>
        <v>830.98079999999993</v>
      </c>
      <c r="E219" s="77">
        <f>(7.64)*10.764</f>
        <v>82.236959999999996</v>
      </c>
      <c r="F219" s="65">
        <f>D219+E219</f>
        <v>913.21775999999988</v>
      </c>
      <c r="G219" s="65">
        <v>0</v>
      </c>
      <c r="H219" s="65">
        <f>F219*(($H$178)+1)+(IF(G219&lt;101,G219,IF(G219&lt;201,G219/2,IF(G219&lt;=301,G219/3,G219/4))))</f>
        <v>1369.8266399999998</v>
      </c>
      <c r="M219" s="20">
        <f t="shared" si="17"/>
        <v>4794393.2399999993</v>
      </c>
    </row>
    <row r="220" spans="1:20" x14ac:dyDescent="0.25">
      <c r="A220" s="93">
        <f>A219+1</f>
        <v>3</v>
      </c>
      <c r="B220" s="94"/>
      <c r="C220" s="65" t="s">
        <v>325</v>
      </c>
      <c r="D220" s="77">
        <f>(77.2)*10.764</f>
        <v>830.98079999999993</v>
      </c>
      <c r="E220" s="77">
        <f>(6.9)*10.764</f>
        <v>74.271599999999992</v>
      </c>
      <c r="F220" s="65">
        <f>D220+E220</f>
        <v>905.25239999999997</v>
      </c>
      <c r="G220" s="77">
        <f>(7.91)*10.764</f>
        <v>85.143239999999992</v>
      </c>
      <c r="H220" s="65">
        <f>F220*(($H$178)+1)+(IF(G220&lt;101,G220,IF(G220&lt;201,G220/2,IF(G220&lt;=301,G220/3,G220/4))))</f>
        <v>1443.0218399999999</v>
      </c>
      <c r="M220" s="20">
        <f t="shared" si="17"/>
        <v>5050576.4399999995</v>
      </c>
    </row>
    <row r="221" spans="1:20" x14ac:dyDescent="0.25">
      <c r="A221" s="93">
        <f>A220+1</f>
        <v>4</v>
      </c>
      <c r="B221" s="94"/>
      <c r="C221" s="65" t="s">
        <v>325</v>
      </c>
      <c r="D221" s="77">
        <f>(77.2)*10.764</f>
        <v>830.98079999999993</v>
      </c>
      <c r="E221" s="77">
        <f>(6.9)*10.764</f>
        <v>74.271599999999992</v>
      </c>
      <c r="F221" s="65">
        <f>D221+E221</f>
        <v>905.25239999999997</v>
      </c>
      <c r="G221" s="77">
        <f>(7.91)*10.764</f>
        <v>85.143239999999992</v>
      </c>
      <c r="H221" s="65">
        <f>F221*(($H$178)+1)+(IF(G221&lt;101,G221,IF(G221&lt;201,G221/2,IF(G221&lt;=301,G221/3,G221/4))))</f>
        <v>1443.0218399999999</v>
      </c>
      <c r="M221" s="20">
        <f t="shared" si="17"/>
        <v>5050576.4399999995</v>
      </c>
      <c r="T221"/>
    </row>
    <row r="222" spans="1:20" x14ac:dyDescent="0.25">
      <c r="A222" s="90" t="s">
        <v>332</v>
      </c>
      <c r="B222" s="91"/>
      <c r="C222" s="91"/>
      <c r="D222" s="91"/>
      <c r="E222" s="91"/>
      <c r="F222" s="91"/>
      <c r="G222" s="91"/>
      <c r="H222" s="92"/>
      <c r="M222" s="20">
        <f t="shared" si="17"/>
        <v>0</v>
      </c>
    </row>
    <row r="223" spans="1:20" x14ac:dyDescent="0.25">
      <c r="A223" s="93">
        <v>1</v>
      </c>
      <c r="B223" s="94"/>
      <c r="C223" s="65" t="s">
        <v>323</v>
      </c>
      <c r="D223" s="77">
        <f>(77.2)*10.764</f>
        <v>830.98079999999993</v>
      </c>
      <c r="E223" s="77">
        <f>(7.64)*10.764</f>
        <v>82.236959999999996</v>
      </c>
      <c r="F223" s="65">
        <f>D223+E223</f>
        <v>913.21775999999988</v>
      </c>
      <c r="G223" s="65">
        <v>0</v>
      </c>
      <c r="H223" s="65">
        <f>F223*(($H$178)+1)+(IF(G223&lt;101,G223,IF(G223&lt;201,G223/2,IF(G223&lt;=301,G223/3,G223/4))))</f>
        <v>1369.8266399999998</v>
      </c>
      <c r="M223" s="20">
        <f t="shared" si="17"/>
        <v>4794393.2399999993</v>
      </c>
    </row>
    <row r="224" spans="1:20" x14ac:dyDescent="0.25">
      <c r="A224" s="93">
        <f>A223+1</f>
        <v>2</v>
      </c>
      <c r="B224" s="94"/>
      <c r="C224" s="65" t="s">
        <v>323</v>
      </c>
      <c r="D224" s="77">
        <f>(77.2)*10.764</f>
        <v>830.98079999999993</v>
      </c>
      <c r="E224" s="77">
        <f>(7.64)*10.764</f>
        <v>82.236959999999996</v>
      </c>
      <c r="F224" s="65">
        <f>D224+E224</f>
        <v>913.21775999999988</v>
      </c>
      <c r="G224" s="65">
        <v>0</v>
      </c>
      <c r="H224" s="65">
        <f>F224*(($H$178)+1)+(IF(G224&lt;101,G224,IF(G224&lt;201,G224/2,IF(G224&lt;=301,G224/3,G224/4))))</f>
        <v>1369.8266399999998</v>
      </c>
      <c r="M224" s="20">
        <f t="shared" si="17"/>
        <v>4794393.2399999993</v>
      </c>
    </row>
    <row r="225" spans="1:13" x14ac:dyDescent="0.25">
      <c r="A225" s="93">
        <f>A224+1</f>
        <v>3</v>
      </c>
      <c r="B225" s="94"/>
      <c r="C225" s="65" t="s">
        <v>323</v>
      </c>
      <c r="D225" s="77">
        <f>(77.2)*10.764</f>
        <v>830.98079999999993</v>
      </c>
      <c r="E225" s="77">
        <f>(7.64)*10.764</f>
        <v>82.236959999999996</v>
      </c>
      <c r="F225" s="65">
        <f>D225+E225</f>
        <v>913.21775999999988</v>
      </c>
      <c r="G225" s="65">
        <v>0</v>
      </c>
      <c r="H225" s="65">
        <f>F225*(($H$178)+1)+(IF(G225&lt;101,G225,IF(G225&lt;201,G225/2,IF(G225&lt;=301,G225/3,G225/4))))</f>
        <v>1369.8266399999998</v>
      </c>
      <c r="M225" s="20">
        <f t="shared" si="17"/>
        <v>4794393.2399999993</v>
      </c>
    </row>
    <row r="226" spans="1:13" x14ac:dyDescent="0.25">
      <c r="A226" s="93">
        <f>A225+1</f>
        <v>4</v>
      </c>
      <c r="B226" s="94"/>
      <c r="C226" s="65" t="s">
        <v>323</v>
      </c>
      <c r="D226" s="77">
        <f>(77.2)*10.764</f>
        <v>830.98079999999993</v>
      </c>
      <c r="E226" s="77">
        <f>(7.64)*10.764</f>
        <v>82.236959999999996</v>
      </c>
      <c r="F226" s="65">
        <f>D226+E226</f>
        <v>913.21775999999988</v>
      </c>
      <c r="G226" s="65">
        <v>0</v>
      </c>
      <c r="H226" s="65">
        <f>F226*(($H$178)+1)+(IF(G226&lt;101,G226,IF(G226&lt;201,G226/2,IF(G226&lt;=301,G226/3,G226/4))))</f>
        <v>1369.8266399999998</v>
      </c>
      <c r="M226" s="20">
        <f t="shared" si="17"/>
        <v>4794393.2399999993</v>
      </c>
    </row>
    <row r="227" spans="1:13" x14ac:dyDescent="0.25">
      <c r="A227" s="93"/>
      <c r="B227" s="162"/>
      <c r="C227" s="162"/>
      <c r="D227" s="162"/>
      <c r="E227" s="162"/>
      <c r="F227" s="162"/>
      <c r="G227" s="162"/>
      <c r="H227" s="94"/>
      <c r="M227" s="20">
        <f t="shared" si="17"/>
        <v>0</v>
      </c>
    </row>
    <row r="228" spans="1:13" x14ac:dyDescent="0.25">
      <c r="A228" s="166" t="s">
        <v>65</v>
      </c>
      <c r="B228" s="166"/>
      <c r="C228" s="166"/>
      <c r="D228" s="166"/>
      <c r="E228" s="166"/>
      <c r="F228" s="166"/>
      <c r="G228" s="166"/>
      <c r="H228" s="166"/>
    </row>
    <row r="229" spans="1:13" x14ac:dyDescent="0.25">
      <c r="A229" s="43" t="s">
        <v>148</v>
      </c>
      <c r="B229" s="163" t="s">
        <v>352</v>
      </c>
      <c r="C229" s="164"/>
      <c r="D229" s="164"/>
      <c r="E229" s="164"/>
      <c r="F229" s="164"/>
      <c r="G229" s="164"/>
      <c r="H229" s="165"/>
    </row>
    <row r="230" spans="1:13" x14ac:dyDescent="0.25">
      <c r="A230" s="43" t="s">
        <v>148</v>
      </c>
      <c r="B230" s="163" t="str">
        <f>(IF(H177="Saleable area Loading :","We have considered Saleable area of Flats as per our Calculation.","We considered Saleable area of Flat as per Builder area Sheet."))</f>
        <v>We have considered Saleable area of Flats as per our Calculation.</v>
      </c>
      <c r="C230" s="164"/>
      <c r="D230" s="164"/>
      <c r="E230" s="164"/>
      <c r="F230" s="164"/>
      <c r="G230" s="164"/>
      <c r="H230" s="165"/>
    </row>
    <row r="231" spans="1:13" x14ac:dyDescent="0.25">
      <c r="A231" s="43" t="s">
        <v>148</v>
      </c>
      <c r="B231" s="163" t="str">
        <f>(IF(H145="Saleable area Loading :","We have considered Saleable area of Commercial as per our Calculation.","We considered Saleable area of Commercial as per Builder area Sheet."))</f>
        <v>We have considered Saleable area of Commercial as per our Calculation.</v>
      </c>
      <c r="C231" s="164"/>
      <c r="D231" s="164"/>
      <c r="E231" s="164"/>
      <c r="F231" s="164"/>
      <c r="G231" s="164"/>
      <c r="H231" s="165"/>
    </row>
    <row r="232" spans="1:13" x14ac:dyDescent="0.25">
      <c r="A232" s="43" t="s">
        <v>148</v>
      </c>
      <c r="B232" s="82" t="s">
        <v>118</v>
      </c>
      <c r="C232" s="83"/>
      <c r="D232" s="83"/>
      <c r="E232" s="83"/>
      <c r="F232" s="83"/>
      <c r="G232" s="83"/>
      <c r="H232" s="84"/>
    </row>
    <row r="233" spans="1:13" x14ac:dyDescent="0.25">
      <c r="A233" s="43" t="s">
        <v>148</v>
      </c>
      <c r="B233" s="82" t="s">
        <v>334</v>
      </c>
      <c r="C233" s="83"/>
      <c r="D233" s="83"/>
      <c r="E233" s="83"/>
      <c r="F233" s="83"/>
      <c r="G233" s="83"/>
      <c r="H233" s="84"/>
    </row>
    <row r="234" spans="1:13" x14ac:dyDescent="0.25">
      <c r="A234" s="43" t="s">
        <v>148</v>
      </c>
      <c r="B234" s="82" t="s">
        <v>147</v>
      </c>
      <c r="C234" s="83"/>
      <c r="D234" s="83"/>
      <c r="E234" s="83"/>
      <c r="F234" s="83"/>
      <c r="G234" s="83"/>
      <c r="H234" s="84"/>
    </row>
    <row r="235" spans="1:13" x14ac:dyDescent="0.25">
      <c r="A235" s="43" t="s">
        <v>148</v>
      </c>
      <c r="B235" s="82" t="s">
        <v>119</v>
      </c>
      <c r="C235" s="83"/>
      <c r="D235" s="83"/>
      <c r="E235" s="83"/>
      <c r="F235" s="83"/>
      <c r="G235" s="83"/>
      <c r="H235" s="84"/>
    </row>
    <row r="236" spans="1:13" ht="36" customHeight="1" x14ac:dyDescent="0.25">
      <c r="A236" s="43" t="s">
        <v>148</v>
      </c>
      <c r="B236" s="82" t="s">
        <v>149</v>
      </c>
      <c r="C236" s="83"/>
      <c r="D236" s="83"/>
      <c r="E236" s="83"/>
      <c r="F236" s="83"/>
      <c r="G236" s="83"/>
      <c r="H236" s="84"/>
    </row>
    <row r="237" spans="1:13" x14ac:dyDescent="0.25">
      <c r="A237" s="80" t="s">
        <v>148</v>
      </c>
      <c r="B237" s="82" t="s">
        <v>120</v>
      </c>
      <c r="C237" s="83"/>
      <c r="D237" s="83"/>
      <c r="E237" s="83"/>
      <c r="F237" s="83"/>
      <c r="G237" s="83"/>
      <c r="H237" s="84"/>
    </row>
    <row r="238" spans="1:13" x14ac:dyDescent="0.25">
      <c r="A238" s="43" t="s">
        <v>148</v>
      </c>
      <c r="B238" s="82" t="s">
        <v>351</v>
      </c>
      <c r="C238" s="83"/>
      <c r="D238" s="83"/>
      <c r="E238" s="83"/>
      <c r="F238" s="83"/>
      <c r="G238" s="83"/>
      <c r="H238" s="84"/>
    </row>
    <row r="239" spans="1:13" hidden="1" x14ac:dyDescent="0.25">
      <c r="A239" s="50" t="s">
        <v>148</v>
      </c>
      <c r="B239" s="171" t="s">
        <v>173</v>
      </c>
      <c r="C239" s="172"/>
      <c r="D239" s="172"/>
      <c r="E239" s="172"/>
      <c r="F239" s="172"/>
      <c r="G239" s="172"/>
      <c r="H239" s="173"/>
    </row>
    <row r="240" spans="1:13" hidden="1" x14ac:dyDescent="0.25">
      <c r="A240" s="55" t="s">
        <v>148</v>
      </c>
      <c r="B240" s="171" t="s">
        <v>228</v>
      </c>
      <c r="C240" s="172"/>
      <c r="D240" s="172"/>
      <c r="E240" s="172"/>
      <c r="F240" s="172"/>
      <c r="G240" s="172"/>
      <c r="H240" s="173"/>
    </row>
    <row r="241" spans="1:8" x14ac:dyDescent="0.25">
      <c r="A241" s="120" t="s">
        <v>58</v>
      </c>
      <c r="B241" s="120"/>
      <c r="C241" s="120"/>
      <c r="D241" s="120"/>
      <c r="E241" s="120"/>
      <c r="F241" s="120"/>
      <c r="G241" s="120"/>
      <c r="H241" s="120"/>
    </row>
    <row r="242" spans="1:8" x14ac:dyDescent="0.25">
      <c r="A242" s="100" t="s">
        <v>59</v>
      </c>
      <c r="B242" s="100"/>
      <c r="C242" s="100"/>
      <c r="D242" s="100"/>
      <c r="E242" s="100"/>
      <c r="F242" s="100"/>
      <c r="G242" s="100"/>
      <c r="H242" s="100"/>
    </row>
    <row r="243" spans="1:8" x14ac:dyDescent="0.25">
      <c r="A243" s="136" t="s">
        <v>60</v>
      </c>
      <c r="B243" s="136"/>
      <c r="C243" s="136"/>
      <c r="D243" s="136"/>
      <c r="E243" s="136"/>
      <c r="F243" s="136"/>
      <c r="G243" s="136"/>
      <c r="H243" s="136"/>
    </row>
    <row r="244" spans="1:8" x14ac:dyDescent="0.25">
      <c r="A244" s="100" t="s">
        <v>61</v>
      </c>
      <c r="B244" s="100"/>
      <c r="C244" s="100"/>
      <c r="D244" s="100"/>
      <c r="E244" s="100"/>
      <c r="F244" s="100"/>
      <c r="G244" s="100"/>
      <c r="H244" s="100"/>
    </row>
    <row r="245" spans="1:8" x14ac:dyDescent="0.25">
      <c r="A245" s="100" t="s">
        <v>62</v>
      </c>
      <c r="B245" s="100"/>
      <c r="C245" s="100"/>
      <c r="D245" s="100"/>
      <c r="E245" s="100"/>
      <c r="F245" s="100"/>
      <c r="G245" s="100"/>
      <c r="H245" s="100"/>
    </row>
    <row r="246" spans="1:8" x14ac:dyDescent="0.25">
      <c r="A246" s="100" t="s">
        <v>121</v>
      </c>
      <c r="B246" s="100"/>
      <c r="C246" s="100"/>
      <c r="D246" s="100"/>
      <c r="E246" s="100"/>
      <c r="F246" s="100"/>
      <c r="G246" s="100"/>
      <c r="H246" s="100"/>
    </row>
    <row r="247" spans="1:8" ht="34.5" customHeight="1" x14ac:dyDescent="0.25">
      <c r="A247" s="106" t="s">
        <v>122</v>
      </c>
      <c r="B247" s="106"/>
      <c r="C247" s="106"/>
      <c r="D247" s="106"/>
      <c r="E247" s="106"/>
      <c r="F247" s="106"/>
      <c r="G247" s="106"/>
      <c r="H247" s="106"/>
    </row>
    <row r="248" spans="1:8" x14ac:dyDescent="0.25">
      <c r="A248" s="168" t="s">
        <v>72</v>
      </c>
      <c r="B248" s="168"/>
      <c r="C248" s="168" t="s">
        <v>357</v>
      </c>
      <c r="D248" s="168"/>
      <c r="E248" s="168" t="s">
        <v>102</v>
      </c>
      <c r="F248" s="168"/>
      <c r="G248" s="168" t="s">
        <v>356</v>
      </c>
      <c r="H248" s="168"/>
    </row>
    <row r="249" spans="1:8" x14ac:dyDescent="0.25">
      <c r="A249" s="167" t="s">
        <v>74</v>
      </c>
      <c r="B249" s="167"/>
      <c r="C249" s="167"/>
      <c r="D249" s="167"/>
      <c r="E249" s="167"/>
      <c r="F249" s="167"/>
      <c r="G249" s="167"/>
      <c r="H249" s="167"/>
    </row>
    <row r="250" spans="1:8" x14ac:dyDescent="0.25">
      <c r="A250" s="167"/>
      <c r="B250" s="167"/>
      <c r="C250" s="167"/>
      <c r="D250" s="167"/>
      <c r="E250" s="167"/>
      <c r="F250" s="167"/>
      <c r="G250" s="167"/>
      <c r="H250" s="167"/>
    </row>
    <row r="251" spans="1:8" x14ac:dyDescent="0.25">
      <c r="A251" s="167"/>
      <c r="B251" s="167"/>
      <c r="C251" s="167"/>
      <c r="D251" s="167"/>
      <c r="E251" s="167"/>
      <c r="F251" s="167"/>
      <c r="G251" s="167"/>
      <c r="H251" s="167"/>
    </row>
    <row r="252" spans="1:8" x14ac:dyDescent="0.25">
      <c r="A252" s="167"/>
      <c r="B252" s="167"/>
      <c r="C252" s="167"/>
      <c r="D252" s="167"/>
      <c r="E252" s="167"/>
      <c r="F252" s="167"/>
      <c r="G252" s="167"/>
      <c r="H252" s="167"/>
    </row>
    <row r="253" spans="1:8" x14ac:dyDescent="0.25">
      <c r="A253" s="37" t="s">
        <v>63</v>
      </c>
      <c r="B253" s="38"/>
      <c r="C253" s="38"/>
      <c r="D253" s="37" t="str">
        <f>E9</f>
        <v>Shri Hari Vitthal Vihar</v>
      </c>
      <c r="F253" s="38"/>
      <c r="G253" s="38"/>
      <c r="H253" s="38"/>
    </row>
    <row r="254" spans="1:8" x14ac:dyDescent="0.25">
      <c r="A254" s="38"/>
      <c r="B254" s="38"/>
      <c r="C254" s="38"/>
      <c r="D254" s="38"/>
      <c r="E254" s="38"/>
      <c r="F254" s="38"/>
      <c r="G254" s="38"/>
      <c r="H254" s="38"/>
    </row>
    <row r="255" spans="1:8" x14ac:dyDescent="0.25">
      <c r="A255" s="38"/>
      <c r="B255" s="38"/>
      <c r="C255" s="38"/>
      <c r="D255" s="38"/>
      <c r="E255" s="38"/>
      <c r="F255" s="38"/>
      <c r="G255" s="38"/>
      <c r="H255" s="38"/>
    </row>
    <row r="296" spans="1:1" x14ac:dyDescent="0.25">
      <c r="A296" s="40" t="s">
        <v>159</v>
      </c>
    </row>
    <row r="336" spans="1:1" x14ac:dyDescent="0.25">
      <c r="A336" s="40" t="s">
        <v>64</v>
      </c>
    </row>
  </sheetData>
  <mergeCells count="415">
    <mergeCell ref="A49:B49"/>
    <mergeCell ref="C49:H49"/>
    <mergeCell ref="B234:H234"/>
    <mergeCell ref="A108:B108"/>
    <mergeCell ref="A109:B109"/>
    <mergeCell ref="G93:H102"/>
    <mergeCell ref="A94:B94"/>
    <mergeCell ref="A95:B95"/>
    <mergeCell ref="A96:B96"/>
    <mergeCell ref="F119:H119"/>
    <mergeCell ref="A119:E119"/>
    <mergeCell ref="D145:D146"/>
    <mergeCell ref="A121:E121"/>
    <mergeCell ref="A112:B112"/>
    <mergeCell ref="A114:B114"/>
    <mergeCell ref="A115:B115"/>
    <mergeCell ref="A120:E120"/>
    <mergeCell ref="A117:E117"/>
    <mergeCell ref="F121:H121"/>
    <mergeCell ref="G106:H106"/>
    <mergeCell ref="A141:B141"/>
    <mergeCell ref="E92:F92"/>
    <mergeCell ref="G92:H92"/>
    <mergeCell ref="A79:B79"/>
    <mergeCell ref="L159:M159"/>
    <mergeCell ref="A189:B189"/>
    <mergeCell ref="A186:B186"/>
    <mergeCell ref="A187:B187"/>
    <mergeCell ref="A197:B197"/>
    <mergeCell ref="L158:M158"/>
    <mergeCell ref="L155:M155"/>
    <mergeCell ref="A181:B181"/>
    <mergeCell ref="L156:M156"/>
    <mergeCell ref="A182:B182"/>
    <mergeCell ref="L157:M157"/>
    <mergeCell ref="A183:B183"/>
    <mergeCell ref="A177:A178"/>
    <mergeCell ref="F177:F178"/>
    <mergeCell ref="A191:B191"/>
    <mergeCell ref="A158:H158"/>
    <mergeCell ref="A159:H159"/>
    <mergeCell ref="A160:B160"/>
    <mergeCell ref="A161:B161"/>
    <mergeCell ref="A40:B40"/>
    <mergeCell ref="C40:H40"/>
    <mergeCell ref="F145:F146"/>
    <mergeCell ref="C132:D132"/>
    <mergeCell ref="E132:F132"/>
    <mergeCell ref="B145:B146"/>
    <mergeCell ref="A145:A146"/>
    <mergeCell ref="C177:C178"/>
    <mergeCell ref="G177:G178"/>
    <mergeCell ref="G142:H142"/>
    <mergeCell ref="C55:H55"/>
    <mergeCell ref="A78:B78"/>
    <mergeCell ref="A70:C70"/>
    <mergeCell ref="D70:H70"/>
    <mergeCell ref="C77:H77"/>
    <mergeCell ref="A80:B80"/>
    <mergeCell ref="A82:B82"/>
    <mergeCell ref="E78:F78"/>
    <mergeCell ref="A71:C71"/>
    <mergeCell ref="D71:H71"/>
    <mergeCell ref="A74:C74"/>
    <mergeCell ref="D74:H74"/>
    <mergeCell ref="A72:C72"/>
    <mergeCell ref="D73:H73"/>
    <mergeCell ref="A39:B39"/>
    <mergeCell ref="C39:H39"/>
    <mergeCell ref="A46:D46"/>
    <mergeCell ref="L150:M150"/>
    <mergeCell ref="L149:M149"/>
    <mergeCell ref="L148:M148"/>
    <mergeCell ref="L147:M147"/>
    <mergeCell ref="A86:B86"/>
    <mergeCell ref="C138:D138"/>
    <mergeCell ref="E138:F138"/>
    <mergeCell ref="G138:H138"/>
    <mergeCell ref="A118:E118"/>
    <mergeCell ref="A103:B103"/>
    <mergeCell ref="C103:H103"/>
    <mergeCell ref="A147:H147"/>
    <mergeCell ref="E145:E146"/>
    <mergeCell ref="A93:B93"/>
    <mergeCell ref="A47:D47"/>
    <mergeCell ref="A48:H48"/>
    <mergeCell ref="D64:H64"/>
    <mergeCell ref="A64:C64"/>
    <mergeCell ref="A85:B85"/>
    <mergeCell ref="C91:H91"/>
    <mergeCell ref="A45:D45"/>
    <mergeCell ref="A38:H38"/>
    <mergeCell ref="A37:B37"/>
    <mergeCell ref="C37:E37"/>
    <mergeCell ref="G107:H116"/>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2:B92"/>
    <mergeCell ref="E47:H47"/>
    <mergeCell ref="C57:H57"/>
    <mergeCell ref="C59:H59"/>
    <mergeCell ref="A91:B91"/>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81:B81"/>
    <mergeCell ref="A153:B153"/>
    <mergeCell ref="E139:F139"/>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A102:B102"/>
    <mergeCell ref="A107:B107"/>
    <mergeCell ref="A148:H148"/>
    <mergeCell ref="A242:H242"/>
    <mergeCell ref="B240:H240"/>
    <mergeCell ref="A77:B77"/>
    <mergeCell ref="A143:H143"/>
    <mergeCell ref="A123:E123"/>
    <mergeCell ref="F123:H123"/>
    <mergeCell ref="A125:E125"/>
    <mergeCell ref="F120:H120"/>
    <mergeCell ref="A124:E124"/>
    <mergeCell ref="A110:B110"/>
    <mergeCell ref="A111:B111"/>
    <mergeCell ref="E93:F102"/>
    <mergeCell ref="A100:B100"/>
    <mergeCell ref="A101:B101"/>
    <mergeCell ref="E106:F106"/>
    <mergeCell ref="E107:F116"/>
    <mergeCell ref="B231:H231"/>
    <mergeCell ref="A215:B215"/>
    <mergeCell ref="A105:B105"/>
    <mergeCell ref="G145:G146"/>
    <mergeCell ref="A198:B198"/>
    <mergeCell ref="F117:H117"/>
    <mergeCell ref="F122:H122"/>
    <mergeCell ref="C135:D135"/>
    <mergeCell ref="E135:F135"/>
    <mergeCell ref="G135:H135"/>
    <mergeCell ref="A139:B139"/>
    <mergeCell ref="C139:D139"/>
    <mergeCell ref="E137:F137"/>
    <mergeCell ref="A122:E122"/>
    <mergeCell ref="A249:H252"/>
    <mergeCell ref="A248:B248"/>
    <mergeCell ref="E248:F248"/>
    <mergeCell ref="C248:D248"/>
    <mergeCell ref="G248:H248"/>
    <mergeCell ref="A130:H130"/>
    <mergeCell ref="A128:E128"/>
    <mergeCell ref="F128:H128"/>
    <mergeCell ref="A129:E129"/>
    <mergeCell ref="F129:H129"/>
    <mergeCell ref="A138:B138"/>
    <mergeCell ref="A193:B193"/>
    <mergeCell ref="A132:B132"/>
    <mergeCell ref="A244:H244"/>
    <mergeCell ref="A136:H136"/>
    <mergeCell ref="A247:H247"/>
    <mergeCell ref="A245:H245"/>
    <mergeCell ref="A241:H241"/>
    <mergeCell ref="B239:H239"/>
    <mergeCell ref="A142:B142"/>
    <mergeCell ref="C142:D142"/>
    <mergeCell ref="E142:F142"/>
    <mergeCell ref="B238:H238"/>
    <mergeCell ref="B235:H235"/>
    <mergeCell ref="A209:B209"/>
    <mergeCell ref="A210:B210"/>
    <mergeCell ref="A204:B204"/>
    <mergeCell ref="B229:H229"/>
    <mergeCell ref="B230:H230"/>
    <mergeCell ref="B232:H232"/>
    <mergeCell ref="B233:H233"/>
    <mergeCell ref="A228:H228"/>
    <mergeCell ref="A200:B200"/>
    <mergeCell ref="A202:B202"/>
    <mergeCell ref="A212:B212"/>
    <mergeCell ref="A213:B213"/>
    <mergeCell ref="A214:B214"/>
    <mergeCell ref="A225:B225"/>
    <mergeCell ref="A226:B226"/>
    <mergeCell ref="A227:H227"/>
    <mergeCell ref="A217:H217"/>
    <mergeCell ref="A218:B218"/>
    <mergeCell ref="A219:B219"/>
    <mergeCell ref="A220:B220"/>
    <mergeCell ref="A221:B221"/>
    <mergeCell ref="A222:H222"/>
    <mergeCell ref="A223:B223"/>
    <mergeCell ref="A224:B224"/>
    <mergeCell ref="A206:H206"/>
    <mergeCell ref="A176:H176"/>
    <mergeCell ref="A203:B203"/>
    <mergeCell ref="A201:B201"/>
    <mergeCell ref="C201:H201"/>
    <mergeCell ref="A152:B152"/>
    <mergeCell ref="A151:B151"/>
    <mergeCell ref="A207:B207"/>
    <mergeCell ref="A208:B208"/>
    <mergeCell ref="A196:H196"/>
    <mergeCell ref="A199:B199"/>
    <mergeCell ref="A175:B175"/>
    <mergeCell ref="A180:H180"/>
    <mergeCell ref="A174:B174"/>
    <mergeCell ref="A195:B195"/>
    <mergeCell ref="B177:B178"/>
    <mergeCell ref="D67:H67"/>
    <mergeCell ref="C52:E52"/>
    <mergeCell ref="A65:C67"/>
    <mergeCell ref="D65:H65"/>
    <mergeCell ref="D66:H66"/>
    <mergeCell ref="A156:B156"/>
    <mergeCell ref="A157:B157"/>
    <mergeCell ref="A149:B149"/>
    <mergeCell ref="A75:B75"/>
    <mergeCell ref="C75:H75"/>
    <mergeCell ref="A83:B83"/>
    <mergeCell ref="E141:F141"/>
    <mergeCell ref="C105:H105"/>
    <mergeCell ref="A106:B106"/>
    <mergeCell ref="A127:E127"/>
    <mergeCell ref="G141:H141"/>
    <mergeCell ref="C133:D133"/>
    <mergeCell ref="E133:F133"/>
    <mergeCell ref="G133:H133"/>
    <mergeCell ref="A135:B135"/>
    <mergeCell ref="G78:H78"/>
    <mergeCell ref="G137:H137"/>
    <mergeCell ref="C145:C146"/>
    <mergeCell ref="G139:H139"/>
    <mergeCell ref="A246:H246"/>
    <mergeCell ref="A243:H243"/>
    <mergeCell ref="A185:B185"/>
    <mergeCell ref="A137:B137"/>
    <mergeCell ref="D177:D178"/>
    <mergeCell ref="E177:E178"/>
    <mergeCell ref="A97:B97"/>
    <mergeCell ref="A98:B98"/>
    <mergeCell ref="A99:B99"/>
    <mergeCell ref="A113:B113"/>
    <mergeCell ref="F118:H118"/>
    <mergeCell ref="G132:H132"/>
    <mergeCell ref="A116:B116"/>
    <mergeCell ref="F124:H124"/>
    <mergeCell ref="C131:D131"/>
    <mergeCell ref="C141:D141"/>
    <mergeCell ref="A179:H179"/>
    <mergeCell ref="A194:B194"/>
    <mergeCell ref="A184:B184"/>
    <mergeCell ref="A188:H188"/>
    <mergeCell ref="A190:B190"/>
    <mergeCell ref="A154:B154"/>
    <mergeCell ref="A155:B155"/>
    <mergeCell ref="B236:H236"/>
    <mergeCell ref="A50:B50"/>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C51:E51"/>
    <mergeCell ref="A173:B173"/>
    <mergeCell ref="I15:P15"/>
    <mergeCell ref="F127:H127"/>
    <mergeCell ref="F125:H125"/>
    <mergeCell ref="A192:B192"/>
    <mergeCell ref="A144:H144"/>
    <mergeCell ref="G131:H131"/>
    <mergeCell ref="A126:E126"/>
    <mergeCell ref="A150:B150"/>
    <mergeCell ref="A60:B60"/>
    <mergeCell ref="C60:E60"/>
    <mergeCell ref="D62:H62"/>
    <mergeCell ref="F126:H126"/>
    <mergeCell ref="E131:F131"/>
    <mergeCell ref="A131:B131"/>
    <mergeCell ref="A133:B133"/>
    <mergeCell ref="C137:D137"/>
    <mergeCell ref="D72:H72"/>
    <mergeCell ref="A73:C73"/>
    <mergeCell ref="E43:H43"/>
    <mergeCell ref="A43:D43"/>
    <mergeCell ref="A89:B89"/>
    <mergeCell ref="C89:H89"/>
    <mergeCell ref="A84:B84"/>
    <mergeCell ref="I11:L11"/>
    <mergeCell ref="B237:H237"/>
    <mergeCell ref="A134:B134"/>
    <mergeCell ref="C134:D134"/>
    <mergeCell ref="E134:F134"/>
    <mergeCell ref="G134:H134"/>
    <mergeCell ref="A140:B140"/>
    <mergeCell ref="C140:D140"/>
    <mergeCell ref="E140:F140"/>
    <mergeCell ref="G140:H140"/>
    <mergeCell ref="A216:H216"/>
    <mergeCell ref="A211:H211"/>
    <mergeCell ref="A166:H166"/>
    <mergeCell ref="A167:H167"/>
    <mergeCell ref="A168:B168"/>
    <mergeCell ref="A162:B162"/>
    <mergeCell ref="A163:B163"/>
    <mergeCell ref="A164:B164"/>
    <mergeCell ref="A165:B165"/>
    <mergeCell ref="A205:H205"/>
    <mergeCell ref="A169:B169"/>
    <mergeCell ref="A170:B170"/>
    <mergeCell ref="A171:B171"/>
    <mergeCell ref="A172:B172"/>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5:E146">
      <formula1>"Attached Loft area,Attached Otla area,Attached Mezzanine area"</formula1>
    </dataValidation>
    <dataValidation type="list" allowBlank="1" showInputMessage="1" showErrorMessage="1" sqref="G248:H248">
      <formula1>"Shruti Tathare,Gaurav Panchal,Kunal Kadam,Pranita Mhatre,Shruti Fule,Pooja Kawale,Mansee Mohite,Anjali Kamble,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45:B146">
      <formula1>"Shop No. (Sale Plan),Sale / Rehab,Sale / Mhada"</formula1>
    </dataValidation>
    <dataValidation type="list" allowBlank="1" showInputMessage="1" showErrorMessage="1" sqref="B177:B178">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77:E178">
      <formula1>"Fungible area,Balcony Area,Chajja Area,Cornice Area,AP Area,WS Area"</formula1>
    </dataValidation>
    <dataValidation type="list" allowBlank="1" showInputMessage="1" showErrorMessage="1" sqref="H146 H178">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4">
      <formula1>0</formula1>
      <formula2>H76</formula2>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102" max="16383" man="1"/>
    <brk id="252" max="7" man="1"/>
    <brk id="295" max="7" man="1"/>
    <brk id="335" max="7" man="1"/>
  </rowBreaks>
  <colBreaks count="1" manualBreakCount="1">
    <brk id="2" max="377" man="1"/>
  </col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59" t="s">
        <v>103</v>
      </c>
      <c r="C3" s="259"/>
      <c r="D3" s="259"/>
      <c r="E3" s="259"/>
      <c r="F3" s="259"/>
      <c r="G3" s="259"/>
      <c r="H3" s="259"/>
    </row>
    <row r="4" spans="1:9" x14ac:dyDescent="0.25">
      <c r="A4" s="2"/>
      <c r="B4" s="3" t="s">
        <v>104</v>
      </c>
      <c r="C4" s="3" t="s">
        <v>105</v>
      </c>
      <c r="D4" s="3" t="s">
        <v>66</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1"/>
      <c r="C4" s="51" t="s">
        <v>11</v>
      </c>
      <c r="D4" s="52" t="s">
        <v>174</v>
      </c>
      <c r="E4" s="52" t="s">
        <v>184</v>
      </c>
      <c r="F4" s="52" t="s">
        <v>167</v>
      </c>
      <c r="G4" s="52" t="s">
        <v>189</v>
      </c>
      <c r="H4" s="52" t="s">
        <v>207</v>
      </c>
      <c r="J4" t="s">
        <v>189</v>
      </c>
      <c r="K4" t="s">
        <v>205</v>
      </c>
    </row>
    <row r="5" spans="2:11" x14ac:dyDescent="0.25">
      <c r="B5" s="51"/>
      <c r="C5" s="51"/>
      <c r="D5" s="52" t="s">
        <v>175</v>
      </c>
      <c r="E5" s="52" t="s">
        <v>182</v>
      </c>
      <c r="F5" s="52" t="s">
        <v>204</v>
      </c>
      <c r="G5" s="52" t="s">
        <v>190</v>
      </c>
      <c r="H5" s="52" t="s">
        <v>208</v>
      </c>
    </row>
    <row r="6" spans="2:11" x14ac:dyDescent="0.25">
      <c r="B6" s="51"/>
      <c r="C6" s="51"/>
      <c r="D6" s="52" t="s">
        <v>176</v>
      </c>
      <c r="E6" s="52" t="s">
        <v>183</v>
      </c>
      <c r="F6" s="52" t="s">
        <v>205</v>
      </c>
      <c r="G6" s="52" t="s">
        <v>191</v>
      </c>
      <c r="H6" s="52" t="s">
        <v>221</v>
      </c>
    </row>
    <row r="7" spans="2:11" x14ac:dyDescent="0.25">
      <c r="B7" s="51"/>
      <c r="C7" s="51"/>
      <c r="D7" s="52" t="s">
        <v>177</v>
      </c>
      <c r="E7" s="52" t="s">
        <v>185</v>
      </c>
      <c r="F7" s="52" t="s">
        <v>206</v>
      </c>
      <c r="G7" s="52" t="s">
        <v>192</v>
      </c>
      <c r="H7" s="52" t="s">
        <v>209</v>
      </c>
    </row>
    <row r="8" spans="2:11" x14ac:dyDescent="0.25">
      <c r="B8" s="51"/>
      <c r="C8" s="51"/>
      <c r="D8" s="52" t="s">
        <v>178</v>
      </c>
      <c r="E8" s="52" t="s">
        <v>186</v>
      </c>
      <c r="F8" s="52"/>
      <c r="G8" s="52" t="s">
        <v>193</v>
      </c>
      <c r="H8" s="52" t="s">
        <v>210</v>
      </c>
    </row>
    <row r="9" spans="2:11" x14ac:dyDescent="0.25">
      <c r="B9" s="51"/>
      <c r="C9" s="51"/>
      <c r="D9" s="52" t="s">
        <v>179</v>
      </c>
      <c r="E9" s="52" t="s">
        <v>184</v>
      </c>
      <c r="F9" s="52"/>
      <c r="G9" s="52" t="s">
        <v>194</v>
      </c>
      <c r="H9" s="52" t="s">
        <v>211</v>
      </c>
    </row>
    <row r="10" spans="2:11" x14ac:dyDescent="0.25">
      <c r="B10" s="51"/>
      <c r="C10" s="51"/>
      <c r="D10" s="52" t="s">
        <v>180</v>
      </c>
      <c r="E10" s="52" t="s">
        <v>187</v>
      </c>
      <c r="F10" s="52"/>
      <c r="G10" s="52" t="s">
        <v>195</v>
      </c>
      <c r="H10" s="52" t="s">
        <v>212</v>
      </c>
    </row>
    <row r="11" spans="2:11" x14ac:dyDescent="0.25">
      <c r="B11" s="51"/>
      <c r="C11" s="51"/>
      <c r="D11" s="52" t="s">
        <v>181</v>
      </c>
      <c r="E11" s="52" t="s">
        <v>188</v>
      </c>
      <c r="F11" s="52"/>
      <c r="G11" s="52" t="s">
        <v>196</v>
      </c>
      <c r="H11" s="52" t="s">
        <v>213</v>
      </c>
    </row>
    <row r="12" spans="2:11" x14ac:dyDescent="0.25">
      <c r="B12" s="51"/>
      <c r="C12" s="51"/>
      <c r="D12" s="52"/>
      <c r="E12" s="52"/>
      <c r="F12" s="52"/>
      <c r="G12" s="52" t="s">
        <v>197</v>
      </c>
      <c r="H12" s="52" t="s">
        <v>214</v>
      </c>
    </row>
    <row r="13" spans="2:11" x14ac:dyDescent="0.25">
      <c r="B13" s="51"/>
      <c r="C13" s="51"/>
      <c r="D13" s="52"/>
      <c r="E13" s="52"/>
      <c r="F13" s="52"/>
      <c r="G13" s="52" t="s">
        <v>198</v>
      </c>
      <c r="H13" s="52" t="s">
        <v>215</v>
      </c>
    </row>
    <row r="14" spans="2:11" x14ac:dyDescent="0.25">
      <c r="B14" s="51"/>
      <c r="C14" s="51"/>
      <c r="D14" s="52"/>
      <c r="E14" s="52"/>
      <c r="F14" s="52"/>
      <c r="G14" s="52" t="s">
        <v>199</v>
      </c>
      <c r="H14" s="52" t="s">
        <v>216</v>
      </c>
    </row>
    <row r="15" spans="2:11" x14ac:dyDescent="0.25">
      <c r="B15" s="51"/>
      <c r="C15" s="51"/>
      <c r="D15" s="52"/>
      <c r="E15" s="52"/>
      <c r="F15" s="52"/>
      <c r="G15" s="52" t="s">
        <v>200</v>
      </c>
      <c r="H15" s="52" t="s">
        <v>217</v>
      </c>
    </row>
    <row r="16" spans="2:11" x14ac:dyDescent="0.25">
      <c r="B16" s="51"/>
      <c r="C16" s="51"/>
      <c r="D16" s="52"/>
      <c r="E16" s="52"/>
      <c r="F16" s="52"/>
      <c r="G16" s="52" t="s">
        <v>201</v>
      </c>
      <c r="H16" s="52" t="s">
        <v>218</v>
      </c>
    </row>
    <row r="17" spans="2:8" x14ac:dyDescent="0.25">
      <c r="B17" s="51"/>
      <c r="C17" s="51"/>
      <c r="D17" s="52"/>
      <c r="E17" s="52"/>
      <c r="F17" s="52"/>
      <c r="G17" s="52" t="s">
        <v>202</v>
      </c>
      <c r="H17" s="52" t="s">
        <v>219</v>
      </c>
    </row>
    <row r="18" spans="2:8" x14ac:dyDescent="0.25">
      <c r="B18" s="51"/>
      <c r="C18" s="51"/>
      <c r="D18" s="52"/>
      <c r="E18" s="52"/>
      <c r="F18" s="52"/>
      <c r="G18" s="52" t="s">
        <v>203</v>
      </c>
      <c r="H18" s="52" t="s">
        <v>220</v>
      </c>
    </row>
    <row r="24" spans="2:8" x14ac:dyDescent="0.25">
      <c r="C24" t="s">
        <v>164</v>
      </c>
    </row>
    <row r="25" spans="2:8" x14ac:dyDescent="0.25">
      <c r="C25" t="s">
        <v>222</v>
      </c>
    </row>
    <row r="26" spans="2:8" x14ac:dyDescent="0.25">
      <c r="C26" t="s">
        <v>223</v>
      </c>
    </row>
    <row r="27" spans="2:8" x14ac:dyDescent="0.25">
      <c r="C27" t="s">
        <v>224</v>
      </c>
    </row>
    <row r="28" spans="2:8" x14ac:dyDescent="0.25">
      <c r="C28" t="s">
        <v>225</v>
      </c>
    </row>
    <row r="29" spans="2:8" x14ac:dyDescent="0.25">
      <c r="C29" t="s">
        <v>226</v>
      </c>
    </row>
    <row r="30" spans="2:8" x14ac:dyDescent="0.25">
      <c r="C30" t="s">
        <v>164</v>
      </c>
    </row>
    <row r="33" spans="3:11" x14ac:dyDescent="0.25">
      <c r="J33">
        <v>1</v>
      </c>
      <c r="K33">
        <v>2</v>
      </c>
    </row>
    <row r="34" spans="3:11" x14ac:dyDescent="0.25">
      <c r="C34" s="56" t="s">
        <v>232</v>
      </c>
      <c r="D34" s="52" t="s">
        <v>230</v>
      </c>
      <c r="E34" s="52" t="s">
        <v>235</v>
      </c>
      <c r="F34" s="52" t="s">
        <v>233</v>
      </c>
      <c r="G34" s="52" t="s">
        <v>234</v>
      </c>
      <c r="H34" s="52" t="s">
        <v>236</v>
      </c>
      <c r="J34" t="s">
        <v>189</v>
      </c>
      <c r="K34" t="s">
        <v>205</v>
      </c>
    </row>
    <row r="35" spans="3:11" x14ac:dyDescent="0.25">
      <c r="C35" s="51" t="s">
        <v>231</v>
      </c>
      <c r="D35" s="52" t="s">
        <v>165</v>
      </c>
      <c r="E35" s="52" t="s">
        <v>240</v>
      </c>
      <c r="F35" s="52" t="s">
        <v>242</v>
      </c>
      <c r="G35" s="52" t="s">
        <v>244</v>
      </c>
      <c r="H35" s="52"/>
    </row>
    <row r="36" spans="3:11" x14ac:dyDescent="0.25">
      <c r="C36" s="51"/>
      <c r="D36" s="52" t="s">
        <v>237</v>
      </c>
      <c r="E36" s="52" t="s">
        <v>241</v>
      </c>
      <c r="F36" s="52" t="s">
        <v>243</v>
      </c>
      <c r="G36" s="52" t="s">
        <v>245</v>
      </c>
      <c r="H36" s="52"/>
    </row>
    <row r="37" spans="3:11" x14ac:dyDescent="0.25">
      <c r="C37" s="51"/>
      <c r="D37" s="52" t="s">
        <v>238</v>
      </c>
      <c r="E37" s="52"/>
      <c r="F37" s="52"/>
      <c r="G37" s="52" t="s">
        <v>246</v>
      </c>
      <c r="H37" s="52"/>
    </row>
    <row r="38" spans="3:11" x14ac:dyDescent="0.25">
      <c r="C38" s="51"/>
      <c r="D38" s="52" t="s">
        <v>239</v>
      </c>
      <c r="E38" s="52"/>
      <c r="F38" s="52"/>
      <c r="G38" s="52" t="s">
        <v>246</v>
      </c>
      <c r="H38" s="52"/>
    </row>
    <row r="39" spans="3:11" x14ac:dyDescent="0.25">
      <c r="C39" s="51"/>
      <c r="D39" s="52"/>
      <c r="E39" s="52"/>
      <c r="F39" s="52"/>
      <c r="G39" s="52" t="s">
        <v>247</v>
      </c>
      <c r="H39" s="52"/>
    </row>
    <row r="40" spans="3:11" x14ac:dyDescent="0.25">
      <c r="C40" s="51"/>
      <c r="D40" s="52"/>
      <c r="E40" s="52"/>
      <c r="F40" s="52"/>
      <c r="G40" s="52" t="s">
        <v>248</v>
      </c>
      <c r="H40" s="52"/>
    </row>
    <row r="41" spans="3:11" x14ac:dyDescent="0.25">
      <c r="C41" s="51"/>
      <c r="D41" s="52"/>
      <c r="E41" s="52"/>
      <c r="F41" s="52"/>
      <c r="G41" s="52"/>
      <c r="H41" s="52"/>
    </row>
    <row r="43" spans="3:11" x14ac:dyDescent="0.25">
      <c r="C43" t="s">
        <v>249</v>
      </c>
    </row>
    <row r="44" spans="3:11" x14ac:dyDescent="0.25">
      <c r="C44" t="s">
        <v>167</v>
      </c>
      <c r="D44" t="s">
        <v>250</v>
      </c>
    </row>
    <row r="45" spans="3:11" x14ac:dyDescent="0.25">
      <c r="D45" t="s">
        <v>251</v>
      </c>
    </row>
    <row r="46" spans="3:11" x14ac:dyDescent="0.25">
      <c r="D46" t="s">
        <v>252</v>
      </c>
    </row>
    <row r="47" spans="3:11" x14ac:dyDescent="0.25">
      <c r="D47" t="s">
        <v>253</v>
      </c>
    </row>
    <row r="48" spans="3:11" x14ac:dyDescent="0.25">
      <c r="D48" t="s">
        <v>254</v>
      </c>
    </row>
    <row r="49" spans="3:4" x14ac:dyDescent="0.25">
      <c r="C49" t="s">
        <v>174</v>
      </c>
      <c r="D49" t="s">
        <v>255</v>
      </c>
    </row>
    <row r="50" spans="3:4" x14ac:dyDescent="0.25">
      <c r="D50" t="s">
        <v>256</v>
      </c>
    </row>
    <row r="51" spans="3:4" x14ac:dyDescent="0.25">
      <c r="D51" t="s">
        <v>257</v>
      </c>
    </row>
    <row r="52" spans="3:4" x14ac:dyDescent="0.25">
      <c r="D52" t="s">
        <v>260</v>
      </c>
    </row>
    <row r="53" spans="3:4" x14ac:dyDescent="0.25">
      <c r="D53" t="s">
        <v>258</v>
      </c>
    </row>
    <row r="54" spans="3:4" x14ac:dyDescent="0.25">
      <c r="D54" t="s">
        <v>259</v>
      </c>
    </row>
    <row r="55" spans="3:4" x14ac:dyDescent="0.25">
      <c r="D55" t="s">
        <v>261</v>
      </c>
    </row>
    <row r="56" spans="3:4" x14ac:dyDescent="0.25">
      <c r="D56" t="s">
        <v>262</v>
      </c>
    </row>
    <row r="57" spans="3:4" x14ac:dyDescent="0.25">
      <c r="D57" t="s">
        <v>263</v>
      </c>
    </row>
    <row r="58" spans="3:4" x14ac:dyDescent="0.25">
      <c r="D58" t="s">
        <v>265</v>
      </c>
    </row>
    <row r="59" spans="3:4" x14ac:dyDescent="0.25">
      <c r="D59" t="s">
        <v>274</v>
      </c>
    </row>
    <row r="60" spans="3:4" x14ac:dyDescent="0.25">
      <c r="C60" t="s">
        <v>189</v>
      </c>
      <c r="D60" t="s">
        <v>266</v>
      </c>
    </row>
    <row r="61" spans="3:4" x14ac:dyDescent="0.25">
      <c r="D61" t="s">
        <v>264</v>
      </c>
    </row>
    <row r="62" spans="3:4" x14ac:dyDescent="0.25">
      <c r="D62" t="s">
        <v>254</v>
      </c>
    </row>
    <row r="63" spans="3:4" x14ac:dyDescent="0.25">
      <c r="D63" t="s">
        <v>267</v>
      </c>
    </row>
    <row r="64" spans="3:4" x14ac:dyDescent="0.25">
      <c r="D64" t="s">
        <v>268</v>
      </c>
    </row>
    <row r="65" spans="3:4" x14ac:dyDescent="0.25">
      <c r="D65" t="s">
        <v>269</v>
      </c>
    </row>
    <row r="66" spans="3:4" x14ac:dyDescent="0.25">
      <c r="D66" t="s">
        <v>270</v>
      </c>
    </row>
    <row r="67" spans="3:4" x14ac:dyDescent="0.25">
      <c r="C67" t="s">
        <v>184</v>
      </c>
      <c r="D67" t="s">
        <v>271</v>
      </c>
    </row>
    <row r="68" spans="3:4" x14ac:dyDescent="0.25">
      <c r="D68" t="s">
        <v>272</v>
      </c>
    </row>
    <row r="69" spans="3:4" x14ac:dyDescent="0.25">
      <c r="D69" t="s">
        <v>273</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5" x14ac:dyDescent="0.25"/>
  <cols>
    <col min="2" max="2" width="3" bestFit="1" customWidth="1"/>
    <col min="3" max="3" width="130" customWidth="1"/>
  </cols>
  <sheetData>
    <row r="2" spans="2:3" ht="15" customHeight="1" x14ac:dyDescent="0.25">
      <c r="B2" s="57">
        <v>1</v>
      </c>
      <c r="C2" s="60" t="s">
        <v>280</v>
      </c>
    </row>
    <row r="3" spans="2:3" x14ac:dyDescent="0.25">
      <c r="B3" s="57">
        <v>2</v>
      </c>
      <c r="C3" s="58" t="s">
        <v>281</v>
      </c>
    </row>
    <row r="4" spans="2:3" x14ac:dyDescent="0.25">
      <c r="B4" s="57">
        <v>3</v>
      </c>
      <c r="C4" s="59" t="s">
        <v>282</v>
      </c>
    </row>
    <row r="5" spans="2:3" ht="30" x14ac:dyDescent="0.25">
      <c r="B5" s="57">
        <v>4</v>
      </c>
      <c r="C5" s="58" t="s">
        <v>283</v>
      </c>
    </row>
    <row r="6" spans="2:3" x14ac:dyDescent="0.25">
      <c r="B6" s="57">
        <v>5</v>
      </c>
      <c r="C6" s="59" t="s">
        <v>284</v>
      </c>
    </row>
    <row r="7" spans="2:3" ht="30" x14ac:dyDescent="0.25">
      <c r="B7" s="57">
        <v>6</v>
      </c>
      <c r="C7" s="58" t="s">
        <v>285</v>
      </c>
    </row>
    <row r="8" spans="2:3" ht="90" x14ac:dyDescent="0.25">
      <c r="B8" s="57">
        <v>7</v>
      </c>
      <c r="C8" s="58" t="s">
        <v>286</v>
      </c>
    </row>
    <row r="9" spans="2:3" x14ac:dyDescent="0.25">
      <c r="B9" s="57">
        <v>8</v>
      </c>
      <c r="C9" s="59" t="s">
        <v>287</v>
      </c>
    </row>
    <row r="10" spans="2:3" x14ac:dyDescent="0.25">
      <c r="B10" s="57">
        <v>9</v>
      </c>
      <c r="C10" s="59" t="s">
        <v>288</v>
      </c>
    </row>
    <row r="11" spans="2:3" x14ac:dyDescent="0.25">
      <c r="B11" s="57">
        <v>10</v>
      </c>
      <c r="C11" s="59" t="s">
        <v>289</v>
      </c>
    </row>
    <row r="12" spans="2:3" x14ac:dyDescent="0.25">
      <c r="B12" s="57">
        <v>11</v>
      </c>
      <c r="C12" s="59" t="s">
        <v>290</v>
      </c>
    </row>
    <row r="13" spans="2:3" x14ac:dyDescent="0.25">
      <c r="B13" s="57">
        <v>12</v>
      </c>
      <c r="C13" s="59" t="s">
        <v>291</v>
      </c>
    </row>
    <row r="14" spans="2:3" x14ac:dyDescent="0.25">
      <c r="B14" s="57">
        <v>13</v>
      </c>
      <c r="C14" s="59" t="s">
        <v>292</v>
      </c>
    </row>
    <row r="15" spans="2:3" x14ac:dyDescent="0.25">
      <c r="B15" s="57">
        <v>14</v>
      </c>
      <c r="C15" s="59"/>
    </row>
    <row r="16" spans="2:3" x14ac:dyDescent="0.25">
      <c r="B16" s="57">
        <v>15</v>
      </c>
      <c r="C16" s="59"/>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2025-08-18T07:14:37Z</cp:lastPrinted>
  <dcterms:created xsi:type="dcterms:W3CDTF">2019-07-16T09:29:46Z</dcterms:created>
  <dcterms:modified xsi:type="dcterms:W3CDTF">2025-08-18T07:16:07Z</dcterms:modified>
</cp:coreProperties>
</file>