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67" i="1"/>
  <c r="E3" i="1"/>
  <c r="C94" i="1" l="1"/>
  <c r="C80" i="1"/>
  <c r="J105" i="1"/>
  <c r="J104" i="1"/>
  <c r="J103" i="1"/>
  <c r="J102" i="1"/>
  <c r="D162" i="1" l="1"/>
  <c r="F162" i="1" s="1"/>
  <c r="D161" i="1"/>
  <c r="F161" i="1" s="1"/>
  <c r="D160" i="1"/>
  <c r="D159" i="1"/>
  <c r="D148" i="1"/>
  <c r="F148" i="1" s="1"/>
  <c r="D147" i="1"/>
  <c r="D155" i="1"/>
  <c r="F155" i="1" s="1"/>
  <c r="D154" i="1"/>
  <c r="F154" i="1" s="1"/>
  <c r="D153" i="1"/>
  <c r="F153" i="1" s="1"/>
  <c r="D152" i="1"/>
  <c r="F152" i="1" s="1"/>
  <c r="D146" i="1"/>
  <c r="D143" i="1"/>
  <c r="D144" i="1"/>
  <c r="D145" i="1"/>
  <c r="F160" i="1"/>
  <c r="G159" i="1"/>
  <c r="G160" i="1" s="1"/>
  <c r="G161" i="1" s="1"/>
  <c r="G162" i="1" s="1"/>
  <c r="G152" i="1"/>
  <c r="G153" i="1" s="1"/>
  <c r="G154" i="1" s="1"/>
  <c r="G155" i="1" s="1"/>
  <c r="G47" i="1"/>
  <c r="A159" i="1"/>
  <c r="A152" i="1"/>
  <c r="C126" i="1" l="1"/>
  <c r="E124" i="1"/>
  <c r="G125" i="1"/>
  <c r="C124" i="1"/>
  <c r="E125" i="1"/>
  <c r="C125" i="1"/>
  <c r="E126" i="1"/>
  <c r="F159" i="1"/>
  <c r="G126" i="1" s="1"/>
  <c r="E27" i="1"/>
  <c r="A153" i="1"/>
  <c r="A160" i="1"/>
  <c r="C127" i="1" l="1"/>
  <c r="E127" i="1"/>
  <c r="F121" i="1"/>
  <c r="A161" i="1"/>
  <c r="A154" i="1"/>
  <c r="F134" i="1" l="1"/>
  <c r="F135" i="1"/>
  <c r="F136" i="1"/>
  <c r="F133" i="1"/>
  <c r="A162" i="1"/>
  <c r="A155" i="1"/>
  <c r="B165" i="1" l="1"/>
  <c r="A143" i="1"/>
  <c r="C13" i="1" l="1"/>
  <c r="A144" i="1"/>
  <c r="F147" i="1" l="1"/>
  <c r="F146" i="1"/>
  <c r="F145" i="1"/>
  <c r="F144" i="1"/>
  <c r="F143" i="1"/>
  <c r="A145" i="1"/>
  <c r="G124" i="1" l="1"/>
  <c r="G127" i="1" s="1"/>
  <c r="B166" i="1"/>
  <c r="A14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0" i="1"/>
  <c r="G143" i="1"/>
  <c r="G144" i="1" s="1"/>
  <c r="G145" i="1" s="1"/>
  <c r="G146" i="1" s="1"/>
  <c r="G147" i="1" s="1"/>
  <c r="G148" i="1" s="1"/>
  <c r="A134" i="1"/>
  <c r="A135" i="1" s="1"/>
  <c r="A136" i="1" s="1"/>
  <c r="G133" i="1"/>
  <c r="G134" i="1" s="1"/>
  <c r="G135" i="1" s="1"/>
  <c r="G136" i="1" s="1"/>
  <c r="J91" i="1"/>
  <c r="J90" i="1"/>
  <c r="J89" i="1"/>
  <c r="J88" i="1"/>
  <c r="J77" i="1"/>
  <c r="J76" i="1"/>
  <c r="J75" i="1"/>
  <c r="J74" i="1"/>
  <c r="C65" i="1"/>
  <c r="D52" i="1"/>
  <c r="E40" i="1"/>
  <c r="E41" i="1" s="1"/>
  <c r="E24" i="1"/>
  <c r="E22" i="1"/>
  <c r="E7" i="1"/>
  <c r="A147" i="1"/>
  <c r="H66" i="1"/>
  <c r="H81" i="1"/>
  <c r="D59" i="1" l="1"/>
  <c r="D91" i="1"/>
  <c r="D92" i="1"/>
  <c r="D93" i="1"/>
  <c r="D87" i="1"/>
  <c r="D88" i="1"/>
  <c r="D89" i="1"/>
  <c r="D90" i="1"/>
  <c r="J80" i="1"/>
  <c r="D79" i="1"/>
  <c r="D77" i="1"/>
  <c r="D76" i="1"/>
  <c r="D75" i="1"/>
  <c r="D73" i="1"/>
  <c r="J65" i="1"/>
  <c r="D78" i="1"/>
  <c r="D74" i="1"/>
  <c r="J70" i="1"/>
  <c r="J71" i="1"/>
  <c r="C70" i="1" s="1"/>
  <c r="J69" i="1"/>
  <c r="J72" i="1"/>
  <c r="J73" i="1" s="1"/>
  <c r="J78" i="1" s="1"/>
  <c r="J79" i="1" s="1"/>
  <c r="C71" i="1" s="1"/>
  <c r="J86" i="1"/>
  <c r="J84" i="1"/>
  <c r="J85" i="1"/>
  <c r="C84" i="1" s="1"/>
  <c r="J83" i="1"/>
  <c r="A148" i="1"/>
  <c r="J87" i="1" l="1"/>
  <c r="D86" i="1"/>
  <c r="J82" i="1"/>
  <c r="D72" i="1"/>
  <c r="J67" i="1"/>
  <c r="E70" i="1"/>
  <c r="D71" i="1"/>
  <c r="G70" i="1"/>
  <c r="D63" i="1" s="1"/>
  <c r="D70" i="1"/>
  <c r="J66" i="1" s="1"/>
  <c r="D84" i="1"/>
  <c r="H95" i="1"/>
  <c r="J92" i="1" l="1"/>
  <c r="J93" i="1" s="1"/>
  <c r="C85" i="1" s="1"/>
  <c r="E84" i="1" s="1"/>
  <c r="J100" i="1"/>
  <c r="J101" i="1" s="1"/>
  <c r="J99" i="1"/>
  <c r="J98" i="1"/>
  <c r="J97" i="1"/>
  <c r="D107" i="1"/>
  <c r="D106" i="1"/>
  <c r="D105" i="1"/>
  <c r="D104" i="1"/>
  <c r="D103" i="1"/>
  <c r="D102" i="1"/>
  <c r="D101" i="1"/>
  <c r="D100" i="1"/>
  <c r="D98" i="1"/>
  <c r="J94" i="1"/>
  <c r="J96" i="1" s="1"/>
  <c r="I66" i="1"/>
  <c r="F64" i="1"/>
  <c r="D64" i="1"/>
  <c r="J81" i="1" l="1"/>
  <c r="G84" i="1"/>
  <c r="D85" i="1"/>
  <c r="I81" i="1" s="1"/>
  <c r="J106" i="1"/>
  <c r="J107" i="1" s="1"/>
  <c r="I67" i="1"/>
  <c r="I65" i="1" s="1"/>
  <c r="I82" i="1" l="1"/>
  <c r="I80" i="1" s="1"/>
  <c r="C82" i="1" s="1"/>
  <c r="G98" i="1"/>
  <c r="E98" i="1"/>
  <c r="D99" i="1"/>
  <c r="I95" i="1" s="1"/>
  <c r="I96" i="1" s="1"/>
  <c r="J95" i="1"/>
  <c r="I94" i="1" l="1"/>
  <c r="C96" i="1" s="1"/>
</calcChain>
</file>

<file path=xl/sharedStrings.xml><?xml version="1.0" encoding="utf-8"?>
<sst xmlns="http://schemas.openxmlformats.org/spreadsheetml/2006/main" count="355" uniqueCount="222">
  <si>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</si>
  <si>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</si>
  <si>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</si>
  <si>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</si>
  <si>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</si>
  <si>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</si>
  <si>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</si>
  <si>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</si>
  <si>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</si>
  <si>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</si>
  <si>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</si>
  <si>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</si>
  <si>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</si>
  <si>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</si>
  <si>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</si>
  <si>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</si>
  <si>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</si>
  <si>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</si>
  <si>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</si>
  <si>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</si>
  <si>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</si>
  <si>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</si>
  <si>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</si>
  <si>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</si>
  <si>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</si>
  <si>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</si>
  <si>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</si>
  <si>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</si>
  <si>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</si>
  <si>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</si>
  <si>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</si>
  <si>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</si>
  <si>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</si>
  <si>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</si>
  <si>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</si>
  <si>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</si>
  <si>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</si>
  <si>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</si>
  <si>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</si>
  <si>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</si>
  <si>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</si>
  <si>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</si>
  <si>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</si>
  <si>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</si>
  <si>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</si>
  <si>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</si>
  <si>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</si>
  <si>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</si>
  <si>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</si>
  <si>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</si>
  <si>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</si>
  <si>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</si>
  <si>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</si>
  <si>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</si>
  <si>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</si>
  <si>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</si>
  <si>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</si>
  <si>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</si>
  <si>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</si>
  <si>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</si>
  <si>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</si>
  <si>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</si>
  <si>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</si>
  <si>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</si>
  <si>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</si>
  <si>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</si>
  <si>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</si>
  <si>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</si>
  <si>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</si>
  <si>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</si>
  <si>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</si>
  <si>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</si>
  <si>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</si>
  <si>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</si>
  <si>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</si>
  <si>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</si>
  <si>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</si>
  <si>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</si>
  <si>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</si>
  <si>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</si>
  <si>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</si>
  <si>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</si>
  <si>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</si>
  <si>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</si>
  <si>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</si>
  <si>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</si>
  <si>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</si>
  <si>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</si>
  <si>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</si>
  <si>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</si>
  <si>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</si>
  <si>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</si>
  <si>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</si>
  <si>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</si>
  <si>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</si>
  <si>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</si>
  <si>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</si>
  <si>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</si>
  <si>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</si>
  <si>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</si>
  <si>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</si>
  <si>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</si>
  <si>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</si>
  <si>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</si>
  <si>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</si>
  <si>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</si>
  <si>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</si>
  <si>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</si>
  <si>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</si>
  <si>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</si>
  <si>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</si>
  <si>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</si>
  <si>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</si>
  <si>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</si>
  <si>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</si>
  <si>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</si>
  <si>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</si>
  <si>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</si>
  <si>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</si>
  <si>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</si>
  <si>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</si>
  <si>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</si>
  <si>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</si>
  <si>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</si>
  <si>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</si>
  <si>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</si>
  <si>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</si>
  <si>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</si>
  <si>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</si>
  <si>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</si>
  <si>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</si>
  <si>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</si>
  <si>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</si>
  <si>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</si>
  <si>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</si>
  <si>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</si>
  <si>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</si>
  <si>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</si>
  <si>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</si>
  <si>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</si>
  <si>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</si>
  <si>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</si>
  <si>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</si>
  <si>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</si>
  <si>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</si>
  <si>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</si>
  <si>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</si>
  <si>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</si>
  <si>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</si>
  <si>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</si>
  <si>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</si>
  <si>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</si>
  <si>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</si>
  <si>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</si>
  <si>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</si>
  <si>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</si>
  <si>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</si>
  <si>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</si>
  <si>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</si>
  <si>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</si>
  <si>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</si>
  <si>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</si>
  <si>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</si>
  <si>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</si>
  <si>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</si>
  <si>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</si>
  <si>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</si>
  <si>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</si>
  <si>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</si>
  <si>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</si>
  <si>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</si>
  <si>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Goregaon</t>
  </si>
  <si>
    <t>Swami Narendra Residency</t>
  </si>
  <si>
    <t>M/s.Raj Ratneshwari Developers</t>
  </si>
  <si>
    <t>P51700032919</t>
  </si>
  <si>
    <t>Town Planner, Thane</t>
  </si>
  <si>
    <t>SSTN/2354</t>
  </si>
  <si>
    <t>Building No.6, 7, 8</t>
  </si>
  <si>
    <t>Building No.6, 7, 8 = G + 1st + 4th Floor</t>
  </si>
  <si>
    <t>274, Hissa No.1/B</t>
  </si>
  <si>
    <t>Survey No</t>
  </si>
  <si>
    <t>Murbad</t>
  </si>
  <si>
    <t>Thane</t>
  </si>
  <si>
    <t>Devgaon Road</t>
  </si>
  <si>
    <t>Ganesh Mandir</t>
  </si>
  <si>
    <t>Plot</t>
  </si>
  <si>
    <t>Building</t>
  </si>
  <si>
    <t>1.3 KM from Murbad ST Bus Depo</t>
  </si>
  <si>
    <t xml:space="preserve">As per RERA - 31/12/2026 </t>
  </si>
  <si>
    <t>Building No.6 = G + 1st + 4th Floor</t>
  </si>
  <si>
    <t>03 Buildings</t>
  </si>
  <si>
    <t>Ground Floor for Parking</t>
  </si>
  <si>
    <t>Building No.6</t>
  </si>
  <si>
    <t>1st to 4th Floor</t>
  </si>
  <si>
    <t>Building No.7</t>
  </si>
  <si>
    <t>Building No.8</t>
  </si>
  <si>
    <t>1BHK</t>
  </si>
  <si>
    <t>2BHK</t>
  </si>
  <si>
    <t>Building no.6</t>
  </si>
  <si>
    <t>Building no.7</t>
  </si>
  <si>
    <t>Building no.8</t>
  </si>
  <si>
    <t>Flats - 56</t>
  </si>
  <si>
    <t>Approved Plans, CC, Cost Sheet</t>
  </si>
  <si>
    <t>Location Link</t>
  </si>
  <si>
    <t>https://goo.gl/maps/NYBVXFpVB1syBDEw5?coh=178572&amp;entry=tt</t>
  </si>
  <si>
    <t>Building No.7 = G + 1st + 5th Floor</t>
  </si>
  <si>
    <t>Please provide latest CC for Building No.7.</t>
  </si>
  <si>
    <t>On Site, we meet Ms. Dalvi : 7507449344.</t>
  </si>
  <si>
    <t>Latitude,Longitude</t>
  </si>
  <si>
    <t>19.2543972,73.3868872</t>
  </si>
  <si>
    <t>M.N.P./NRV/232/2023-24
Approved upto : Building No. 6 = G + 1st + 4th Floor</t>
  </si>
  <si>
    <t>We have updated OC for Building No. 6 (on 09/05/2024).</t>
  </si>
  <si>
    <t>M.N.P./NRV/B.P/232/2022-23</t>
  </si>
  <si>
    <t>Building No.6 = G + 1st + 4th Floor
Building No.7 = G + 1st + 5th Floor
Building No.8 = G + 1st + 7th Floor</t>
  </si>
  <si>
    <t>Building No.8 = G + 1st + 7th Floor</t>
  </si>
  <si>
    <t>Building No.6 - All work Completed. OC Received.
Building No. 7- Construction work is in process at the time of visit. (Slow Speed)
Building no.8 - Work not yet Started.</t>
  </si>
  <si>
    <t>Office No. 1031, Wing J, Akshar Business Park, Plot No. 03 Sector 25, Near APMC Market, 
Vashi, Navi Mumbai, Maharashtra 400703 TEL: 022-46090378/79/80                                                                                             E mail : vsjcapf@gmail.com. Web site : www.vsjadon.com</t>
  </si>
  <si>
    <t>Naresh Dalvi 7507449344</t>
  </si>
  <si>
    <t>Shruti Tathare</t>
  </si>
  <si>
    <t>Krishna Kambali</t>
  </si>
  <si>
    <t>Construction work goes beyond approved no. of floor. Please provide revised approved plans for Building No. 7.</t>
  </si>
  <si>
    <t>Since building no.8 have received first CC on 12/13/2018, but as of construction work is not
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</si>
</sst>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0" borderId="30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6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13" fillId="0" borderId="13" xfId="1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26" fillId="0" borderId="8" xfId="10" applyFill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9" fillId="0" borderId="1" xfId="5" applyFont="1" applyBorder="1" applyAlignment="1">
      <alignment horizontal="left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9" fontId="13" fillId="0" borderId="8" xfId="1" applyNumberFormat="1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center" vertical="center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252</xdr:row>
      <xdr:rowOff>155067</xdr:rowOff>
    </xdr:from>
    <xdr:to>
      <xdr:col>6</xdr:col>
      <xdr:colOff>695285</xdr:colOff>
      <xdr:row>270</xdr:row>
      <xdr:rowOff>154617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46332267"/>
          <a:ext cx="523871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723900</xdr:colOff>
      <xdr:row>233</xdr:row>
      <xdr:rowOff>133350</xdr:rowOff>
    </xdr:from>
    <xdr:to>
      <xdr:col>6</xdr:col>
      <xdr:colOff>705526</xdr:colOff>
      <xdr:row>251</xdr:row>
      <xdr:rowOff>132901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900" y="42510075"/>
          <a:ext cx="5248951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362551</xdr:colOff>
      <xdr:row>190</xdr:row>
      <xdr:rowOff>196396</xdr:rowOff>
    </xdr:from>
    <xdr:to>
      <xdr:col>7</xdr:col>
      <xdr:colOff>521263</xdr:colOff>
      <xdr:row>224</xdr:row>
      <xdr:rowOff>48995</xdr:rowOff>
    </xdr:to>
    <xdr:grpSp>
      <xdr:nvGrpSpPr>
        <xdr:cNvPr id="3" name="Group 2"/>
        <xdr:cNvGrpSpPr/>
      </xdr:nvGrpSpPr>
      <xdr:grpSpPr>
        <a:xfrm>
          <a:off x="362551" y="36258046"/>
          <a:ext cx="5864187" cy="6643924"/>
          <a:chOff x="296291" y="35935853"/>
          <a:chExt cx="5857147" cy="6602925"/>
        </a:xfrm>
      </xdr:grpSpPr>
      <xdr:grpSp>
        <xdr:nvGrpSpPr>
          <xdr:cNvPr id="2" name="Group 1"/>
          <xdr:cNvGrpSpPr/>
        </xdr:nvGrpSpPr>
        <xdr:grpSpPr>
          <a:xfrm>
            <a:off x="296291" y="35935853"/>
            <a:ext cx="5857147" cy="6602925"/>
            <a:chOff x="287999" y="35933902"/>
            <a:chExt cx="5873735" cy="6697847"/>
          </a:xfrm>
        </xdr:grpSpPr>
        <xdr:pic>
          <xdr:nvPicPr>
            <xdr:cNvPr id="39" name="Picture 38" descr="https://vsjcllp.vsjadon.com/upload/insp-24332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75088" y="40483082"/>
              <a:ext cx="2841776" cy="214866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Picture 39" descr="https://vsjcllp.vsjadon.com/upload/insp-243327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8076" y="35943989"/>
              <a:ext cx="2876773" cy="217680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43327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9723" y="40482373"/>
              <a:ext cx="2840208" cy="21491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https://vsjcllp.vsjadon.com/upload/insp-243327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7999" y="38211499"/>
              <a:ext cx="2876773" cy="217849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3327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76600" y="35933902"/>
              <a:ext cx="2880134" cy="217680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43327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76900" y="38210557"/>
              <a:ext cx="2884834" cy="217865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6" name="TextBox 309">
            <a:extLst>
              <a:ext uri="{FF2B5EF4-FFF2-40B4-BE49-F238E27FC236}">
                <a16:creationId xmlns:a16="http://schemas.microsoft.com/office/drawing/2014/main" xmlns="" id="{2DDB4C56-99C4-466F-BF2A-13D091474624}"/>
              </a:ext>
            </a:extLst>
          </xdr:cNvPr>
          <xdr:cNvSpPr txBox="1"/>
        </xdr:nvSpPr>
        <xdr:spPr>
          <a:xfrm>
            <a:off x="4929383" y="37740764"/>
            <a:ext cx="1215594" cy="333692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Bldg No. 7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7" name="TextBox 309">
            <a:extLst>
              <a:ext uri="{FF2B5EF4-FFF2-40B4-BE49-F238E27FC236}">
                <a16:creationId xmlns:a16="http://schemas.microsoft.com/office/drawing/2014/main" xmlns="" id="{2DDB4C56-99C4-466F-BF2A-13D091474624}"/>
              </a:ext>
            </a:extLst>
          </xdr:cNvPr>
          <xdr:cNvSpPr txBox="1"/>
        </xdr:nvSpPr>
        <xdr:spPr>
          <a:xfrm>
            <a:off x="1946413" y="37753153"/>
            <a:ext cx="1214620" cy="333692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 b="1">
                <a:solidFill>
                  <a:sysClr val="windowText" lastClr="000000"/>
                </a:solidFill>
              </a:rPr>
              <a:t>Bldg No. 6</a:t>
            </a:r>
            <a:endParaRPr lang="en-IN" sz="18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YBVXFpVB1syBDEw5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3"/>
  <sheetViews>
    <sheetView tabSelected="1" view="pageBreakPreview" zoomScaleNormal="100" zoomScaleSheetLayoutView="100" workbookViewId="0">
      <selection activeCell="J12" sqref="J12"/>
    </sheetView>
  </sheetViews>
  <sheetFormatPr defaultColWidth="9.28515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28515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7109375" style="21" customWidth="1"/>
    <col min="17" max="247" width="9.28515625" style="21"/>
    <col min="248" max="248" width="8.7109375" style="21" customWidth="1"/>
    <col min="249" max="249" width="9.71093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7109375" style="21" customWidth="1"/>
    <col min="505" max="505" width="9.71093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7109375" style="21" customWidth="1"/>
    <col min="761" max="761" width="9.71093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7109375" style="21" customWidth="1"/>
    <col min="1017" max="1017" width="9.71093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7109375" style="21" customWidth="1"/>
    <col min="1273" max="1273" width="9.71093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7109375" style="21" customWidth="1"/>
    <col min="1529" max="1529" width="9.71093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7109375" style="21" customWidth="1"/>
    <col min="1785" max="1785" width="9.71093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7109375" style="21" customWidth="1"/>
    <col min="2041" max="2041" width="9.71093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7109375" style="21" customWidth="1"/>
    <col min="2297" max="2297" width="9.71093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7109375" style="21" customWidth="1"/>
    <col min="2553" max="2553" width="9.71093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7109375" style="21" customWidth="1"/>
    <col min="2809" max="2809" width="9.71093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7109375" style="21" customWidth="1"/>
    <col min="3065" max="3065" width="9.71093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7109375" style="21" customWidth="1"/>
    <col min="3321" max="3321" width="9.71093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7109375" style="21" customWidth="1"/>
    <col min="3577" max="3577" width="9.71093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7109375" style="21" customWidth="1"/>
    <col min="3833" max="3833" width="9.71093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7109375" style="21" customWidth="1"/>
    <col min="4089" max="4089" width="9.71093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7109375" style="21" customWidth="1"/>
    <col min="4345" max="4345" width="9.71093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7109375" style="21" customWidth="1"/>
    <col min="4601" max="4601" width="9.71093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7109375" style="21" customWidth="1"/>
    <col min="4857" max="4857" width="9.71093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7109375" style="21" customWidth="1"/>
    <col min="5113" max="5113" width="9.71093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7109375" style="21" customWidth="1"/>
    <col min="5369" max="5369" width="9.71093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7109375" style="21" customWidth="1"/>
    <col min="5625" max="5625" width="9.71093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7109375" style="21" customWidth="1"/>
    <col min="5881" max="5881" width="9.71093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7109375" style="21" customWidth="1"/>
    <col min="6137" max="6137" width="9.71093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7109375" style="21" customWidth="1"/>
    <col min="6393" max="6393" width="9.71093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7109375" style="21" customWidth="1"/>
    <col min="6649" max="6649" width="9.71093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7109375" style="21" customWidth="1"/>
    <col min="6905" max="6905" width="9.71093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7109375" style="21" customWidth="1"/>
    <col min="7161" max="7161" width="9.71093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7109375" style="21" customWidth="1"/>
    <col min="7417" max="7417" width="9.71093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7109375" style="21" customWidth="1"/>
    <col min="7673" max="7673" width="9.71093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7109375" style="21" customWidth="1"/>
    <col min="7929" max="7929" width="9.71093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7109375" style="21" customWidth="1"/>
    <col min="8185" max="8185" width="9.71093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7109375" style="21" customWidth="1"/>
    <col min="8441" max="8441" width="9.71093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7109375" style="21" customWidth="1"/>
    <col min="8697" max="8697" width="9.71093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7109375" style="21" customWidth="1"/>
    <col min="8953" max="8953" width="9.71093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7109375" style="21" customWidth="1"/>
    <col min="9209" max="9209" width="9.71093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7109375" style="21" customWidth="1"/>
    <col min="9465" max="9465" width="9.71093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7109375" style="21" customWidth="1"/>
    <col min="9721" max="9721" width="9.71093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7109375" style="21" customWidth="1"/>
    <col min="9977" max="9977" width="9.71093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7109375" style="21" customWidth="1"/>
    <col min="10233" max="10233" width="9.71093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7109375" style="21" customWidth="1"/>
    <col min="10489" max="10489" width="9.71093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7109375" style="21" customWidth="1"/>
    <col min="10745" max="10745" width="9.71093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7109375" style="21" customWidth="1"/>
    <col min="11001" max="11001" width="9.71093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7109375" style="21" customWidth="1"/>
    <col min="11257" max="11257" width="9.71093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7109375" style="21" customWidth="1"/>
    <col min="11513" max="11513" width="9.71093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7109375" style="21" customWidth="1"/>
    <col min="11769" max="11769" width="9.71093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7109375" style="21" customWidth="1"/>
    <col min="12025" max="12025" width="9.71093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7109375" style="21" customWidth="1"/>
    <col min="12281" max="12281" width="9.71093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7109375" style="21" customWidth="1"/>
    <col min="12537" max="12537" width="9.71093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7109375" style="21" customWidth="1"/>
    <col min="12793" max="12793" width="9.71093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7109375" style="21" customWidth="1"/>
    <col min="13049" max="13049" width="9.71093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7109375" style="21" customWidth="1"/>
    <col min="13305" max="13305" width="9.71093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7109375" style="21" customWidth="1"/>
    <col min="13561" max="13561" width="9.71093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7109375" style="21" customWidth="1"/>
    <col min="13817" max="13817" width="9.71093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7109375" style="21" customWidth="1"/>
    <col min="14073" max="14073" width="9.71093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7109375" style="21" customWidth="1"/>
    <col min="14329" max="14329" width="9.71093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7109375" style="21" customWidth="1"/>
    <col min="14585" max="14585" width="9.71093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7109375" style="21" customWidth="1"/>
    <col min="14841" max="14841" width="9.71093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7109375" style="21" customWidth="1"/>
    <col min="15097" max="15097" width="9.71093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7109375" style="21" customWidth="1"/>
    <col min="15353" max="15353" width="9.71093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7109375" style="21" customWidth="1"/>
    <col min="15609" max="15609" width="9.71093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7109375" style="21" customWidth="1"/>
    <col min="15865" max="15865" width="9.71093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7109375" style="21" customWidth="1"/>
    <col min="16121" max="16121" width="9.71093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8" ht="46.5" customHeight="1" x14ac:dyDescent="0.25">
      <c r="A1" s="143" t="s">
        <v>216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</row>
    <row r="3" spans="1:8" x14ac:dyDescent="0.25">
      <c r="A3" s="130" t="s">
        <v>1</v>
      </c>
      <c r="B3" s="130"/>
      <c r="C3" s="130"/>
      <c r="D3" s="130"/>
      <c r="E3" s="144" t="str">
        <f ca="1">TEXT(TODAY(),"DD/MM/YYYY")</f>
        <v>18/08/2025</v>
      </c>
      <c r="F3" s="130"/>
      <c r="G3" s="130"/>
      <c r="H3" s="130"/>
    </row>
    <row r="4" spans="1:8" ht="15" customHeight="1" x14ac:dyDescent="0.25">
      <c r="A4" s="130" t="s">
        <v>2</v>
      </c>
      <c r="B4" s="130"/>
      <c r="C4" s="130"/>
      <c r="D4" s="130"/>
      <c r="E4" s="130" t="s">
        <v>171</v>
      </c>
      <c r="F4" s="130"/>
      <c r="G4" s="130"/>
      <c r="H4" s="130"/>
    </row>
    <row r="5" spans="1:8" x14ac:dyDescent="0.25">
      <c r="A5" s="130" t="s">
        <v>3</v>
      </c>
      <c r="B5" s="130"/>
      <c r="C5" s="130"/>
      <c r="D5" s="130"/>
      <c r="E5" s="144">
        <v>45882</v>
      </c>
      <c r="F5" s="130"/>
      <c r="G5" s="130"/>
      <c r="H5" s="130"/>
    </row>
    <row r="6" spans="1:8" ht="16.5" customHeight="1" x14ac:dyDescent="0.25">
      <c r="A6" s="130" t="s">
        <v>4</v>
      </c>
      <c r="B6" s="130"/>
      <c r="C6" s="130"/>
      <c r="D6" s="130"/>
      <c r="E6" s="130" t="s">
        <v>173</v>
      </c>
      <c r="F6" s="130"/>
      <c r="G6" s="130"/>
      <c r="H6" s="130"/>
    </row>
    <row r="7" spans="1:8" ht="15" customHeight="1" x14ac:dyDescent="0.25">
      <c r="A7" s="130" t="s">
        <v>5</v>
      </c>
      <c r="B7" s="130"/>
      <c r="C7" s="130"/>
      <c r="D7" s="130"/>
      <c r="E7" s="130" t="str">
        <f>E6</f>
        <v>M/s.Raj Ratneshwari Developers</v>
      </c>
      <c r="F7" s="130"/>
      <c r="G7" s="130"/>
      <c r="H7" s="130"/>
    </row>
    <row r="8" spans="1:8" x14ac:dyDescent="0.25">
      <c r="A8" s="130" t="s">
        <v>6</v>
      </c>
      <c r="B8" s="130"/>
      <c r="C8" s="130"/>
      <c r="D8" s="130"/>
      <c r="E8" s="145" t="s">
        <v>172</v>
      </c>
      <c r="F8" s="145"/>
      <c r="G8" s="145"/>
      <c r="H8" s="145"/>
    </row>
    <row r="9" spans="1:8" x14ac:dyDescent="0.25">
      <c r="A9" s="130" t="s">
        <v>126</v>
      </c>
      <c r="B9" s="130"/>
      <c r="C9" s="130"/>
      <c r="D9" s="130"/>
      <c r="E9" s="130" t="s">
        <v>217</v>
      </c>
      <c r="F9" s="130"/>
      <c r="G9" s="130"/>
      <c r="H9" s="130"/>
    </row>
    <row r="10" spans="1:8" x14ac:dyDescent="0.25">
      <c r="A10" s="130" t="s">
        <v>7</v>
      </c>
      <c r="B10" s="130"/>
      <c r="C10" s="130"/>
      <c r="D10" s="130"/>
      <c r="E10" s="130" t="s">
        <v>177</v>
      </c>
      <c r="F10" s="130"/>
      <c r="G10" s="130"/>
      <c r="H10" s="130"/>
    </row>
    <row r="11" spans="1:8" x14ac:dyDescent="0.25">
      <c r="A11" s="74" t="s">
        <v>8</v>
      </c>
      <c r="B11" s="74"/>
      <c r="C11" s="74"/>
      <c r="D11" s="74"/>
      <c r="E11" s="75" t="s">
        <v>202</v>
      </c>
      <c r="F11" s="75"/>
      <c r="G11" s="75"/>
      <c r="H11" s="75"/>
    </row>
    <row r="12" spans="1:8" x14ac:dyDescent="0.25">
      <c r="A12" s="130" t="s">
        <v>9</v>
      </c>
      <c r="B12" s="130"/>
      <c r="C12" s="130"/>
      <c r="D12" s="130"/>
      <c r="E12" s="75" t="s">
        <v>174</v>
      </c>
      <c r="F12" s="130"/>
      <c r="G12" s="130"/>
      <c r="H12" s="130"/>
    </row>
    <row r="13" spans="1:8" ht="33.75" customHeight="1" x14ac:dyDescent="0.25">
      <c r="A13" s="76" t="s">
        <v>10</v>
      </c>
      <c r="B13" s="76"/>
      <c r="C13" s="7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Swami Narendra Residency, Survey No.274, Hissa No.1/B, near Ganesh Mandir, Devgaon Road, Murbad, Murbad, Murbad, Thane - 421401.</v>
      </c>
      <c r="D13" s="76"/>
      <c r="E13" s="76"/>
      <c r="F13" s="76"/>
      <c r="G13" s="76"/>
      <c r="H13" s="76"/>
    </row>
    <row r="14" spans="1:8" x14ac:dyDescent="0.25">
      <c r="A14" s="75" t="s">
        <v>180</v>
      </c>
      <c r="B14" s="75"/>
      <c r="C14" s="75" t="s">
        <v>179</v>
      </c>
      <c r="D14" s="75"/>
      <c r="E14" s="75"/>
      <c r="F14" s="75"/>
      <c r="G14" s="75"/>
      <c r="H14" s="75"/>
    </row>
    <row r="15" spans="1:8" ht="15.75" customHeight="1" x14ac:dyDescent="0.25">
      <c r="A15" s="76" t="s">
        <v>11</v>
      </c>
      <c r="B15" s="76"/>
      <c r="C15" s="130" t="s">
        <v>183</v>
      </c>
      <c r="D15" s="130"/>
      <c r="E15" s="76" t="s">
        <v>75</v>
      </c>
      <c r="F15" s="76"/>
      <c r="G15" s="75" t="s">
        <v>181</v>
      </c>
      <c r="H15" s="75"/>
    </row>
    <row r="16" spans="1:8" x14ac:dyDescent="0.25">
      <c r="A16" s="74" t="s">
        <v>13</v>
      </c>
      <c r="B16" s="74"/>
      <c r="C16" s="75" t="s">
        <v>181</v>
      </c>
      <c r="D16" s="75"/>
      <c r="E16" s="76" t="s">
        <v>12</v>
      </c>
      <c r="F16" s="76"/>
      <c r="G16" s="146" t="s">
        <v>182</v>
      </c>
      <c r="H16" s="146"/>
    </row>
    <row r="17" spans="1:8" x14ac:dyDescent="0.25">
      <c r="A17" s="74" t="s">
        <v>76</v>
      </c>
      <c r="B17" s="74"/>
      <c r="C17" s="75" t="s">
        <v>181</v>
      </c>
      <c r="D17" s="75"/>
      <c r="E17" s="76" t="s">
        <v>14</v>
      </c>
      <c r="F17" s="76"/>
      <c r="G17" s="75">
        <v>421401</v>
      </c>
      <c r="H17" s="75"/>
    </row>
    <row r="18" spans="1:8" ht="32.25" customHeight="1" x14ac:dyDescent="0.25">
      <c r="A18" s="74" t="s">
        <v>127</v>
      </c>
      <c r="B18" s="74"/>
      <c r="C18" s="75" t="s">
        <v>184</v>
      </c>
      <c r="D18" s="75"/>
      <c r="E18" s="76" t="s">
        <v>15</v>
      </c>
      <c r="F18" s="76"/>
      <c r="G18" s="75" t="s">
        <v>187</v>
      </c>
      <c r="H18" s="75"/>
    </row>
    <row r="19" spans="1:8" ht="15" customHeight="1" x14ac:dyDescent="0.25">
      <c r="A19" s="76" t="s">
        <v>78</v>
      </c>
      <c r="B19" s="76"/>
      <c r="C19" s="76"/>
      <c r="D19" s="76"/>
      <c r="E19" s="130" t="s">
        <v>16</v>
      </c>
      <c r="F19" s="130"/>
      <c r="G19" s="130"/>
      <c r="H19" s="130"/>
    </row>
    <row r="20" spans="1:8" x14ac:dyDescent="0.25">
      <c r="A20" s="76"/>
      <c r="B20" s="76"/>
      <c r="C20" s="76"/>
      <c r="D20" s="76"/>
      <c r="E20" s="130"/>
      <c r="F20" s="130"/>
      <c r="G20" s="130"/>
      <c r="H20" s="130"/>
    </row>
    <row r="21" spans="1:8" ht="15" customHeight="1" x14ac:dyDescent="0.25">
      <c r="A21" s="76" t="s">
        <v>17</v>
      </c>
      <c r="B21" s="76"/>
      <c r="C21" s="76"/>
      <c r="D21" s="76"/>
      <c r="E21" s="75" t="s">
        <v>18</v>
      </c>
      <c r="F21" s="75"/>
      <c r="G21" s="75"/>
      <c r="H21" s="75"/>
    </row>
    <row r="22" spans="1:8" ht="15" customHeight="1" x14ac:dyDescent="0.25">
      <c r="A22" s="74" t="s">
        <v>19</v>
      </c>
      <c r="B22" s="74"/>
      <c r="C22" s="74"/>
      <c r="D22" s="74"/>
      <c r="E22" s="75" t="str">
        <f>IF(AND(G16="Mumbai"),"Upper Class","Middle Class")</f>
        <v>Middle Class</v>
      </c>
      <c r="F22" s="75"/>
      <c r="G22" s="75"/>
      <c r="H22" s="75"/>
    </row>
    <row r="23" spans="1:8" x14ac:dyDescent="0.25">
      <c r="A23" s="74" t="s">
        <v>20</v>
      </c>
      <c r="B23" s="74"/>
      <c r="C23" s="74"/>
      <c r="D23" s="74"/>
      <c r="E23" s="75" t="s">
        <v>21</v>
      </c>
      <c r="F23" s="75"/>
      <c r="G23" s="75"/>
      <c r="H23" s="75"/>
    </row>
    <row r="24" spans="1:8" ht="15.75" customHeight="1" x14ac:dyDescent="0.25">
      <c r="A24" s="74" t="s">
        <v>22</v>
      </c>
      <c r="B24" s="74"/>
      <c r="C24" s="74"/>
      <c r="D24" s="74"/>
      <c r="E24" s="75" t="str">
        <f>IF(AND(G16="Mumbai"),"Developed","Developing")</f>
        <v>Developing</v>
      </c>
      <c r="F24" s="75"/>
      <c r="G24" s="75"/>
      <c r="H24" s="75"/>
    </row>
    <row r="25" spans="1:8" x14ac:dyDescent="0.25">
      <c r="A25" s="74" t="s">
        <v>23</v>
      </c>
      <c r="B25" s="74"/>
      <c r="C25" s="74"/>
      <c r="D25" s="74"/>
      <c r="E25" s="75" t="s">
        <v>24</v>
      </c>
      <c r="F25" s="75"/>
      <c r="G25" s="75"/>
      <c r="H25" s="75"/>
    </row>
    <row r="26" spans="1:8" ht="15.75" customHeight="1" x14ac:dyDescent="0.25">
      <c r="A26" s="74" t="s">
        <v>83</v>
      </c>
      <c r="B26" s="74"/>
      <c r="C26" s="74"/>
      <c r="D26" s="74"/>
      <c r="E26" s="75" t="s">
        <v>84</v>
      </c>
      <c r="F26" s="75"/>
      <c r="G26" s="75"/>
      <c r="H26" s="75"/>
    </row>
    <row r="27" spans="1:8" ht="15" customHeight="1" x14ac:dyDescent="0.25">
      <c r="A27" s="74" t="s">
        <v>33</v>
      </c>
      <c r="B27" s="74"/>
      <c r="C27" s="74"/>
      <c r="D27" s="74"/>
      <c r="E27" s="75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7" s="75"/>
      <c r="G27" s="75"/>
      <c r="H27" s="75"/>
    </row>
    <row r="28" spans="1:8" ht="15.75" customHeight="1" x14ac:dyDescent="0.25">
      <c r="A28" s="74" t="s">
        <v>95</v>
      </c>
      <c r="B28" s="74"/>
      <c r="C28" s="74"/>
      <c r="D28" s="74"/>
      <c r="E28" s="75" t="s">
        <v>34</v>
      </c>
      <c r="F28" s="75"/>
      <c r="G28" s="75"/>
      <c r="H28" s="75"/>
    </row>
    <row r="29" spans="1:8" s="22" customFormat="1" x14ac:dyDescent="0.25">
      <c r="A29" s="150" t="s">
        <v>96</v>
      </c>
      <c r="B29" s="150"/>
      <c r="C29" s="149" t="s">
        <v>29</v>
      </c>
      <c r="D29" s="149"/>
      <c r="E29" s="149"/>
      <c r="F29" s="149" t="s">
        <v>31</v>
      </c>
      <c r="G29" s="149"/>
      <c r="H29" s="149"/>
    </row>
    <row r="30" spans="1:8" s="22" customFormat="1" x14ac:dyDescent="0.25">
      <c r="A30" s="147" t="s">
        <v>25</v>
      </c>
      <c r="B30" s="147" t="s">
        <v>30</v>
      </c>
      <c r="C30" s="148" t="s">
        <v>30</v>
      </c>
      <c r="D30" s="148"/>
      <c r="E30" s="148"/>
      <c r="F30" s="148" t="s">
        <v>186</v>
      </c>
      <c r="G30" s="148"/>
      <c r="H30" s="148"/>
    </row>
    <row r="31" spans="1:8" x14ac:dyDescent="0.25">
      <c r="A31" s="147" t="s">
        <v>26</v>
      </c>
      <c r="B31" s="147" t="s">
        <v>30</v>
      </c>
      <c r="C31" s="148" t="s">
        <v>30</v>
      </c>
      <c r="D31" s="148"/>
      <c r="E31" s="148"/>
      <c r="F31" s="148" t="s">
        <v>186</v>
      </c>
      <c r="G31" s="148"/>
      <c r="H31" s="148"/>
    </row>
    <row r="32" spans="1:8" s="22" customFormat="1" x14ac:dyDescent="0.25">
      <c r="A32" s="147" t="s">
        <v>28</v>
      </c>
      <c r="B32" s="147" t="s">
        <v>30</v>
      </c>
      <c r="C32" s="148" t="s">
        <v>30</v>
      </c>
      <c r="D32" s="148"/>
      <c r="E32" s="148"/>
      <c r="F32" s="148" t="s">
        <v>185</v>
      </c>
      <c r="G32" s="148"/>
      <c r="H32" s="148"/>
    </row>
    <row r="33" spans="1:8" x14ac:dyDescent="0.25">
      <c r="A33" s="147" t="s">
        <v>27</v>
      </c>
      <c r="B33" s="147" t="s">
        <v>30</v>
      </c>
      <c r="C33" s="148" t="s">
        <v>30</v>
      </c>
      <c r="D33" s="148"/>
      <c r="E33" s="148"/>
      <c r="F33" s="148" t="s">
        <v>186</v>
      </c>
      <c r="G33" s="148"/>
      <c r="H33" s="148"/>
    </row>
    <row r="34" spans="1:8" x14ac:dyDescent="0.25">
      <c r="A34" s="74" t="s">
        <v>32</v>
      </c>
      <c r="B34" s="74"/>
      <c r="C34" s="74"/>
      <c r="D34" s="74"/>
      <c r="E34" s="74"/>
      <c r="F34" s="74"/>
      <c r="G34" s="74"/>
      <c r="H34" s="74"/>
    </row>
    <row r="35" spans="1:8" ht="15.75" customHeight="1" x14ac:dyDescent="0.25">
      <c r="A35" s="74" t="s">
        <v>208</v>
      </c>
      <c r="B35" s="74"/>
      <c r="C35" s="151" t="s">
        <v>209</v>
      </c>
      <c r="D35" s="152"/>
      <c r="E35" s="152"/>
      <c r="F35" s="152"/>
      <c r="G35" s="152"/>
      <c r="H35" s="153"/>
    </row>
    <row r="36" spans="1:8" ht="15.75" customHeight="1" x14ac:dyDescent="0.25">
      <c r="A36" s="74" t="s">
        <v>203</v>
      </c>
      <c r="B36" s="74"/>
      <c r="C36" s="195" t="s">
        <v>204</v>
      </c>
      <c r="D36" s="196"/>
      <c r="E36" s="196"/>
      <c r="F36" s="196"/>
      <c r="G36" s="196"/>
      <c r="H36" s="197"/>
    </row>
    <row r="37" spans="1:8" x14ac:dyDescent="0.25">
      <c r="A37" s="139" t="s">
        <v>35</v>
      </c>
      <c r="B37" s="139"/>
      <c r="C37" s="139"/>
      <c r="D37" s="139"/>
      <c r="E37" s="139"/>
      <c r="F37" s="139"/>
      <c r="G37" s="139"/>
      <c r="H37" s="139"/>
    </row>
    <row r="38" spans="1:8" x14ac:dyDescent="0.25">
      <c r="A38" s="74" t="s">
        <v>36</v>
      </c>
      <c r="B38" s="74"/>
      <c r="C38" s="74"/>
      <c r="D38" s="74"/>
      <c r="E38" s="157">
        <v>8350</v>
      </c>
      <c r="F38" s="157"/>
      <c r="G38" s="157"/>
      <c r="H38" s="157"/>
    </row>
    <row r="39" spans="1:8" x14ac:dyDescent="0.25">
      <c r="A39" s="74" t="s">
        <v>37</v>
      </c>
      <c r="B39" s="74"/>
      <c r="C39" s="74"/>
      <c r="D39" s="74"/>
      <c r="E39" s="106">
        <v>0.9</v>
      </c>
      <c r="F39" s="106"/>
      <c r="G39" s="106"/>
      <c r="H39" s="106"/>
    </row>
    <row r="40" spans="1:8" x14ac:dyDescent="0.25">
      <c r="A40" s="74" t="s">
        <v>38</v>
      </c>
      <c r="B40" s="74"/>
      <c r="C40" s="74"/>
      <c r="D40" s="74"/>
      <c r="E40" s="106">
        <f>E42/E38-E39</f>
        <v>0</v>
      </c>
      <c r="F40" s="106"/>
      <c r="G40" s="106"/>
      <c r="H40" s="106"/>
    </row>
    <row r="41" spans="1:8" x14ac:dyDescent="0.25">
      <c r="A41" s="74" t="s">
        <v>39</v>
      </c>
      <c r="B41" s="74"/>
      <c r="C41" s="74"/>
      <c r="D41" s="74"/>
      <c r="E41" s="106">
        <f>E39+E40</f>
        <v>0.9</v>
      </c>
      <c r="F41" s="106"/>
      <c r="G41" s="106"/>
      <c r="H41" s="106"/>
    </row>
    <row r="42" spans="1:8" x14ac:dyDescent="0.25">
      <c r="A42" s="74" t="s">
        <v>94</v>
      </c>
      <c r="B42" s="74"/>
      <c r="C42" s="74"/>
      <c r="D42" s="74"/>
      <c r="E42" s="156">
        <v>7515</v>
      </c>
      <c r="F42" s="156"/>
      <c r="G42" s="156"/>
      <c r="H42" s="156"/>
    </row>
    <row r="43" spans="1:8" x14ac:dyDescent="0.25">
      <c r="A43" s="130" t="s">
        <v>40</v>
      </c>
      <c r="B43" s="130"/>
      <c r="C43" s="130"/>
      <c r="D43" s="130"/>
      <c r="E43" s="130" t="s">
        <v>190</v>
      </c>
      <c r="F43" s="130"/>
      <c r="G43" s="130"/>
      <c r="H43" s="130"/>
    </row>
    <row r="44" spans="1:8" x14ac:dyDescent="0.25">
      <c r="A44" s="139" t="s">
        <v>41</v>
      </c>
      <c r="B44" s="139"/>
      <c r="C44" s="139"/>
      <c r="D44" s="139"/>
      <c r="E44" s="139"/>
      <c r="F44" s="139"/>
      <c r="G44" s="139"/>
      <c r="H44" s="139"/>
    </row>
    <row r="45" spans="1:8" ht="33.75" customHeight="1" x14ac:dyDescent="0.25">
      <c r="A45" s="114" t="s">
        <v>158</v>
      </c>
      <c r="B45" s="101"/>
      <c r="C45" s="192" t="s">
        <v>175</v>
      </c>
      <c r="D45" s="193"/>
      <c r="E45" s="193"/>
      <c r="F45" s="193"/>
      <c r="G45" s="193"/>
      <c r="H45" s="194"/>
    </row>
    <row r="46" spans="1:8" ht="15.75" customHeight="1" x14ac:dyDescent="0.25">
      <c r="A46" s="114" t="s">
        <v>42</v>
      </c>
      <c r="B46" s="101"/>
      <c r="C46" s="114" t="s">
        <v>176</v>
      </c>
      <c r="D46" s="115"/>
      <c r="E46" s="101"/>
      <c r="F46" s="18" t="s">
        <v>43</v>
      </c>
      <c r="G46" s="100">
        <v>43447</v>
      </c>
      <c r="H46" s="101"/>
    </row>
    <row r="47" spans="1:8" x14ac:dyDescent="0.25">
      <c r="A47" s="114" t="s">
        <v>44</v>
      </c>
      <c r="B47" s="101"/>
      <c r="C47" s="114" t="str">
        <f>C46</f>
        <v>SSTN/2354</v>
      </c>
      <c r="D47" s="115"/>
      <c r="E47" s="101"/>
      <c r="F47" s="18" t="s">
        <v>43</v>
      </c>
      <c r="G47" s="100">
        <f>G46</f>
        <v>43447</v>
      </c>
      <c r="H47" s="101"/>
    </row>
    <row r="48" spans="1:8" s="23" customFormat="1" ht="15.75" customHeight="1" x14ac:dyDescent="0.25">
      <c r="A48" s="102" t="s">
        <v>162</v>
      </c>
      <c r="B48" s="103"/>
      <c r="C48" s="114" t="s">
        <v>212</v>
      </c>
      <c r="D48" s="115"/>
      <c r="E48" s="101"/>
      <c r="F48" s="18" t="s">
        <v>43</v>
      </c>
      <c r="G48" s="100">
        <v>45135</v>
      </c>
      <c r="H48" s="101"/>
    </row>
    <row r="49" spans="1:14" s="23" customFormat="1" ht="48" customHeight="1" x14ac:dyDescent="0.25">
      <c r="A49" s="104"/>
      <c r="B49" s="105"/>
      <c r="C49" s="114" t="s">
        <v>213</v>
      </c>
      <c r="D49" s="115"/>
      <c r="E49" s="115"/>
      <c r="F49" s="115"/>
      <c r="G49" s="115"/>
      <c r="H49" s="101"/>
    </row>
    <row r="50" spans="1:14" ht="48.6" customHeight="1" x14ac:dyDescent="0.25">
      <c r="A50" s="127" t="s">
        <v>45</v>
      </c>
      <c r="B50" s="128"/>
      <c r="C50" s="127" t="s">
        <v>210</v>
      </c>
      <c r="D50" s="129"/>
      <c r="E50" s="128"/>
      <c r="F50" s="51" t="s">
        <v>43</v>
      </c>
      <c r="G50" s="131">
        <v>45135</v>
      </c>
      <c r="H50" s="132"/>
    </row>
    <row r="51" spans="1:14" x14ac:dyDescent="0.25">
      <c r="A51" s="90" t="s">
        <v>47</v>
      </c>
      <c r="B51" s="90"/>
      <c r="C51" s="90"/>
      <c r="D51" s="90"/>
      <c r="E51" s="90"/>
      <c r="F51" s="90"/>
      <c r="G51" s="90"/>
      <c r="H51" s="90"/>
    </row>
    <row r="52" spans="1:14" x14ac:dyDescent="0.25">
      <c r="A52" s="76" t="s">
        <v>93</v>
      </c>
      <c r="B52" s="76"/>
      <c r="C52" s="76"/>
      <c r="D52" s="74">
        <f>E42</f>
        <v>7515</v>
      </c>
      <c r="E52" s="74"/>
      <c r="F52" s="74"/>
      <c r="G52" s="74"/>
      <c r="H52" s="74"/>
    </row>
    <row r="53" spans="1:14" x14ac:dyDescent="0.25">
      <c r="A53" s="75" t="s">
        <v>48</v>
      </c>
      <c r="B53" s="130"/>
      <c r="C53" s="130"/>
      <c r="D53" s="130" t="s">
        <v>201</v>
      </c>
      <c r="E53" s="130"/>
      <c r="F53" s="130"/>
      <c r="G53" s="130"/>
      <c r="H53" s="130"/>
      <c r="I53" s="24"/>
    </row>
    <row r="54" spans="1:14" x14ac:dyDescent="0.25">
      <c r="A54" s="117" t="s">
        <v>49</v>
      </c>
      <c r="B54" s="118"/>
      <c r="C54" s="135"/>
      <c r="D54" s="78" t="s">
        <v>178</v>
      </c>
      <c r="E54" s="134"/>
      <c r="F54" s="134"/>
      <c r="G54" s="134"/>
      <c r="H54" s="134"/>
    </row>
    <row r="55" spans="1:14" ht="15.75" customHeight="1" x14ac:dyDescent="0.25">
      <c r="A55" s="117" t="s">
        <v>91</v>
      </c>
      <c r="B55" s="118"/>
      <c r="C55" s="118"/>
      <c r="D55" s="121" t="s">
        <v>189</v>
      </c>
      <c r="E55" s="122"/>
      <c r="F55" s="122"/>
      <c r="G55" s="122"/>
      <c r="H55" s="123"/>
    </row>
    <row r="56" spans="1:14" ht="15.75" customHeight="1" x14ac:dyDescent="0.25">
      <c r="A56" s="119"/>
      <c r="B56" s="120"/>
      <c r="C56" s="120"/>
      <c r="D56" s="124" t="s">
        <v>205</v>
      </c>
      <c r="E56" s="125"/>
      <c r="F56" s="125"/>
      <c r="G56" s="125"/>
      <c r="H56" s="126"/>
    </row>
    <row r="57" spans="1:14" ht="15.75" customHeight="1" x14ac:dyDescent="0.25">
      <c r="A57" s="119"/>
      <c r="B57" s="120"/>
      <c r="C57" s="120"/>
      <c r="D57" s="124" t="s">
        <v>214</v>
      </c>
      <c r="E57" s="125"/>
      <c r="F57" s="125"/>
      <c r="G57" s="125"/>
      <c r="H57" s="126"/>
    </row>
    <row r="58" spans="1:14" ht="15.75" customHeight="1" x14ac:dyDescent="0.25">
      <c r="A58" s="74" t="s">
        <v>46</v>
      </c>
      <c r="B58" s="74"/>
      <c r="C58" s="74"/>
      <c r="D58" s="158" t="s">
        <v>188</v>
      </c>
      <c r="E58" s="158"/>
      <c r="F58" s="158"/>
      <c r="G58" s="158"/>
      <c r="H58" s="158"/>
      <c r="J58" s="25"/>
      <c r="K58" s="24"/>
      <c r="N58" s="24"/>
    </row>
    <row r="59" spans="1:14" ht="15.75" customHeight="1" x14ac:dyDescent="0.25">
      <c r="A59" s="74" t="s">
        <v>89</v>
      </c>
      <c r="B59" s="74"/>
      <c r="C59" s="74"/>
      <c r="D59" s="159" t="str">
        <f ca="1">(IF(G50="NA","60 Years After Completion",IF(G50&lt;&gt;"NA",""&amp;60-ROUNDDOWN((E3-G50)/360,0)&amp;" Years"," ")))</f>
        <v>58 Years</v>
      </c>
      <c r="E59" s="159"/>
      <c r="F59" s="159"/>
      <c r="G59" s="159"/>
      <c r="H59" s="159"/>
      <c r="N59" s="24"/>
    </row>
    <row r="60" spans="1:14" ht="15.75" customHeight="1" x14ac:dyDescent="0.25">
      <c r="A60" s="74" t="s">
        <v>90</v>
      </c>
      <c r="B60" s="74"/>
      <c r="C60" s="74"/>
      <c r="D60" s="76" t="s">
        <v>24</v>
      </c>
      <c r="E60" s="76"/>
      <c r="F60" s="76"/>
      <c r="G60" s="76"/>
      <c r="H60" s="76"/>
      <c r="J60" s="26"/>
      <c r="K60" s="26"/>
    </row>
    <row r="61" spans="1:14" ht="15" hidden="1" customHeight="1" x14ac:dyDescent="0.25">
      <c r="A61" s="74" t="s">
        <v>77</v>
      </c>
      <c r="B61" s="74"/>
      <c r="C61" s="74"/>
      <c r="D61" s="75" t="s">
        <v>154</v>
      </c>
      <c r="E61" s="76"/>
      <c r="F61" s="76"/>
      <c r="G61" s="76"/>
      <c r="H61" s="76"/>
    </row>
    <row r="62" spans="1:14" x14ac:dyDescent="0.25">
      <c r="A62" s="76" t="s">
        <v>155</v>
      </c>
      <c r="B62" s="76"/>
      <c r="C62" s="76"/>
      <c r="D62" s="76" t="s">
        <v>30</v>
      </c>
      <c r="E62" s="76"/>
      <c r="F62" s="76"/>
      <c r="G62" s="76"/>
      <c r="H62" s="76"/>
      <c r="I62" s="27"/>
      <c r="J62" s="27"/>
      <c r="K62" s="27"/>
      <c r="L62" s="27"/>
      <c r="M62" s="27"/>
      <c r="N62" s="27"/>
    </row>
    <row r="63" spans="1:14" ht="15.75" customHeight="1" x14ac:dyDescent="0.25">
      <c r="A63" s="79" t="s">
        <v>88</v>
      </c>
      <c r="B63" s="79"/>
      <c r="C63" s="79"/>
      <c r="D63" s="78" t="str">
        <f ca="1">(IF(G70&gt;95%,"Nothing",IF(G70&gt;0%,"Cement, Aggregate, Steel, etc",IF(G70=0%,"Work not yet Started"))))</f>
        <v>Nothing</v>
      </c>
      <c r="E63" s="78"/>
      <c r="F63" s="78"/>
      <c r="G63" s="78"/>
      <c r="H63" s="78"/>
      <c r="J63" s="26"/>
    </row>
    <row r="64" spans="1:14" ht="33.75" customHeight="1" thickBot="1" x14ac:dyDescent="0.3">
      <c r="A64" s="77" t="s">
        <v>120</v>
      </c>
      <c r="B64" s="77"/>
      <c r="C64" s="77"/>
      <c r="D64" s="78" t="str">
        <f ca="1">(IF(D63="Nothing","Yes",IF(D63="Cement, Aggregate, Steel, etc","Under Construction",IF(D63="Work not yet Started","Work not yet Started"))))</f>
        <v>Yes</v>
      </c>
      <c r="E64" s="78"/>
      <c r="F64" s="78" t="str">
        <f ca="1">(IF(D63="Nothing","Yes",IF(D63="Cement, Aggregate, Steel, etc","Under Construction",IF(D63="Work not yet Started","Work not yet Started"))))</f>
        <v>Yes</v>
      </c>
      <c r="G64" s="78"/>
      <c r="H64" s="78"/>
    </row>
    <row r="65" spans="1:10" ht="15.75" customHeight="1" x14ac:dyDescent="0.25">
      <c r="A65" s="83" t="s">
        <v>146</v>
      </c>
      <c r="B65" s="84"/>
      <c r="C65" s="85" t="str">
        <f>D55</f>
        <v>Building No.6 = G + 1st + 4th Floor</v>
      </c>
      <c r="D65" s="86"/>
      <c r="E65" s="86"/>
      <c r="F65" s="86"/>
      <c r="G65" s="86"/>
      <c r="H65" s="87"/>
      <c r="I65" s="52" t="str">
        <f ca="1">IF(D79=100%,"All work Completed. Possession granted to the Building.",IF(D78=100%,"All work Completed, Waiting for OC",I66&amp;""&amp;I67&amp;""&amp;J66&amp;""&amp;J65&amp;" "&amp;J67))</f>
        <v>All work Completed. Possession granted to the Building.</v>
      </c>
      <c r="J65" s="42" t="str">
        <f ca="1">(IF(C72=(D66+F66+H66),"",IF(C72&gt;0,", RCC upto "&amp;C72&amp;" Slab","")))&amp;(IF(C73=H66,"",IF(C73&gt;0,", Brickwork upto "&amp;C73&amp;" Floor","")))&amp;(IF(C74=H66,"",IF(C74&gt;0,", Internal Plaster upto "&amp;C74&amp;" Floor","")))&amp;(IF(C75=H66,"",IF(C75&gt;0,", External Plaster upto "&amp;C75&amp;" Floor","")))&amp;(IF(C76=H66,"",IF(C76&gt;0,", Flooring upto "&amp;C76&amp;" Floor","")))&amp;(IF(C77=H66,"",IF(C77&gt;0,", Painting upto "&amp;C77&amp;" Floor","")))&amp;(IF(C78=H66,"",IF(C78&gt;0,", Finishing upto "&amp;C78&amp;" Floor","")))&amp;(IF(C79=H66,"",IF(C79&gt;0,", Possession upto "&amp;C79&amp;" Floor","")))</f>
        <v/>
      </c>
    </row>
    <row r="66" spans="1:10" x14ac:dyDescent="0.25">
      <c r="A66" s="16" t="s">
        <v>148</v>
      </c>
      <c r="B66" s="58">
        <v>0</v>
      </c>
      <c r="C66" s="58" t="s">
        <v>74</v>
      </c>
      <c r="D66" s="58">
        <v>1</v>
      </c>
      <c r="E66" s="58" t="s">
        <v>73</v>
      </c>
      <c r="F66" s="58">
        <v>0</v>
      </c>
      <c r="G66" s="58" t="s">
        <v>82</v>
      </c>
      <c r="H66" s="17">
        <f ca="1">--TRIM(RIGHT(SUBSTITUTE(LEFT(C65,_xlfn.AGGREGATE(16,6,FIND({0,1,2,3,4,5,6,7,8,9},C65,ROW(INDIRECT("1:"&amp;LEN(C65)))),1))," ",REPT(" ",LEN(C65))),LEN(C65)))</f>
        <v>4</v>
      </c>
      <c r="I66" s="4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Painting, Building common Amenities</v>
      </c>
      <c r="J66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7" spans="1:10" ht="16.5" thickBot="1" x14ac:dyDescent="0.3">
      <c r="A67" s="81" t="s">
        <v>92</v>
      </c>
      <c r="B67" s="82"/>
      <c r="C67" s="160" t="str">
        <f>(IF($G$50="NA",I65,"All work Completed. OC Received."))</f>
        <v>All work Completed. OC Received.</v>
      </c>
      <c r="D67" s="160"/>
      <c r="E67" s="160"/>
      <c r="F67" s="160"/>
      <c r="G67" s="160"/>
      <c r="H67" s="161"/>
      <c r="I67" s="43" t="str">
        <f ca="1">IF(I66&lt;&gt;""," Completed","")</f>
        <v xml:space="preserve"> Completed</v>
      </c>
      <c r="J67" s="44" t="str">
        <f ca="1">IF(J65&lt;&gt;"","Completed","")</f>
        <v/>
      </c>
    </row>
    <row r="68" spans="1:10" ht="32.25" customHeight="1" thickBot="1" x14ac:dyDescent="0.3">
      <c r="A68" s="199" t="s">
        <v>87</v>
      </c>
      <c r="B68" s="200"/>
      <c r="C68" s="201">
        <v>1</v>
      </c>
      <c r="D68" s="200"/>
      <c r="E68" s="202" t="s">
        <v>86</v>
      </c>
      <c r="F68" s="200"/>
      <c r="G68" s="201">
        <v>1</v>
      </c>
      <c r="H68" s="203"/>
      <c r="I68" s="43"/>
      <c r="J68" s="44"/>
    </row>
    <row r="69" spans="1:10" ht="15.75" hidden="1" customHeight="1" x14ac:dyDescent="0.25">
      <c r="A69" s="133" t="s">
        <v>50</v>
      </c>
      <c r="B69" s="73"/>
      <c r="C69" s="60" t="s">
        <v>145</v>
      </c>
      <c r="D69" s="60" t="s">
        <v>85</v>
      </c>
      <c r="E69" s="73" t="s">
        <v>87</v>
      </c>
      <c r="F69" s="73"/>
      <c r="G69" s="73" t="s">
        <v>86</v>
      </c>
      <c r="H69" s="80"/>
      <c r="I69" s="14" t="s">
        <v>147</v>
      </c>
      <c r="J69" s="28">
        <f ca="1">H66*25%</f>
        <v>1</v>
      </c>
    </row>
    <row r="70" spans="1:10" hidden="1" x14ac:dyDescent="0.25">
      <c r="A70" s="71" t="s">
        <v>134</v>
      </c>
      <c r="B70" s="72"/>
      <c r="C70" s="53">
        <f ca="1">J71</f>
        <v>4</v>
      </c>
      <c r="D70" s="54">
        <f ca="1">((100/H66)*C70)/100</f>
        <v>1</v>
      </c>
      <c r="E70" s="171">
        <f ca="1">(((C71/H66*10)+(40/(D66+F66+H66)*C72)+(7.5/(H66)*C73)+(7.5/(H66)*C74)+(10/H66*C75)+(10/H66*C76)+(5/H66*C77)+(5/H66*C78)+(5/H66*C79))/100)</f>
        <v>1</v>
      </c>
      <c r="F70" s="172"/>
      <c r="G70" s="171">
        <f ca="1">((((C70/H66)*20)+((C71/H66)*25)+(30/(H66+F66+D66)*C72)+(5/H66*C73)+(5/H66*C74)+(5/H66*C75)+(5/H66*C76)+(0/H66*C77)+(0/H66*C78)+(5/H66*C79))/100)</f>
        <v>1</v>
      </c>
      <c r="H70" s="177"/>
      <c r="I70" s="14" t="s">
        <v>103</v>
      </c>
      <c r="J70" s="29">
        <f ca="1">H66*50%</f>
        <v>2</v>
      </c>
    </row>
    <row r="71" spans="1:10" hidden="1" x14ac:dyDescent="0.25">
      <c r="A71" s="71" t="s">
        <v>51</v>
      </c>
      <c r="B71" s="72"/>
      <c r="C71" s="53">
        <f ca="1">J79</f>
        <v>4</v>
      </c>
      <c r="D71" s="54">
        <f ca="1">((100/H66)*C71)/100</f>
        <v>1</v>
      </c>
      <c r="E71" s="173"/>
      <c r="F71" s="174"/>
      <c r="G71" s="173"/>
      <c r="H71" s="178"/>
      <c r="I71" s="14" t="s">
        <v>104</v>
      </c>
      <c r="J71" s="29">
        <f ca="1">H66</f>
        <v>4</v>
      </c>
    </row>
    <row r="72" spans="1:10" ht="15.75" hidden="1" customHeight="1" x14ac:dyDescent="0.25">
      <c r="A72" s="71" t="s">
        <v>135</v>
      </c>
      <c r="B72" s="72"/>
      <c r="C72" s="53">
        <v>5</v>
      </c>
      <c r="D72" s="54">
        <f ca="1">((100/(D66+F66+H66))*C72)/100</f>
        <v>1</v>
      </c>
      <c r="E72" s="173"/>
      <c r="F72" s="174"/>
      <c r="G72" s="173"/>
      <c r="H72" s="178"/>
      <c r="I72" s="14" t="s">
        <v>105</v>
      </c>
      <c r="J72" s="30">
        <f ca="1">(IF(B66&gt;1,(H66/(B66+2)),H66/4))</f>
        <v>1</v>
      </c>
    </row>
    <row r="73" spans="1:10" ht="15.75" hidden="1" customHeight="1" x14ac:dyDescent="0.25">
      <c r="A73" s="71" t="s">
        <v>142</v>
      </c>
      <c r="B73" s="72" t="s">
        <v>136</v>
      </c>
      <c r="C73" s="53">
        <v>4</v>
      </c>
      <c r="D73" s="54">
        <f ca="1">((100/H66)*C73)/100</f>
        <v>1</v>
      </c>
      <c r="E73" s="173"/>
      <c r="F73" s="174"/>
      <c r="G73" s="173"/>
      <c r="H73" s="178"/>
      <c r="I73" s="14" t="s">
        <v>106</v>
      </c>
      <c r="J73" s="30">
        <f ca="1">(IF(B66&gt;1,(H66/(B66+2)+J72),H66/4+J72))</f>
        <v>2</v>
      </c>
    </row>
    <row r="74" spans="1:10" ht="15.75" hidden="1" customHeight="1" x14ac:dyDescent="0.25">
      <c r="A74" s="71" t="s">
        <v>143</v>
      </c>
      <c r="B74" s="72" t="s">
        <v>136</v>
      </c>
      <c r="C74" s="53">
        <v>4</v>
      </c>
      <c r="D74" s="54">
        <f ca="1">((100/H66)*C74)/100</f>
        <v>1</v>
      </c>
      <c r="E74" s="173"/>
      <c r="F74" s="174"/>
      <c r="G74" s="173"/>
      <c r="H74" s="178"/>
      <c r="I74" s="14" t="s">
        <v>152</v>
      </c>
      <c r="J74" s="30">
        <f>(IF(B66&gt;1,(H66/(B66+2)+J73),0))</f>
        <v>0</v>
      </c>
    </row>
    <row r="75" spans="1:10" ht="15" hidden="1" customHeight="1" x14ac:dyDescent="0.25">
      <c r="A75" s="71" t="s">
        <v>141</v>
      </c>
      <c r="B75" s="72" t="s">
        <v>138</v>
      </c>
      <c r="C75" s="53">
        <v>4</v>
      </c>
      <c r="D75" s="54">
        <f ca="1">((100/(H66))*C75)/100</f>
        <v>1</v>
      </c>
      <c r="E75" s="173"/>
      <c r="F75" s="174"/>
      <c r="G75" s="173"/>
      <c r="H75" s="178"/>
      <c r="I75" s="14" t="s">
        <v>149</v>
      </c>
      <c r="J75" s="30">
        <f>(IF(B66&gt;2,(H66/(B66+2)+J74),0))</f>
        <v>0</v>
      </c>
    </row>
    <row r="76" spans="1:10" ht="15.75" hidden="1" customHeight="1" x14ac:dyDescent="0.25">
      <c r="A76" s="71" t="s">
        <v>137</v>
      </c>
      <c r="B76" s="72" t="s">
        <v>137</v>
      </c>
      <c r="C76" s="53">
        <v>4</v>
      </c>
      <c r="D76" s="54">
        <f ca="1">((100/H66)*C76)/100</f>
        <v>1</v>
      </c>
      <c r="E76" s="173"/>
      <c r="F76" s="174"/>
      <c r="G76" s="173"/>
      <c r="H76" s="178"/>
      <c r="I76" s="14" t="s">
        <v>150</v>
      </c>
      <c r="J76" s="31">
        <f>(IF(B66&gt;3,(H66/(B66+2)+J75),0))</f>
        <v>0</v>
      </c>
    </row>
    <row r="77" spans="1:10" ht="15.75" hidden="1" customHeight="1" x14ac:dyDescent="0.25">
      <c r="A77" s="71" t="s">
        <v>144</v>
      </c>
      <c r="B77" s="72"/>
      <c r="C77" s="53">
        <v>4</v>
      </c>
      <c r="D77" s="54">
        <f ca="1">((100/H66)*C77)/100</f>
        <v>1</v>
      </c>
      <c r="E77" s="173"/>
      <c r="F77" s="174"/>
      <c r="G77" s="173"/>
      <c r="H77" s="178"/>
      <c r="I77" s="14" t="s">
        <v>151</v>
      </c>
      <c r="J77" s="30">
        <f>(IF(B66&gt;4,(H66/(B66+2)+J76),0))</f>
        <v>0</v>
      </c>
    </row>
    <row r="78" spans="1:10" ht="15.75" hidden="1" customHeight="1" x14ac:dyDescent="0.25">
      <c r="A78" s="71" t="s">
        <v>139</v>
      </c>
      <c r="B78" s="72" t="s">
        <v>139</v>
      </c>
      <c r="C78" s="53">
        <v>4</v>
      </c>
      <c r="D78" s="54">
        <f ca="1">((100/(H66))*C78)/100</f>
        <v>1</v>
      </c>
      <c r="E78" s="173"/>
      <c r="F78" s="174"/>
      <c r="G78" s="173"/>
      <c r="H78" s="178"/>
      <c r="I78" s="14" t="s">
        <v>153</v>
      </c>
      <c r="J78" s="30">
        <f ca="1">(IF(B66=1,(H66/(B66+3)+J73),IF(B66=0,(H66/4+J73),IF(B66&gt;1,0))))</f>
        <v>3</v>
      </c>
    </row>
    <row r="79" spans="1:10" ht="16.5" hidden="1" thickBot="1" x14ac:dyDescent="0.3">
      <c r="A79" s="154" t="s">
        <v>140</v>
      </c>
      <c r="B79" s="155"/>
      <c r="C79" s="55">
        <v>4</v>
      </c>
      <c r="D79" s="56">
        <f ca="1">((100/(H66))*C79)/100</f>
        <v>1</v>
      </c>
      <c r="E79" s="175"/>
      <c r="F79" s="176"/>
      <c r="G79" s="175"/>
      <c r="H79" s="179"/>
      <c r="I79" s="15" t="s">
        <v>107</v>
      </c>
      <c r="J79" s="32">
        <f ca="1">(IF(B66&gt;1.5,(H66/(B66+2)+J73+MAX(0,J74-J73)+MAX(0,J75-J74)+MAX(0,J76-J75)+MAX(0,J77-J76)+MAX(0,J78-J77)),IF(B66=1,(H66/(B66+3)+J78),IF(B66=0,H66/4+J78))))</f>
        <v>4</v>
      </c>
    </row>
    <row r="80" spans="1:10" ht="18" customHeight="1" x14ac:dyDescent="0.25">
      <c r="A80" s="83" t="s">
        <v>146</v>
      </c>
      <c r="B80" s="84"/>
      <c r="C80" s="85" t="str">
        <f>D56</f>
        <v>Building No.7 = G + 1st + 5th Floor</v>
      </c>
      <c r="D80" s="86"/>
      <c r="E80" s="86"/>
      <c r="F80" s="86"/>
      <c r="G80" s="86"/>
      <c r="H80" s="87"/>
      <c r="I80" s="52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 Completed, Flooring upto 3 Floor, Painting upto 1 Floor Completed</v>
      </c>
      <c r="J80" s="42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3 Floor, Painting upto 1 Floor</v>
      </c>
    </row>
    <row r="81" spans="1:10" x14ac:dyDescent="0.25">
      <c r="A81" s="16" t="s">
        <v>148</v>
      </c>
      <c r="B81" s="50">
        <v>0</v>
      </c>
      <c r="C81" s="50" t="s">
        <v>74</v>
      </c>
      <c r="D81" s="50">
        <v>1</v>
      </c>
      <c r="E81" s="50" t="s">
        <v>73</v>
      </c>
      <c r="F81" s="50">
        <v>0</v>
      </c>
      <c r="G81" s="50" t="s">
        <v>82</v>
      </c>
      <c r="H81" s="17">
        <f ca="1">--TRIM(RIGHT(SUBSTITUTE(LEFT(C80,_xlfn.AGGREGATE(16,6,FIND({0,1,2,3,4,5,6,7,8,9},C80,ROW(INDIRECT("1:"&amp;LEN(C80)))),1))," ",REPT(" ",LEN(C80))),LEN(C80)))</f>
        <v>5</v>
      </c>
      <c r="I81" s="43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81" s="44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5.65" customHeight="1" x14ac:dyDescent="0.25">
      <c r="A82" s="184" t="s">
        <v>92</v>
      </c>
      <c r="B82" s="145"/>
      <c r="C82" s="185" t="str">
        <f ca="1">I80</f>
        <v>Excavation, Plinth, RCC Slab, Brickwork, Internal Plaster, External Plaster Completed, Flooring upto 3 Floor, Painting upto 1 Floor Completed</v>
      </c>
      <c r="D82" s="185"/>
      <c r="E82" s="185"/>
      <c r="F82" s="185"/>
      <c r="G82" s="185"/>
      <c r="H82" s="186"/>
      <c r="I82" s="43" t="str">
        <f ca="1">IF(I81&lt;&gt;""," Completed","")</f>
        <v xml:space="preserve"> Completed</v>
      </c>
      <c r="J82" s="44" t="str">
        <f ca="1">IF(J80&lt;&gt;"","Completed","")</f>
        <v>Completed</v>
      </c>
    </row>
    <row r="83" spans="1:10" ht="15.75" customHeight="1" x14ac:dyDescent="0.25">
      <c r="A83" s="61" t="s">
        <v>50</v>
      </c>
      <c r="B83" s="62"/>
      <c r="C83" s="45" t="s">
        <v>145</v>
      </c>
      <c r="D83" s="45" t="s">
        <v>85</v>
      </c>
      <c r="E83" s="62" t="s">
        <v>87</v>
      </c>
      <c r="F83" s="62"/>
      <c r="G83" s="62" t="s">
        <v>86</v>
      </c>
      <c r="H83" s="180"/>
      <c r="I83" s="14" t="s">
        <v>147</v>
      </c>
      <c r="J83" s="28">
        <f ca="1">H81*25%</f>
        <v>1.25</v>
      </c>
    </row>
    <row r="84" spans="1:10" x14ac:dyDescent="0.25">
      <c r="A84" s="61" t="s">
        <v>134</v>
      </c>
      <c r="B84" s="62"/>
      <c r="C84" s="45">
        <f ca="1">J85</f>
        <v>5</v>
      </c>
      <c r="D84" s="19">
        <f ca="1">((100/H81)*C84)/100</f>
        <v>1</v>
      </c>
      <c r="E84" s="165">
        <f ca="1">(((C85/H81*10)+(40/(D81+F81+H81)*C86)+(7.5/(H81)*C87)+(7.5/(H81)*C88)+(10/H81*C89)+(10/H81*C90)+(5/H81*C91)+(5/H81*C92)+(5/H81*C93))/100)</f>
        <v>0.82</v>
      </c>
      <c r="F84" s="166"/>
      <c r="G84" s="165">
        <f ca="1">((((C84/H81)*20)+((C85/H81)*25)+(30/(H81+F81+D81)*C86)+(5/H81*C87)+(5/H81*C88)+(5/H81*C89)+(5/H81*C90)+(0/H81*C91)+(0/H81*C92)+(5/H81*C93))/100)</f>
        <v>0.93</v>
      </c>
      <c r="H84" s="181"/>
      <c r="I84" s="14" t="s">
        <v>103</v>
      </c>
      <c r="J84" s="29">
        <f ca="1">H81*50%</f>
        <v>2.5</v>
      </c>
    </row>
    <row r="85" spans="1:10" x14ac:dyDescent="0.25">
      <c r="A85" s="61" t="s">
        <v>51</v>
      </c>
      <c r="B85" s="62"/>
      <c r="C85" s="57">
        <f ca="1">J93</f>
        <v>5</v>
      </c>
      <c r="D85" s="19">
        <f ca="1">((100/H81)*C85)/100</f>
        <v>1</v>
      </c>
      <c r="E85" s="167"/>
      <c r="F85" s="168"/>
      <c r="G85" s="167"/>
      <c r="H85" s="182"/>
      <c r="I85" s="14" t="s">
        <v>104</v>
      </c>
      <c r="J85" s="29">
        <f ca="1">H81</f>
        <v>5</v>
      </c>
    </row>
    <row r="86" spans="1:10" ht="15.75" customHeight="1" x14ac:dyDescent="0.25">
      <c r="A86" s="61" t="s">
        <v>135</v>
      </c>
      <c r="B86" s="62"/>
      <c r="C86" s="45">
        <v>6</v>
      </c>
      <c r="D86" s="19">
        <f ca="1">((100/(D81+F81+H81))*C86)/100</f>
        <v>1</v>
      </c>
      <c r="E86" s="167"/>
      <c r="F86" s="168"/>
      <c r="G86" s="167"/>
      <c r="H86" s="182"/>
      <c r="I86" s="14" t="s">
        <v>105</v>
      </c>
      <c r="J86" s="30">
        <f ca="1">(IF(B81&gt;1,(H81/(B81+2)),H81/4))</f>
        <v>1.25</v>
      </c>
    </row>
    <row r="87" spans="1:10" ht="15.75" customHeight="1" x14ac:dyDescent="0.25">
      <c r="A87" s="61" t="s">
        <v>142</v>
      </c>
      <c r="B87" s="62" t="s">
        <v>136</v>
      </c>
      <c r="C87" s="45">
        <v>5</v>
      </c>
      <c r="D87" s="19">
        <f ca="1">((100/H81)*C87)/100</f>
        <v>1</v>
      </c>
      <c r="E87" s="167"/>
      <c r="F87" s="168"/>
      <c r="G87" s="167"/>
      <c r="H87" s="182"/>
      <c r="I87" s="14" t="s">
        <v>106</v>
      </c>
      <c r="J87" s="30">
        <f ca="1">(IF(B81&gt;1,(H81/(B81+2)+J86),H81/4+J86))</f>
        <v>2.5</v>
      </c>
    </row>
    <row r="88" spans="1:10" ht="15.75" customHeight="1" x14ac:dyDescent="0.25">
      <c r="A88" s="61" t="s">
        <v>143</v>
      </c>
      <c r="B88" s="62" t="s">
        <v>136</v>
      </c>
      <c r="C88" s="45">
        <v>5</v>
      </c>
      <c r="D88" s="19">
        <f ca="1">((100/H81)*C88)/100</f>
        <v>1</v>
      </c>
      <c r="E88" s="167"/>
      <c r="F88" s="168"/>
      <c r="G88" s="167"/>
      <c r="H88" s="182"/>
      <c r="I88" s="14" t="s">
        <v>152</v>
      </c>
      <c r="J88" s="30">
        <f>(IF(B81&gt;1,(H81/(B81+2)+J87),0))</f>
        <v>0</v>
      </c>
    </row>
    <row r="89" spans="1:10" ht="15" customHeight="1" x14ac:dyDescent="0.25">
      <c r="A89" s="61" t="s">
        <v>141</v>
      </c>
      <c r="B89" s="62" t="s">
        <v>138</v>
      </c>
      <c r="C89" s="45">
        <v>5</v>
      </c>
      <c r="D89" s="19">
        <f ca="1">((100/(H81))*C89)/100</f>
        <v>1</v>
      </c>
      <c r="E89" s="167"/>
      <c r="F89" s="168"/>
      <c r="G89" s="167"/>
      <c r="H89" s="182"/>
      <c r="I89" s="14" t="s">
        <v>149</v>
      </c>
      <c r="J89" s="30">
        <f>(IF(B81&gt;2,(H81/(B81+2)+J88),0))</f>
        <v>0</v>
      </c>
    </row>
    <row r="90" spans="1:10" ht="15.75" customHeight="1" x14ac:dyDescent="0.25">
      <c r="A90" s="61" t="s">
        <v>137</v>
      </c>
      <c r="B90" s="62" t="s">
        <v>137</v>
      </c>
      <c r="C90" s="45">
        <v>3</v>
      </c>
      <c r="D90" s="19">
        <f ca="1">((100/H81)*C90)/100</f>
        <v>0.6</v>
      </c>
      <c r="E90" s="167"/>
      <c r="F90" s="168"/>
      <c r="G90" s="167"/>
      <c r="H90" s="182"/>
      <c r="I90" s="14" t="s">
        <v>150</v>
      </c>
      <c r="J90" s="31">
        <f>(IF(B81&gt;3,(H81/(B81+2)+J89),0))</f>
        <v>0</v>
      </c>
    </row>
    <row r="91" spans="1:10" ht="15.75" customHeight="1" x14ac:dyDescent="0.25">
      <c r="A91" s="61" t="s">
        <v>144</v>
      </c>
      <c r="B91" s="62"/>
      <c r="C91" s="45">
        <v>1</v>
      </c>
      <c r="D91" s="19">
        <f ca="1">((100/H81)*C91)/100</f>
        <v>0.2</v>
      </c>
      <c r="E91" s="167"/>
      <c r="F91" s="168"/>
      <c r="G91" s="167"/>
      <c r="H91" s="182"/>
      <c r="I91" s="14" t="s">
        <v>151</v>
      </c>
      <c r="J91" s="30">
        <f>(IF(B81&gt;4,(H81/(B81+2)+J90),0))</f>
        <v>0</v>
      </c>
    </row>
    <row r="92" spans="1:10" ht="15.75" customHeight="1" x14ac:dyDescent="0.25">
      <c r="A92" s="61" t="s">
        <v>139</v>
      </c>
      <c r="B92" s="62" t="s">
        <v>139</v>
      </c>
      <c r="C92" s="45">
        <v>0</v>
      </c>
      <c r="D92" s="19">
        <f ca="1">((100/(H81))*C92)/100</f>
        <v>0</v>
      </c>
      <c r="E92" s="167"/>
      <c r="F92" s="168"/>
      <c r="G92" s="167"/>
      <c r="H92" s="182"/>
      <c r="I92" s="14" t="s">
        <v>153</v>
      </c>
      <c r="J92" s="30">
        <f ca="1">(IF(B81=1,(H81/(B81+3)+J87),IF(B81=0,(H81/4+J87),IF(B81&gt;1,0))))</f>
        <v>3.75</v>
      </c>
    </row>
    <row r="93" spans="1:10" ht="16.5" thickBot="1" x14ac:dyDescent="0.3">
      <c r="A93" s="91" t="s">
        <v>140</v>
      </c>
      <c r="B93" s="92"/>
      <c r="C93" s="49">
        <v>0</v>
      </c>
      <c r="D93" s="20">
        <f ca="1">((100/(H81))*C93)/100</f>
        <v>0</v>
      </c>
      <c r="E93" s="169"/>
      <c r="F93" s="170"/>
      <c r="G93" s="169"/>
      <c r="H93" s="183"/>
      <c r="I93" s="15" t="s">
        <v>107</v>
      </c>
      <c r="J93" s="32">
        <f ca="1">(IF(B81&gt;1.5,(H81/(B81+2)+J87+MAX(0,J88-J87)+MAX(0,J89-J88)+MAX(0,J90-J89)+MAX(0,J91-J90)+MAX(0,J92-J91)),IF(B81=1,(H81/(B81+3)+J92),IF(B81=0,H81/4+J92))))</f>
        <v>5</v>
      </c>
    </row>
    <row r="94" spans="1:10" ht="15.75" customHeight="1" x14ac:dyDescent="0.25">
      <c r="A94" s="83" t="s">
        <v>146</v>
      </c>
      <c r="B94" s="84"/>
      <c r="C94" s="189" t="str">
        <f>D57</f>
        <v>Building No.8 = G + 1st + 7th Floor</v>
      </c>
      <c r="D94" s="86"/>
      <c r="E94" s="86"/>
      <c r="F94" s="86"/>
      <c r="G94" s="86"/>
      <c r="H94" s="87"/>
      <c r="I94" s="52" t="str">
        <f ca="1">IF(D107=100%,"All work Completed. Possession granted to the Building.",IF(D106=100%,"All work Completed, Waiting for OC",I95&amp;""&amp;I96&amp;""&amp;J95&amp;""&amp;J94&amp;" "&amp;J96))</f>
        <v xml:space="preserve">Work not yet Started. </v>
      </c>
      <c r="J94" s="42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/>
      </c>
    </row>
    <row r="95" spans="1:10" x14ac:dyDescent="0.25">
      <c r="A95" s="16" t="s">
        <v>148</v>
      </c>
      <c r="B95" s="50">
        <v>0</v>
      </c>
      <c r="C95" s="50" t="s">
        <v>74</v>
      </c>
      <c r="D95" s="50">
        <v>1</v>
      </c>
      <c r="E95" s="50" t="s">
        <v>73</v>
      </c>
      <c r="F95" s="50">
        <v>0</v>
      </c>
      <c r="G95" s="50" t="s">
        <v>82</v>
      </c>
      <c r="H95" s="17">
        <f ca="1">--TRIM(RIGHT(SUBSTITUTE(LEFT(C94,_xlfn.AGGREGATE(16,6,FIND({0,1,2,3,4,5,6,7,8,9},C94,ROW(INDIRECT("1:"&amp;LEN(C94)))),1))," ",REPT(" ",LEN(C94))),LEN(C94)))</f>
        <v>7</v>
      </c>
      <c r="I95" s="43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/>
      </c>
      <c r="J95" s="44" t="str">
        <f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>Work not yet Started.</v>
      </c>
    </row>
    <row r="96" spans="1:10" x14ac:dyDescent="0.25">
      <c r="A96" s="184" t="s">
        <v>92</v>
      </c>
      <c r="B96" s="145"/>
      <c r="C96" s="185" t="str">
        <f ca="1">I94</f>
        <v xml:space="preserve">Work not yet Started. </v>
      </c>
      <c r="D96" s="185"/>
      <c r="E96" s="185"/>
      <c r="F96" s="185"/>
      <c r="G96" s="185"/>
      <c r="H96" s="186"/>
      <c r="I96" s="43" t="str">
        <f ca="1">IF(I95&lt;&gt;""," Completed","")</f>
        <v/>
      </c>
      <c r="J96" s="44" t="str">
        <f ca="1">IF(J94&lt;&gt;"","Completed","")</f>
        <v/>
      </c>
    </row>
    <row r="97" spans="1:10" ht="15.75" customHeight="1" x14ac:dyDescent="0.25">
      <c r="A97" s="61" t="s">
        <v>50</v>
      </c>
      <c r="B97" s="62"/>
      <c r="C97" s="45" t="s">
        <v>145</v>
      </c>
      <c r="D97" s="45" t="s">
        <v>85</v>
      </c>
      <c r="E97" s="62" t="s">
        <v>87</v>
      </c>
      <c r="F97" s="62"/>
      <c r="G97" s="62" t="s">
        <v>86</v>
      </c>
      <c r="H97" s="180"/>
      <c r="I97" s="14" t="s">
        <v>147</v>
      </c>
      <c r="J97" s="28">
        <f ca="1">H95*25%</f>
        <v>1.75</v>
      </c>
    </row>
    <row r="98" spans="1:10" x14ac:dyDescent="0.25">
      <c r="A98" s="61" t="s">
        <v>134</v>
      </c>
      <c r="B98" s="62"/>
      <c r="C98" s="45">
        <v>0</v>
      </c>
      <c r="D98" s="19">
        <f ca="1">((100/H95)*C98)/100</f>
        <v>0</v>
      </c>
      <c r="E98" s="165">
        <f ca="1">(((C99/H95*10)+(40/(D95+F95+H95)*C100)+(7.5/(H95)*C101)+(7.5/(H95)*C102)+(10/H95*C103)+(10/H95*C104)+(5/H95*C105)+(5/H95*C106)+(5/H95*C107))/100)</f>
        <v>0</v>
      </c>
      <c r="F98" s="166"/>
      <c r="G98" s="165">
        <f ca="1">((((C98/H95)*20)+((C99/H95)*25)+(30/(H95+F95+D95)*C100)+(5/H95*C101)+(5/H95*C102)+(5/H95*C103)+(5/H95*C104)+(0/H95*C105)+(0/H95*C106)+(5/H95*C107))/100)</f>
        <v>0</v>
      </c>
      <c r="H98" s="181"/>
      <c r="I98" s="14" t="s">
        <v>103</v>
      </c>
      <c r="J98" s="29">
        <f ca="1">H95*50%</f>
        <v>3.5</v>
      </c>
    </row>
    <row r="99" spans="1:10" x14ac:dyDescent="0.25">
      <c r="A99" s="61" t="s">
        <v>51</v>
      </c>
      <c r="B99" s="62"/>
      <c r="C99" s="57">
        <v>0</v>
      </c>
      <c r="D99" s="19">
        <f ca="1">((100/H95)*C99)/100</f>
        <v>0</v>
      </c>
      <c r="E99" s="167"/>
      <c r="F99" s="168"/>
      <c r="G99" s="167"/>
      <c r="H99" s="182"/>
      <c r="I99" s="14" t="s">
        <v>104</v>
      </c>
      <c r="J99" s="29">
        <f ca="1">H95</f>
        <v>7</v>
      </c>
    </row>
    <row r="100" spans="1:10" ht="15.75" customHeight="1" x14ac:dyDescent="0.25">
      <c r="A100" s="61" t="s">
        <v>135</v>
      </c>
      <c r="B100" s="62"/>
      <c r="C100" s="45">
        <v>0</v>
      </c>
      <c r="D100" s="19">
        <f ca="1">((100/(D95+F95+H95))*C100)/100</f>
        <v>0</v>
      </c>
      <c r="E100" s="167"/>
      <c r="F100" s="168"/>
      <c r="G100" s="167"/>
      <c r="H100" s="182"/>
      <c r="I100" s="14" t="s">
        <v>105</v>
      </c>
      <c r="J100" s="30">
        <f ca="1">(IF(B95&gt;1,(H95/(B95+2)),H95/4))</f>
        <v>1.75</v>
      </c>
    </row>
    <row r="101" spans="1:10" ht="15.75" customHeight="1" x14ac:dyDescent="0.25">
      <c r="A101" s="61" t="s">
        <v>142</v>
      </c>
      <c r="B101" s="62" t="s">
        <v>136</v>
      </c>
      <c r="C101" s="45">
        <v>0</v>
      </c>
      <c r="D101" s="19">
        <f ca="1">((100/H95)*C101)/100</f>
        <v>0</v>
      </c>
      <c r="E101" s="167"/>
      <c r="F101" s="168"/>
      <c r="G101" s="167"/>
      <c r="H101" s="182"/>
      <c r="I101" s="14" t="s">
        <v>106</v>
      </c>
      <c r="J101" s="30">
        <f ca="1">(IF(B95&gt;1,(H95/(B95+2)+J100),H95/4+J100))</f>
        <v>3.5</v>
      </c>
    </row>
    <row r="102" spans="1:10" ht="15.75" customHeight="1" x14ac:dyDescent="0.25">
      <c r="A102" s="61" t="s">
        <v>143</v>
      </c>
      <c r="B102" s="62" t="s">
        <v>136</v>
      </c>
      <c r="C102" s="45">
        <v>0</v>
      </c>
      <c r="D102" s="19">
        <f ca="1">((100/H95)*C102)/100</f>
        <v>0</v>
      </c>
      <c r="E102" s="167"/>
      <c r="F102" s="168"/>
      <c r="G102" s="167"/>
      <c r="H102" s="182"/>
      <c r="I102" s="14" t="s">
        <v>152</v>
      </c>
      <c r="J102" s="30">
        <f>(IF(B95&gt;1,(H95/(B95+2)+J101),0))</f>
        <v>0</v>
      </c>
    </row>
    <row r="103" spans="1:10" ht="15" customHeight="1" x14ac:dyDescent="0.25">
      <c r="A103" s="61" t="s">
        <v>141</v>
      </c>
      <c r="B103" s="62" t="s">
        <v>138</v>
      </c>
      <c r="C103" s="45">
        <v>0</v>
      </c>
      <c r="D103" s="19">
        <f ca="1">((100/(H95))*C103)/100</f>
        <v>0</v>
      </c>
      <c r="E103" s="167"/>
      <c r="F103" s="168"/>
      <c r="G103" s="167"/>
      <c r="H103" s="182"/>
      <c r="I103" s="14" t="s">
        <v>149</v>
      </c>
      <c r="J103" s="30">
        <f>(IF(B95&gt;2,(H95/(B95+2)+J102),0))</f>
        <v>0</v>
      </c>
    </row>
    <row r="104" spans="1:10" ht="15.75" customHeight="1" x14ac:dyDescent="0.25">
      <c r="A104" s="61" t="s">
        <v>137</v>
      </c>
      <c r="B104" s="62" t="s">
        <v>137</v>
      </c>
      <c r="C104" s="45">
        <v>0</v>
      </c>
      <c r="D104" s="19">
        <f ca="1">((100/H95)*C104)/100</f>
        <v>0</v>
      </c>
      <c r="E104" s="167"/>
      <c r="F104" s="168"/>
      <c r="G104" s="167"/>
      <c r="H104" s="182"/>
      <c r="I104" s="14" t="s">
        <v>150</v>
      </c>
      <c r="J104" s="31">
        <f>(IF(B95&gt;3,(H95/(B95+2)+J103),0))</f>
        <v>0</v>
      </c>
    </row>
    <row r="105" spans="1:10" ht="15.75" customHeight="1" x14ac:dyDescent="0.25">
      <c r="A105" s="61" t="s">
        <v>144</v>
      </c>
      <c r="B105" s="62"/>
      <c r="C105" s="45">
        <v>0</v>
      </c>
      <c r="D105" s="19">
        <f ca="1">((100/H95)*C105)/100</f>
        <v>0</v>
      </c>
      <c r="E105" s="167"/>
      <c r="F105" s="168"/>
      <c r="G105" s="167"/>
      <c r="H105" s="182"/>
      <c r="I105" s="14" t="s">
        <v>151</v>
      </c>
      <c r="J105" s="30">
        <f>(IF(B95&gt;4,(H95/(B95+2)+J104),0))</f>
        <v>0</v>
      </c>
    </row>
    <row r="106" spans="1:10" ht="15.75" customHeight="1" x14ac:dyDescent="0.25">
      <c r="A106" s="61" t="s">
        <v>139</v>
      </c>
      <c r="B106" s="62" t="s">
        <v>139</v>
      </c>
      <c r="C106" s="45">
        <v>0</v>
      </c>
      <c r="D106" s="19">
        <f ca="1">((100/(H95))*C106)/100</f>
        <v>0</v>
      </c>
      <c r="E106" s="167"/>
      <c r="F106" s="168"/>
      <c r="G106" s="167"/>
      <c r="H106" s="182"/>
      <c r="I106" s="14" t="s">
        <v>153</v>
      </c>
      <c r="J106" s="30">
        <f ca="1">(IF(B95=1,(H95/(B95+3)+J101),IF(B95=0,(H95/4+J101),IF(B95&gt;1,0))))</f>
        <v>5.25</v>
      </c>
    </row>
    <row r="107" spans="1:10" ht="16.5" thickBot="1" x14ac:dyDescent="0.3">
      <c r="A107" s="91" t="s">
        <v>140</v>
      </c>
      <c r="B107" s="92"/>
      <c r="C107" s="49">
        <v>0</v>
      </c>
      <c r="D107" s="20">
        <f ca="1">((100/(H95))*C107)/100</f>
        <v>0</v>
      </c>
      <c r="E107" s="169"/>
      <c r="F107" s="170"/>
      <c r="G107" s="169"/>
      <c r="H107" s="183"/>
      <c r="I107" s="15" t="s">
        <v>107</v>
      </c>
      <c r="J107" s="32">
        <f ca="1">(IF(B95&gt;1.5,(H95/(B95+2)+J101+MAX(0,J102-J101)+MAX(0,J103-J102)+MAX(0,J104-J103)+MAX(0,J105-J104)+MAX(0,J106-J105)),IF(B95=1,(H95/(B95+3)+J106),IF(B95=0,H95/4+J106))))</f>
        <v>7</v>
      </c>
    </row>
    <row r="108" spans="1:10" x14ac:dyDescent="0.25">
      <c r="A108" s="187" t="s">
        <v>164</v>
      </c>
      <c r="B108" s="187"/>
      <c r="C108" s="187"/>
      <c r="D108" s="187"/>
      <c r="E108" s="187"/>
      <c r="F108" s="188" t="s">
        <v>169</v>
      </c>
      <c r="G108" s="188"/>
      <c r="H108" s="188"/>
    </row>
    <row r="109" spans="1:10" x14ac:dyDescent="0.25">
      <c r="A109" s="74" t="s">
        <v>167</v>
      </c>
      <c r="B109" s="74"/>
      <c r="C109" s="74"/>
      <c r="D109" s="74"/>
      <c r="E109" s="74"/>
      <c r="F109" s="113">
        <v>3000</v>
      </c>
      <c r="G109" s="113"/>
      <c r="H109" s="113"/>
    </row>
    <row r="110" spans="1:10" hidden="1" x14ac:dyDescent="0.25">
      <c r="A110" s="74" t="s">
        <v>166</v>
      </c>
      <c r="B110" s="74"/>
      <c r="C110" s="74"/>
      <c r="D110" s="74"/>
      <c r="E110" s="74"/>
      <c r="F110" s="138"/>
      <c r="G110" s="138"/>
      <c r="H110" s="138"/>
    </row>
    <row r="111" spans="1:10" hidden="1" x14ac:dyDescent="0.25">
      <c r="A111" s="74" t="s">
        <v>168</v>
      </c>
      <c r="B111" s="74"/>
      <c r="C111" s="74"/>
      <c r="D111" s="74"/>
      <c r="E111" s="74"/>
      <c r="F111" s="138"/>
      <c r="G111" s="138"/>
      <c r="H111" s="138"/>
    </row>
    <row r="112" spans="1:10" s="33" customFormat="1" hidden="1" x14ac:dyDescent="0.25">
      <c r="A112" s="74" t="s">
        <v>165</v>
      </c>
      <c r="B112" s="74"/>
      <c r="C112" s="74"/>
      <c r="D112" s="74"/>
      <c r="E112" s="74"/>
      <c r="F112" s="138"/>
      <c r="G112" s="138"/>
      <c r="H112" s="138"/>
    </row>
    <row r="113" spans="1:8" s="33" customFormat="1" x14ac:dyDescent="0.25">
      <c r="A113" s="74" t="s">
        <v>97</v>
      </c>
      <c r="B113" s="74"/>
      <c r="C113" s="74"/>
      <c r="D113" s="74"/>
      <c r="E113" s="74"/>
      <c r="F113" s="138">
        <v>200000</v>
      </c>
      <c r="G113" s="138"/>
      <c r="H113" s="138"/>
    </row>
    <row r="114" spans="1:8" s="33" customFormat="1" hidden="1" x14ac:dyDescent="0.25">
      <c r="A114" s="74" t="s">
        <v>98</v>
      </c>
      <c r="B114" s="74"/>
      <c r="C114" s="74"/>
      <c r="D114" s="74"/>
      <c r="E114" s="74"/>
      <c r="F114" s="138"/>
      <c r="G114" s="138"/>
      <c r="H114" s="138"/>
    </row>
    <row r="115" spans="1:8" s="33" customFormat="1" hidden="1" x14ac:dyDescent="0.25">
      <c r="A115" s="74" t="s">
        <v>170</v>
      </c>
      <c r="B115" s="74"/>
      <c r="C115" s="74"/>
      <c r="D115" s="74"/>
      <c r="E115" s="74"/>
      <c r="F115" s="138"/>
      <c r="G115" s="138"/>
      <c r="H115" s="138"/>
    </row>
    <row r="116" spans="1:8" s="33" customFormat="1" hidden="1" x14ac:dyDescent="0.25">
      <c r="A116" s="74" t="s">
        <v>99</v>
      </c>
      <c r="B116" s="74"/>
      <c r="C116" s="74"/>
      <c r="D116" s="74"/>
      <c r="E116" s="74"/>
      <c r="F116" s="138"/>
      <c r="G116" s="138"/>
      <c r="H116" s="138"/>
    </row>
    <row r="117" spans="1:8" s="33" customFormat="1" hidden="1" x14ac:dyDescent="0.25">
      <c r="A117" s="74" t="s">
        <v>100</v>
      </c>
      <c r="B117" s="74"/>
      <c r="C117" s="74"/>
      <c r="D117" s="74"/>
      <c r="E117" s="74"/>
      <c r="F117" s="138"/>
      <c r="G117" s="138"/>
      <c r="H117" s="138"/>
    </row>
    <row r="118" spans="1:8" s="33" customFormat="1" hidden="1" x14ac:dyDescent="0.25">
      <c r="A118" s="74" t="s">
        <v>101</v>
      </c>
      <c r="B118" s="74"/>
      <c r="C118" s="74"/>
      <c r="D118" s="74"/>
      <c r="E118" s="74"/>
      <c r="F118" s="138"/>
      <c r="G118" s="138"/>
      <c r="H118" s="138"/>
    </row>
    <row r="119" spans="1:8" s="33" customFormat="1" hidden="1" x14ac:dyDescent="0.25">
      <c r="A119" s="74" t="s">
        <v>102</v>
      </c>
      <c r="B119" s="74"/>
      <c r="C119" s="74"/>
      <c r="D119" s="74"/>
      <c r="E119" s="74"/>
      <c r="F119" s="138"/>
      <c r="G119" s="138"/>
      <c r="H119" s="138"/>
    </row>
    <row r="120" spans="1:8" x14ac:dyDescent="0.25">
      <c r="A120" s="74" t="s">
        <v>52</v>
      </c>
      <c r="B120" s="74"/>
      <c r="C120" s="74"/>
      <c r="D120" s="74"/>
      <c r="E120" s="74"/>
      <c r="F120" s="138">
        <v>100000</v>
      </c>
      <c r="G120" s="138"/>
      <c r="H120" s="138"/>
    </row>
    <row r="121" spans="1:8" s="34" customFormat="1" x14ac:dyDescent="0.25">
      <c r="A121" s="139" t="s">
        <v>53</v>
      </c>
      <c r="B121" s="139"/>
      <c r="C121" s="139"/>
      <c r="D121" s="139"/>
      <c r="E121" s="139"/>
      <c r="F121" s="138">
        <f>F109*0.8</f>
        <v>2400</v>
      </c>
      <c r="G121" s="138"/>
      <c r="H121" s="138"/>
    </row>
    <row r="122" spans="1:8" s="35" customFormat="1" x14ac:dyDescent="0.25">
      <c r="A122" s="141" t="s">
        <v>72</v>
      </c>
      <c r="B122" s="141"/>
      <c r="C122" s="141"/>
      <c r="D122" s="141"/>
      <c r="E122" s="141"/>
      <c r="F122" s="141"/>
      <c r="G122" s="141"/>
      <c r="H122" s="141"/>
    </row>
    <row r="123" spans="1:8" s="35" customFormat="1" ht="15.75" customHeight="1" x14ac:dyDescent="0.25">
      <c r="A123" s="108" t="s">
        <v>54</v>
      </c>
      <c r="B123" s="108"/>
      <c r="C123" s="190" t="s">
        <v>80</v>
      </c>
      <c r="D123" s="190"/>
      <c r="E123" s="93" t="s">
        <v>55</v>
      </c>
      <c r="F123" s="93"/>
      <c r="G123" s="108" t="s">
        <v>56</v>
      </c>
      <c r="H123" s="108"/>
    </row>
    <row r="124" spans="1:8" s="35" customFormat="1" x14ac:dyDescent="0.25">
      <c r="A124" s="140" t="s">
        <v>198</v>
      </c>
      <c r="B124" s="140"/>
      <c r="C124" s="163">
        <f>COUNT(D143:D148)*4</f>
        <v>24</v>
      </c>
      <c r="D124" s="163"/>
      <c r="E124" s="164">
        <f>SUM(D143:D148)*4</f>
        <v>11903.261759999998</v>
      </c>
      <c r="F124" s="164"/>
      <c r="G124" s="164">
        <f>SUM(F143:F148)*4</f>
        <v>17259.729551999997</v>
      </c>
      <c r="H124" s="164"/>
    </row>
    <row r="125" spans="1:8" s="35" customFormat="1" x14ac:dyDescent="0.25">
      <c r="A125" s="140" t="s">
        <v>199</v>
      </c>
      <c r="B125" s="140"/>
      <c r="C125" s="163">
        <f>COUNT(D152:D155)*4</f>
        <v>16</v>
      </c>
      <c r="D125" s="163"/>
      <c r="E125" s="164">
        <f>SUM(D152:D155)*4</f>
        <v>7591.5262799999991</v>
      </c>
      <c r="F125" s="164"/>
      <c r="G125" s="164">
        <f>SUM(F152:F155)*4</f>
        <v>11007.713105999999</v>
      </c>
      <c r="H125" s="164"/>
    </row>
    <row r="126" spans="1:8" s="35" customFormat="1" x14ac:dyDescent="0.25">
      <c r="A126" s="140" t="s">
        <v>200</v>
      </c>
      <c r="B126" s="140"/>
      <c r="C126" s="163">
        <f>COUNT(D159:D162)*4</f>
        <v>16</v>
      </c>
      <c r="D126" s="163"/>
      <c r="E126" s="164">
        <f>SUM(D159:D162)*4</f>
        <v>7580.8699199999992</v>
      </c>
      <c r="F126" s="164"/>
      <c r="G126" s="164">
        <f>SUM(F159:F162)*4</f>
        <v>10992.261383999999</v>
      </c>
      <c r="H126" s="164"/>
    </row>
    <row r="127" spans="1:8" s="35" customFormat="1" x14ac:dyDescent="0.25">
      <c r="A127" s="141" t="s">
        <v>157</v>
      </c>
      <c r="B127" s="141"/>
      <c r="C127" s="190">
        <f>SUM(C124:D126)</f>
        <v>56</v>
      </c>
      <c r="D127" s="190"/>
      <c r="E127" s="191">
        <f>SUM(E124:F126)</f>
        <v>27075.657959999997</v>
      </c>
      <c r="F127" s="191"/>
      <c r="G127" s="191">
        <f>SUM(G124:H126)</f>
        <v>39259.704041999998</v>
      </c>
      <c r="H127" s="191"/>
    </row>
    <row r="128" spans="1:8" s="34" customFormat="1" x14ac:dyDescent="0.25">
      <c r="A128" s="116" t="s">
        <v>57</v>
      </c>
      <c r="B128" s="116"/>
      <c r="C128" s="116"/>
      <c r="D128" s="116"/>
      <c r="E128" s="116"/>
      <c r="F128" s="116"/>
      <c r="G128" s="116"/>
      <c r="H128" s="116"/>
    </row>
    <row r="129" spans="1:14" x14ac:dyDescent="0.25">
      <c r="A129" s="116" t="s">
        <v>58</v>
      </c>
      <c r="B129" s="116"/>
      <c r="C129" s="116"/>
      <c r="D129" s="116"/>
      <c r="E129" s="116"/>
      <c r="F129" s="116"/>
      <c r="G129" s="116"/>
      <c r="H129" s="116"/>
    </row>
    <row r="130" spans="1:14" ht="47.25" hidden="1" customHeight="1" x14ac:dyDescent="0.25">
      <c r="A130" s="88" t="s">
        <v>123</v>
      </c>
      <c r="B130" s="88" t="s">
        <v>122</v>
      </c>
      <c r="C130" s="88" t="s">
        <v>59</v>
      </c>
      <c r="D130" s="88" t="s">
        <v>60</v>
      </c>
      <c r="E130" s="109" t="s">
        <v>163</v>
      </c>
      <c r="F130" s="47" t="s">
        <v>156</v>
      </c>
      <c r="G130" s="98" t="s">
        <v>62</v>
      </c>
      <c r="H130" s="111"/>
    </row>
    <row r="131" spans="1:14" s="37" customFormat="1" hidden="1" x14ac:dyDescent="0.25">
      <c r="A131" s="89"/>
      <c r="B131" s="89"/>
      <c r="C131" s="89"/>
      <c r="D131" s="89"/>
      <c r="E131" s="110"/>
      <c r="F131" s="13">
        <v>0.6</v>
      </c>
      <c r="G131" s="99"/>
      <c r="H131" s="112"/>
    </row>
    <row r="132" spans="1:14" s="37" customFormat="1" hidden="1" x14ac:dyDescent="0.25">
      <c r="A132" s="65" t="s">
        <v>121</v>
      </c>
      <c r="B132" s="66"/>
      <c r="C132" s="66"/>
      <c r="D132" s="66"/>
      <c r="E132" s="66"/>
      <c r="F132" s="66"/>
      <c r="G132" s="66"/>
      <c r="H132" s="67"/>
      <c r="J132" s="36"/>
    </row>
    <row r="133" spans="1:14" s="37" customFormat="1" hidden="1" x14ac:dyDescent="0.25">
      <c r="A133" s="63">
        <v>1</v>
      </c>
      <c r="B133" s="64"/>
      <c r="C133" s="46"/>
      <c r="D133" s="46"/>
      <c r="E133" s="46">
        <v>0</v>
      </c>
      <c r="F133" s="46">
        <f>(D133+E133)*(($F$131)+1)</f>
        <v>0</v>
      </c>
      <c r="G133" s="63" t="str">
        <f>A132</f>
        <v>Ground Floor</v>
      </c>
      <c r="H133" s="64"/>
      <c r="I133" s="36"/>
      <c r="L133" s="162"/>
      <c r="M133" s="162"/>
      <c r="N133" s="36"/>
    </row>
    <row r="134" spans="1:14" s="37" customFormat="1" hidden="1" x14ac:dyDescent="0.25">
      <c r="A134" s="63">
        <f t="shared" ref="A134:A136" si="0">A133+1</f>
        <v>2</v>
      </c>
      <c r="B134" s="64"/>
      <c r="C134" s="46"/>
      <c r="D134" s="46"/>
      <c r="E134" s="46">
        <v>0</v>
      </c>
      <c r="F134" s="46">
        <f t="shared" ref="F134:F136" si="1">(D134+E134)*(($F$131)+1)</f>
        <v>0</v>
      </c>
      <c r="G134" s="63" t="str">
        <f t="shared" ref="G134:G136" si="2">G133</f>
        <v>Ground Floor</v>
      </c>
      <c r="H134" s="64"/>
      <c r="I134" s="36"/>
      <c r="L134" s="162"/>
      <c r="M134" s="162"/>
      <c r="N134" s="36"/>
    </row>
    <row r="135" spans="1:14" s="37" customFormat="1" hidden="1" x14ac:dyDescent="0.25">
      <c r="A135" s="63">
        <f t="shared" si="0"/>
        <v>3</v>
      </c>
      <c r="B135" s="64"/>
      <c r="C135" s="46"/>
      <c r="D135" s="46"/>
      <c r="E135" s="46">
        <v>0</v>
      </c>
      <c r="F135" s="46">
        <f t="shared" si="1"/>
        <v>0</v>
      </c>
      <c r="G135" s="63" t="str">
        <f t="shared" si="2"/>
        <v>Ground Floor</v>
      </c>
      <c r="H135" s="64"/>
      <c r="I135" s="36"/>
      <c r="L135" s="162"/>
      <c r="M135" s="162"/>
      <c r="N135" s="36"/>
    </row>
    <row r="136" spans="1:14" s="37" customFormat="1" hidden="1" x14ac:dyDescent="0.25">
      <c r="A136" s="63">
        <f t="shared" si="0"/>
        <v>4</v>
      </c>
      <c r="B136" s="64"/>
      <c r="C136" s="46"/>
      <c r="D136" s="46"/>
      <c r="E136" s="46">
        <v>0</v>
      </c>
      <c r="F136" s="46">
        <f t="shared" si="1"/>
        <v>0</v>
      </c>
      <c r="G136" s="63" t="str">
        <f t="shared" si="2"/>
        <v>Ground Floor</v>
      </c>
      <c r="H136" s="64"/>
      <c r="I136" s="36"/>
      <c r="L136" s="162"/>
      <c r="M136" s="162"/>
      <c r="N136" s="36"/>
    </row>
    <row r="137" spans="1:14" s="37" customFormat="1" hidden="1" x14ac:dyDescent="0.25">
      <c r="A137" s="63"/>
      <c r="B137" s="97"/>
      <c r="C137" s="97"/>
      <c r="D137" s="97"/>
      <c r="E137" s="97"/>
      <c r="F137" s="97"/>
      <c r="G137" s="97"/>
      <c r="H137" s="64"/>
      <c r="I137" s="36"/>
      <c r="N137" s="36"/>
    </row>
    <row r="138" spans="1:14" ht="47.25" customHeight="1" x14ac:dyDescent="0.25">
      <c r="A138" s="98" t="s">
        <v>124</v>
      </c>
      <c r="B138" s="98" t="s">
        <v>125</v>
      </c>
      <c r="C138" s="88" t="s">
        <v>59</v>
      </c>
      <c r="D138" s="88" t="s">
        <v>60</v>
      </c>
      <c r="E138" s="109" t="s">
        <v>61</v>
      </c>
      <c r="F138" s="47" t="s">
        <v>156</v>
      </c>
      <c r="G138" s="98" t="s">
        <v>62</v>
      </c>
      <c r="H138" s="111"/>
      <c r="I138" s="36"/>
    </row>
    <row r="139" spans="1:14" s="37" customFormat="1" x14ac:dyDescent="0.25">
      <c r="A139" s="99"/>
      <c r="B139" s="99"/>
      <c r="C139" s="89"/>
      <c r="D139" s="89"/>
      <c r="E139" s="110"/>
      <c r="F139" s="13">
        <v>0.45</v>
      </c>
      <c r="G139" s="99"/>
      <c r="H139" s="112"/>
      <c r="I139" s="36"/>
    </row>
    <row r="140" spans="1:14" s="37" customFormat="1" x14ac:dyDescent="0.25">
      <c r="A140" s="65" t="s">
        <v>192</v>
      </c>
      <c r="B140" s="66"/>
      <c r="C140" s="66"/>
      <c r="D140" s="66"/>
      <c r="E140" s="66"/>
      <c r="F140" s="66"/>
      <c r="G140" s="66"/>
      <c r="H140" s="67"/>
      <c r="J140" s="36"/>
    </row>
    <row r="141" spans="1:14" s="37" customFormat="1" x14ac:dyDescent="0.25">
      <c r="A141" s="65" t="s">
        <v>191</v>
      </c>
      <c r="B141" s="66"/>
      <c r="C141" s="66"/>
      <c r="D141" s="66"/>
      <c r="E141" s="66"/>
      <c r="F141" s="66"/>
      <c r="G141" s="66"/>
      <c r="H141" s="67"/>
      <c r="J141" s="36"/>
    </row>
    <row r="142" spans="1:14" s="37" customFormat="1" x14ac:dyDescent="0.25">
      <c r="A142" s="65" t="s">
        <v>193</v>
      </c>
      <c r="B142" s="66"/>
      <c r="C142" s="66"/>
      <c r="D142" s="66"/>
      <c r="E142" s="66"/>
      <c r="F142" s="66"/>
      <c r="G142" s="66"/>
      <c r="H142" s="67"/>
      <c r="I142" s="36"/>
    </row>
    <row r="143" spans="1:14" s="37" customFormat="1" x14ac:dyDescent="0.25">
      <c r="A143" s="63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101 to 401</v>
      </c>
      <c r="B143" s="64"/>
      <c r="C143" s="46" t="s">
        <v>196</v>
      </c>
      <c r="D143" s="46">
        <f>(32.36+2.75*1+2.5*0.45)*10.764</f>
        <v>390.03353999999996</v>
      </c>
      <c r="E143" s="46">
        <v>0</v>
      </c>
      <c r="F143" s="46">
        <f t="shared" ref="F143:F148" si="3">D143*(($F$139)+1)+(IF(E143&lt;101,E143,IF(E143&lt;201,E143/2,IF(E143&lt;=301,E143/3,E143/4))))</f>
        <v>565.54863299999988</v>
      </c>
      <c r="G143" s="63" t="str">
        <f>A142</f>
        <v>1st to 4th Floor</v>
      </c>
      <c r="H143" s="64"/>
      <c r="I143" s="36"/>
    </row>
    <row r="144" spans="1:14" s="37" customFormat="1" x14ac:dyDescent="0.25">
      <c r="A144" s="63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102 to 402</v>
      </c>
      <c r="B144" s="64"/>
      <c r="C144" s="46" t="s">
        <v>196</v>
      </c>
      <c r="D144" s="46">
        <f>(34.62+2.9*1+2.75*1+2.5*0.45)*10.764</f>
        <v>445.57577999999995</v>
      </c>
      <c r="E144" s="46">
        <v>0</v>
      </c>
      <c r="F144" s="46">
        <f t="shared" si="3"/>
        <v>646.08488099999988</v>
      </c>
      <c r="G144" s="63" t="str">
        <f>G143</f>
        <v>1st to 4th Floor</v>
      </c>
      <c r="H144" s="64"/>
      <c r="I144" s="36"/>
    </row>
    <row r="145" spans="1:10" s="37" customFormat="1" x14ac:dyDescent="0.25">
      <c r="A145" s="63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103 to 403</v>
      </c>
      <c r="B145" s="64"/>
      <c r="C145" s="46" t="s">
        <v>196</v>
      </c>
      <c r="D145" s="46">
        <f>(33.24+2.9*1+2.75*1+2.5*0.45+2.5*0.45)*10.764</f>
        <v>442.83096</v>
      </c>
      <c r="E145" s="46">
        <v>0</v>
      </c>
      <c r="F145" s="46">
        <f t="shared" si="3"/>
        <v>642.10489199999995</v>
      </c>
      <c r="G145" s="63" t="str">
        <f>G144</f>
        <v>1st to 4th Floor</v>
      </c>
      <c r="H145" s="64"/>
      <c r="I145" s="36"/>
    </row>
    <row r="146" spans="1:10" s="37" customFormat="1" x14ac:dyDescent="0.25">
      <c r="A146" s="63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104 to 404</v>
      </c>
      <c r="B146" s="64"/>
      <c r="C146" s="46" t="s">
        <v>196</v>
      </c>
      <c r="D146" s="46">
        <f>(36.96+2.9*1+2.9*1+1.5*0.45+1.5*0.45)*10.764</f>
        <v>474.80003999999991</v>
      </c>
      <c r="E146" s="46">
        <v>0</v>
      </c>
      <c r="F146" s="46">
        <f t="shared" si="3"/>
        <v>688.46005799999989</v>
      </c>
      <c r="G146" s="63" t="str">
        <f>G145</f>
        <v>1st to 4th Floor</v>
      </c>
      <c r="H146" s="64"/>
      <c r="I146" s="36"/>
    </row>
    <row r="147" spans="1:10" s="37" customFormat="1" x14ac:dyDescent="0.25">
      <c r="A147" s="63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105 to 405</v>
      </c>
      <c r="B147" s="64"/>
      <c r="C147" s="46" t="s">
        <v>197</v>
      </c>
      <c r="D147" s="46">
        <f>(45+2.9+2.75+2.9+2*0.45+2.75*0.45+2.45*0.45)*10.764</f>
        <v>611.28755999999987</v>
      </c>
      <c r="E147" s="46">
        <v>0</v>
      </c>
      <c r="F147" s="46">
        <f t="shared" si="3"/>
        <v>886.36696199999983</v>
      </c>
      <c r="G147" s="63" t="str">
        <f>G146</f>
        <v>1st to 4th Floor</v>
      </c>
      <c r="H147" s="64"/>
      <c r="I147" s="36"/>
    </row>
    <row r="148" spans="1:10" s="37" customFormat="1" x14ac:dyDescent="0.25">
      <c r="A148" s="63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106 to 406</v>
      </c>
      <c r="B148" s="64"/>
      <c r="C148" s="46" t="s">
        <v>197</v>
      </c>
      <c r="D148" s="46">
        <f>(45+2.9+2.75+2.9+2*0.45+2.75*0.45+2.45*0.45)*10.764</f>
        <v>611.28755999999987</v>
      </c>
      <c r="E148" s="46">
        <v>0</v>
      </c>
      <c r="F148" s="46">
        <f t="shared" si="3"/>
        <v>886.36696199999983</v>
      </c>
      <c r="G148" s="63" t="str">
        <f>G147</f>
        <v>1st to 4th Floor</v>
      </c>
      <c r="H148" s="64"/>
      <c r="I148" s="36"/>
    </row>
    <row r="149" spans="1:10" s="37" customFormat="1" x14ac:dyDescent="0.25">
      <c r="A149" s="65" t="s">
        <v>194</v>
      </c>
      <c r="B149" s="66"/>
      <c r="C149" s="66"/>
      <c r="D149" s="66"/>
      <c r="E149" s="66"/>
      <c r="F149" s="66"/>
      <c r="G149" s="66"/>
      <c r="H149" s="67"/>
      <c r="J149" s="36"/>
    </row>
    <row r="150" spans="1:10" s="37" customFormat="1" x14ac:dyDescent="0.25">
      <c r="A150" s="65" t="s">
        <v>191</v>
      </c>
      <c r="B150" s="66"/>
      <c r="C150" s="66"/>
      <c r="D150" s="66"/>
      <c r="E150" s="66"/>
      <c r="F150" s="66"/>
      <c r="G150" s="66"/>
      <c r="H150" s="67"/>
      <c r="J150" s="36"/>
    </row>
    <row r="151" spans="1:10" s="37" customFormat="1" x14ac:dyDescent="0.25">
      <c r="A151" s="65" t="s">
        <v>193</v>
      </c>
      <c r="B151" s="66"/>
      <c r="C151" s="66"/>
      <c r="D151" s="66"/>
      <c r="E151" s="66"/>
      <c r="F151" s="66"/>
      <c r="G151" s="66"/>
      <c r="H151" s="67"/>
      <c r="I151" s="36"/>
    </row>
    <row r="152" spans="1:10" s="37" customFormat="1" x14ac:dyDescent="0.25">
      <c r="A152" s="63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10^ROW(INDIRECT("1:"&amp;LEN((LEFT(A151,SUM(LEN(A151)-LEN(SUBSTITUTE(A151,{"0","1","2"},""))))))))/10))*100+1&amp;""&amp;" to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",LEN(A151))),LEN(A151)))))))/10))*100+1</f>
        <v>101 to 401</v>
      </c>
      <c r="B152" s="64"/>
      <c r="C152" s="46" t="s">
        <v>196</v>
      </c>
      <c r="D152" s="46">
        <f>(32.36+2.9+2.5+2.45*0.45)*10.764</f>
        <v>418.31594999999993</v>
      </c>
      <c r="E152" s="46">
        <v>0</v>
      </c>
      <c r="F152" s="46">
        <f>D152*(($F$139)+1)+(IF(E152&lt;101,E152,IF(E152&lt;201,E152/2,IF(E152&lt;=301,E152/3,E152/4))))</f>
        <v>606.55812749999984</v>
      </c>
      <c r="G152" s="63" t="str">
        <f>A151</f>
        <v>1st to 4th Floor</v>
      </c>
      <c r="H152" s="64"/>
      <c r="I152" s="36"/>
    </row>
    <row r="153" spans="1:10" s="37" customFormat="1" x14ac:dyDescent="0.25">
      <c r="A153" s="63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to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102 to 402</v>
      </c>
      <c r="B153" s="64"/>
      <c r="C153" s="46" t="s">
        <v>196</v>
      </c>
      <c r="D153" s="46">
        <f>(32.42+2.9+2.75+2.45*0.45)*10.764</f>
        <v>421.65278999999998</v>
      </c>
      <c r="E153" s="46">
        <v>0</v>
      </c>
      <c r="F153" s="46">
        <f>D153*(($F$139)+1)+(IF(E153&lt;101,E153,IF(E153&lt;201,E153/2,IF(E153&lt;=301,E153/3,E153/4))))</f>
        <v>611.3965455</v>
      </c>
      <c r="G153" s="63" t="str">
        <f>G152</f>
        <v>1st to 4th Floor</v>
      </c>
      <c r="H153" s="64"/>
      <c r="I153" s="36"/>
    </row>
    <row r="154" spans="1:10" s="37" customFormat="1" x14ac:dyDescent="0.25">
      <c r="A154" s="63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to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103 to 403</v>
      </c>
      <c r="B154" s="64"/>
      <c r="C154" s="46" t="s">
        <v>196</v>
      </c>
      <c r="D154" s="46">
        <f>(32.42+2.9+2.75+2.45*0.45)*10.764</f>
        <v>421.65278999999998</v>
      </c>
      <c r="E154" s="46">
        <v>0</v>
      </c>
      <c r="F154" s="46">
        <f>D154*(($F$139)+1)+(IF(E154&lt;101,E154,IF(E154&lt;201,E154/2,IF(E154&lt;=301,E154/3,E154/4))))</f>
        <v>611.3965455</v>
      </c>
      <c r="G154" s="63" t="str">
        <f>G153</f>
        <v>1st to 4th Floor</v>
      </c>
      <c r="H154" s="64"/>
      <c r="I154" s="36"/>
    </row>
    <row r="155" spans="1:10" s="37" customFormat="1" x14ac:dyDescent="0.25">
      <c r="A155" s="63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to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104 to 404</v>
      </c>
      <c r="B155" s="64"/>
      <c r="C155" s="46" t="s">
        <v>197</v>
      </c>
      <c r="D155" s="46">
        <f>(48.01+3.05+3.05+2.75+2.5*0.45+2.5*0.45)*10.764</f>
        <v>636.26003999999989</v>
      </c>
      <c r="E155" s="46">
        <v>0</v>
      </c>
      <c r="F155" s="46">
        <f>D155*(($F$139)+1)+(IF(E155&lt;101,E155,IF(E155&lt;201,E155/2,IF(E155&lt;=301,E155/3,E155/4))))</f>
        <v>922.57705799999985</v>
      </c>
      <c r="G155" s="63" t="str">
        <f>G154</f>
        <v>1st to 4th Floor</v>
      </c>
      <c r="H155" s="64"/>
      <c r="I155" s="36"/>
    </row>
    <row r="156" spans="1:10" s="37" customFormat="1" x14ac:dyDescent="0.25">
      <c r="A156" s="65" t="s">
        <v>195</v>
      </c>
      <c r="B156" s="66"/>
      <c r="C156" s="66"/>
      <c r="D156" s="66"/>
      <c r="E156" s="66"/>
      <c r="F156" s="66"/>
      <c r="G156" s="66"/>
      <c r="H156" s="67"/>
      <c r="J156" s="36"/>
    </row>
    <row r="157" spans="1:10" s="37" customFormat="1" x14ac:dyDescent="0.25">
      <c r="A157" s="65" t="s">
        <v>191</v>
      </c>
      <c r="B157" s="66"/>
      <c r="C157" s="66"/>
      <c r="D157" s="66"/>
      <c r="E157" s="66"/>
      <c r="F157" s="66"/>
      <c r="G157" s="66"/>
      <c r="H157" s="67"/>
      <c r="J157" s="36"/>
    </row>
    <row r="158" spans="1:10" s="37" customFormat="1" x14ac:dyDescent="0.25">
      <c r="A158" s="65" t="s">
        <v>193</v>
      </c>
      <c r="B158" s="66"/>
      <c r="C158" s="66"/>
      <c r="D158" s="66"/>
      <c r="E158" s="66"/>
      <c r="F158" s="66"/>
      <c r="G158" s="66"/>
      <c r="H158" s="67"/>
      <c r="I158" s="36"/>
    </row>
    <row r="159" spans="1:10" s="37" customFormat="1" x14ac:dyDescent="0.25">
      <c r="A159" s="63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10^ROW(INDIRECT("1:"&amp;LEN((LEFT(A158,SUM(LEN(A158)-LEN(SUBSTITUTE(A158,{"0","1","2"},""))))))))/10))*100+1&amp;""&amp;" to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",LEN(A158))),LEN(A158)))))))/10))*100+1</f>
        <v>101 to 401</v>
      </c>
      <c r="B159" s="64"/>
      <c r="C159" s="46" t="s">
        <v>196</v>
      </c>
      <c r="D159" s="46">
        <f>(34.84+2.5+2.4*0.45+0.6*0.45)*10.764</f>
        <v>416.45916000000005</v>
      </c>
      <c r="E159" s="46">
        <v>0</v>
      </c>
      <c r="F159" s="46">
        <f>D159*(($F$139)+1)+(IF(E159&lt;101,E159,IF(E159&lt;201,E159/2,IF(E159&lt;=301,E159/3,E159/4))))</f>
        <v>603.86578200000008</v>
      </c>
      <c r="G159" s="63" t="str">
        <f>A158</f>
        <v>1st to 4th Floor</v>
      </c>
      <c r="H159" s="64"/>
      <c r="I159" s="36"/>
    </row>
    <row r="160" spans="1:10" s="37" customFormat="1" x14ac:dyDescent="0.25">
      <c r="A160" s="63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10^ROW(INDIRECT("1:"&amp;LEN((LEFT(A159,SUM(LEN(A159)-LEN(SUBSTITUTE(A159,{"0","1","2"},""))))))))/10))*1+1&amp;""&amp;" to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",LEN(A159))),LEN(A159)))))))/10))*1+1</f>
        <v>102 to 402</v>
      </c>
      <c r="B160" s="64"/>
      <c r="C160" s="46" t="s">
        <v>196</v>
      </c>
      <c r="D160" s="46">
        <f>(32.02+2.9+2.75+2.45*0.45)*10.764</f>
        <v>417.34719000000001</v>
      </c>
      <c r="E160" s="46">
        <v>0</v>
      </c>
      <c r="F160" s="46">
        <f>D160*(($F$139)+1)+(IF(E160&lt;101,E160,IF(E160&lt;201,E160/2,IF(E160&lt;=301,E160/3,E160/4))))</f>
        <v>605.15342550000003</v>
      </c>
      <c r="G160" s="63" t="str">
        <f>G159</f>
        <v>1st to 4th Floor</v>
      </c>
      <c r="H160" s="64"/>
      <c r="I160" s="36"/>
    </row>
    <row r="161" spans="1:9" s="37" customFormat="1" x14ac:dyDescent="0.25">
      <c r="A161" s="63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to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103 to 403</v>
      </c>
      <c r="B161" s="64"/>
      <c r="C161" s="46" t="s">
        <v>196</v>
      </c>
      <c r="D161" s="46">
        <f>(32.02+2.9+2.75+2.45*0.45)*10.764</f>
        <v>417.34719000000001</v>
      </c>
      <c r="E161" s="46">
        <v>0</v>
      </c>
      <c r="F161" s="46">
        <f>D161*(($F$139)+1)+(IF(E161&lt;101,E161,IF(E161&lt;201,E161/2,IF(E161&lt;=301,E161/3,E161/4))))</f>
        <v>605.15342550000003</v>
      </c>
      <c r="G161" s="63" t="str">
        <f>G160</f>
        <v>1st to 4th Floor</v>
      </c>
      <c r="H161" s="64"/>
      <c r="I161" s="36"/>
    </row>
    <row r="162" spans="1:9" s="37" customFormat="1" x14ac:dyDescent="0.25">
      <c r="A162" s="63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104 to 404</v>
      </c>
      <c r="B162" s="64"/>
      <c r="C162" s="46" t="s">
        <v>197</v>
      </c>
      <c r="D162" s="46">
        <f>(47.16+2.9+2.25+2.75+2.75+2*0.45+2.5*0.45)*10.764</f>
        <v>644.06393999999989</v>
      </c>
      <c r="E162" s="46">
        <v>0</v>
      </c>
      <c r="F162" s="46">
        <f>D162*(($F$139)+1)+(IF(E162&lt;101,E162,IF(E162&lt;201,E162/2,IF(E162&lt;=301,E162/3,E162/4))))</f>
        <v>933.89271299999984</v>
      </c>
      <c r="G162" s="63" t="str">
        <f>G161</f>
        <v>1st to 4th Floor</v>
      </c>
      <c r="H162" s="64"/>
      <c r="I162" s="36"/>
    </row>
    <row r="163" spans="1:9" s="35" customFormat="1" x14ac:dyDescent="0.25">
      <c r="A163" s="142" t="s">
        <v>70</v>
      </c>
      <c r="B163" s="142"/>
      <c r="C163" s="142"/>
      <c r="D163" s="142"/>
      <c r="E163" s="142"/>
      <c r="F163" s="142"/>
      <c r="G163" s="142"/>
      <c r="H163" s="142"/>
    </row>
    <row r="164" spans="1:9" s="35" customFormat="1" ht="49.15" customHeight="1" x14ac:dyDescent="0.25">
      <c r="A164" s="48" t="s">
        <v>160</v>
      </c>
      <c r="B164" s="94" t="s">
        <v>215</v>
      </c>
      <c r="C164" s="95"/>
      <c r="D164" s="95"/>
      <c r="E164" s="95"/>
      <c r="F164" s="95"/>
      <c r="G164" s="95"/>
      <c r="H164" s="96"/>
    </row>
    <row r="165" spans="1:9" s="35" customFormat="1" x14ac:dyDescent="0.25">
      <c r="A165" s="48" t="s">
        <v>160</v>
      </c>
      <c r="B165" s="94" t="str">
        <f>(IF(F138="Saleable area Loading :","We have considered Saleable area of Flats as per our Calculation.","We considered Saleable area of Flat as per Builder area Sheet."))</f>
        <v>We have considered Saleable area of Flats as per our Calculation.</v>
      </c>
      <c r="C165" s="95"/>
      <c r="D165" s="95"/>
      <c r="E165" s="95"/>
      <c r="F165" s="95"/>
      <c r="G165" s="95"/>
      <c r="H165" s="96"/>
    </row>
    <row r="166" spans="1:9" s="35" customFormat="1" x14ac:dyDescent="0.25">
      <c r="A166" s="48" t="s">
        <v>160</v>
      </c>
      <c r="B166" s="94" t="str">
        <f>(IF(F130="Saleable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6" s="95"/>
      <c r="D166" s="95"/>
      <c r="E166" s="95"/>
      <c r="F166" s="95"/>
      <c r="G166" s="95"/>
      <c r="H166" s="96"/>
    </row>
    <row r="167" spans="1:9" s="35" customFormat="1" x14ac:dyDescent="0.25">
      <c r="A167" s="48" t="s">
        <v>160</v>
      </c>
      <c r="B167" s="68" t="s">
        <v>128</v>
      </c>
      <c r="C167" s="69"/>
      <c r="D167" s="69"/>
      <c r="E167" s="69"/>
      <c r="F167" s="69"/>
      <c r="G167" s="69"/>
      <c r="H167" s="70"/>
    </row>
    <row r="168" spans="1:9" s="35" customFormat="1" x14ac:dyDescent="0.25">
      <c r="A168" s="48" t="s">
        <v>160</v>
      </c>
      <c r="B168" s="68" t="s">
        <v>129</v>
      </c>
      <c r="C168" s="69"/>
      <c r="D168" s="69"/>
      <c r="E168" s="69"/>
      <c r="F168" s="69"/>
      <c r="G168" s="69"/>
      <c r="H168" s="70"/>
    </row>
    <row r="169" spans="1:9" s="35" customFormat="1" x14ac:dyDescent="0.25">
      <c r="A169" s="48" t="s">
        <v>160</v>
      </c>
      <c r="B169" s="68" t="s">
        <v>159</v>
      </c>
      <c r="C169" s="69"/>
      <c r="D169" s="69"/>
      <c r="E169" s="69"/>
      <c r="F169" s="69"/>
      <c r="G169" s="69"/>
      <c r="H169" s="70"/>
    </row>
    <row r="170" spans="1:9" s="35" customFormat="1" x14ac:dyDescent="0.25">
      <c r="A170" s="48" t="s">
        <v>160</v>
      </c>
      <c r="B170" s="68" t="s">
        <v>130</v>
      </c>
      <c r="C170" s="69"/>
      <c r="D170" s="69"/>
      <c r="E170" s="69"/>
      <c r="F170" s="69"/>
      <c r="G170" s="69"/>
      <c r="H170" s="70"/>
    </row>
    <row r="171" spans="1:9" s="35" customFormat="1" ht="32.65" customHeight="1" x14ac:dyDescent="0.25">
      <c r="A171" s="48" t="s">
        <v>160</v>
      </c>
      <c r="B171" s="68" t="s">
        <v>161</v>
      </c>
      <c r="C171" s="69"/>
      <c r="D171" s="69"/>
      <c r="E171" s="69"/>
      <c r="F171" s="69"/>
      <c r="G171" s="69"/>
      <c r="H171" s="70"/>
    </row>
    <row r="172" spans="1:9" s="35" customFormat="1" x14ac:dyDescent="0.25">
      <c r="A172" s="48" t="s">
        <v>160</v>
      </c>
      <c r="B172" s="68" t="s">
        <v>131</v>
      </c>
      <c r="C172" s="69"/>
      <c r="D172" s="69"/>
      <c r="E172" s="69"/>
      <c r="F172" s="69"/>
      <c r="G172" s="69"/>
      <c r="H172" s="70"/>
    </row>
    <row r="173" spans="1:9" s="35" customFormat="1" hidden="1" x14ac:dyDescent="0.25">
      <c r="A173" s="48" t="s">
        <v>160</v>
      </c>
      <c r="B173" s="68" t="s">
        <v>206</v>
      </c>
      <c r="C173" s="69"/>
      <c r="D173" s="69"/>
      <c r="E173" s="69"/>
      <c r="F173" s="69"/>
      <c r="G173" s="69"/>
      <c r="H173" s="70"/>
    </row>
    <row r="174" spans="1:9" s="35" customFormat="1" hidden="1" x14ac:dyDescent="0.25">
      <c r="A174" s="48" t="s">
        <v>160</v>
      </c>
      <c r="B174" s="94" t="s">
        <v>207</v>
      </c>
      <c r="C174" s="95"/>
      <c r="D174" s="95"/>
      <c r="E174" s="95"/>
      <c r="F174" s="95"/>
      <c r="G174" s="95"/>
      <c r="H174" s="96"/>
    </row>
    <row r="175" spans="1:9" s="35" customFormat="1" ht="31.15" customHeight="1" x14ac:dyDescent="0.25">
      <c r="A175" s="48" t="s">
        <v>160</v>
      </c>
      <c r="B175" s="68" t="s">
        <v>221</v>
      </c>
      <c r="C175" s="69"/>
      <c r="D175" s="69"/>
      <c r="E175" s="69"/>
      <c r="F175" s="69"/>
      <c r="G175" s="69"/>
      <c r="H175" s="70"/>
    </row>
    <row r="176" spans="1:9" s="35" customFormat="1" x14ac:dyDescent="0.25">
      <c r="A176" s="59" t="s">
        <v>160</v>
      </c>
      <c r="B176" s="68" t="s">
        <v>211</v>
      </c>
      <c r="C176" s="69"/>
      <c r="D176" s="69"/>
      <c r="E176" s="69"/>
      <c r="F176" s="69"/>
      <c r="G176" s="69"/>
      <c r="H176" s="70"/>
    </row>
    <row r="177" spans="1:8" s="35" customFormat="1" ht="33.75" customHeight="1" x14ac:dyDescent="0.25">
      <c r="A177" s="48" t="s">
        <v>160</v>
      </c>
      <c r="B177" s="68" t="s">
        <v>220</v>
      </c>
      <c r="C177" s="69"/>
      <c r="D177" s="69"/>
      <c r="E177" s="69"/>
      <c r="F177" s="69"/>
      <c r="G177" s="69"/>
      <c r="H177" s="70"/>
    </row>
    <row r="178" spans="1:8" x14ac:dyDescent="0.25">
      <c r="A178" s="90" t="s">
        <v>63</v>
      </c>
      <c r="B178" s="90"/>
      <c r="C178" s="90"/>
      <c r="D178" s="90"/>
      <c r="E178" s="90"/>
      <c r="F178" s="90"/>
      <c r="G178" s="90"/>
      <c r="H178" s="90"/>
    </row>
    <row r="179" spans="1:8" x14ac:dyDescent="0.25">
      <c r="A179" s="74" t="s">
        <v>64</v>
      </c>
      <c r="B179" s="74"/>
      <c r="C179" s="74"/>
      <c r="D179" s="74"/>
      <c r="E179" s="74"/>
      <c r="F179" s="74"/>
      <c r="G179" s="74"/>
      <c r="H179" s="74"/>
    </row>
    <row r="180" spans="1:8" ht="15.75" customHeight="1" x14ac:dyDescent="0.25">
      <c r="A180" s="107" t="s">
        <v>65</v>
      </c>
      <c r="B180" s="107"/>
      <c r="C180" s="107"/>
      <c r="D180" s="107"/>
      <c r="E180" s="107"/>
      <c r="F180" s="107"/>
      <c r="G180" s="107"/>
      <c r="H180" s="107"/>
    </row>
    <row r="181" spans="1:8" x14ac:dyDescent="0.25">
      <c r="A181" s="74" t="s">
        <v>66</v>
      </c>
      <c r="B181" s="74"/>
      <c r="C181" s="74"/>
      <c r="D181" s="74"/>
      <c r="E181" s="74"/>
      <c r="F181" s="74"/>
      <c r="G181" s="74"/>
      <c r="H181" s="74"/>
    </row>
    <row r="182" spans="1:8" x14ac:dyDescent="0.25">
      <c r="A182" s="74" t="s">
        <v>67</v>
      </c>
      <c r="B182" s="74"/>
      <c r="C182" s="74"/>
      <c r="D182" s="74"/>
      <c r="E182" s="74"/>
      <c r="F182" s="74"/>
      <c r="G182" s="74"/>
      <c r="H182" s="74"/>
    </row>
    <row r="183" spans="1:8" x14ac:dyDescent="0.25">
      <c r="A183" s="74" t="s">
        <v>132</v>
      </c>
      <c r="B183" s="74"/>
      <c r="C183" s="74"/>
      <c r="D183" s="74"/>
      <c r="E183" s="74"/>
      <c r="F183" s="74"/>
      <c r="G183" s="74"/>
      <c r="H183" s="74"/>
    </row>
    <row r="184" spans="1:8" ht="35.25" customHeight="1" x14ac:dyDescent="0.25">
      <c r="A184" s="76" t="s">
        <v>133</v>
      </c>
      <c r="B184" s="76"/>
      <c r="C184" s="76"/>
      <c r="D184" s="76"/>
      <c r="E184" s="76"/>
      <c r="F184" s="76"/>
      <c r="G184" s="76"/>
      <c r="H184" s="76"/>
    </row>
    <row r="185" spans="1:8" x14ac:dyDescent="0.25">
      <c r="A185" s="137" t="s">
        <v>79</v>
      </c>
      <c r="B185" s="137"/>
      <c r="C185" s="137" t="s">
        <v>219</v>
      </c>
      <c r="D185" s="137"/>
      <c r="E185" s="137" t="s">
        <v>108</v>
      </c>
      <c r="F185" s="137"/>
      <c r="G185" s="137" t="s">
        <v>218</v>
      </c>
      <c r="H185" s="137"/>
    </row>
    <row r="186" spans="1:8" x14ac:dyDescent="0.25">
      <c r="A186" s="136" t="s">
        <v>81</v>
      </c>
      <c r="B186" s="136"/>
      <c r="C186" s="136"/>
      <c r="D186" s="136"/>
      <c r="E186" s="136"/>
      <c r="F186" s="136"/>
      <c r="G186" s="136"/>
      <c r="H186" s="136"/>
    </row>
    <row r="187" spans="1:8" x14ac:dyDescent="0.25">
      <c r="A187" s="136"/>
      <c r="B187" s="136"/>
      <c r="C187" s="136"/>
      <c r="D187" s="136"/>
      <c r="E187" s="136"/>
      <c r="F187" s="136"/>
      <c r="G187" s="136"/>
      <c r="H187" s="136"/>
    </row>
    <row r="188" spans="1:8" x14ac:dyDescent="0.25">
      <c r="A188" s="136"/>
      <c r="B188" s="136"/>
      <c r="C188" s="136"/>
      <c r="D188" s="136"/>
      <c r="E188" s="136"/>
      <c r="F188" s="136"/>
      <c r="G188" s="136"/>
      <c r="H188" s="136"/>
    </row>
    <row r="189" spans="1:8" x14ac:dyDescent="0.25">
      <c r="A189" s="136"/>
      <c r="B189" s="136"/>
      <c r="C189" s="136"/>
      <c r="D189" s="136"/>
      <c r="E189" s="136"/>
      <c r="F189" s="136"/>
      <c r="G189" s="136"/>
      <c r="H189" s="136"/>
    </row>
    <row r="190" spans="1:8" x14ac:dyDescent="0.25">
      <c r="A190" s="38" t="s">
        <v>68</v>
      </c>
      <c r="B190" s="39"/>
      <c r="C190" s="39"/>
      <c r="D190" s="38" t="str">
        <f>E8</f>
        <v>Swami Narendra Residency</v>
      </c>
      <c r="F190" s="39"/>
      <c r="G190" s="39"/>
      <c r="H190" s="39"/>
    </row>
    <row r="191" spans="1:8" x14ac:dyDescent="0.25">
      <c r="A191" s="39"/>
      <c r="B191" s="39"/>
      <c r="C191" s="39"/>
      <c r="D191" s="39"/>
      <c r="E191" s="39"/>
      <c r="F191" s="39"/>
      <c r="G191" s="39"/>
      <c r="H191" s="39"/>
    </row>
    <row r="192" spans="1:8" x14ac:dyDescent="0.25">
      <c r="A192" s="39"/>
      <c r="B192" s="39"/>
      <c r="C192" s="39"/>
      <c r="D192" s="39"/>
      <c r="E192" s="39"/>
      <c r="F192" s="39"/>
      <c r="G192" s="39"/>
      <c r="H192" s="39"/>
    </row>
    <row r="193" ht="15" customHeight="1" x14ac:dyDescent="0.25"/>
    <row r="233" spans="1:1" x14ac:dyDescent="0.25">
      <c r="A233" s="41" t="s">
        <v>69</v>
      </c>
    </row>
  </sheetData>
  <mergeCells count="336">
    <mergeCell ref="B176:H176"/>
    <mergeCell ref="B177:H177"/>
    <mergeCell ref="B173:H173"/>
    <mergeCell ref="A36:B36"/>
    <mergeCell ref="C36:H36"/>
    <mergeCell ref="G159:H159"/>
    <mergeCell ref="A160:B160"/>
    <mergeCell ref="G160:H160"/>
    <mergeCell ref="A161:B161"/>
    <mergeCell ref="G161:H161"/>
    <mergeCell ref="G152:H152"/>
    <mergeCell ref="A153:B153"/>
    <mergeCell ref="A154:B154"/>
    <mergeCell ref="A155:B155"/>
    <mergeCell ref="G155:H155"/>
    <mergeCell ref="A156:H156"/>
    <mergeCell ref="A157:H157"/>
    <mergeCell ref="G133:H133"/>
    <mergeCell ref="G134:H134"/>
    <mergeCell ref="G136:H136"/>
    <mergeCell ref="F116:H116"/>
    <mergeCell ref="F119:H119"/>
    <mergeCell ref="F117:H117"/>
    <mergeCell ref="A148:B148"/>
    <mergeCell ref="G148:H148"/>
    <mergeCell ref="B171:H171"/>
    <mergeCell ref="A45:B45"/>
    <mergeCell ref="C45:H45"/>
    <mergeCell ref="B169:H169"/>
    <mergeCell ref="G84:H93"/>
    <mergeCell ref="A85:B85"/>
    <mergeCell ref="A86:B86"/>
    <mergeCell ref="A87:B87"/>
    <mergeCell ref="F110:H110"/>
    <mergeCell ref="A110:E110"/>
    <mergeCell ref="D130:D131"/>
    <mergeCell ref="A112:E112"/>
    <mergeCell ref="A133:B133"/>
    <mergeCell ref="A134:B134"/>
    <mergeCell ref="A135:B135"/>
    <mergeCell ref="A136:B136"/>
    <mergeCell ref="A113:E113"/>
    <mergeCell ref="F118:H118"/>
    <mergeCell ref="A125:B125"/>
    <mergeCell ref="A119:E119"/>
    <mergeCell ref="G127:H127"/>
    <mergeCell ref="A158:H158"/>
    <mergeCell ref="A159:B159"/>
    <mergeCell ref="G135:H135"/>
    <mergeCell ref="G126:H126"/>
    <mergeCell ref="C126:D126"/>
    <mergeCell ref="E126:F126"/>
    <mergeCell ref="C123:D123"/>
    <mergeCell ref="G123:H123"/>
    <mergeCell ref="A127:B127"/>
    <mergeCell ref="E127:F127"/>
    <mergeCell ref="C127:D127"/>
    <mergeCell ref="C125:D125"/>
    <mergeCell ref="E125:F125"/>
    <mergeCell ref="G125:H125"/>
    <mergeCell ref="B130:B131"/>
    <mergeCell ref="A130:A131"/>
    <mergeCell ref="A126:B126"/>
    <mergeCell ref="A128:H128"/>
    <mergeCell ref="E98:F107"/>
    <mergeCell ref="G98:H107"/>
    <mergeCell ref="A82:B82"/>
    <mergeCell ref="C82:H82"/>
    <mergeCell ref="A83:B83"/>
    <mergeCell ref="E83:F83"/>
    <mergeCell ref="G83:H83"/>
    <mergeCell ref="A114:E114"/>
    <mergeCell ref="F114:H114"/>
    <mergeCell ref="A115:E115"/>
    <mergeCell ref="A117:E117"/>
    <mergeCell ref="F111:H111"/>
    <mergeCell ref="A116:E116"/>
    <mergeCell ref="A111:E111"/>
    <mergeCell ref="A108:E108"/>
    <mergeCell ref="F108:H108"/>
    <mergeCell ref="F113:H113"/>
    <mergeCell ref="F112:H112"/>
    <mergeCell ref="A94:B94"/>
    <mergeCell ref="C94:H94"/>
    <mergeCell ref="A96:B96"/>
    <mergeCell ref="C96:H96"/>
    <mergeCell ref="A98:B98"/>
    <mergeCell ref="L136:M136"/>
    <mergeCell ref="L135:M135"/>
    <mergeCell ref="L134:M134"/>
    <mergeCell ref="L133:M133"/>
    <mergeCell ref="A77:B77"/>
    <mergeCell ref="C124:D124"/>
    <mergeCell ref="E124:F124"/>
    <mergeCell ref="G124:H124"/>
    <mergeCell ref="F115:H115"/>
    <mergeCell ref="A109:E109"/>
    <mergeCell ref="A132:H132"/>
    <mergeCell ref="E130:E131"/>
    <mergeCell ref="G130:H131"/>
    <mergeCell ref="A84:B84"/>
    <mergeCell ref="E84:F93"/>
    <mergeCell ref="A91:B91"/>
    <mergeCell ref="A92:B92"/>
    <mergeCell ref="A93:B93"/>
    <mergeCell ref="E70:F79"/>
    <mergeCell ref="G70:H79"/>
    <mergeCell ref="A78:B78"/>
    <mergeCell ref="E97:F97"/>
    <mergeCell ref="G97:H97"/>
    <mergeCell ref="A97:B97"/>
    <mergeCell ref="A58:C58"/>
    <mergeCell ref="A59:C59"/>
    <mergeCell ref="D58:H58"/>
    <mergeCell ref="D59:H59"/>
    <mergeCell ref="D56:H56"/>
    <mergeCell ref="A60:C60"/>
    <mergeCell ref="D60:H60"/>
    <mergeCell ref="C67:H67"/>
    <mergeCell ref="E43:H43"/>
    <mergeCell ref="A43:D43"/>
    <mergeCell ref="A44:H44"/>
    <mergeCell ref="A40:D40"/>
    <mergeCell ref="E40:H40"/>
    <mergeCell ref="E41:H41"/>
    <mergeCell ref="E42:H42"/>
    <mergeCell ref="A38:D38"/>
    <mergeCell ref="E38:H38"/>
    <mergeCell ref="F30:H30"/>
    <mergeCell ref="F31:H31"/>
    <mergeCell ref="A37:H37"/>
    <mergeCell ref="A41:D41"/>
    <mergeCell ref="A42:D4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C35:H35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A11:D11"/>
    <mergeCell ref="E11:H11"/>
    <mergeCell ref="A12:D12"/>
    <mergeCell ref="E23:H23"/>
    <mergeCell ref="A25:D25"/>
    <mergeCell ref="E25:H25"/>
    <mergeCell ref="A22:D22"/>
    <mergeCell ref="E22:H22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E12:H12"/>
    <mergeCell ref="A13:B13"/>
    <mergeCell ref="C13:H13"/>
    <mergeCell ref="C14:H14"/>
    <mergeCell ref="A14:B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86:H189"/>
    <mergeCell ref="A185:B185"/>
    <mergeCell ref="E185:F185"/>
    <mergeCell ref="C185:D185"/>
    <mergeCell ref="G185:H185"/>
    <mergeCell ref="A120:E120"/>
    <mergeCell ref="F120:H120"/>
    <mergeCell ref="A121:E121"/>
    <mergeCell ref="F121:H121"/>
    <mergeCell ref="A124:B124"/>
    <mergeCell ref="A152:B152"/>
    <mergeCell ref="A181:H181"/>
    <mergeCell ref="A122:H122"/>
    <mergeCell ref="A184:H184"/>
    <mergeCell ref="A182:H182"/>
    <mergeCell ref="A163:H163"/>
    <mergeCell ref="G145:H145"/>
    <mergeCell ref="C130:C131"/>
    <mergeCell ref="B138:B139"/>
    <mergeCell ref="A142:H142"/>
    <mergeCell ref="G162:H162"/>
    <mergeCell ref="A151:H151"/>
    <mergeCell ref="G46:H46"/>
    <mergeCell ref="G48:H48"/>
    <mergeCell ref="D52:H52"/>
    <mergeCell ref="C48:E48"/>
    <mergeCell ref="A55:C57"/>
    <mergeCell ref="D55:H55"/>
    <mergeCell ref="D57:H57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D54:H54"/>
    <mergeCell ref="A54:C54"/>
    <mergeCell ref="G47:H47"/>
    <mergeCell ref="A48:B49"/>
    <mergeCell ref="A74:B74"/>
    <mergeCell ref="E39:H39"/>
    <mergeCell ref="A39:D39"/>
    <mergeCell ref="A183:H183"/>
    <mergeCell ref="A180:H180"/>
    <mergeCell ref="G146:H146"/>
    <mergeCell ref="A123:B123"/>
    <mergeCell ref="D138:D139"/>
    <mergeCell ref="E138:E139"/>
    <mergeCell ref="G138:H139"/>
    <mergeCell ref="A88:B88"/>
    <mergeCell ref="A89:B89"/>
    <mergeCell ref="A90:B90"/>
    <mergeCell ref="A80:B80"/>
    <mergeCell ref="C80:H80"/>
    <mergeCell ref="A75:B75"/>
    <mergeCell ref="F109:H109"/>
    <mergeCell ref="A46:B46"/>
    <mergeCell ref="C46:E46"/>
    <mergeCell ref="A129:H129"/>
    <mergeCell ref="A118:E118"/>
    <mergeCell ref="A149:H149"/>
    <mergeCell ref="A178:H178"/>
    <mergeCell ref="A179:H179"/>
    <mergeCell ref="A104:B104"/>
    <mergeCell ref="A105:B105"/>
    <mergeCell ref="A106:B106"/>
    <mergeCell ref="A107:B107"/>
    <mergeCell ref="E123:F123"/>
    <mergeCell ref="B164:H164"/>
    <mergeCell ref="B165:H165"/>
    <mergeCell ref="B167:H167"/>
    <mergeCell ref="B168:H168"/>
    <mergeCell ref="A137:H137"/>
    <mergeCell ref="A138:A139"/>
    <mergeCell ref="A143:B143"/>
    <mergeCell ref="A144:B144"/>
    <mergeCell ref="A145:B145"/>
    <mergeCell ref="G154:H154"/>
    <mergeCell ref="G153:H153"/>
    <mergeCell ref="A140:H140"/>
    <mergeCell ref="A150:H150"/>
    <mergeCell ref="G147:H147"/>
    <mergeCell ref="G143:H143"/>
    <mergeCell ref="A146:B146"/>
    <mergeCell ref="A147:B147"/>
    <mergeCell ref="A61:C61"/>
    <mergeCell ref="D61:H61"/>
    <mergeCell ref="A64:C64"/>
    <mergeCell ref="D64:H64"/>
    <mergeCell ref="A62:C62"/>
    <mergeCell ref="D62:H62"/>
    <mergeCell ref="A63:C63"/>
    <mergeCell ref="D63:H63"/>
    <mergeCell ref="A70:B70"/>
    <mergeCell ref="G69:H69"/>
    <mergeCell ref="A67:B67"/>
    <mergeCell ref="A65:B65"/>
    <mergeCell ref="C65:H65"/>
    <mergeCell ref="A69:B69"/>
    <mergeCell ref="A68:B68"/>
    <mergeCell ref="C68:D68"/>
    <mergeCell ref="E68:F68"/>
    <mergeCell ref="G68:H68"/>
    <mergeCell ref="A102:B102"/>
    <mergeCell ref="A103:B103"/>
    <mergeCell ref="G144:H144"/>
    <mergeCell ref="A141:H141"/>
    <mergeCell ref="B175:H175"/>
    <mergeCell ref="A71:B71"/>
    <mergeCell ref="A73:B73"/>
    <mergeCell ref="E69:F69"/>
    <mergeCell ref="C138:C139"/>
    <mergeCell ref="B172:H172"/>
    <mergeCell ref="A99:B99"/>
    <mergeCell ref="A100:B100"/>
    <mergeCell ref="A101:B101"/>
    <mergeCell ref="B170:H170"/>
    <mergeCell ref="B166:H166"/>
    <mergeCell ref="B174:H174"/>
    <mergeCell ref="A72:B72"/>
    <mergeCell ref="A79:B79"/>
    <mergeCell ref="A76:B76"/>
    <mergeCell ref="A162:B162"/>
  </mergeCells>
  <hyperlinks>
    <hyperlink ref="C36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9" max="16383" man="1"/>
    <brk id="189" max="16383" man="1"/>
    <brk id="23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109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2025-08-18T09:10:27Z</cp:lastPrinted>
  <dcterms:created xsi:type="dcterms:W3CDTF">2019-07-16T09:29:46Z</dcterms:created>
  <dcterms:modified xsi:type="dcterms:W3CDTF">2025-08-18T09:15:58Z</dcterms:modified>
</cp:coreProperties>
</file>