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Note" sheetId="4" r:id="rId3"/>
  </sheets>
  <definedNames>
    <definedName name="_xlnm.Print_Area" localSheetId="0">Report!$A$1:$H$615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2" i="1" l="1"/>
  <c r="L323" i="1"/>
  <c r="J300" i="1" l="1"/>
  <c r="I300" i="1"/>
  <c r="K300" i="1" l="1"/>
  <c r="A337" i="1"/>
  <c r="A338" i="1" s="1"/>
  <c r="A339" i="1" s="1"/>
  <c r="A340" i="1" s="1"/>
  <c r="A341" i="1" s="1"/>
  <c r="A342" i="1" s="1"/>
  <c r="A343" i="1" s="1"/>
  <c r="A344" i="1" s="1"/>
  <c r="A345" i="1" s="1"/>
  <c r="A346" i="1" s="1"/>
  <c r="D318" i="1"/>
  <c r="D316" i="1"/>
  <c r="A347" i="1" l="1"/>
  <c r="A348" i="1" s="1"/>
  <c r="A349" i="1" s="1"/>
  <c r="A350" i="1" s="1"/>
  <c r="A351" i="1" s="1"/>
  <c r="I196" i="1"/>
  <c r="I326" i="1"/>
  <c r="D273" i="1"/>
  <c r="D272" i="1"/>
  <c r="D271" i="1"/>
  <c r="D270" i="1"/>
  <c r="D269" i="1"/>
  <c r="D268" i="1"/>
  <c r="D267" i="1"/>
  <c r="D266" i="1"/>
  <c r="D262" i="1"/>
  <c r="D261" i="1"/>
  <c r="D260" i="1"/>
  <c r="D259" i="1"/>
  <c r="D258" i="1"/>
  <c r="D257" i="1"/>
  <c r="D256" i="1"/>
  <c r="D255" i="1"/>
  <c r="D303" i="1"/>
  <c r="D302" i="1"/>
  <c r="D301" i="1"/>
  <c r="D300" i="1"/>
  <c r="D299" i="1"/>
  <c r="D298" i="1"/>
  <c r="D297" i="1"/>
  <c r="D296" i="1"/>
  <c r="D330" i="1"/>
  <c r="D331" i="1"/>
  <c r="D332" i="1"/>
  <c r="D333" i="1"/>
  <c r="D334" i="1"/>
  <c r="D329" i="1"/>
  <c r="D328" i="1"/>
  <c r="D327" i="1"/>
  <c r="D323" i="1"/>
  <c r="D322" i="1"/>
  <c r="D321" i="1"/>
  <c r="D320" i="1"/>
  <c r="D319" i="1"/>
  <c r="D317" i="1"/>
  <c r="E247" i="1"/>
  <c r="E246" i="1"/>
  <c r="E245" i="1"/>
  <c r="E244" i="1"/>
  <c r="E243" i="1"/>
  <c r="E242" i="1"/>
  <c r="E241" i="1"/>
  <c r="E240" i="1"/>
  <c r="E239" i="1"/>
  <c r="E238" i="1"/>
  <c r="D292" i="1"/>
  <c r="D291" i="1"/>
  <c r="D290" i="1"/>
  <c r="D289" i="1"/>
  <c r="D288" i="1"/>
  <c r="D287" i="1"/>
  <c r="D286" i="1"/>
  <c r="D285" i="1"/>
  <c r="D284" i="1"/>
  <c r="D283" i="1"/>
  <c r="D280" i="1"/>
  <c r="D278" i="1"/>
  <c r="D310" i="1"/>
  <c r="D311" i="1"/>
  <c r="D312" i="1"/>
  <c r="D313" i="1"/>
  <c r="D309" i="1"/>
  <c r="D277" i="1"/>
  <c r="D308" i="1"/>
  <c r="D307" i="1"/>
  <c r="I250" i="1"/>
  <c r="I256" i="1"/>
  <c r="I219" i="1"/>
  <c r="E235" i="1"/>
  <c r="G238" i="1"/>
  <c r="G214" i="1"/>
  <c r="G227" i="1"/>
  <c r="C160" i="1"/>
  <c r="C131" i="1"/>
  <c r="C117" i="1"/>
  <c r="C103" i="1"/>
  <c r="C89" i="1"/>
  <c r="C75" i="1"/>
  <c r="C124" i="1" l="1"/>
  <c r="C123" i="1"/>
  <c r="C109" i="1"/>
  <c r="C110" i="1"/>
  <c r="C111" i="1"/>
  <c r="C112" i="1"/>
  <c r="C113" i="1"/>
  <c r="C114" i="1"/>
  <c r="C115" i="1"/>
  <c r="C116" i="1"/>
  <c r="F329" i="1" l="1"/>
  <c r="J327" i="1" s="1"/>
  <c r="K327" i="1" s="1"/>
  <c r="F330" i="1"/>
  <c r="J328" i="1" s="1"/>
  <c r="F331" i="1"/>
  <c r="J329" i="1" s="1"/>
  <c r="F332" i="1"/>
  <c r="J330" i="1" s="1"/>
  <c r="F333" i="1"/>
  <c r="J331" i="1" s="1"/>
  <c r="F334" i="1"/>
  <c r="J332" i="1" s="1"/>
  <c r="F327" i="1"/>
  <c r="J325" i="1" s="1"/>
  <c r="F328" i="1"/>
  <c r="G327" i="1"/>
  <c r="F318" i="1"/>
  <c r="F317" i="1"/>
  <c r="F316" i="1"/>
  <c r="F323" i="1"/>
  <c r="F322" i="1"/>
  <c r="F321" i="1"/>
  <c r="F320" i="1"/>
  <c r="F319" i="1"/>
  <c r="G316" i="1"/>
  <c r="F310" i="1"/>
  <c r="F311" i="1"/>
  <c r="F312" i="1"/>
  <c r="F313" i="1"/>
  <c r="F309" i="1"/>
  <c r="F308" i="1"/>
  <c r="F307" i="1"/>
  <c r="G307" i="1"/>
  <c r="G308" i="1" s="1"/>
  <c r="G309" i="1" s="1"/>
  <c r="G310" i="1" s="1"/>
  <c r="G311" i="1" s="1"/>
  <c r="G312" i="1" s="1"/>
  <c r="G313" i="1" s="1"/>
  <c r="D247" i="1"/>
  <c r="D246" i="1"/>
  <c r="D245" i="1"/>
  <c r="D244" i="1"/>
  <c r="D243" i="1"/>
  <c r="D242" i="1"/>
  <c r="D241" i="1"/>
  <c r="D240" i="1"/>
  <c r="D239" i="1"/>
  <c r="D238" i="1"/>
  <c r="E228" i="1"/>
  <c r="E227" i="1"/>
  <c r="D228" i="1"/>
  <c r="D227" i="1"/>
  <c r="D229" i="1"/>
  <c r="D230" i="1"/>
  <c r="E230" i="1"/>
  <c r="E231" i="1"/>
  <c r="D231" i="1"/>
  <c r="E232" i="1"/>
  <c r="D232" i="1"/>
  <c r="D233" i="1"/>
  <c r="E233" i="1"/>
  <c r="E234" i="1"/>
  <c r="D234" i="1"/>
  <c r="D235" i="1"/>
  <c r="E229" i="1"/>
  <c r="J126" i="1"/>
  <c r="J125" i="1"/>
  <c r="J124" i="1"/>
  <c r="J123" i="1"/>
  <c r="J112" i="1"/>
  <c r="J111" i="1"/>
  <c r="J110" i="1"/>
  <c r="J109" i="1"/>
  <c r="J84" i="1"/>
  <c r="J83" i="1"/>
  <c r="J82" i="1"/>
  <c r="J81" i="1"/>
  <c r="E43" i="1"/>
  <c r="J44" i="1"/>
  <c r="J45" i="1" s="1"/>
  <c r="N46" i="1"/>
  <c r="H76" i="1"/>
  <c r="L326" i="1" l="1"/>
  <c r="J326" i="1"/>
  <c r="G202" i="1"/>
  <c r="F232" i="1"/>
  <c r="E192" i="1"/>
  <c r="C192" i="1"/>
  <c r="F228" i="1"/>
  <c r="C193" i="1"/>
  <c r="G203" i="1"/>
  <c r="C204" i="1"/>
  <c r="G204" i="1"/>
  <c r="C203" i="1"/>
  <c r="E204" i="1"/>
  <c r="F238" i="1"/>
  <c r="F242" i="1"/>
  <c r="E193" i="1"/>
  <c r="C202" i="1"/>
  <c r="E202" i="1"/>
  <c r="F234" i="1"/>
  <c r="F243" i="1"/>
  <c r="E203" i="1"/>
  <c r="F235" i="1"/>
  <c r="F231" i="1"/>
  <c r="F241" i="1"/>
  <c r="F239" i="1"/>
  <c r="F227" i="1"/>
  <c r="F244" i="1"/>
  <c r="F245" i="1"/>
  <c r="F240" i="1"/>
  <c r="F247" i="1"/>
  <c r="F246" i="1"/>
  <c r="F229" i="1"/>
  <c r="F233" i="1"/>
  <c r="F230" i="1"/>
  <c r="J79" i="1"/>
  <c r="J80" i="1" s="1"/>
  <c r="J85" i="1" s="1"/>
  <c r="D87" i="1"/>
  <c r="D85" i="1"/>
  <c r="D83" i="1"/>
  <c r="D81" i="1"/>
  <c r="J77" i="1"/>
  <c r="J73" i="1"/>
  <c r="J75" i="1" s="1"/>
  <c r="J78" i="1"/>
  <c r="C79" i="1" s="1"/>
  <c r="J76" i="1"/>
  <c r="D88" i="1"/>
  <c r="D86" i="1"/>
  <c r="D84" i="1"/>
  <c r="D82" i="1"/>
  <c r="J250" i="1"/>
  <c r="J262" i="1"/>
  <c r="G193" i="1" l="1"/>
  <c r="G192" i="1"/>
  <c r="J86" i="1"/>
  <c r="C80" i="1"/>
  <c r="G79" i="1" s="1"/>
  <c r="D79" i="1"/>
  <c r="F300" i="1"/>
  <c r="F299" i="1"/>
  <c r="F298" i="1"/>
  <c r="F297" i="1"/>
  <c r="F303" i="1"/>
  <c r="F302" i="1"/>
  <c r="F301" i="1"/>
  <c r="I257" i="1"/>
  <c r="G296" i="1"/>
  <c r="F292" i="1"/>
  <c r="J260" i="1" s="1"/>
  <c r="F291" i="1"/>
  <c r="J259" i="1" s="1"/>
  <c r="F290" i="1"/>
  <c r="J258" i="1" s="1"/>
  <c r="F289" i="1"/>
  <c r="J257" i="1" s="1"/>
  <c r="F288" i="1"/>
  <c r="J256" i="1" s="1"/>
  <c r="F287" i="1"/>
  <c r="J255" i="1" s="1"/>
  <c r="F286" i="1"/>
  <c r="J254" i="1" s="1"/>
  <c r="F285" i="1"/>
  <c r="J253" i="1" s="1"/>
  <c r="F284" i="1"/>
  <c r="J252" i="1" s="1"/>
  <c r="F283" i="1"/>
  <c r="J251" i="1" s="1"/>
  <c r="F280" i="1"/>
  <c r="J249" i="1" s="1"/>
  <c r="F278" i="1"/>
  <c r="J248" i="1" s="1"/>
  <c r="E223" i="1"/>
  <c r="D223" i="1"/>
  <c r="E222" i="1"/>
  <c r="D222" i="1"/>
  <c r="E221" i="1"/>
  <c r="D221" i="1"/>
  <c r="E220" i="1"/>
  <c r="D220" i="1"/>
  <c r="E219" i="1"/>
  <c r="D219" i="1"/>
  <c r="E218" i="1"/>
  <c r="D218" i="1"/>
  <c r="E217" i="1"/>
  <c r="D217" i="1"/>
  <c r="E216" i="1"/>
  <c r="D216" i="1"/>
  <c r="E215" i="1"/>
  <c r="D215" i="1"/>
  <c r="E214" i="1"/>
  <c r="D214" i="1"/>
  <c r="G277" i="1"/>
  <c r="I221" i="1"/>
  <c r="G283" i="1"/>
  <c r="I270" i="1"/>
  <c r="I269" i="1"/>
  <c r="J169" i="1"/>
  <c r="J168" i="1"/>
  <c r="J167" i="1"/>
  <c r="J166" i="1"/>
  <c r="J98" i="1"/>
  <c r="J97" i="1"/>
  <c r="J96" i="1"/>
  <c r="J95" i="1"/>
  <c r="H90" i="1"/>
  <c r="F296" i="1" l="1"/>
  <c r="G201" i="1" s="1"/>
  <c r="E201" i="1"/>
  <c r="F277" i="1"/>
  <c r="G200" i="1" s="1"/>
  <c r="E200" i="1"/>
  <c r="E198" i="1"/>
  <c r="E199" i="1"/>
  <c r="D80" i="1"/>
  <c r="I74" i="1" s="1"/>
  <c r="E79" i="1"/>
  <c r="J74" i="1"/>
  <c r="C198" i="1"/>
  <c r="C199" i="1"/>
  <c r="C194" i="1"/>
  <c r="C195" i="1" s="1"/>
  <c r="F223" i="1"/>
  <c r="C201" i="1"/>
  <c r="E194" i="1"/>
  <c r="E195" i="1" s="1"/>
  <c r="C200" i="1"/>
  <c r="F218" i="1"/>
  <c r="F219" i="1"/>
  <c r="F220" i="1"/>
  <c r="F221" i="1"/>
  <c r="F222" i="1"/>
  <c r="J93" i="1"/>
  <c r="J94" i="1" s="1"/>
  <c r="J99" i="1" s="1"/>
  <c r="J100" i="1" s="1"/>
  <c r="C94" i="1" s="1"/>
  <c r="J92" i="1"/>
  <c r="J90" i="1"/>
  <c r="D102" i="1"/>
  <c r="D101" i="1"/>
  <c r="D100" i="1"/>
  <c r="D99" i="1"/>
  <c r="D98" i="1"/>
  <c r="D97" i="1"/>
  <c r="D96" i="1"/>
  <c r="D95" i="1"/>
  <c r="J91" i="1"/>
  <c r="J87" i="1"/>
  <c r="J89" i="1" s="1"/>
  <c r="F273" i="1"/>
  <c r="F272" i="1"/>
  <c r="F271" i="1"/>
  <c r="F270" i="1"/>
  <c r="F269" i="1"/>
  <c r="F268" i="1"/>
  <c r="F267" i="1"/>
  <c r="I265" i="1" s="1"/>
  <c r="G266" i="1"/>
  <c r="G267" i="1" s="1"/>
  <c r="G268" i="1" s="1"/>
  <c r="G269" i="1" s="1"/>
  <c r="G270" i="1" s="1"/>
  <c r="G271" i="1" s="1"/>
  <c r="G272" i="1" s="1"/>
  <c r="G273" i="1" s="1"/>
  <c r="F266" i="1"/>
  <c r="H161" i="1"/>
  <c r="C205" i="1" l="1"/>
  <c r="C206" i="1" s="1"/>
  <c r="E205" i="1"/>
  <c r="E206" i="1" s="1"/>
  <c r="G199" i="1"/>
  <c r="J247" i="1"/>
  <c r="I75" i="1"/>
  <c r="I73" i="1" s="1"/>
  <c r="C77" i="1" s="1"/>
  <c r="C93" i="1"/>
  <c r="D93" i="1" s="1"/>
  <c r="J164" i="1"/>
  <c r="J165" i="1" s="1"/>
  <c r="J170" i="1" s="1"/>
  <c r="J171" i="1" s="1"/>
  <c r="J163" i="1"/>
  <c r="C164" i="1" s="1"/>
  <c r="D164" i="1" s="1"/>
  <c r="J161" i="1"/>
  <c r="D173" i="1"/>
  <c r="D172" i="1"/>
  <c r="D171" i="1"/>
  <c r="D170" i="1"/>
  <c r="D169" i="1"/>
  <c r="D168" i="1"/>
  <c r="D167" i="1"/>
  <c r="D166" i="1"/>
  <c r="J162" i="1"/>
  <c r="J157" i="1"/>
  <c r="J160" i="1" s="1"/>
  <c r="E93" i="1"/>
  <c r="D94" i="1"/>
  <c r="H104" i="1"/>
  <c r="H118" i="1"/>
  <c r="J120" i="1" l="1"/>
  <c r="C121" i="1" s="1"/>
  <c r="D121" i="1" s="1"/>
  <c r="J118" i="1"/>
  <c r="D130" i="1"/>
  <c r="D128" i="1"/>
  <c r="D126" i="1"/>
  <c r="D124" i="1"/>
  <c r="J119" i="1"/>
  <c r="J115" i="1"/>
  <c r="J117" i="1" s="1"/>
  <c r="J121" i="1"/>
  <c r="J122" i="1" s="1"/>
  <c r="J127" i="1" s="1"/>
  <c r="J128" i="1" s="1"/>
  <c r="C122" i="1" s="1"/>
  <c r="D129" i="1"/>
  <c r="D127" i="1"/>
  <c r="D125" i="1"/>
  <c r="D123" i="1"/>
  <c r="J107" i="1"/>
  <c r="D115" i="1"/>
  <c r="D113" i="1"/>
  <c r="D111" i="1"/>
  <c r="D109" i="1"/>
  <c r="J105" i="1"/>
  <c r="J101" i="1"/>
  <c r="J103" i="1" s="1"/>
  <c r="J106" i="1"/>
  <c r="C107" i="1" s="1"/>
  <c r="J104" i="1"/>
  <c r="D116" i="1"/>
  <c r="D114" i="1"/>
  <c r="D112" i="1"/>
  <c r="D110" i="1"/>
  <c r="C165" i="1"/>
  <c r="J172" i="1"/>
  <c r="G93" i="1"/>
  <c r="J88" i="1"/>
  <c r="I88" i="1"/>
  <c r="I89" i="1" s="1"/>
  <c r="F262" i="1"/>
  <c r="J108" i="1" l="1"/>
  <c r="J113" i="1" s="1"/>
  <c r="J114" i="1" s="1"/>
  <c r="C108" i="1"/>
  <c r="E107" i="1" s="1"/>
  <c r="E164" i="1"/>
  <c r="C174" i="1" s="1"/>
  <c r="D107" i="1"/>
  <c r="J102" i="1" s="1"/>
  <c r="E121" i="1"/>
  <c r="D122" i="1"/>
  <c r="I116" i="1" s="1"/>
  <c r="I117" i="1" s="1"/>
  <c r="G121" i="1"/>
  <c r="J116" i="1"/>
  <c r="J158" i="1"/>
  <c r="G164" i="1"/>
  <c r="G174" i="1" s="1"/>
  <c r="D165" i="1"/>
  <c r="I87" i="1"/>
  <c r="C91" i="1" s="1"/>
  <c r="E44" i="1"/>
  <c r="E45" i="1" s="1"/>
  <c r="G107" i="1" l="1"/>
  <c r="D108" i="1"/>
  <c r="I158" i="1"/>
  <c r="I160" i="1" s="1"/>
  <c r="I157" i="1"/>
  <c r="C162" i="1" s="1"/>
  <c r="I102" i="1"/>
  <c r="I103" i="1" s="1"/>
  <c r="I101" i="1" s="1"/>
  <c r="C105" i="1" s="1"/>
  <c r="I115" i="1"/>
  <c r="C119" i="1" s="1"/>
  <c r="C16" i="1"/>
  <c r="E31" i="1" l="1"/>
  <c r="F256" i="1" l="1"/>
  <c r="F257" i="1"/>
  <c r="F258" i="1"/>
  <c r="F255" i="1"/>
  <c r="G255" i="1"/>
  <c r="G256" i="1" s="1"/>
  <c r="G257" i="1" s="1"/>
  <c r="G258" i="1" s="1"/>
  <c r="G259" i="1" s="1"/>
  <c r="F189" i="1" l="1"/>
  <c r="F215" i="1" l="1"/>
  <c r="F216" i="1"/>
  <c r="F217" i="1"/>
  <c r="F214" i="1"/>
  <c r="G194" i="1" l="1"/>
  <c r="G195" i="1" s="1"/>
  <c r="B337" i="1"/>
  <c r="F260" i="1" l="1"/>
  <c r="F259" i="1"/>
  <c r="F261" i="1"/>
  <c r="G198" i="1" l="1"/>
  <c r="B338" i="1"/>
  <c r="G205" i="1" l="1"/>
  <c r="G206" i="1" s="1"/>
  <c r="F11" i="5"/>
  <c r="G11" i="5" s="1"/>
  <c r="F10" i="5"/>
  <c r="G10" i="5" s="1"/>
  <c r="F9" i="5"/>
  <c r="G9" i="5" s="1"/>
  <c r="F8" i="5"/>
  <c r="G8" i="5" s="1"/>
  <c r="F7" i="5"/>
  <c r="G7" i="5" s="1"/>
  <c r="F6" i="5"/>
  <c r="G6" i="5" s="1"/>
  <c r="F5" i="5"/>
  <c r="G5" i="5" s="1"/>
  <c r="G12" i="5" s="1"/>
  <c r="D364" i="1"/>
  <c r="G260" i="1"/>
  <c r="G261" i="1" s="1"/>
  <c r="G262" i="1" s="1"/>
  <c r="J154" i="1"/>
  <c r="J153" i="1"/>
  <c r="J152" i="1"/>
  <c r="J151" i="1"/>
  <c r="J140" i="1"/>
  <c r="J139" i="1"/>
  <c r="J138" i="1"/>
  <c r="J137" i="1"/>
  <c r="D58" i="1"/>
  <c r="C51" i="1"/>
  <c r="C52" i="1" s="1"/>
  <c r="E28" i="1"/>
  <c r="E26" i="1"/>
  <c r="E7" i="1"/>
  <c r="E3" i="1"/>
  <c r="H132" i="1"/>
  <c r="H146" i="1"/>
  <c r="D69" i="1" l="1"/>
  <c r="D156" i="1"/>
  <c r="D157" i="1"/>
  <c r="D158" i="1"/>
  <c r="I143" i="1" s="1"/>
  <c r="D152" i="1"/>
  <c r="D153" i="1"/>
  <c r="D154" i="1"/>
  <c r="D155" i="1"/>
  <c r="J143" i="1"/>
  <c r="J145" i="1" s="1"/>
  <c r="D144" i="1"/>
  <c r="D142" i="1"/>
  <c r="D141" i="1"/>
  <c r="D140" i="1"/>
  <c r="D138" i="1"/>
  <c r="J129" i="1"/>
  <c r="D143" i="1"/>
  <c r="D139" i="1"/>
  <c r="J133" i="1"/>
  <c r="J134" i="1"/>
  <c r="C135" i="1" s="1"/>
  <c r="J132" i="1"/>
  <c r="J135" i="1"/>
  <c r="J136" i="1" s="1"/>
  <c r="J141" i="1" s="1"/>
  <c r="J142" i="1" s="1"/>
  <c r="C136" i="1" s="1"/>
  <c r="J149" i="1"/>
  <c r="J150" i="1" s="1"/>
  <c r="J155" i="1" s="1"/>
  <c r="J156" i="1" s="1"/>
  <c r="C150" i="1" s="1"/>
  <c r="J147" i="1"/>
  <c r="J148" i="1"/>
  <c r="C149" i="1" s="1"/>
  <c r="J146" i="1"/>
  <c r="D151" i="1" l="1"/>
  <c r="D137" i="1"/>
  <c r="J131" i="1"/>
  <c r="E135" i="1"/>
  <c r="D136" i="1"/>
  <c r="G135" i="1"/>
  <c r="D73" i="1" s="1"/>
  <c r="D74" i="1" s="1"/>
  <c r="D135" i="1"/>
  <c r="E149" i="1"/>
  <c r="C159" i="1" s="1"/>
  <c r="D150" i="1"/>
  <c r="G149" i="1"/>
  <c r="G159" i="1" s="1"/>
  <c r="D149" i="1"/>
  <c r="J144" i="1" s="1"/>
  <c r="I130" i="1" l="1"/>
  <c r="J130" i="1"/>
  <c r="I144" i="1"/>
  <c r="F74" i="1"/>
  <c r="I131" i="1" l="1"/>
  <c r="I129" i="1" s="1"/>
  <c r="C133" i="1" s="1"/>
  <c r="I145" i="1"/>
</calcChain>
</file>

<file path=xl/sharedStrings.xml><?xml version="1.0" encoding="utf-8"?>
<sst xmlns="http://schemas.openxmlformats.org/spreadsheetml/2006/main" count="661" uniqueCount="278">
  <si>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</si>
  <si>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</si>
  <si>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</si>
  <si>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</si>
  <si>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</si>
  <si>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</si>
  <si>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</si>
  <si>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</si>
  <si>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</si>
  <si>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</si>
  <si>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</si>
  <si>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</si>
  <si>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</si>
  <si>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</si>
  <si>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</si>
  <si>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</si>
  <si>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</si>
  <si>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</si>
  <si>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</si>
  <si>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</si>
  <si>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</si>
  <si>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</si>
  <si>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</si>
  <si>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</si>
  <si>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</si>
  <si>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</si>
  <si>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</si>
  <si>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</si>
  <si>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</si>
  <si>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</si>
  <si>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</si>
  <si>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</si>
  <si>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</si>
  <si>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</si>
  <si>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</si>
  <si>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</si>
  <si>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</si>
  <si>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</si>
  <si>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</si>
  <si>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</si>
  <si>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</si>
  <si>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</si>
  <si>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</si>
  <si>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</si>
  <si>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</si>
  <si>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</si>
  <si>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</si>
  <si>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</si>
  <si>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</si>
  <si>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</si>
  <si>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</si>
  <si>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</si>
  <si>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</si>
  <si>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</si>
  <si>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</si>
  <si>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</si>
  <si>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</si>
  <si>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</si>
  <si>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</si>
  <si>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</si>
  <si>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</si>
  <si>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</si>
  <si>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</si>
  <si>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</si>
  <si>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</si>
  <si>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</si>
  <si>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</si>
  <si>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</si>
  <si>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</si>
  <si>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</si>
  <si>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</si>
  <si>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</si>
  <si>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</si>
  <si>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</si>
  <si>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</si>
  <si>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</si>
  <si>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</si>
  <si>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</si>
  <si>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</si>
  <si>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</si>
  <si>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</si>
  <si>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</si>
  <si>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</si>
  <si>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</si>
  <si>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</si>
  <si>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</si>
  <si>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</si>
  <si>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</si>
  <si>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</si>
  <si>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</si>
  <si>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</si>
  <si>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</si>
  <si>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</si>
  <si>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</si>
  <si>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</si>
  <si>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</si>
  <si>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</si>
  <si>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</si>
  <si>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</si>
  <si>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</si>
  <si>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</si>
  <si>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</si>
  <si>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</si>
  <si>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</si>
  <si>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</si>
  <si>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</si>
  <si>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</si>
  <si>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</si>
  <si>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</si>
  <si>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</si>
  <si>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</si>
  <si>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</si>
  <si>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</si>
  <si>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</si>
  <si>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</si>
  <si>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</si>
  <si>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</si>
  <si>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</si>
  <si>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</si>
  <si>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</si>
  <si>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</si>
  <si>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</si>
  <si>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</si>
  <si>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</si>
  <si>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</si>
  <si>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</si>
  <si>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</si>
  <si>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</si>
  <si>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</si>
  <si>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</si>
  <si>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</si>
  <si>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</si>
  <si>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</si>
  <si>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</si>
  <si>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</si>
  <si>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</si>
  <si>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</si>
  <si>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</si>
  <si>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</si>
  <si>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</si>
  <si>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</si>
  <si>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</si>
  <si>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</si>
  <si>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</si>
  <si>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</si>
  <si>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</si>
  <si>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</si>
  <si>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</si>
  <si>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</si>
  <si>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</si>
  <si>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</si>
  <si>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</si>
  <si>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</si>
  <si>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</si>
  <si>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</si>
  <si>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</si>
  <si>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</si>
  <si>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</si>
  <si>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</si>
  <si>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</si>
  <si>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</si>
  <si>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</si>
  <si>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</si>
  <si>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</si>
  <si>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</si>
  <si>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</si>
  <si>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Layout :</t>
  </si>
  <si>
    <t>Office No. 1031, Wing J, Akshar Business Park, Plot No. 03 Sector 25, Near APMC Market, Vashi, Navi Mumbai, Maharashtra 400703 TEL: 022-46090378/79/80                                                                       
E mail : vsjcapf@gmail.com. Web site : www.vsjadon.com</t>
  </si>
  <si>
    <t>Axis Badalapur</t>
  </si>
  <si>
    <t>Morya Group</t>
  </si>
  <si>
    <t>Anand Home</t>
  </si>
  <si>
    <t>Survey No</t>
  </si>
  <si>
    <t>78/1, &amp; 79</t>
  </si>
  <si>
    <t>Titwala</t>
  </si>
  <si>
    <t>Thane</t>
  </si>
  <si>
    <t>Kalyan</t>
  </si>
  <si>
    <t>Ganesh Vidyalay</t>
  </si>
  <si>
    <t>Internal Rd</t>
  </si>
  <si>
    <t>3KM from Titwala Railway Station</t>
  </si>
  <si>
    <t>Padamavati Royal</t>
  </si>
  <si>
    <t>As per RERA - 31/03/2025</t>
  </si>
  <si>
    <t>Ground Floor For Society Office &amp; Parking</t>
  </si>
  <si>
    <t>Wing F</t>
  </si>
  <si>
    <t>1st to 8th Floor For Residential</t>
  </si>
  <si>
    <t>1BHK</t>
  </si>
  <si>
    <t>2BHK</t>
  </si>
  <si>
    <t>Wing G</t>
  </si>
  <si>
    <t xml:space="preserve"> Wing G</t>
  </si>
  <si>
    <t>Other Charges for 2BHK</t>
  </si>
  <si>
    <t>3700 to 4000</t>
  </si>
  <si>
    <t xml:space="preserve">Rushikesh </t>
  </si>
  <si>
    <t>adjustment of 2BHK</t>
  </si>
  <si>
    <t>KDMC/TPD/BP/KD/2021-22/76/123</t>
  </si>
  <si>
    <t>Wing B - Stilt (Pt) + Gr (Pt) + 1st to 7th Floor</t>
  </si>
  <si>
    <t>Wing B - Stilt (Pt) + Gr (Pt) + 1st to 7th Floor
Wing E - Stilt + 1st to 7th Floor
Wing F &amp; G - Stilt + 1st to 8th Floor</t>
  </si>
  <si>
    <t>Kalyan Dombivli Municipal Corporation</t>
  </si>
  <si>
    <t>Wing E - Stilt + 1st to 7th Floor</t>
  </si>
  <si>
    <t>Meter Room, 24X7 Water Supply, Landscaping &amp; Tree, Fire Fighting System</t>
  </si>
  <si>
    <t>Wing G - Stilt + 1st to 8th Floor</t>
  </si>
  <si>
    <t>Wing F - Stilt + 1st to 8th Floor</t>
  </si>
  <si>
    <t>Wing B</t>
  </si>
  <si>
    <t>Wing E</t>
  </si>
  <si>
    <t>1st to 7th Floor</t>
  </si>
  <si>
    <t>Ground For Residential (Part Commerical &amp; Parking)</t>
  </si>
  <si>
    <t>3BHK</t>
  </si>
  <si>
    <t>Shop</t>
  </si>
  <si>
    <t>Attached Otla area</t>
  </si>
  <si>
    <t>04 Buildings</t>
  </si>
  <si>
    <t>Grand Total</t>
  </si>
  <si>
    <t>We have updated CC &amp; Floor plan for wing (B, E, F &amp; G) (on 24/11/2023).</t>
  </si>
  <si>
    <t>Shop - 10, Flats - 257</t>
  </si>
  <si>
    <t>Latitude, Longitude</t>
  </si>
  <si>
    <t xml:space="preserve">https://www.commonfloor.com/morya-anand-home-mumbai/povp-wz7r42 </t>
  </si>
  <si>
    <t>Shop Rate Discuss with sachin Sir</t>
  </si>
  <si>
    <t>Wing D Area is the same as Wing E</t>
  </si>
  <si>
    <t>Ground Floor For Commercial (Part Residential &amp; Parking)</t>
  </si>
  <si>
    <t>Mr.Ganesh 9850091376</t>
  </si>
  <si>
    <t>Mr. Omkar 8975846439</t>
  </si>
  <si>
    <t>24.0 M W Road</t>
  </si>
  <si>
    <t>Other Plot</t>
  </si>
  <si>
    <t>07 Buildings</t>
  </si>
  <si>
    <t>Wing A</t>
  </si>
  <si>
    <t>Wing C</t>
  </si>
  <si>
    <t>Wing D</t>
  </si>
  <si>
    <t>Ground Floor For Commercial, Parking &amp; Society Office</t>
  </si>
  <si>
    <t>1st to 7th Floor For Residential</t>
  </si>
  <si>
    <t>OK</t>
  </si>
  <si>
    <t>Wing D - Stilt + 1st to 7th Floor</t>
  </si>
  <si>
    <t>Anand Home (Wing F &amp; G)
Phase 2 (Wing B &amp; E)
Phase 3 (Wing A, C &amp; D)</t>
  </si>
  <si>
    <t xml:space="preserve">As per Layout </t>
  </si>
  <si>
    <t>https://maps.app.goo.gl/37nWJeoDnvQAKm8S7</t>
  </si>
  <si>
    <t>19.296661,73.229022</t>
  </si>
  <si>
    <t>Internal Road</t>
  </si>
  <si>
    <t>Rusttagi Aarambha</t>
  </si>
  <si>
    <t xml:space="preserve">Wing A - Gr/St + 1st to 7th Floor
Wing B - Gr/St + 1st to 7th Floor
Wing C - Gr/St + 1st to 7th Floor
Wing D - Stilt + 1st to 7th Floor
Wing E - Stilt + 1st to 7th Floor
Wing F &amp; G - Stilt + 1st to 8th Floor
</t>
  </si>
  <si>
    <t>Wing A - Gr/St + 1st to 7th Floor
Wing B - Gr/St + 1st to 7th Floor
Wing C - Gr/St + 1st to 7th Floor
Wing D - Stilt + 1st to 7th Floor
Wing E - Stilt + 1st to 7th Floor
Wing F &amp; G - Stilt + 1st to 8th Floor</t>
  </si>
  <si>
    <t>Wing A - Gr/St + 1st to 7th Floor</t>
  </si>
  <si>
    <t>Wing B - Gr/St + 1st to 7th Floor</t>
  </si>
  <si>
    <t>Wing C - Gr/St + 1st to 7th Floor</t>
  </si>
  <si>
    <t>Wing F  - Stilt + 1st to 8th Floor</t>
  </si>
  <si>
    <t>Building Details Floor Wise</t>
  </si>
  <si>
    <t xml:space="preserve">Details of Residential &amp; Commercial in Building   </t>
  </si>
  <si>
    <t>-</t>
  </si>
  <si>
    <t>Commerical</t>
  </si>
  <si>
    <t>Parking</t>
  </si>
  <si>
    <t>Anand Homes Phase 2</t>
  </si>
  <si>
    <t>Anand Homes Phase 3</t>
  </si>
  <si>
    <t>As per site visit dtd.05/07/2025 we have observed that the construction work is not done as per approved floor plan. (Extra Terrace Area are Constructed for flats)
According to the approved 1st floor plan in Wing B, terrace area is not attached to Flat No.3, 4, 5 &amp; 6, But on site terrace area is already constructed.</t>
  </si>
  <si>
    <t xml:space="preserve">We have referred approved plans dtd. 16/06/2023 (Sheet No.2 to 4 &amp; 6) From RERA site on 08/07/2025
</t>
  </si>
  <si>
    <t>We have added project Anand Homes ­ Phase 3 (Wing A, C &amp; D) on 08/07/2025</t>
  </si>
  <si>
    <t>RERA Name &amp; No.</t>
  </si>
  <si>
    <t>Wing F &amp; G</t>
  </si>
  <si>
    <t>Wing B &amp; E</t>
  </si>
  <si>
    <t>Wing A, C &amp; D</t>
  </si>
  <si>
    <t>Shop - 29, Flats - 418</t>
  </si>
  <si>
    <t>v</t>
  </si>
  <si>
    <t>Anand Home (P51700034768)</t>
  </si>
  <si>
    <t>Anand Homes Phase 2 (P51700053225)</t>
  </si>
  <si>
    <t>Anand Homes Phase 3 (P51700080465)</t>
  </si>
  <si>
    <t>Recommended Other Charges of the Property have been revised on 08/07/2025</t>
  </si>
  <si>
    <t>Parking Rate Revised.</t>
  </si>
  <si>
    <t>Wing F &amp; G - Stilt + 1st to 8th Floor</t>
  </si>
  <si>
    <t>All work Completed, Provide OC.</t>
  </si>
  <si>
    <t>Remark No.13 :</t>
  </si>
  <si>
    <t>We considered Gross carpet area = Net carpet + Balcony + Dry Balcony Area</t>
  </si>
  <si>
    <t>Anand Home (Wing A to E)</t>
  </si>
  <si>
    <t>HT Line is passing in between the Wing C and Wing D &amp; Wing E.</t>
  </si>
  <si>
    <t>As per RERA - Completed (Wing F &amp; G)
                        01/06/2026 (Wing B &amp; E)
                        01/12/2027 (Wing A, C &amp; D)</t>
  </si>
  <si>
    <t>Approved Plans, CC, Cost Sheet &amp; Power Noc</t>
  </si>
  <si>
    <t>CE/EHV/PC O &amp; M/Zone/VSH/EE/Tech/No.02706</t>
  </si>
  <si>
    <t xml:space="preserve">Power Noc No
Valid for 
</t>
  </si>
  <si>
    <t>Remark No.16</t>
  </si>
  <si>
    <t>S.No. 78/1 &amp; 79</t>
  </si>
  <si>
    <t>We have updated the Power Noc on 08/07/2025, which is provided by the bank officials on mail is attched below.</t>
  </si>
  <si>
    <t>Anand Home (Wing A to G)</t>
  </si>
  <si>
    <t>Shruti Tathare</t>
  </si>
  <si>
    <t>Krishna Kambali</t>
  </si>
  <si>
    <t>Wing A to E = Construction work is in process at the time of Visit.
Wing F &amp; G = All work completed. Please provide OC.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</si>
</sst>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b/>
      <sz val="11"/>
      <color rgb="FF000000"/>
      <name val="Calibri"/>
      <family val="2"/>
    </font>
    <font>
      <b/>
      <sz val="12"/>
      <color rgb="FFFF0000"/>
      <name val="Times New Roman"/>
      <family val="1"/>
    </font>
    <font>
      <sz val="11"/>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33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168" fontId="7" fillId="0" borderId="0" xfId="1" applyNumberFormat="1" applyFont="1" applyAlignment="1">
      <alignment horizontal="center" vertical="center"/>
    </xf>
    <xf numFmtId="9" fontId="12" fillId="0" borderId="1" xfId="8" applyFont="1" applyFill="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7" fillId="2" borderId="0" xfId="1" applyFont="1" applyFill="1"/>
    <xf numFmtId="0" fontId="24" fillId="0" borderId="1" xfId="0" applyFont="1" applyBorder="1"/>
    <xf numFmtId="0" fontId="24" fillId="0" borderId="5" xfId="0" applyFont="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7" xfId="1" applyFont="1" applyBorder="1" applyAlignment="1" applyProtection="1">
      <alignment horizontal="center" vertical="top" wrapText="1"/>
      <protection locked="0"/>
    </xf>
    <xf numFmtId="0" fontId="4" fillId="0" borderId="0" xfId="1" applyFont="1" applyAlignment="1" applyProtection="1">
      <alignment vertical="top"/>
      <protection locked="0"/>
    </xf>
    <xf numFmtId="0" fontId="7" fillId="0" borderId="0" xfId="1" applyFont="1" applyAlignment="1">
      <alignment horizontal="center" vertical="center"/>
    </xf>
    <xf numFmtId="2" fontId="7" fillId="0" borderId="0" xfId="1" applyNumberFormat="1" applyFont="1" applyAlignment="1">
      <alignment horizontal="center" vertical="center"/>
    </xf>
    <xf numFmtId="164" fontId="7" fillId="0" borderId="0" xfId="1" applyNumberFormat="1" applyFont="1"/>
    <xf numFmtId="1" fontId="12" fillId="0" borderId="1" xfId="1" applyNumberFormat="1" applyFont="1" applyBorder="1" applyAlignment="1" applyProtection="1">
      <alignment horizontal="center" vertical="top" wrapText="1"/>
      <protection locked="0"/>
    </xf>
    <xf numFmtId="0" fontId="26" fillId="0" borderId="0" xfId="10" applyAlignment="1">
      <alignment horizontal="center" vertical="center"/>
    </xf>
    <xf numFmtId="0" fontId="7" fillId="0" borderId="0" xfId="1" applyFont="1" applyAlignment="1">
      <alignment horizontal="center" vertical="center"/>
    </xf>
    <xf numFmtId="0" fontId="10" fillId="0" borderId="0" xfId="1" applyFont="1" applyAlignment="1">
      <alignment horizontal="center" vertical="center"/>
    </xf>
    <xf numFmtId="0" fontId="27" fillId="0" borderId="0" xfId="0" applyFont="1"/>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24" fillId="2" borderId="15" xfId="0" applyFont="1" applyFill="1" applyBorder="1"/>
    <xf numFmtId="0" fontId="25" fillId="0" borderId="9" xfId="0" applyFont="1" applyBorder="1"/>
    <xf numFmtId="0" fontId="7" fillId="0" borderId="0" xfId="1" applyFont="1" applyAlignment="1">
      <alignment horizontal="center" vertical="center"/>
    </xf>
    <xf numFmtId="0" fontId="15" fillId="0" borderId="0" xfId="0" applyFont="1" applyAlignment="1">
      <alignment horizontal="center" vertical="center"/>
    </xf>
    <xf numFmtId="0" fontId="12"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12"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7" fillId="0" borderId="0" xfId="1" applyFont="1" applyAlignment="1">
      <alignment horizontal="center" vertical="center"/>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0" fillId="0" borderId="0" xfId="0" applyFont="1" applyAlignment="1">
      <alignment horizontal="center" vertical="center"/>
    </xf>
    <xf numFmtId="1" fontId="7" fillId="0" borderId="0" xfId="0" applyNumberFormat="1" applyFont="1" applyAlignment="1">
      <alignment horizontal="center" vertical="center"/>
    </xf>
    <xf numFmtId="1" fontId="13" fillId="0" borderId="1" xfId="0" applyNumberFormat="1" applyFont="1" applyBorder="1" applyAlignment="1" applyProtection="1">
      <alignment horizontal="center" vertical="center" wrapText="1"/>
      <protection locked="0"/>
    </xf>
    <xf numFmtId="0" fontId="15" fillId="0" borderId="4" xfId="1" applyFont="1" applyBorder="1" applyAlignment="1" applyProtection="1">
      <alignment horizontal="center" vertical="top"/>
      <protection locked="0"/>
    </xf>
    <xf numFmtId="0" fontId="15" fillId="0" borderId="1" xfId="1" applyFont="1" applyBorder="1" applyAlignment="1" applyProtection="1">
      <alignment horizontal="center" vertical="top"/>
      <protection locked="0"/>
    </xf>
    <xf numFmtId="0" fontId="15" fillId="0" borderId="5" xfId="1" applyFont="1" applyBorder="1" applyAlignment="1" applyProtection="1">
      <alignment horizontal="center" vertical="top"/>
      <protection locked="0"/>
    </xf>
    <xf numFmtId="0" fontId="15" fillId="0" borderId="1" xfId="1" applyFont="1" applyBorder="1" applyAlignment="1" applyProtection="1">
      <alignment horizontal="center" vertical="top" wrapText="1"/>
      <protection locked="0"/>
    </xf>
    <xf numFmtId="167" fontId="16" fillId="0" borderId="0" xfId="1" applyNumberFormat="1" applyFont="1"/>
    <xf numFmtId="0" fontId="10" fillId="0" borderId="0" xfId="1" applyFont="1"/>
    <xf numFmtId="0" fontId="19" fillId="2" borderId="30" xfId="0" applyFont="1" applyFill="1" applyBorder="1"/>
    <xf numFmtId="0" fontId="19" fillId="0" borderId="31" xfId="0" applyFont="1" applyBorder="1"/>
    <xf numFmtId="0" fontId="19" fillId="0" borderId="1" xfId="0" applyFont="1" applyBorder="1"/>
    <xf numFmtId="0" fontId="19" fillId="0" borderId="5" xfId="0" applyFont="1" applyBorder="1"/>
    <xf numFmtId="0" fontId="29" fillId="0" borderId="0" xfId="0" applyFont="1" applyProtection="1">
      <protection hidden="1"/>
    </xf>
    <xf numFmtId="0" fontId="15" fillId="0" borderId="10" xfId="1" applyFont="1" applyBorder="1"/>
    <xf numFmtId="9" fontId="15" fillId="0" borderId="1" xfId="8" applyFont="1" applyFill="1" applyBorder="1" applyAlignment="1" applyProtection="1">
      <alignment horizontal="center" vertical="top" wrapText="1"/>
      <protection locked="0"/>
    </xf>
    <xf numFmtId="0" fontId="29" fillId="0" borderId="10" xfId="0" applyFont="1" applyBorder="1" applyProtection="1">
      <protection hidden="1"/>
    </xf>
    <xf numFmtId="1" fontId="19" fillId="0" borderId="10" xfId="0" applyNumberFormat="1" applyFont="1" applyBorder="1"/>
    <xf numFmtId="1" fontId="19" fillId="0" borderId="10" xfId="0" applyNumberFormat="1" applyFont="1" applyBorder="1" applyAlignment="1">
      <alignment horizontal="right"/>
    </xf>
    <xf numFmtId="0" fontId="15" fillId="0" borderId="7" xfId="1" applyFont="1" applyBorder="1" applyAlignment="1" applyProtection="1">
      <alignment horizontal="center" vertical="top" wrapText="1"/>
      <protection locked="0"/>
    </xf>
    <xf numFmtId="9" fontId="15" fillId="0" borderId="7" xfId="8" applyFont="1" applyFill="1" applyBorder="1" applyAlignment="1" applyProtection="1">
      <alignment horizontal="center" vertical="top" wrapText="1"/>
      <protection locked="0"/>
    </xf>
    <xf numFmtId="0" fontId="29" fillId="0" borderId="11" xfId="0" applyFont="1" applyBorder="1" applyProtection="1">
      <protection hidden="1"/>
    </xf>
    <xf numFmtId="1" fontId="19" fillId="0" borderId="12" xfId="0" applyNumberFormat="1" applyFont="1" applyBorder="1"/>
    <xf numFmtId="0" fontId="13" fillId="0" borderId="1" xfId="1" applyFont="1" applyBorder="1" applyAlignment="1" applyProtection="1">
      <alignment horizontal="left" vertical="top"/>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6" fillId="0" borderId="39" xfId="0" applyNumberFormat="1" applyFont="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8" fillId="4" borderId="8" xfId="1" applyNumberFormat="1" applyFont="1" applyFill="1" applyBorder="1" applyAlignment="1" applyProtection="1">
      <alignment horizontal="center" vertical="center" wrapText="1"/>
      <protection locked="0"/>
    </xf>
    <xf numFmtId="1" fontId="8" fillId="4" borderId="21" xfId="1" applyNumberFormat="1" applyFont="1" applyFill="1" applyBorder="1" applyAlignment="1" applyProtection="1">
      <alignment horizontal="center" vertical="center" wrapText="1"/>
      <protection locked="0"/>
    </xf>
    <xf numFmtId="1" fontId="8" fillId="4" borderId="9" xfId="1" applyNumberFormat="1" applyFont="1" applyFill="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28" fillId="0" borderId="34" xfId="1" applyFont="1" applyBorder="1" applyAlignment="1" applyProtection="1">
      <alignment horizontal="center" vertical="center" wrapText="1"/>
      <protection locked="0"/>
    </xf>
    <xf numFmtId="0" fontId="28" fillId="0" borderId="35" xfId="1" applyFont="1" applyBorder="1" applyAlignment="1" applyProtection="1">
      <alignment horizontal="center" vertical="center" wrapText="1"/>
      <protection locked="0"/>
    </xf>
    <xf numFmtId="9" fontId="28" fillId="0" borderId="36" xfId="1" applyNumberFormat="1" applyFont="1" applyBorder="1" applyAlignment="1" applyProtection="1">
      <alignment horizontal="center" vertical="center" wrapText="1"/>
      <protection locked="0"/>
    </xf>
    <xf numFmtId="0" fontId="28" fillId="0" borderId="37" xfId="1" applyFont="1" applyBorder="1" applyAlignment="1" applyProtection="1">
      <alignment horizontal="center" vertical="center" wrapText="1"/>
      <protection locked="0"/>
    </xf>
    <xf numFmtId="9" fontId="28" fillId="0" borderId="36" xfId="8" applyFont="1" applyFill="1" applyBorder="1" applyAlignment="1" applyProtection="1">
      <alignment horizontal="center" vertical="center" wrapText="1"/>
      <protection locked="0"/>
    </xf>
    <xf numFmtId="9" fontId="28" fillId="0" borderId="37" xfId="8" applyFont="1" applyFill="1" applyBorder="1" applyAlignment="1" applyProtection="1">
      <alignment horizontal="center" vertical="center" wrapText="1"/>
      <protection locked="0"/>
    </xf>
    <xf numFmtId="0" fontId="7" fillId="0" borderId="8" xfId="1" applyFont="1" applyBorder="1" applyAlignment="1" applyProtection="1">
      <alignment horizontal="left"/>
      <protection locked="0"/>
    </xf>
    <xf numFmtId="0" fontId="7" fillId="0" borderId="21" xfId="1" applyFont="1" applyBorder="1" applyAlignment="1" applyProtection="1">
      <alignment horizontal="left"/>
      <protection locked="0"/>
    </xf>
    <xf numFmtId="0" fontId="7" fillId="0" borderId="9" xfId="1" applyFont="1" applyBorder="1" applyAlignment="1" applyProtection="1">
      <alignment horizontal="left"/>
      <protection locked="0"/>
    </xf>
    <xf numFmtId="1" fontId="8" fillId="0" borderId="34" xfId="0" applyNumberFormat="1" applyFont="1" applyBorder="1" applyAlignment="1" applyProtection="1">
      <alignment horizontal="center" vertical="center" wrapText="1"/>
      <protection locked="0"/>
    </xf>
    <xf numFmtId="1" fontId="8" fillId="0" borderId="38" xfId="0" applyNumberFormat="1" applyFont="1" applyBorder="1" applyAlignment="1" applyProtection="1">
      <alignment horizontal="center" vertical="center" wrapText="1"/>
      <protection locked="0"/>
    </xf>
    <xf numFmtId="1" fontId="8" fillId="0" borderId="38" xfId="0" applyNumberFormat="1" applyFont="1" applyBorder="1" applyAlignment="1" applyProtection="1">
      <alignment horizontal="center" vertical="top" wrapText="1"/>
      <protection locked="0"/>
    </xf>
    <xf numFmtId="1" fontId="8" fillId="0" borderId="35" xfId="0" applyNumberFormat="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6" fillId="0" borderId="8" xfId="1" applyFont="1" applyBorder="1" applyAlignment="1" applyProtection="1">
      <alignment vertical="top"/>
      <protection locked="0"/>
    </xf>
    <xf numFmtId="0" fontId="6" fillId="0" borderId="21" xfId="1" applyFont="1" applyBorder="1" applyAlignment="1" applyProtection="1">
      <alignment vertical="top"/>
      <protection locked="0"/>
    </xf>
    <xf numFmtId="0" fontId="6" fillId="0" borderId="9" xfId="1" applyFont="1" applyBorder="1" applyAlignment="1" applyProtection="1">
      <alignment vertical="top"/>
      <protection locked="0"/>
    </xf>
    <xf numFmtId="0" fontId="8" fillId="0" borderId="8"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9"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horizontal="left" vertical="top" wrapText="1"/>
      <protection locked="0"/>
    </xf>
    <xf numFmtId="1" fontId="13" fillId="0" borderId="21"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wrapText="1"/>
      <protection locked="0"/>
    </xf>
    <xf numFmtId="1" fontId="10" fillId="0" borderId="17" xfId="0" applyNumberFormat="1" applyFont="1" applyBorder="1" applyAlignment="1" applyProtection="1">
      <alignment horizontal="center" vertical="center" wrapText="1"/>
      <protection locked="0"/>
    </xf>
    <xf numFmtId="1" fontId="10" fillId="0" borderId="18"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horizontal="center" vertical="center" wrapText="1"/>
      <protection locked="0"/>
    </xf>
    <xf numFmtId="1" fontId="7" fillId="0" borderId="9"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5" fillId="0" borderId="4"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3"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5" fillId="0" borderId="6" xfId="1" applyFont="1" applyBorder="1" applyAlignment="1" applyProtection="1">
      <alignment horizontal="center" vertical="top" wrapText="1"/>
      <protection locked="0"/>
    </xf>
    <xf numFmtId="0" fontId="15" fillId="0" borderId="7" xfId="1" applyFont="1" applyBorder="1" applyAlignment="1" applyProtection="1">
      <alignment horizontal="center" vertical="top" wrapText="1"/>
      <protection locked="0"/>
    </xf>
    <xf numFmtId="0" fontId="28" fillId="0" borderId="22" xfId="1" applyFont="1" applyBorder="1" applyAlignment="1" applyProtection="1">
      <alignment horizontal="left" vertical="top"/>
      <protection locked="0"/>
    </xf>
    <xf numFmtId="0" fontId="28" fillId="0" borderId="15" xfId="1" applyFont="1" applyBorder="1" applyAlignment="1" applyProtection="1">
      <alignment horizontal="left" vertical="top"/>
      <protection locked="0"/>
    </xf>
    <xf numFmtId="0" fontId="28" fillId="0" borderId="13" xfId="1" applyFont="1" applyBorder="1" applyAlignment="1" applyProtection="1">
      <alignment horizontal="left" vertical="top" wrapText="1"/>
      <protection locked="0"/>
    </xf>
    <xf numFmtId="0" fontId="28" fillId="0" borderId="14" xfId="1" applyFont="1" applyBorder="1" applyAlignment="1" applyProtection="1">
      <alignment horizontal="left" vertical="top" wrapText="1"/>
      <protection locked="0"/>
    </xf>
    <xf numFmtId="0" fontId="28" fillId="0" borderId="23" xfId="1" applyFont="1" applyBorder="1" applyAlignment="1" applyProtection="1">
      <alignment horizontal="left" vertical="top" wrapText="1"/>
      <protection locked="0"/>
    </xf>
    <xf numFmtId="0" fontId="28" fillId="0" borderId="4" xfId="1" applyFont="1" applyBorder="1" applyAlignment="1" applyProtection="1">
      <alignment horizontal="left" vertical="top"/>
      <protection locked="0"/>
    </xf>
    <xf numFmtId="0" fontId="28" fillId="0" borderId="1" xfId="1" applyFont="1" applyBorder="1" applyAlignment="1" applyProtection="1">
      <alignment horizontal="left" vertical="top"/>
      <protection locked="0"/>
    </xf>
    <xf numFmtId="0" fontId="28" fillId="0" borderId="1" xfId="1" applyFont="1" applyBorder="1" applyAlignment="1" applyProtection="1">
      <alignment horizontal="left" vertical="top" wrapText="1"/>
      <protection locked="0"/>
    </xf>
    <xf numFmtId="0" fontId="28" fillId="0" borderId="5" xfId="1" applyFont="1" applyBorder="1" applyAlignment="1" applyProtection="1">
      <alignment horizontal="left" vertical="top" wrapText="1"/>
      <protection locked="0"/>
    </xf>
    <xf numFmtId="0" fontId="15" fillId="0" borderId="5" xfId="1" applyFont="1" applyBorder="1" applyAlignment="1" applyProtection="1">
      <alignment horizontal="center" vertical="top" wrapText="1"/>
      <protection locked="0"/>
    </xf>
    <xf numFmtId="9" fontId="15" fillId="0" borderId="17" xfId="8" applyFont="1" applyFill="1" applyBorder="1" applyAlignment="1" applyProtection="1">
      <alignment horizontal="center" vertical="center" wrapText="1"/>
      <protection locked="0"/>
    </xf>
    <xf numFmtId="9" fontId="15" fillId="0" borderId="18" xfId="8" applyFont="1" applyFill="1" applyBorder="1" applyAlignment="1" applyProtection="1">
      <alignment horizontal="center" vertical="center" wrapText="1"/>
      <protection locked="0"/>
    </xf>
    <xf numFmtId="9" fontId="15" fillId="0" borderId="25" xfId="8" applyFont="1" applyFill="1" applyBorder="1" applyAlignment="1" applyProtection="1">
      <alignment horizontal="center" vertical="center" wrapText="1"/>
      <protection locked="0"/>
    </xf>
    <xf numFmtId="9" fontId="15" fillId="0" borderId="26" xfId="8" applyFont="1" applyFill="1" applyBorder="1" applyAlignment="1" applyProtection="1">
      <alignment horizontal="center" vertical="center" wrapText="1"/>
      <protection locked="0"/>
    </xf>
    <xf numFmtId="9" fontId="15" fillId="0" borderId="28" xfId="8" applyFont="1" applyFill="1" applyBorder="1" applyAlignment="1" applyProtection="1">
      <alignment horizontal="center" vertical="center" wrapText="1"/>
      <protection locked="0"/>
    </xf>
    <xf numFmtId="9" fontId="15" fillId="0" borderId="29" xfId="8" applyFont="1" applyFill="1" applyBorder="1" applyAlignment="1" applyProtection="1">
      <alignment horizontal="center" vertical="center" wrapText="1"/>
      <protection locked="0"/>
    </xf>
    <xf numFmtId="9" fontId="15" fillId="0" borderId="27" xfId="8" applyFont="1" applyFill="1" applyBorder="1" applyAlignment="1" applyProtection="1">
      <alignment horizontal="center" vertical="center" wrapText="1"/>
      <protection locked="0"/>
    </xf>
    <xf numFmtId="9" fontId="15" fillId="0" borderId="10" xfId="8" applyFont="1" applyFill="1" applyBorder="1" applyAlignment="1" applyProtection="1">
      <alignment horizontal="center" vertical="center" wrapText="1"/>
      <protection locked="0"/>
    </xf>
    <xf numFmtId="9" fontId="15" fillId="0" borderId="12" xfId="8"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8"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17" xfId="0" applyNumberFormat="1" applyFont="1" applyBorder="1" applyAlignment="1" applyProtection="1">
      <alignment horizontal="center" vertical="center" wrapText="1"/>
      <protection locked="0"/>
    </xf>
    <xf numFmtId="1" fontId="8" fillId="0" borderId="18"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13" fillId="0" borderId="22" xfId="1" applyFont="1" applyBorder="1" applyAlignment="1" applyProtection="1">
      <alignment horizontal="left" vertical="top"/>
      <protection locked="0"/>
    </xf>
    <xf numFmtId="0" fontId="13" fillId="0" borderId="15" xfId="1" applyFont="1" applyBorder="1" applyAlignment="1" applyProtection="1">
      <alignment horizontal="left" vertical="top"/>
      <protection locked="0"/>
    </xf>
    <xf numFmtId="0" fontId="13" fillId="0" borderId="17"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0" xfId="1" applyFont="1" applyBorder="1" applyAlignment="1" applyProtection="1">
      <alignment horizontal="center" vertical="top" wrapText="1"/>
      <protection locked="0"/>
    </xf>
    <xf numFmtId="0" fontId="13" fillId="0" borderId="26"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13" fillId="0" borderId="32"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164" fontId="15" fillId="0" borderId="1" xfId="1" applyNumberFormat="1" applyFont="1" applyBorder="1" applyAlignment="1" applyProtection="1">
      <alignment horizontal="left" vertical="top"/>
      <protection locked="0"/>
    </xf>
    <xf numFmtId="2" fontId="15" fillId="0" borderId="1"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3" fillId="0" borderId="13" xfId="1" applyFont="1" applyBorder="1" applyAlignment="1" applyProtection="1">
      <alignment horizontal="left" vertical="top"/>
      <protection locked="0"/>
    </xf>
    <xf numFmtId="0" fontId="13" fillId="0" borderId="14" xfId="1" applyFont="1" applyBorder="1" applyAlignment="1" applyProtection="1">
      <alignment horizontal="left" vertical="top"/>
      <protection locked="0"/>
    </xf>
    <xf numFmtId="0" fontId="13" fillId="0" borderId="13" xfId="1" applyFont="1" applyBorder="1" applyAlignment="1" applyProtection="1">
      <alignment horizontal="center" vertical="top"/>
      <protection locked="0"/>
    </xf>
    <xf numFmtId="0" fontId="13" fillId="0" borderId="14" xfId="1" applyFont="1" applyBorder="1" applyAlignment="1" applyProtection="1">
      <alignment horizontal="center" vertical="top"/>
      <protection locked="0"/>
    </xf>
    <xf numFmtId="0" fontId="13" fillId="0" borderId="15" xfId="1" applyFont="1" applyBorder="1" applyAlignment="1" applyProtection="1">
      <alignment horizontal="center" vertical="top"/>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13" fillId="0" borderId="34" xfId="1" applyFont="1" applyBorder="1" applyAlignment="1" applyProtection="1">
      <alignment horizontal="center" vertical="center" wrapText="1"/>
      <protection locked="0"/>
    </xf>
    <xf numFmtId="0" fontId="13" fillId="0" borderId="35" xfId="1" applyFont="1" applyBorder="1" applyAlignment="1" applyProtection="1">
      <alignment horizontal="center" vertical="center" wrapText="1"/>
      <protection locked="0"/>
    </xf>
    <xf numFmtId="9" fontId="13" fillId="0" borderId="36" xfId="1" applyNumberFormat="1" applyFont="1" applyBorder="1" applyAlignment="1" applyProtection="1">
      <alignment horizontal="center" vertical="center" wrapText="1"/>
      <protection locked="0"/>
    </xf>
    <xf numFmtId="0" fontId="13" fillId="0" borderId="37" xfId="1" applyFont="1" applyBorder="1" applyAlignment="1" applyProtection="1">
      <alignment horizontal="center" vertical="center" wrapText="1"/>
      <protection locked="0"/>
    </xf>
    <xf numFmtId="9" fontId="13" fillId="0" borderId="36" xfId="8" applyFont="1" applyFill="1" applyBorder="1" applyAlignment="1" applyProtection="1">
      <alignment horizontal="center" vertical="center" wrapText="1"/>
      <protection locked="0"/>
    </xf>
    <xf numFmtId="9" fontId="13" fillId="0" borderId="37"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0.png"/><Relationship Id="rId18" Type="http://schemas.openxmlformats.org/officeDocument/2006/relationships/image" Target="../media/image13.png"/><Relationship Id="rId26" Type="http://schemas.openxmlformats.org/officeDocument/2006/relationships/image" Target="../media/image21.jpeg"/><Relationship Id="rId3" Type="http://schemas.openxmlformats.org/officeDocument/2006/relationships/image" Target="../media/image3.png"/><Relationship Id="rId21" Type="http://schemas.openxmlformats.org/officeDocument/2006/relationships/image" Target="../media/image16.jpeg"/><Relationship Id="rId7" Type="http://schemas.openxmlformats.org/officeDocument/2006/relationships/image" Target="../media/image6.png"/><Relationship Id="rId12" Type="http://schemas.openxmlformats.org/officeDocument/2006/relationships/image" Target="../media/image9.png"/><Relationship Id="rId17" Type="http://schemas.microsoft.com/office/2007/relationships/hdphoto" Target="../media/hdphoto5.wdp"/><Relationship Id="rId25" Type="http://schemas.openxmlformats.org/officeDocument/2006/relationships/image" Target="../media/image20.jpeg"/><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5.jpeg"/><Relationship Id="rId29" Type="http://schemas.openxmlformats.org/officeDocument/2006/relationships/image" Target="../media/image24.jpeg"/><Relationship Id="rId1" Type="http://schemas.openxmlformats.org/officeDocument/2006/relationships/image" Target="../media/image1.png"/><Relationship Id="rId6" Type="http://schemas.openxmlformats.org/officeDocument/2006/relationships/image" Target="../media/image5.png"/><Relationship Id="rId11" Type="http://schemas.microsoft.com/office/2007/relationships/hdphoto" Target="../media/hdphoto3.wdp"/><Relationship Id="rId24" Type="http://schemas.openxmlformats.org/officeDocument/2006/relationships/image" Target="../media/image19.jpeg"/><Relationship Id="rId32" Type="http://schemas.openxmlformats.org/officeDocument/2006/relationships/image" Target="../media/image27.jpeg"/><Relationship Id="rId5" Type="http://schemas.microsoft.com/office/2007/relationships/hdphoto" Target="../media/hdphoto1.wdp"/><Relationship Id="rId15" Type="http://schemas.microsoft.com/office/2007/relationships/hdphoto" Target="../media/hdphoto4.wdp"/><Relationship Id="rId23" Type="http://schemas.openxmlformats.org/officeDocument/2006/relationships/image" Target="../media/image18.jpeg"/><Relationship Id="rId28" Type="http://schemas.openxmlformats.org/officeDocument/2006/relationships/image" Target="../media/image23.jpeg"/><Relationship Id="rId10" Type="http://schemas.openxmlformats.org/officeDocument/2006/relationships/image" Target="../media/image8.png"/><Relationship Id="rId19" Type="http://schemas.openxmlformats.org/officeDocument/2006/relationships/image" Target="../media/image14.jpeg"/><Relationship Id="rId31" Type="http://schemas.openxmlformats.org/officeDocument/2006/relationships/image" Target="../media/image26.jpeg"/><Relationship Id="rId4" Type="http://schemas.openxmlformats.org/officeDocument/2006/relationships/image" Target="../media/image4.png"/><Relationship Id="rId9" Type="http://schemas.microsoft.com/office/2007/relationships/hdphoto" Target="../media/hdphoto2.wdp"/><Relationship Id="rId14" Type="http://schemas.openxmlformats.org/officeDocument/2006/relationships/image" Target="../media/image11.png"/><Relationship Id="rId22" Type="http://schemas.openxmlformats.org/officeDocument/2006/relationships/image" Target="../media/image17.jpeg"/><Relationship Id="rId27" Type="http://schemas.openxmlformats.org/officeDocument/2006/relationships/image" Target="../media/image22.jpeg"/><Relationship Id="rId30"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13</xdr:col>
      <xdr:colOff>620332</xdr:colOff>
      <xdr:row>357</xdr:row>
      <xdr:rowOff>12700</xdr:rowOff>
    </xdr:from>
    <xdr:to>
      <xdr:col>14</xdr:col>
      <xdr:colOff>514350</xdr:colOff>
      <xdr:row>359</xdr:row>
      <xdr:rowOff>47625</xdr:rowOff>
    </xdr:to>
    <xdr:sp macro="" textlink="">
      <xdr:nvSpPr>
        <xdr:cNvPr id="45" name="TextBox 44"/>
        <xdr:cNvSpPr txBox="1"/>
      </xdr:nvSpPr>
      <xdr:spPr>
        <a:xfrm>
          <a:off x="11269282" y="51314350"/>
          <a:ext cx="732218" cy="43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Wing F</a:t>
          </a:r>
        </a:p>
      </xdr:txBody>
    </xdr:sp>
    <xdr:clientData/>
  </xdr:twoCellAnchor>
  <xdr:twoCellAnchor>
    <xdr:from>
      <xdr:col>13</xdr:col>
      <xdr:colOff>130176</xdr:colOff>
      <xdr:row>354</xdr:row>
      <xdr:rowOff>114299</xdr:rowOff>
    </xdr:from>
    <xdr:to>
      <xdr:col>13</xdr:col>
      <xdr:colOff>733426</xdr:colOff>
      <xdr:row>355</xdr:row>
      <xdr:rowOff>190500</xdr:rowOff>
    </xdr:to>
    <xdr:sp macro="" textlink="">
      <xdr:nvSpPr>
        <xdr:cNvPr id="35" name="TextBox 34"/>
        <xdr:cNvSpPr txBox="1"/>
      </xdr:nvSpPr>
      <xdr:spPr>
        <a:xfrm>
          <a:off x="11112501" y="51368324"/>
          <a:ext cx="603250" cy="27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E</a:t>
          </a:r>
        </a:p>
      </xdr:txBody>
    </xdr:sp>
    <xdr:clientData/>
  </xdr:twoCellAnchor>
  <xdr:twoCellAnchor>
    <xdr:from>
      <xdr:col>8</xdr:col>
      <xdr:colOff>1127126</xdr:colOff>
      <xdr:row>354</xdr:row>
      <xdr:rowOff>73024</xdr:rowOff>
    </xdr:from>
    <xdr:to>
      <xdr:col>9</xdr:col>
      <xdr:colOff>511176</xdr:colOff>
      <xdr:row>355</xdr:row>
      <xdr:rowOff>149225</xdr:rowOff>
    </xdr:to>
    <xdr:sp macro="" textlink="">
      <xdr:nvSpPr>
        <xdr:cNvPr id="43" name="TextBox 42"/>
        <xdr:cNvSpPr txBox="1"/>
      </xdr:nvSpPr>
      <xdr:spPr>
        <a:xfrm>
          <a:off x="8321676" y="50269774"/>
          <a:ext cx="603250" cy="273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E</a:t>
          </a:r>
        </a:p>
      </xdr:txBody>
    </xdr:sp>
    <xdr:clientData/>
  </xdr:twoCellAnchor>
  <xdr:twoCellAnchor>
    <xdr:from>
      <xdr:col>0</xdr:col>
      <xdr:colOff>591059</xdr:colOff>
      <xdr:row>574</xdr:row>
      <xdr:rowOff>0</xdr:rowOff>
    </xdr:from>
    <xdr:to>
      <xdr:col>7</xdr:col>
      <xdr:colOff>121227</xdr:colOff>
      <xdr:row>611</xdr:row>
      <xdr:rowOff>115842</xdr:rowOff>
    </xdr:to>
    <xdr:grpSp>
      <xdr:nvGrpSpPr>
        <xdr:cNvPr id="86" name="Group 85"/>
        <xdr:cNvGrpSpPr/>
      </xdr:nvGrpSpPr>
      <xdr:grpSpPr>
        <a:xfrm>
          <a:off x="591059" y="117509925"/>
          <a:ext cx="5226118" cy="7516767"/>
          <a:chOff x="1089000" y="651840"/>
          <a:chExt cx="4680000" cy="8076298"/>
        </a:xfrm>
      </xdr:grpSpPr>
      <xdr:pic>
        <xdr:nvPicPr>
          <xdr:cNvPr id="87" name="Picture 86"/>
          <xdr:cNvPicPr>
            <a:picLocks noChangeAspect="1"/>
          </xdr:cNvPicPr>
        </xdr:nvPicPr>
        <xdr:blipFill rotWithShape="1">
          <a:blip xmlns:r="http://schemas.openxmlformats.org/officeDocument/2006/relationships" r:embed="rId1"/>
          <a:srcRect l="21479" t="23054" r="17138" b="21922"/>
          <a:stretch/>
        </xdr:blipFill>
        <xdr:spPr>
          <a:xfrm>
            <a:off x="1089000" y="651840"/>
            <a:ext cx="4680000" cy="3960000"/>
          </a:xfrm>
          <a:prstGeom prst="rect">
            <a:avLst/>
          </a:prstGeom>
          <a:ln>
            <a:solidFill>
              <a:schemeClr val="tx1"/>
            </a:solidFill>
          </a:ln>
        </xdr:spPr>
      </xdr:pic>
      <xdr:grpSp>
        <xdr:nvGrpSpPr>
          <xdr:cNvPr id="88" name="Group 87"/>
          <xdr:cNvGrpSpPr/>
        </xdr:nvGrpSpPr>
        <xdr:grpSpPr>
          <a:xfrm>
            <a:off x="1089000" y="4768138"/>
            <a:ext cx="4680000" cy="3960000"/>
            <a:chOff x="1412240" y="4996738"/>
            <a:chExt cx="4680000" cy="3960000"/>
          </a:xfrm>
        </xdr:grpSpPr>
        <xdr:pic>
          <xdr:nvPicPr>
            <xdr:cNvPr id="89" name="Picture 88"/>
            <xdr:cNvPicPr>
              <a:picLocks noChangeAspect="1"/>
            </xdr:cNvPicPr>
          </xdr:nvPicPr>
          <xdr:blipFill rotWithShape="1">
            <a:blip xmlns:r="http://schemas.openxmlformats.org/officeDocument/2006/relationships" r:embed="rId2"/>
            <a:srcRect l="10733" t="21229" r="14207" b="13322"/>
            <a:stretch/>
          </xdr:blipFill>
          <xdr:spPr>
            <a:xfrm>
              <a:off x="1412240" y="4996738"/>
              <a:ext cx="4680000" cy="3960000"/>
            </a:xfrm>
            <a:prstGeom prst="rect">
              <a:avLst/>
            </a:prstGeom>
            <a:ln>
              <a:solidFill>
                <a:schemeClr val="tx1"/>
              </a:solidFill>
            </a:ln>
          </xdr:spPr>
        </xdr:pic>
        <xdr:sp macro="" textlink="">
          <xdr:nvSpPr>
            <xdr:cNvPr id="90" name="Rectangle 89"/>
            <xdr:cNvSpPr/>
          </xdr:nvSpPr>
          <xdr:spPr>
            <a:xfrm rot="20985815">
              <a:off x="3457823" y="6303006"/>
              <a:ext cx="734895" cy="165166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1" name="TextBox 31"/>
            <xdr:cNvSpPr txBox="1"/>
          </xdr:nvSpPr>
          <xdr:spPr>
            <a:xfrm rot="20750207">
              <a:off x="2985948" y="5671323"/>
              <a:ext cx="2929007"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Anand Home</a:t>
              </a:r>
              <a:endParaRPr lang="en-IN" b="1">
                <a:solidFill>
                  <a:srgbClr val="FFFF00"/>
                </a:solidFill>
              </a:endParaRPr>
            </a:p>
          </xdr:txBody>
        </xdr:sp>
      </xdr:grpSp>
    </xdr:grpSp>
    <xdr:clientData/>
  </xdr:twoCellAnchor>
  <xdr:twoCellAnchor editAs="oneCell">
    <xdr:from>
      <xdr:col>8</xdr:col>
      <xdr:colOff>903515</xdr:colOff>
      <xdr:row>10</xdr:row>
      <xdr:rowOff>51708</xdr:rowOff>
    </xdr:from>
    <xdr:to>
      <xdr:col>20</xdr:col>
      <xdr:colOff>314116</xdr:colOff>
      <xdr:row>16</xdr:row>
      <xdr:rowOff>123715</xdr:rowOff>
    </xdr:to>
    <xdr:pic>
      <xdr:nvPicPr>
        <xdr:cNvPr id="18" name="Picture 17"/>
        <xdr:cNvPicPr>
          <a:picLocks noChangeAspect="1"/>
        </xdr:cNvPicPr>
      </xdr:nvPicPr>
      <xdr:blipFill>
        <a:blip xmlns:r="http://schemas.openxmlformats.org/officeDocument/2006/relationships" r:embed="rId3"/>
        <a:stretch>
          <a:fillRect/>
        </a:stretch>
      </xdr:blipFill>
      <xdr:spPr>
        <a:xfrm>
          <a:off x="7761515" y="2442483"/>
          <a:ext cx="8249801" cy="2605657"/>
        </a:xfrm>
        <a:prstGeom prst="rect">
          <a:avLst/>
        </a:prstGeom>
      </xdr:spPr>
    </xdr:pic>
    <xdr:clientData/>
  </xdr:twoCellAnchor>
  <xdr:twoCellAnchor>
    <xdr:from>
      <xdr:col>0</xdr:col>
      <xdr:colOff>108857</xdr:colOff>
      <xdr:row>407</xdr:row>
      <xdr:rowOff>40824</xdr:rowOff>
    </xdr:from>
    <xdr:to>
      <xdr:col>7</xdr:col>
      <xdr:colOff>966106</xdr:colOff>
      <xdr:row>438</xdr:row>
      <xdr:rowOff>176900</xdr:rowOff>
    </xdr:to>
    <xdr:grpSp>
      <xdr:nvGrpSpPr>
        <xdr:cNvPr id="15" name="Group 14"/>
        <xdr:cNvGrpSpPr/>
      </xdr:nvGrpSpPr>
      <xdr:grpSpPr>
        <a:xfrm>
          <a:off x="108857" y="84146574"/>
          <a:ext cx="6553199" cy="6336851"/>
          <a:chOff x="353786" y="87153746"/>
          <a:chExt cx="5858693" cy="5811066"/>
        </a:xfrm>
      </xdr:grpSpPr>
      <xdr:pic>
        <xdr:nvPicPr>
          <xdr:cNvPr id="14" name="Picture 1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tretch>
            <a:fillRect/>
          </a:stretch>
        </xdr:blipFill>
        <xdr:spPr>
          <a:xfrm>
            <a:off x="353786" y="87153751"/>
            <a:ext cx="5858693" cy="5811061"/>
          </a:xfrm>
          <a:prstGeom prst="rect">
            <a:avLst/>
          </a:prstGeom>
          <a:ln>
            <a:solidFill>
              <a:schemeClr val="tx1"/>
            </a:solidFill>
          </a:ln>
        </xdr:spPr>
      </xdr:pic>
      <xdr:grpSp>
        <xdr:nvGrpSpPr>
          <xdr:cNvPr id="24" name="Group 23"/>
          <xdr:cNvGrpSpPr/>
        </xdr:nvGrpSpPr>
        <xdr:grpSpPr>
          <a:xfrm>
            <a:off x="936385" y="87153746"/>
            <a:ext cx="4473672" cy="5646962"/>
            <a:chOff x="1230683" y="84095263"/>
            <a:chExt cx="4264456" cy="6209541"/>
          </a:xfrm>
        </xdr:grpSpPr>
        <xdr:grpSp>
          <xdr:nvGrpSpPr>
            <xdr:cNvPr id="58" name="Group 57"/>
            <xdr:cNvGrpSpPr/>
          </xdr:nvGrpSpPr>
          <xdr:grpSpPr>
            <a:xfrm>
              <a:off x="1230683" y="84680900"/>
              <a:ext cx="4264456" cy="5623904"/>
              <a:chOff x="1036091" y="1236560"/>
              <a:chExt cx="3662621" cy="5235514"/>
            </a:xfrm>
          </xdr:grpSpPr>
          <xdr:sp macro="" textlink="">
            <xdr:nvSpPr>
              <xdr:cNvPr id="67" name="Rectangle 66"/>
              <xdr:cNvSpPr/>
            </xdr:nvSpPr>
            <xdr:spPr>
              <a:xfrm rot="21029291">
                <a:off x="1583282" y="3745257"/>
                <a:ext cx="475079" cy="1006736"/>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solidFill>
                    <a:sysClr val="windowText" lastClr="000000"/>
                  </a:solidFill>
                </a:endParaRPr>
              </a:p>
            </xdr:txBody>
          </xdr:sp>
          <xdr:sp macro="" textlink="">
            <xdr:nvSpPr>
              <xdr:cNvPr id="76" name="Rectangle 75"/>
              <xdr:cNvSpPr/>
            </xdr:nvSpPr>
            <xdr:spPr>
              <a:xfrm rot="2726196">
                <a:off x="1329212" y="2373928"/>
                <a:ext cx="1148751" cy="963884"/>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77" name="Rectangle 76"/>
              <xdr:cNvSpPr/>
            </xdr:nvSpPr>
            <xdr:spPr>
              <a:xfrm rot="21200214">
                <a:off x="2341382" y="4502887"/>
                <a:ext cx="551567" cy="1091424"/>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78" name="TextBox 3"/>
              <xdr:cNvSpPr txBox="1"/>
            </xdr:nvSpPr>
            <xdr:spPr>
              <a:xfrm rot="2745957">
                <a:off x="2033787" y="2295332"/>
                <a:ext cx="787382" cy="283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solidFill>
                      <a:srgbClr val="0000FF"/>
                    </a:solidFill>
                  </a:rPr>
                  <a:t>Wing B</a:t>
                </a:r>
              </a:p>
            </xdr:txBody>
          </xdr:sp>
          <xdr:sp macro="" textlink="">
            <xdr:nvSpPr>
              <xdr:cNvPr id="79" name="TextBox 25"/>
              <xdr:cNvSpPr txBox="1"/>
            </xdr:nvSpPr>
            <xdr:spPr>
              <a:xfrm rot="5039427">
                <a:off x="2610700" y="4921471"/>
                <a:ext cx="765024" cy="261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a:solidFill>
                      <a:srgbClr val="0000FF"/>
                    </a:solidFill>
                  </a:rPr>
                  <a:t>Wing E</a:t>
                </a:r>
              </a:p>
            </xdr:txBody>
          </xdr:sp>
          <xdr:sp macro="" textlink="">
            <xdr:nvSpPr>
              <xdr:cNvPr id="80" name="Rectangle 79"/>
              <xdr:cNvSpPr/>
            </xdr:nvSpPr>
            <xdr:spPr>
              <a:xfrm rot="2726196">
                <a:off x="833728" y="1671299"/>
                <a:ext cx="1037475" cy="632750"/>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81" name="TextBox 3"/>
              <xdr:cNvSpPr txBox="1"/>
            </xdr:nvSpPr>
            <xdr:spPr>
              <a:xfrm rot="2745957">
                <a:off x="1269848" y="1446281"/>
                <a:ext cx="702445" cy="283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a:solidFill>
                      <a:srgbClr val="0000FF"/>
                    </a:solidFill>
                  </a:rPr>
                  <a:t>Wing A</a:t>
                </a:r>
              </a:p>
            </xdr:txBody>
          </xdr:sp>
          <xdr:sp macro="" textlink="">
            <xdr:nvSpPr>
              <xdr:cNvPr id="82" name="Rectangle 81"/>
              <xdr:cNvSpPr/>
            </xdr:nvSpPr>
            <xdr:spPr>
              <a:xfrm rot="2343763">
                <a:off x="3460507" y="3974769"/>
                <a:ext cx="1164735" cy="715058"/>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83" name="TextBox 3"/>
              <xdr:cNvSpPr txBox="1"/>
            </xdr:nvSpPr>
            <xdr:spPr>
              <a:xfrm rot="2354715">
                <a:off x="3996267" y="3747224"/>
                <a:ext cx="702445" cy="283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solidFill>
                      <a:srgbClr val="0000FF"/>
                    </a:solidFill>
                  </a:rPr>
                  <a:t>Wing C</a:t>
                </a:r>
              </a:p>
            </xdr:txBody>
          </xdr:sp>
          <xdr:sp macro="" textlink="">
            <xdr:nvSpPr>
              <xdr:cNvPr id="84" name="Rectangle 83"/>
              <xdr:cNvSpPr/>
            </xdr:nvSpPr>
            <xdr:spPr>
              <a:xfrm rot="21200214">
                <a:off x="2220269" y="3654688"/>
                <a:ext cx="551567" cy="831501"/>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85" name="TextBox 25"/>
              <xdr:cNvSpPr txBox="1"/>
            </xdr:nvSpPr>
            <xdr:spPr>
              <a:xfrm rot="5039427">
                <a:off x="2470204" y="3933433"/>
                <a:ext cx="702425" cy="247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a:solidFill>
                      <a:srgbClr val="0000FF"/>
                    </a:solidFill>
                  </a:rPr>
                  <a:t>Wing D</a:t>
                </a:r>
              </a:p>
            </xdr:txBody>
          </xdr:sp>
          <xdr:sp macro="" textlink="">
            <xdr:nvSpPr>
              <xdr:cNvPr id="110" name="Rectangle 109"/>
              <xdr:cNvSpPr/>
            </xdr:nvSpPr>
            <xdr:spPr>
              <a:xfrm rot="5084313">
                <a:off x="2754141" y="1929315"/>
                <a:ext cx="1422984" cy="340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2400" b="1">
                    <a:ln>
                      <a:noFill/>
                    </a:ln>
                    <a:solidFill>
                      <a:srgbClr val="FF0000"/>
                    </a:solidFill>
                  </a:rPr>
                  <a:t>HT Line</a:t>
                </a:r>
              </a:p>
            </xdr:txBody>
          </xdr:sp>
          <xdr:sp macro="" textlink="">
            <xdr:nvSpPr>
              <xdr:cNvPr id="111" name="Rectangle 110"/>
              <xdr:cNvSpPr/>
            </xdr:nvSpPr>
            <xdr:spPr>
              <a:xfrm rot="5084313">
                <a:off x="3139805" y="5590200"/>
                <a:ext cx="1422984" cy="340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IN" sz="2400" b="1">
                    <a:ln>
                      <a:noFill/>
                    </a:ln>
                    <a:solidFill>
                      <a:srgbClr val="FF0000"/>
                    </a:solidFill>
                  </a:rPr>
                  <a:t>HT Line</a:t>
                </a:r>
              </a:p>
            </xdr:txBody>
          </xdr:sp>
          <xdr:sp macro="" textlink="">
            <xdr:nvSpPr>
              <xdr:cNvPr id="112" name="TextBox 25"/>
              <xdr:cNvSpPr txBox="1"/>
            </xdr:nvSpPr>
            <xdr:spPr>
              <a:xfrm rot="5039427">
                <a:off x="1072220" y="4244869"/>
                <a:ext cx="702425" cy="247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a:solidFill>
                      <a:srgbClr val="0000FF"/>
                    </a:solidFill>
                  </a:rPr>
                  <a:t>Wing G</a:t>
                </a:r>
              </a:p>
            </xdr:txBody>
          </xdr:sp>
          <xdr:sp macro="" textlink="">
            <xdr:nvSpPr>
              <xdr:cNvPr id="113" name="TextBox 25"/>
              <xdr:cNvSpPr txBox="1"/>
            </xdr:nvSpPr>
            <xdr:spPr>
              <a:xfrm rot="5039427">
                <a:off x="1220738" y="5233734"/>
                <a:ext cx="765024" cy="261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400" b="1">
                    <a:solidFill>
                      <a:srgbClr val="0000FF"/>
                    </a:solidFill>
                  </a:rPr>
                  <a:t>Wing F</a:t>
                </a:r>
              </a:p>
            </xdr:txBody>
          </xdr:sp>
          <xdr:sp macro="" textlink="">
            <xdr:nvSpPr>
              <xdr:cNvPr id="134" name="Rectangle 133"/>
              <xdr:cNvSpPr/>
            </xdr:nvSpPr>
            <xdr:spPr>
              <a:xfrm rot="21029291">
                <a:off x="1763154" y="4747142"/>
                <a:ext cx="475079" cy="1006736"/>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solidFill>
                    <a:sysClr val="windowText" lastClr="000000"/>
                  </a:solidFill>
                </a:endParaRPr>
              </a:p>
            </xdr:txBody>
          </xdr:sp>
        </xdr:grpSp>
        <xdr:cxnSp macro="">
          <xdr:nvCxnSpPr>
            <xdr:cNvPr id="21" name="Straight Connector 20"/>
            <xdr:cNvCxnSpPr/>
          </xdr:nvCxnSpPr>
          <xdr:spPr>
            <a:xfrm>
              <a:off x="2979964" y="84252026"/>
              <a:ext cx="906572" cy="5843099"/>
            </a:xfrm>
            <a:prstGeom prst="line">
              <a:avLst/>
            </a:prstGeom>
            <a:ln w="571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9" name="Straight Connector 108"/>
            <xdr:cNvCxnSpPr>
              <a:stCxn id="14" idx="0"/>
            </xdr:cNvCxnSpPr>
          </xdr:nvCxnSpPr>
          <xdr:spPr>
            <a:xfrm>
              <a:off x="3467682" y="84095263"/>
              <a:ext cx="869594" cy="5932995"/>
            </a:xfrm>
            <a:prstGeom prst="line">
              <a:avLst/>
            </a:prstGeom>
            <a:ln w="571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632333</xdr:colOff>
      <xdr:row>251</xdr:row>
      <xdr:rowOff>107257</xdr:rowOff>
    </xdr:from>
    <xdr:to>
      <xdr:col>22</xdr:col>
      <xdr:colOff>565028</xdr:colOff>
      <xdr:row>273</xdr:row>
      <xdr:rowOff>171967</xdr:rowOff>
    </xdr:to>
    <xdr:grpSp>
      <xdr:nvGrpSpPr>
        <xdr:cNvPr id="30" name="Group 29"/>
        <xdr:cNvGrpSpPr/>
      </xdr:nvGrpSpPr>
      <xdr:grpSpPr>
        <a:xfrm>
          <a:off x="11614658" y="51637507"/>
          <a:ext cx="5866770" cy="4465260"/>
          <a:chOff x="7892143" y="55925357"/>
          <a:chExt cx="5879016" cy="4557467"/>
        </a:xfrm>
      </xdr:grpSpPr>
      <xdr:pic>
        <xdr:nvPicPr>
          <xdr:cNvPr id="28" name="Picture 27"/>
          <xdr:cNvPicPr>
            <a:picLocks noChangeAspect="1"/>
          </xdr:cNvPicPr>
        </xdr:nvPicPr>
        <xdr:blipFill>
          <a:blip xmlns:r="http://schemas.openxmlformats.org/officeDocument/2006/relationships" r:embed="rId6"/>
          <a:stretch>
            <a:fillRect/>
          </a:stretch>
        </xdr:blipFill>
        <xdr:spPr>
          <a:xfrm>
            <a:off x="8531678" y="57367714"/>
            <a:ext cx="5239481" cy="3115110"/>
          </a:xfrm>
          <a:prstGeom prst="rect">
            <a:avLst/>
          </a:prstGeom>
        </xdr:spPr>
      </xdr:pic>
      <xdr:pic>
        <xdr:nvPicPr>
          <xdr:cNvPr id="29" name="Picture 28"/>
          <xdr:cNvPicPr>
            <a:picLocks noChangeAspect="1"/>
          </xdr:cNvPicPr>
        </xdr:nvPicPr>
        <xdr:blipFill>
          <a:blip xmlns:r="http://schemas.openxmlformats.org/officeDocument/2006/relationships" r:embed="rId7"/>
          <a:stretch>
            <a:fillRect/>
          </a:stretch>
        </xdr:blipFill>
        <xdr:spPr>
          <a:xfrm>
            <a:off x="7892143" y="55925357"/>
            <a:ext cx="3238952" cy="2457793"/>
          </a:xfrm>
          <a:prstGeom prst="rect">
            <a:avLst/>
          </a:prstGeom>
        </xdr:spPr>
      </xdr:pic>
    </xdr:grpSp>
    <xdr:clientData/>
  </xdr:twoCellAnchor>
  <xdr:twoCellAnchor>
    <xdr:from>
      <xdr:col>2</xdr:col>
      <xdr:colOff>201706</xdr:colOff>
      <xdr:row>470</xdr:row>
      <xdr:rowOff>33618</xdr:rowOff>
    </xdr:from>
    <xdr:to>
      <xdr:col>2</xdr:col>
      <xdr:colOff>448235</xdr:colOff>
      <xdr:row>474</xdr:row>
      <xdr:rowOff>190500</xdr:rowOff>
    </xdr:to>
    <xdr:cxnSp macro="">
      <xdr:nvCxnSpPr>
        <xdr:cNvPr id="23" name="Straight Arrow Connector 22"/>
        <xdr:cNvCxnSpPr/>
      </xdr:nvCxnSpPr>
      <xdr:spPr>
        <a:xfrm>
          <a:off x="1759324" y="98600559"/>
          <a:ext cx="246529" cy="96370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505283</xdr:colOff>
      <xdr:row>444</xdr:row>
      <xdr:rowOff>145240</xdr:rowOff>
    </xdr:from>
    <xdr:to>
      <xdr:col>7</xdr:col>
      <xdr:colOff>388421</xdr:colOff>
      <xdr:row>484</xdr:row>
      <xdr:rowOff>155862</xdr:rowOff>
    </xdr:to>
    <xdr:grpSp>
      <xdr:nvGrpSpPr>
        <xdr:cNvPr id="32" name="Group 31"/>
        <xdr:cNvGrpSpPr/>
      </xdr:nvGrpSpPr>
      <xdr:grpSpPr>
        <a:xfrm>
          <a:off x="505283" y="91651915"/>
          <a:ext cx="5579088" cy="8011622"/>
          <a:chOff x="505283" y="93467828"/>
          <a:chExt cx="5586932" cy="8078858"/>
        </a:xfrm>
      </xdr:grpSpPr>
      <xdr:pic>
        <xdr:nvPicPr>
          <xdr:cNvPr id="135" name="Picture 134" descr="https://vsjcllp.vsjadon.com/upload/insp-239458-883.jpg"/>
          <xdr:cNvPicPr>
            <a:picLocks noChangeAspect="1" noChangeArrowheads="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546878" y="97385639"/>
            <a:ext cx="3407141" cy="41610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6" name="Picture 135"/>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sharpenSoften amount="50000"/>
                    </a14:imgEffect>
                  </a14:imgLayer>
                </a14:imgProps>
              </a:ext>
            </a:extLst>
          </a:blip>
          <a:stretch>
            <a:fillRect/>
          </a:stretch>
        </xdr:blipFill>
        <xdr:spPr>
          <a:xfrm>
            <a:off x="505283" y="93467828"/>
            <a:ext cx="5586932" cy="3823111"/>
          </a:xfrm>
          <a:prstGeom prst="rect">
            <a:avLst/>
          </a:prstGeom>
          <a:ln>
            <a:solidFill>
              <a:schemeClr val="tx1"/>
            </a:solidFill>
          </a:ln>
        </xdr:spPr>
      </xdr:pic>
      <xdr:sp macro="" textlink="">
        <xdr:nvSpPr>
          <xdr:cNvPr id="19" name="Rectangle 18"/>
          <xdr:cNvSpPr/>
        </xdr:nvSpPr>
        <xdr:spPr>
          <a:xfrm>
            <a:off x="5341204" y="93551508"/>
            <a:ext cx="512268" cy="3565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TextBox 19"/>
          <xdr:cNvSpPr txBox="1"/>
        </xdr:nvSpPr>
        <xdr:spPr>
          <a:xfrm>
            <a:off x="3622701" y="96645132"/>
            <a:ext cx="1677681" cy="820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Terrace Area</a:t>
            </a:r>
            <a:r>
              <a:rPr lang="en-IN" sz="1800" b="1" baseline="0">
                <a:solidFill>
                  <a:srgbClr val="FF0000"/>
                </a:solidFill>
                <a:latin typeface="Times New Roman" panose="02020603050405020304" pitchFamily="18" charset="0"/>
                <a:cs typeface="Times New Roman" panose="02020603050405020304" pitchFamily="18" charset="0"/>
              </a:rPr>
              <a:t> not mentioned</a:t>
            </a:r>
            <a:endParaRPr lang="en-IN" sz="1800" b="1">
              <a:solidFill>
                <a:srgbClr val="FF0000"/>
              </a:solidFill>
              <a:latin typeface="Times New Roman" panose="02020603050405020304" pitchFamily="18" charset="0"/>
              <a:cs typeface="Times New Roman" panose="02020603050405020304" pitchFamily="18" charset="0"/>
            </a:endParaRPr>
          </a:p>
        </xdr:txBody>
      </xdr:sp>
      <xdr:sp macro="" textlink="">
        <xdr:nvSpPr>
          <xdr:cNvPr id="138" name="TextBox 137"/>
          <xdr:cNvSpPr txBox="1"/>
        </xdr:nvSpPr>
        <xdr:spPr>
          <a:xfrm>
            <a:off x="605116" y="94075783"/>
            <a:ext cx="2454089" cy="820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chemeClr val="tx1"/>
                </a:solidFill>
                <a:latin typeface="Times New Roman" panose="02020603050405020304" pitchFamily="18" charset="0"/>
                <a:cs typeface="Times New Roman" panose="02020603050405020304" pitchFamily="18" charset="0"/>
              </a:rPr>
              <a:t>Typical 1st to 7th Floor Plan</a:t>
            </a:r>
          </a:p>
        </xdr:txBody>
      </xdr:sp>
      <xdr:sp macro="" textlink="">
        <xdr:nvSpPr>
          <xdr:cNvPr id="139" name="Rectangle 138"/>
          <xdr:cNvSpPr/>
        </xdr:nvSpPr>
        <xdr:spPr>
          <a:xfrm>
            <a:off x="1613648" y="99530646"/>
            <a:ext cx="3227293" cy="5154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40" name="TextBox 139"/>
          <xdr:cNvSpPr txBox="1"/>
        </xdr:nvSpPr>
        <xdr:spPr>
          <a:xfrm>
            <a:off x="2955827" y="99986068"/>
            <a:ext cx="2125916" cy="820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latin typeface="Times New Roman" panose="02020603050405020304" pitchFamily="18" charset="0"/>
                <a:cs typeface="Times New Roman" panose="02020603050405020304" pitchFamily="18" charset="0"/>
              </a:rPr>
              <a:t>Constructed Terrace Area</a:t>
            </a:r>
          </a:p>
        </xdr:txBody>
      </xdr:sp>
    </xdr:grpSp>
    <xdr:clientData/>
  </xdr:twoCellAnchor>
  <xdr:twoCellAnchor editAs="oneCell">
    <xdr:from>
      <xdr:col>9</xdr:col>
      <xdr:colOff>594711</xdr:colOff>
      <xdr:row>260</xdr:row>
      <xdr:rowOff>61632</xdr:rowOff>
    </xdr:from>
    <xdr:to>
      <xdr:col>18</xdr:col>
      <xdr:colOff>75748</xdr:colOff>
      <xdr:row>275</xdr:row>
      <xdr:rowOff>10346</xdr:rowOff>
    </xdr:to>
    <xdr:pic>
      <xdr:nvPicPr>
        <xdr:cNvPr id="33" name="Picture 32"/>
        <xdr:cNvPicPr>
          <a:picLocks noChangeAspect="1"/>
        </xdr:cNvPicPr>
      </xdr:nvPicPr>
      <xdr:blipFill>
        <a:blip xmlns:r="http://schemas.openxmlformats.org/officeDocument/2006/relationships" r:embed="rId12"/>
        <a:stretch>
          <a:fillRect/>
        </a:stretch>
      </xdr:blipFill>
      <xdr:spPr>
        <a:xfrm>
          <a:off x="8629329" y="55620397"/>
          <a:ext cx="5946831" cy="2974302"/>
        </a:xfrm>
        <a:prstGeom prst="rect">
          <a:avLst/>
        </a:prstGeom>
      </xdr:spPr>
    </xdr:pic>
    <xdr:clientData/>
  </xdr:twoCellAnchor>
  <xdr:twoCellAnchor editAs="oneCell">
    <xdr:from>
      <xdr:col>12</xdr:col>
      <xdr:colOff>664348</xdr:colOff>
      <xdr:row>319</xdr:row>
      <xdr:rowOff>137671</xdr:rowOff>
    </xdr:from>
    <xdr:to>
      <xdr:col>23</xdr:col>
      <xdr:colOff>85709</xdr:colOff>
      <xdr:row>336</xdr:row>
      <xdr:rowOff>40917</xdr:rowOff>
    </xdr:to>
    <xdr:pic>
      <xdr:nvPicPr>
        <xdr:cNvPr id="144" name="Picture 143"/>
        <xdr:cNvPicPr>
          <a:picLocks noChangeAspect="1"/>
        </xdr:cNvPicPr>
      </xdr:nvPicPr>
      <xdr:blipFill>
        <a:blip xmlns:r="http://schemas.openxmlformats.org/officeDocument/2006/relationships" r:embed="rId13"/>
        <a:stretch>
          <a:fillRect/>
        </a:stretch>
      </xdr:blipFill>
      <xdr:spPr>
        <a:xfrm>
          <a:off x="10872907" y="68291847"/>
          <a:ext cx="6738802" cy="3578777"/>
        </a:xfrm>
        <a:prstGeom prst="rect">
          <a:avLst/>
        </a:prstGeom>
      </xdr:spPr>
    </xdr:pic>
    <xdr:clientData/>
  </xdr:twoCellAnchor>
  <xdr:twoCellAnchor editAs="oneCell">
    <xdr:from>
      <xdr:col>0</xdr:col>
      <xdr:colOff>416197</xdr:colOff>
      <xdr:row>487</xdr:row>
      <xdr:rowOff>171755</xdr:rowOff>
    </xdr:from>
    <xdr:to>
      <xdr:col>7</xdr:col>
      <xdr:colOff>479331</xdr:colOff>
      <xdr:row>527</xdr:row>
      <xdr:rowOff>108238</xdr:rowOff>
    </xdr:to>
    <xdr:pic>
      <xdr:nvPicPr>
        <xdr:cNvPr id="2" name="Picture 1"/>
        <xdr:cNvPicPr>
          <a:picLocks noChangeAspect="1"/>
        </xdr:cNvPicPr>
      </xdr:nvPicPr>
      <xdr:blipFill>
        <a:blip xmlns:r="http://schemas.openxmlformats.org/officeDocument/2006/relationships" r:embed="rId14">
          <a:extLst>
            <a:ext uri="{BEBA8EAE-BF5A-486C-A8C5-ECC9F3942E4B}">
              <a14:imgProps xmlns:a14="http://schemas.microsoft.com/office/drawing/2010/main">
                <a14:imgLayer r:embed="rId15">
                  <a14:imgEffect>
                    <a14:sharpenSoften amount="50000"/>
                  </a14:imgEffect>
                  <a14:imgEffect>
                    <a14:colorTemperature colorTemp="4700"/>
                  </a14:imgEffect>
                  <a14:imgEffect>
                    <a14:brightnessContrast bright="20000" contrast="40000"/>
                  </a14:imgEffect>
                </a14:imgLayer>
              </a14:imgProps>
            </a:ext>
          </a:extLst>
        </a:blip>
        <a:stretch>
          <a:fillRect/>
        </a:stretch>
      </xdr:blipFill>
      <xdr:spPr>
        <a:xfrm>
          <a:off x="416197" y="102203555"/>
          <a:ext cx="5759084" cy="7937484"/>
        </a:xfrm>
        <a:prstGeom prst="rect">
          <a:avLst/>
        </a:prstGeom>
        <a:ln>
          <a:solidFill>
            <a:sysClr val="windowText" lastClr="000000"/>
          </a:solidFill>
        </a:ln>
      </xdr:spPr>
    </xdr:pic>
    <xdr:clientData/>
  </xdr:twoCellAnchor>
  <xdr:twoCellAnchor editAs="oneCell">
    <xdr:from>
      <xdr:col>0</xdr:col>
      <xdr:colOff>497425</xdr:colOff>
      <xdr:row>530</xdr:row>
      <xdr:rowOff>181624</xdr:rowOff>
    </xdr:from>
    <xdr:to>
      <xdr:col>7</xdr:col>
      <xdr:colOff>589095</xdr:colOff>
      <xdr:row>569</xdr:row>
      <xdr:rowOff>145675</xdr:rowOff>
    </xdr:to>
    <xdr:pic>
      <xdr:nvPicPr>
        <xdr:cNvPr id="3" name="Picture 2"/>
        <xdr:cNvPicPr>
          <a:picLocks noChangeAspect="1"/>
        </xdr:cNvPicPr>
      </xdr:nvPicPr>
      <xdr:blipFill>
        <a:blip xmlns:r="http://schemas.openxmlformats.org/officeDocument/2006/relationships" r:embed="rId16">
          <a:extLst>
            <a:ext uri="{BEBA8EAE-BF5A-486C-A8C5-ECC9F3942E4B}">
              <a14:imgProps xmlns:a14="http://schemas.microsoft.com/office/drawing/2010/main">
                <a14:imgLayer r:embed="rId17">
                  <a14:imgEffect>
                    <a14:sharpenSoften amount="50000"/>
                  </a14:imgEffect>
                  <a14:imgEffect>
                    <a14:colorTemperature colorTemp="4700"/>
                  </a14:imgEffect>
                  <a14:imgEffect>
                    <a14:brightnessContrast bright="20000" contrast="40000"/>
                  </a14:imgEffect>
                </a14:imgLayer>
              </a14:imgProps>
            </a:ext>
          </a:extLst>
        </a:blip>
        <a:stretch>
          <a:fillRect/>
        </a:stretch>
      </xdr:blipFill>
      <xdr:spPr>
        <a:xfrm>
          <a:off x="497425" y="111668948"/>
          <a:ext cx="5795464" cy="7830581"/>
        </a:xfrm>
        <a:prstGeom prst="rect">
          <a:avLst/>
        </a:prstGeom>
        <a:ln>
          <a:solidFill>
            <a:sysClr val="windowText" lastClr="000000"/>
          </a:solidFill>
        </a:ln>
      </xdr:spPr>
    </xdr:pic>
    <xdr:clientData/>
  </xdr:twoCellAnchor>
  <xdr:twoCellAnchor editAs="oneCell">
    <xdr:from>
      <xdr:col>8</xdr:col>
      <xdr:colOff>291354</xdr:colOff>
      <xdr:row>49</xdr:row>
      <xdr:rowOff>67235</xdr:rowOff>
    </xdr:from>
    <xdr:to>
      <xdr:col>19</xdr:col>
      <xdr:colOff>476306</xdr:colOff>
      <xdr:row>54</xdr:row>
      <xdr:rowOff>132559</xdr:rowOff>
    </xdr:to>
    <xdr:pic>
      <xdr:nvPicPr>
        <xdr:cNvPr id="4" name="Picture 3"/>
        <xdr:cNvPicPr>
          <a:picLocks noChangeAspect="1"/>
        </xdr:cNvPicPr>
      </xdr:nvPicPr>
      <xdr:blipFill>
        <a:blip xmlns:r="http://schemas.openxmlformats.org/officeDocument/2006/relationships" r:embed="rId18"/>
        <a:stretch>
          <a:fillRect/>
        </a:stretch>
      </xdr:blipFill>
      <xdr:spPr>
        <a:xfrm>
          <a:off x="7160560" y="12102353"/>
          <a:ext cx="8421275" cy="2362530"/>
        </a:xfrm>
        <a:prstGeom prst="rect">
          <a:avLst/>
        </a:prstGeom>
      </xdr:spPr>
    </xdr:pic>
    <xdr:clientData/>
  </xdr:twoCellAnchor>
  <xdr:twoCellAnchor>
    <xdr:from>
      <xdr:col>0</xdr:col>
      <xdr:colOff>38274</xdr:colOff>
      <xdr:row>364</xdr:row>
      <xdr:rowOff>92338</xdr:rowOff>
    </xdr:from>
    <xdr:to>
      <xdr:col>7</xdr:col>
      <xdr:colOff>1112821</xdr:colOff>
      <xdr:row>404</xdr:row>
      <xdr:rowOff>31893</xdr:rowOff>
    </xdr:to>
    <xdr:grpSp>
      <xdr:nvGrpSpPr>
        <xdr:cNvPr id="6" name="Group 5"/>
        <xdr:cNvGrpSpPr/>
      </xdr:nvGrpSpPr>
      <xdr:grpSpPr>
        <a:xfrm>
          <a:off x="38274" y="75597013"/>
          <a:ext cx="6770497" cy="7940555"/>
          <a:chOff x="38274" y="75597013"/>
          <a:chExt cx="6770497" cy="7940555"/>
        </a:xfrm>
      </xdr:grpSpPr>
      <xdr:grpSp>
        <xdr:nvGrpSpPr>
          <xdr:cNvPr id="5" name="Group 4"/>
          <xdr:cNvGrpSpPr/>
        </xdr:nvGrpSpPr>
        <xdr:grpSpPr>
          <a:xfrm>
            <a:off x="38274" y="75597013"/>
            <a:ext cx="6770497" cy="7940555"/>
            <a:chOff x="47799" y="75597013"/>
            <a:chExt cx="6770497" cy="7940555"/>
          </a:xfrm>
        </xdr:grpSpPr>
        <xdr:pic>
          <xdr:nvPicPr>
            <xdr:cNvPr id="73" name="Picture 72" descr="https://vsjcllp.vsjadon.com/upload/insp-243331-1525.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4629883" y="81895949"/>
              <a:ext cx="2184575" cy="16416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3331-843.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61547" y="75606538"/>
              <a:ext cx="2553432" cy="2096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3331-844.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106974" y="80006337"/>
              <a:ext cx="1354268" cy="18075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4" name="Picture 113" descr="https://vsjcllp.vsjadon.com/upload/insp-243331-847.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4268668" y="75597013"/>
              <a:ext cx="2549628" cy="2096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5" name="Picture 114" descr="https://vsjcllp.vsjadon.com/upload/insp-243331-849.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1533526" y="80014762"/>
              <a:ext cx="2407867" cy="18075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9" name="Picture 118" descr="https://vsjcllp.vsjadon.com/upload/insp-243331-871.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47799" y="77777759"/>
              <a:ext cx="1622891" cy="21578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0" name="Picture 119" descr="https://vsjcllp.vsjadon.com/upload/insp-243331-874.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755022" y="77775385"/>
              <a:ext cx="1623601" cy="21578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1" name="Picture 120" descr="https://vsjcllp.vsjadon.com/upload/insp-243331-940.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09171" y="81888827"/>
              <a:ext cx="2185132" cy="1639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2" name="Picture 121" descr="https://vsjcllp.vsjadon.com/upload/insp-243331-883.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2369528" y="81891961"/>
              <a:ext cx="2189025" cy="16382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3" name="Picture 122" descr="https://vsjcllp.vsjadon.com/upload/insp-243331-931.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5185103" y="77771242"/>
              <a:ext cx="1621595" cy="21621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4" name="Picture 123" descr="https://vsjcllp.vsjadon.com/upload/insp-243331-916.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3467100" y="777811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5" name="Picture 124" descr="https://vsjcllp.vsjadon.com/upload/insp-243331-925.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5448301" y="80010000"/>
              <a:ext cx="1354268" cy="18075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6" name="Picture 125" descr="https://vsjcllp.vsjadon.com/upload/insp-243331-1512.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4020283" y="80007069"/>
              <a:ext cx="1354268" cy="18075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7" name="Picture 126" descr="https://vsjcllp.vsjadon.com/upload/insp-243331-862.jp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2693469" y="75605787"/>
              <a:ext cx="1489471" cy="2095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28" name="TextBox 127"/>
          <xdr:cNvSpPr txBox="1"/>
        </xdr:nvSpPr>
        <xdr:spPr>
          <a:xfrm>
            <a:off x="2828925" y="75628500"/>
            <a:ext cx="6794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B</a:t>
            </a:r>
          </a:p>
        </xdr:txBody>
      </xdr:sp>
      <xdr:sp macro="" textlink="">
        <xdr:nvSpPr>
          <xdr:cNvPr id="129" name="TextBox 128"/>
          <xdr:cNvSpPr txBox="1"/>
        </xdr:nvSpPr>
        <xdr:spPr>
          <a:xfrm>
            <a:off x="581025" y="77809725"/>
            <a:ext cx="6794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D</a:t>
            </a:r>
          </a:p>
        </xdr:txBody>
      </xdr:sp>
      <xdr:sp macro="" textlink="">
        <xdr:nvSpPr>
          <xdr:cNvPr id="130" name="TextBox 129"/>
          <xdr:cNvSpPr txBox="1"/>
        </xdr:nvSpPr>
        <xdr:spPr>
          <a:xfrm>
            <a:off x="1714500" y="75666600"/>
            <a:ext cx="6794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A</a:t>
            </a:r>
          </a:p>
        </xdr:txBody>
      </xdr:sp>
      <xdr:sp macro="" textlink="">
        <xdr:nvSpPr>
          <xdr:cNvPr id="131" name="TextBox 130"/>
          <xdr:cNvSpPr txBox="1"/>
        </xdr:nvSpPr>
        <xdr:spPr>
          <a:xfrm>
            <a:off x="4324524" y="75625588"/>
            <a:ext cx="6794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C</a:t>
            </a:r>
          </a:p>
        </xdr:txBody>
      </xdr:sp>
      <xdr:sp macro="" textlink="">
        <xdr:nvSpPr>
          <xdr:cNvPr id="47" name="TextBox 46"/>
          <xdr:cNvSpPr txBox="1"/>
        </xdr:nvSpPr>
        <xdr:spPr>
          <a:xfrm>
            <a:off x="1844675" y="77838300"/>
            <a:ext cx="7048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E</a:t>
            </a:r>
          </a:p>
        </xdr:txBody>
      </xdr:sp>
      <xdr:sp macro="" textlink="">
        <xdr:nvSpPr>
          <xdr:cNvPr id="132" name="TextBox 131"/>
          <xdr:cNvSpPr txBox="1"/>
        </xdr:nvSpPr>
        <xdr:spPr>
          <a:xfrm>
            <a:off x="3533775" y="77809725"/>
            <a:ext cx="6794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F</a:t>
            </a:r>
          </a:p>
        </xdr:txBody>
      </xdr:sp>
      <xdr:sp macro="" textlink="">
        <xdr:nvSpPr>
          <xdr:cNvPr id="48" name="TextBox 47"/>
          <xdr:cNvSpPr txBox="1"/>
        </xdr:nvSpPr>
        <xdr:spPr>
          <a:xfrm>
            <a:off x="5349875" y="77771625"/>
            <a:ext cx="679449"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0000"/>
                </a:solidFill>
              </a:rPr>
              <a:t>Wing G</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ps.app.goo.gl/37nWJeoDnvQAKm8S7" TargetMode="External"/><Relationship Id="rId1" Type="http://schemas.openxmlformats.org/officeDocument/2006/relationships/hyperlink" Target="https://www.commonfloor.com/morya-anand-home-mumbai/povp-wz7r42"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573"/>
  <sheetViews>
    <sheetView tabSelected="1" view="pageBreakPreview" topLeftCell="A142" zoomScaleNormal="100" zoomScaleSheetLayoutView="100" zoomScalePageLayoutView="85" workbookViewId="0">
      <selection activeCell="K192" sqref="K192"/>
    </sheetView>
  </sheetViews>
  <sheetFormatPr defaultColWidth="9.140625" defaultRowHeight="15.75" x14ac:dyDescent="0.25"/>
  <cols>
    <col min="1" max="1" width="11.42578125" style="37" customWidth="1"/>
    <col min="2" max="2" width="12" style="37" customWidth="1"/>
    <col min="3" max="3" width="12.7109375" style="37" customWidth="1"/>
    <col min="4" max="4" width="14.140625" style="37" customWidth="1"/>
    <col min="5" max="7" width="11.7109375" style="37" customWidth="1"/>
    <col min="8" max="8" width="17.42578125" style="37" customWidth="1"/>
    <col min="9" max="9" width="17.42578125" style="19" customWidth="1"/>
    <col min="10" max="10" width="11.42578125" style="19" customWidth="1"/>
    <col min="11" max="11" width="10.5703125" style="19" bestFit="1" customWidth="1"/>
    <col min="12" max="12" width="10.5703125" style="19" customWidth="1"/>
    <col min="13" max="13" width="11.85546875" style="19" customWidth="1"/>
    <col min="14" max="14" width="12.5703125" style="19" customWidth="1"/>
    <col min="15" max="15" width="9.85546875" style="19" customWidth="1"/>
    <col min="16" max="16" width="11.7109375" style="19" customWidth="1"/>
    <col min="17"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12" ht="46.5" customHeight="1" x14ac:dyDescent="0.25">
      <c r="A1" s="274" t="s">
        <v>167</v>
      </c>
      <c r="B1" s="274"/>
      <c r="C1" s="274"/>
      <c r="D1" s="274"/>
      <c r="E1" s="274"/>
      <c r="F1" s="274"/>
      <c r="G1" s="274"/>
      <c r="H1" s="274"/>
    </row>
    <row r="2" spans="1:12" ht="16.5" customHeight="1" x14ac:dyDescent="0.25">
      <c r="A2" s="174" t="s">
        <v>0</v>
      </c>
      <c r="B2" s="174"/>
      <c r="C2" s="174"/>
      <c r="D2" s="174"/>
      <c r="E2" s="174"/>
      <c r="F2" s="174"/>
      <c r="G2" s="174"/>
      <c r="H2" s="174"/>
    </row>
    <row r="3" spans="1:12" x14ac:dyDescent="0.25">
      <c r="A3" s="181" t="s">
        <v>1</v>
      </c>
      <c r="B3" s="181"/>
      <c r="C3" s="181"/>
      <c r="D3" s="181"/>
      <c r="E3" s="181" t="str">
        <f ca="1">TEXT(TODAY(),"DD/MM/YYYY")</f>
        <v>14/08/2025</v>
      </c>
      <c r="F3" s="181"/>
      <c r="G3" s="181"/>
      <c r="H3" s="181"/>
    </row>
    <row r="4" spans="1:12" ht="15" customHeight="1" x14ac:dyDescent="0.25">
      <c r="A4" s="181" t="s">
        <v>2</v>
      </c>
      <c r="B4" s="181"/>
      <c r="C4" s="181"/>
      <c r="D4" s="181"/>
      <c r="E4" s="181" t="s">
        <v>168</v>
      </c>
      <c r="F4" s="181"/>
      <c r="G4" s="181"/>
      <c r="H4" s="181"/>
    </row>
    <row r="5" spans="1:12" x14ac:dyDescent="0.25">
      <c r="A5" s="181" t="s">
        <v>3</v>
      </c>
      <c r="B5" s="181"/>
      <c r="C5" s="181"/>
      <c r="D5" s="181"/>
      <c r="E5" s="264">
        <v>45882</v>
      </c>
      <c r="F5" s="181"/>
      <c r="G5" s="181"/>
      <c r="H5" s="181"/>
    </row>
    <row r="6" spans="1:12" ht="16.5" customHeight="1" x14ac:dyDescent="0.25">
      <c r="A6" s="181" t="s">
        <v>4</v>
      </c>
      <c r="B6" s="181"/>
      <c r="C6" s="181"/>
      <c r="D6" s="181"/>
      <c r="E6" s="181" t="s">
        <v>169</v>
      </c>
      <c r="F6" s="181"/>
      <c r="G6" s="181"/>
      <c r="H6" s="181"/>
    </row>
    <row r="7" spans="1:12" ht="15" customHeight="1" x14ac:dyDescent="0.25">
      <c r="A7" s="181" t="s">
        <v>5</v>
      </c>
      <c r="B7" s="181"/>
      <c r="C7" s="181"/>
      <c r="D7" s="181"/>
      <c r="E7" s="181" t="str">
        <f>E6</f>
        <v>Morya Group</v>
      </c>
      <c r="F7" s="181"/>
      <c r="G7" s="181"/>
      <c r="H7" s="181"/>
    </row>
    <row r="8" spans="1:12" x14ac:dyDescent="0.25">
      <c r="A8" s="181" t="s">
        <v>6</v>
      </c>
      <c r="B8" s="181"/>
      <c r="C8" s="181"/>
      <c r="D8" s="181"/>
      <c r="E8" s="107" t="s">
        <v>274</v>
      </c>
      <c r="F8" s="107"/>
      <c r="G8" s="107"/>
      <c r="H8" s="107"/>
      <c r="I8" s="107" t="s">
        <v>265</v>
      </c>
      <c r="J8" s="107"/>
      <c r="K8" s="107"/>
      <c r="L8" s="107"/>
    </row>
    <row r="9" spans="1:12" x14ac:dyDescent="0.25">
      <c r="A9" s="181" t="s">
        <v>164</v>
      </c>
      <c r="B9" s="181"/>
      <c r="C9" s="181"/>
      <c r="D9" s="181"/>
      <c r="E9" s="181" t="s">
        <v>217</v>
      </c>
      <c r="F9" s="181"/>
      <c r="G9" s="181"/>
      <c r="H9" s="181"/>
    </row>
    <row r="10" spans="1:12" x14ac:dyDescent="0.25">
      <c r="A10" s="181" t="s">
        <v>165</v>
      </c>
      <c r="B10" s="181"/>
      <c r="C10" s="181"/>
      <c r="D10" s="181"/>
      <c r="E10" s="181" t="s">
        <v>216</v>
      </c>
      <c r="F10" s="181"/>
      <c r="G10" s="181"/>
      <c r="H10" s="181"/>
    </row>
    <row r="11" spans="1:12" ht="47.25" customHeight="1" x14ac:dyDescent="0.25">
      <c r="A11" s="181" t="s">
        <v>7</v>
      </c>
      <c r="B11" s="181"/>
      <c r="C11" s="181"/>
      <c r="D11" s="181"/>
      <c r="E11" s="240" t="s">
        <v>228</v>
      </c>
      <c r="F11" s="181"/>
      <c r="G11" s="181"/>
      <c r="H11" s="181"/>
    </row>
    <row r="12" spans="1:12" x14ac:dyDescent="0.25">
      <c r="A12" s="181" t="s">
        <v>8</v>
      </c>
      <c r="B12" s="181"/>
      <c r="C12" s="181"/>
      <c r="D12" s="181"/>
      <c r="E12" s="240" t="s">
        <v>268</v>
      </c>
      <c r="F12" s="240"/>
      <c r="G12" s="240"/>
      <c r="H12" s="240"/>
    </row>
    <row r="13" spans="1:12" ht="33.75" customHeight="1" x14ac:dyDescent="0.25">
      <c r="A13" s="265" t="s">
        <v>250</v>
      </c>
      <c r="B13" s="266"/>
      <c r="C13" s="266"/>
      <c r="D13" s="267"/>
      <c r="E13" s="258" t="s">
        <v>256</v>
      </c>
      <c r="F13" s="259"/>
      <c r="G13" s="260" t="s">
        <v>251</v>
      </c>
      <c r="H13" s="261"/>
    </row>
    <row r="14" spans="1:12" ht="32.25" customHeight="1" x14ac:dyDescent="0.25">
      <c r="A14" s="268"/>
      <c r="B14" s="269"/>
      <c r="C14" s="269"/>
      <c r="D14" s="270"/>
      <c r="E14" s="258" t="s">
        <v>257</v>
      </c>
      <c r="F14" s="259"/>
      <c r="G14" s="260" t="s">
        <v>252</v>
      </c>
      <c r="H14" s="261"/>
    </row>
    <row r="15" spans="1:12" ht="36.75" customHeight="1" x14ac:dyDescent="0.25">
      <c r="A15" s="271"/>
      <c r="B15" s="272"/>
      <c r="C15" s="272"/>
      <c r="D15" s="273"/>
      <c r="E15" s="262" t="s">
        <v>258</v>
      </c>
      <c r="F15" s="263"/>
      <c r="G15" s="260" t="s">
        <v>253</v>
      </c>
      <c r="H15" s="261"/>
    </row>
    <row r="16" spans="1:12" ht="33.75" customHeight="1" x14ac:dyDescent="0.25">
      <c r="A16" s="240" t="s">
        <v>9</v>
      </c>
      <c r="B16" s="240"/>
      <c r="C16" s="240" t="str">
        <f>CONCATENATE((IF(OR(E8="",E8="NA"),"",E8)),", ",(IF(OR(A17="",A17="NA"),"",A17)),".",(IF(OR(C17="",C17="NA"),"",C17)),", near ",(IF(OR(C22="",C22="NA"),"",C22)),", ",(IF(OR(C19="",C19="NA"),"",C19)),", ",(IF(OR(C18="",C18="NA"),"",C18)),", ",(IF(OR(G19="",G19="NA"),"",G19)),", ",(IF(OR(C20="",C20="NA"),"",C20)),", ",(IF(OR(C21="",C21="NA"),"",C21)),", ",(IF(OR(G20="",G20="NA"),"",G20))," - ",(IF(OR(G21="",G21="NA"),"",G21)),".")</f>
        <v>Anand Home (Wing A to G), Survey No.78/1, &amp; 79, near Ganesh Vidyalay, Internal Rd, Titwala, Titwala, Titwala, Kalyan, Thane - 421605.</v>
      </c>
      <c r="D16" s="240"/>
      <c r="E16" s="240"/>
      <c r="F16" s="240"/>
      <c r="G16" s="240"/>
      <c r="H16" s="240"/>
    </row>
    <row r="17" spans="1:8" x14ac:dyDescent="0.25">
      <c r="A17" s="240" t="s">
        <v>171</v>
      </c>
      <c r="B17" s="240"/>
      <c r="C17" s="240" t="s">
        <v>172</v>
      </c>
      <c r="D17" s="240"/>
      <c r="E17" s="240"/>
      <c r="F17" s="240"/>
      <c r="G17" s="240"/>
      <c r="H17" s="240"/>
    </row>
    <row r="18" spans="1:8" ht="15.75" customHeight="1" x14ac:dyDescent="0.25">
      <c r="A18" s="240" t="s">
        <v>163</v>
      </c>
      <c r="B18" s="240"/>
      <c r="C18" s="240" t="s">
        <v>173</v>
      </c>
      <c r="D18" s="240"/>
      <c r="E18" s="240"/>
      <c r="F18" s="240"/>
      <c r="G18" s="240"/>
      <c r="H18" s="240"/>
    </row>
    <row r="19" spans="1:8" ht="15.75" customHeight="1" x14ac:dyDescent="0.25">
      <c r="A19" s="240" t="s">
        <v>10</v>
      </c>
      <c r="B19" s="240"/>
      <c r="C19" s="181" t="s">
        <v>177</v>
      </c>
      <c r="D19" s="181"/>
      <c r="E19" s="240" t="s">
        <v>71</v>
      </c>
      <c r="F19" s="240"/>
      <c r="G19" s="240" t="s">
        <v>173</v>
      </c>
      <c r="H19" s="240"/>
    </row>
    <row r="20" spans="1:8" x14ac:dyDescent="0.25">
      <c r="A20" s="181" t="s">
        <v>12</v>
      </c>
      <c r="B20" s="181"/>
      <c r="C20" s="240" t="s">
        <v>173</v>
      </c>
      <c r="D20" s="240"/>
      <c r="E20" s="240" t="s">
        <v>11</v>
      </c>
      <c r="F20" s="240"/>
      <c r="G20" s="256" t="s">
        <v>174</v>
      </c>
      <c r="H20" s="256"/>
    </row>
    <row r="21" spans="1:8" x14ac:dyDescent="0.25">
      <c r="A21" s="181" t="s">
        <v>72</v>
      </c>
      <c r="B21" s="181"/>
      <c r="C21" s="240" t="s">
        <v>175</v>
      </c>
      <c r="D21" s="240"/>
      <c r="E21" s="240" t="s">
        <v>13</v>
      </c>
      <c r="F21" s="240"/>
      <c r="G21" s="240">
        <v>421605</v>
      </c>
      <c r="H21" s="240"/>
    </row>
    <row r="22" spans="1:8" ht="32.25" customHeight="1" x14ac:dyDescent="0.25">
      <c r="A22" s="181" t="s">
        <v>122</v>
      </c>
      <c r="B22" s="181"/>
      <c r="C22" s="240" t="s">
        <v>176</v>
      </c>
      <c r="D22" s="240"/>
      <c r="E22" s="240" t="s">
        <v>14</v>
      </c>
      <c r="F22" s="240"/>
      <c r="G22" s="240" t="s">
        <v>178</v>
      </c>
      <c r="H22" s="240"/>
    </row>
    <row r="23" spans="1:8" ht="15" customHeight="1" x14ac:dyDescent="0.25">
      <c r="A23" s="237" t="s">
        <v>75</v>
      </c>
      <c r="B23" s="237"/>
      <c r="C23" s="237"/>
      <c r="D23" s="237"/>
      <c r="E23" s="181" t="s">
        <v>15</v>
      </c>
      <c r="F23" s="181"/>
      <c r="G23" s="181"/>
      <c r="H23" s="181"/>
    </row>
    <row r="24" spans="1:8" ht="18.75" customHeight="1" x14ac:dyDescent="0.25">
      <c r="A24" s="237"/>
      <c r="B24" s="237"/>
      <c r="C24" s="237"/>
      <c r="D24" s="237"/>
      <c r="E24" s="181"/>
      <c r="F24" s="181"/>
      <c r="G24" s="181"/>
      <c r="H24" s="181"/>
    </row>
    <row r="25" spans="1:8" ht="15" customHeight="1" x14ac:dyDescent="0.25">
      <c r="A25" s="237" t="s">
        <v>16</v>
      </c>
      <c r="B25" s="237"/>
      <c r="C25" s="237"/>
      <c r="D25" s="237"/>
      <c r="E25" s="240" t="s">
        <v>17</v>
      </c>
      <c r="F25" s="240"/>
      <c r="G25" s="240"/>
      <c r="H25" s="240"/>
    </row>
    <row r="26" spans="1:8" ht="15" customHeight="1" x14ac:dyDescent="0.25">
      <c r="A26" s="236" t="s">
        <v>18</v>
      </c>
      <c r="B26" s="236"/>
      <c r="C26" s="236"/>
      <c r="D26" s="236"/>
      <c r="E26" s="240" t="str">
        <f>IF(AND(G20="Mumbai"),"Upper Class","Middle Class")</f>
        <v>Middle Class</v>
      </c>
      <c r="F26" s="240"/>
      <c r="G26" s="240"/>
      <c r="H26" s="240"/>
    </row>
    <row r="27" spans="1:8" x14ac:dyDescent="0.25">
      <c r="A27" s="236" t="s">
        <v>19</v>
      </c>
      <c r="B27" s="236"/>
      <c r="C27" s="236"/>
      <c r="D27" s="236"/>
      <c r="E27" s="240" t="s">
        <v>20</v>
      </c>
      <c r="F27" s="240"/>
      <c r="G27" s="240"/>
      <c r="H27" s="240"/>
    </row>
    <row r="28" spans="1:8" ht="15.75" customHeight="1" x14ac:dyDescent="0.25">
      <c r="A28" s="236" t="s">
        <v>21</v>
      </c>
      <c r="B28" s="236"/>
      <c r="C28" s="236"/>
      <c r="D28" s="236"/>
      <c r="E28" s="240" t="str">
        <f>IF(AND(G20="Mumbai"),"Developed","Developing")</f>
        <v>Developing</v>
      </c>
      <c r="F28" s="240"/>
      <c r="G28" s="240"/>
      <c r="H28" s="240"/>
    </row>
    <row r="29" spans="1:8" x14ac:dyDescent="0.25">
      <c r="A29" s="236" t="s">
        <v>22</v>
      </c>
      <c r="B29" s="236"/>
      <c r="C29" s="236"/>
      <c r="D29" s="236"/>
      <c r="E29" s="240" t="s">
        <v>23</v>
      </c>
      <c r="F29" s="240"/>
      <c r="G29" s="240"/>
      <c r="H29" s="240"/>
    </row>
    <row r="30" spans="1:8" ht="15.75" customHeight="1" x14ac:dyDescent="0.25">
      <c r="A30" s="236" t="s">
        <v>80</v>
      </c>
      <c r="B30" s="236"/>
      <c r="C30" s="236"/>
      <c r="D30" s="236"/>
      <c r="E30" s="240" t="s">
        <v>81</v>
      </c>
      <c r="F30" s="240"/>
      <c r="G30" s="240"/>
      <c r="H30" s="240"/>
    </row>
    <row r="31" spans="1:8" ht="15" customHeight="1" x14ac:dyDescent="0.25">
      <c r="A31" s="236" t="s">
        <v>31</v>
      </c>
      <c r="B31" s="236"/>
      <c r="C31" s="236"/>
      <c r="D31" s="236"/>
      <c r="E31" s="240"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 + Commercial</v>
      </c>
      <c r="F31" s="240"/>
      <c r="G31" s="240"/>
      <c r="H31" s="240"/>
    </row>
    <row r="32" spans="1:8" ht="15.75" customHeight="1" x14ac:dyDescent="0.25">
      <c r="A32" s="236" t="s">
        <v>92</v>
      </c>
      <c r="B32" s="236"/>
      <c r="C32" s="236"/>
      <c r="D32" s="236"/>
      <c r="E32" s="240" t="s">
        <v>32</v>
      </c>
      <c r="F32" s="240"/>
      <c r="G32" s="240"/>
      <c r="H32" s="240"/>
    </row>
    <row r="33" spans="1:14" s="20" customFormat="1" x14ac:dyDescent="0.25">
      <c r="A33" s="257" t="s">
        <v>93</v>
      </c>
      <c r="B33" s="257"/>
      <c r="C33" s="255" t="s">
        <v>229</v>
      </c>
      <c r="D33" s="255"/>
      <c r="E33" s="255"/>
      <c r="F33" s="255" t="s">
        <v>29</v>
      </c>
      <c r="G33" s="255"/>
      <c r="H33" s="255"/>
    </row>
    <row r="34" spans="1:14" s="20" customFormat="1" x14ac:dyDescent="0.25">
      <c r="A34" s="249" t="s">
        <v>24</v>
      </c>
      <c r="B34" s="249" t="s">
        <v>28</v>
      </c>
      <c r="C34" s="250" t="s">
        <v>219</v>
      </c>
      <c r="D34" s="250"/>
      <c r="E34" s="250"/>
      <c r="F34" s="250" t="s">
        <v>233</v>
      </c>
      <c r="G34" s="250"/>
      <c r="H34" s="250"/>
    </row>
    <row r="35" spans="1:14" x14ac:dyDescent="0.25">
      <c r="A35" s="249" t="s">
        <v>25</v>
      </c>
      <c r="B35" s="249" t="s">
        <v>28</v>
      </c>
      <c r="C35" s="250" t="s">
        <v>219</v>
      </c>
      <c r="D35" s="250"/>
      <c r="E35" s="250"/>
      <c r="F35" s="250" t="s">
        <v>179</v>
      </c>
      <c r="G35" s="250"/>
      <c r="H35" s="250"/>
    </row>
    <row r="36" spans="1:14" s="20" customFormat="1" x14ac:dyDescent="0.25">
      <c r="A36" s="249" t="s">
        <v>27</v>
      </c>
      <c r="B36" s="249" t="s">
        <v>28</v>
      </c>
      <c r="C36" s="250" t="s">
        <v>218</v>
      </c>
      <c r="D36" s="250"/>
      <c r="E36" s="250"/>
      <c r="F36" s="250" t="s">
        <v>232</v>
      </c>
      <c r="G36" s="250"/>
      <c r="H36" s="250"/>
    </row>
    <row r="37" spans="1:14" x14ac:dyDescent="0.25">
      <c r="A37" s="249" t="s">
        <v>26</v>
      </c>
      <c r="B37" s="249" t="s">
        <v>28</v>
      </c>
      <c r="C37" s="250" t="s">
        <v>219</v>
      </c>
      <c r="D37" s="250"/>
      <c r="E37" s="250"/>
      <c r="F37" s="250" t="s">
        <v>179</v>
      </c>
      <c r="G37" s="250"/>
      <c r="H37" s="250"/>
    </row>
    <row r="38" spans="1:14" x14ac:dyDescent="0.25">
      <c r="A38" s="236" t="s">
        <v>30</v>
      </c>
      <c r="B38" s="236"/>
      <c r="C38" s="236"/>
      <c r="D38" s="236"/>
      <c r="E38" s="236"/>
      <c r="F38" s="236"/>
      <c r="G38" s="236"/>
      <c r="H38" s="236"/>
    </row>
    <row r="39" spans="1:14" ht="15.75" customHeight="1" x14ac:dyDescent="0.25">
      <c r="A39" s="248" t="s">
        <v>211</v>
      </c>
      <c r="B39" s="248"/>
      <c r="C39" s="126" t="s">
        <v>231</v>
      </c>
      <c r="D39" s="127"/>
      <c r="E39" s="127"/>
      <c r="F39" s="127"/>
      <c r="G39" s="127"/>
      <c r="H39" s="128"/>
    </row>
    <row r="40" spans="1:14" x14ac:dyDescent="0.25">
      <c r="A40" s="248" t="s">
        <v>162</v>
      </c>
      <c r="B40" s="248"/>
      <c r="C40" s="253" t="s">
        <v>230</v>
      </c>
      <c r="D40" s="240"/>
      <c r="E40" s="240"/>
      <c r="F40" s="240"/>
      <c r="G40" s="240"/>
      <c r="H40" s="240"/>
    </row>
    <row r="41" spans="1:14" x14ac:dyDescent="0.25">
      <c r="A41" s="248" t="s">
        <v>33</v>
      </c>
      <c r="B41" s="248"/>
      <c r="C41" s="248"/>
      <c r="D41" s="248"/>
      <c r="E41" s="248"/>
      <c r="F41" s="248"/>
      <c r="G41" s="248"/>
      <c r="H41" s="248"/>
    </row>
    <row r="42" spans="1:14" x14ac:dyDescent="0.25">
      <c r="A42" s="181" t="s">
        <v>34</v>
      </c>
      <c r="B42" s="181"/>
      <c r="C42" s="181"/>
      <c r="D42" s="181"/>
      <c r="E42" s="251">
        <v>10717.8</v>
      </c>
      <c r="F42" s="251"/>
      <c r="G42" s="251"/>
      <c r="H42" s="251"/>
    </row>
    <row r="43" spans="1:14" x14ac:dyDescent="0.25">
      <c r="A43" s="181" t="s">
        <v>35</v>
      </c>
      <c r="B43" s="181"/>
      <c r="C43" s="181"/>
      <c r="D43" s="181"/>
      <c r="E43" s="252">
        <f>10717.8/E42</f>
        <v>1</v>
      </c>
      <c r="F43" s="252"/>
      <c r="G43" s="252"/>
      <c r="H43" s="252"/>
      <c r="J43" s="313">
        <v>1.1000000000000001</v>
      </c>
      <c r="K43" s="313"/>
      <c r="L43" s="313"/>
      <c r="M43" s="313"/>
    </row>
    <row r="44" spans="1:14" x14ac:dyDescent="0.25">
      <c r="A44" s="181" t="s">
        <v>36</v>
      </c>
      <c r="B44" s="181"/>
      <c r="C44" s="181"/>
      <c r="D44" s="181"/>
      <c r="E44" s="252">
        <f>E46/E42-E43</f>
        <v>0.67851704640877797</v>
      </c>
      <c r="F44" s="252"/>
      <c r="G44" s="252"/>
      <c r="H44" s="252"/>
      <c r="J44" s="313">
        <f>16215.21/10717.8-J43</f>
        <v>0.41292336113754691</v>
      </c>
      <c r="K44" s="313"/>
      <c r="L44" s="313"/>
      <c r="M44" s="313"/>
    </row>
    <row r="45" spans="1:14" x14ac:dyDescent="0.25">
      <c r="A45" s="181" t="s">
        <v>37</v>
      </c>
      <c r="B45" s="181"/>
      <c r="C45" s="181"/>
      <c r="D45" s="181"/>
      <c r="E45" s="252">
        <f>E43+E44</f>
        <v>1.678517046408778</v>
      </c>
      <c r="F45" s="252"/>
      <c r="G45" s="252"/>
      <c r="H45" s="252"/>
      <c r="J45" s="313">
        <f>J43+J44</f>
        <v>1.512923361137547</v>
      </c>
      <c r="K45" s="313"/>
      <c r="L45" s="313"/>
      <c r="M45" s="313"/>
    </row>
    <row r="46" spans="1:14" x14ac:dyDescent="0.25">
      <c r="A46" s="181" t="s">
        <v>91</v>
      </c>
      <c r="B46" s="181"/>
      <c r="C46" s="181"/>
      <c r="D46" s="181"/>
      <c r="E46" s="254">
        <v>17990.009999999998</v>
      </c>
      <c r="F46" s="254"/>
      <c r="G46" s="254"/>
      <c r="H46" s="254"/>
      <c r="I46" s="63"/>
      <c r="J46" s="314">
        <v>16215.21</v>
      </c>
      <c r="K46" s="314"/>
      <c r="L46" s="314"/>
      <c r="M46" s="314"/>
      <c r="N46" s="63" t="e">
        <f>J46/J42</f>
        <v>#DIV/0!</v>
      </c>
    </row>
    <row r="47" spans="1:14" x14ac:dyDescent="0.25">
      <c r="A47" s="181" t="s">
        <v>38</v>
      </c>
      <c r="B47" s="181"/>
      <c r="C47" s="181"/>
      <c r="D47" s="181"/>
      <c r="E47" s="181" t="s">
        <v>220</v>
      </c>
      <c r="F47" s="181"/>
      <c r="G47" s="181"/>
      <c r="H47" s="181"/>
      <c r="J47" s="180" t="s">
        <v>207</v>
      </c>
      <c r="K47" s="180"/>
      <c r="L47" s="180"/>
      <c r="M47" s="180"/>
    </row>
    <row r="48" spans="1:14" x14ac:dyDescent="0.25">
      <c r="A48" s="107" t="s">
        <v>39</v>
      </c>
      <c r="B48" s="107"/>
      <c r="C48" s="107"/>
      <c r="D48" s="107"/>
      <c r="E48" s="107"/>
      <c r="F48" s="107"/>
      <c r="G48" s="107"/>
      <c r="H48" s="107"/>
    </row>
    <row r="49" spans="1:14" ht="33.75" customHeight="1" x14ac:dyDescent="0.25">
      <c r="A49" s="231" t="s">
        <v>151</v>
      </c>
      <c r="B49" s="232"/>
      <c r="C49" s="233" t="s">
        <v>195</v>
      </c>
      <c r="D49" s="234"/>
      <c r="E49" s="234"/>
      <c r="F49" s="234"/>
      <c r="G49" s="234"/>
      <c r="H49" s="235"/>
    </row>
    <row r="50" spans="1:14" ht="15.75" customHeight="1" x14ac:dyDescent="0.25">
      <c r="A50" s="275" t="s">
        <v>40</v>
      </c>
      <c r="B50" s="277"/>
      <c r="C50" s="275" t="s">
        <v>192</v>
      </c>
      <c r="D50" s="276"/>
      <c r="E50" s="277"/>
      <c r="F50" s="18" t="s">
        <v>41</v>
      </c>
      <c r="G50" s="301">
        <v>45093</v>
      </c>
      <c r="H50" s="277"/>
    </row>
    <row r="51" spans="1:14" x14ac:dyDescent="0.25">
      <c r="A51" s="275" t="s">
        <v>42</v>
      </c>
      <c r="B51" s="277"/>
      <c r="C51" s="275" t="str">
        <f>C50</f>
        <v>KDMC/TPD/BP/KD/2021-22/76/123</v>
      </c>
      <c r="D51" s="276"/>
      <c r="E51" s="277"/>
      <c r="F51" s="18" t="s">
        <v>41</v>
      </c>
      <c r="G51" s="301">
        <v>45093</v>
      </c>
      <c r="H51" s="277"/>
    </row>
    <row r="52" spans="1:14" s="21" customFormat="1" ht="15.75" customHeight="1" x14ac:dyDescent="0.25">
      <c r="A52" s="308" t="s">
        <v>154</v>
      </c>
      <c r="B52" s="309"/>
      <c r="C52" s="275" t="str">
        <f>C51</f>
        <v>KDMC/TPD/BP/KD/2021-22/76/123</v>
      </c>
      <c r="D52" s="276"/>
      <c r="E52" s="277"/>
      <c r="F52" s="18" t="s">
        <v>41</v>
      </c>
      <c r="G52" s="301">
        <v>45093</v>
      </c>
      <c r="H52" s="277"/>
    </row>
    <row r="53" spans="1:14" s="21" customFormat="1" ht="97.5" customHeight="1" x14ac:dyDescent="0.25">
      <c r="A53" s="310"/>
      <c r="B53" s="311"/>
      <c r="C53" s="275" t="s">
        <v>234</v>
      </c>
      <c r="D53" s="276"/>
      <c r="E53" s="276"/>
      <c r="F53" s="276"/>
      <c r="G53" s="276"/>
      <c r="H53" s="277"/>
      <c r="I53" s="275" t="s">
        <v>194</v>
      </c>
      <c r="J53" s="276"/>
      <c r="K53" s="276"/>
      <c r="L53" s="276"/>
      <c r="M53" s="276"/>
      <c r="N53" s="277"/>
    </row>
    <row r="54" spans="1:14" ht="35.25" customHeight="1" x14ac:dyDescent="0.25">
      <c r="A54" s="308" t="s">
        <v>270</v>
      </c>
      <c r="B54" s="309"/>
      <c r="C54" s="275" t="s">
        <v>269</v>
      </c>
      <c r="D54" s="276"/>
      <c r="E54" s="277"/>
      <c r="F54" s="18" t="s">
        <v>41</v>
      </c>
      <c r="G54" s="301">
        <v>44854</v>
      </c>
      <c r="H54" s="277"/>
    </row>
    <row r="55" spans="1:14" x14ac:dyDescent="0.25">
      <c r="A55" s="310"/>
      <c r="B55" s="311"/>
      <c r="C55" s="275" t="s">
        <v>272</v>
      </c>
      <c r="D55" s="276"/>
      <c r="E55" s="276"/>
      <c r="F55" s="276"/>
      <c r="G55" s="276"/>
      <c r="H55" s="277"/>
    </row>
    <row r="56" spans="1:14" x14ac:dyDescent="0.25">
      <c r="A56" s="302" t="s">
        <v>43</v>
      </c>
      <c r="B56" s="303"/>
      <c r="C56" s="302" t="s">
        <v>104</v>
      </c>
      <c r="D56" s="304"/>
      <c r="E56" s="303"/>
      <c r="F56" s="41" t="s">
        <v>41</v>
      </c>
      <c r="G56" s="306" t="s">
        <v>28</v>
      </c>
      <c r="H56" s="307"/>
    </row>
    <row r="57" spans="1:14" x14ac:dyDescent="0.25">
      <c r="A57" s="305" t="s">
        <v>45</v>
      </c>
      <c r="B57" s="305"/>
      <c r="C57" s="305"/>
      <c r="D57" s="305"/>
      <c r="E57" s="305"/>
      <c r="F57" s="305"/>
      <c r="G57" s="305"/>
      <c r="H57" s="305"/>
      <c r="I57" s="181" t="s">
        <v>210</v>
      </c>
      <c r="J57" s="181"/>
      <c r="K57" s="181"/>
      <c r="L57" s="181"/>
      <c r="M57" s="181"/>
    </row>
    <row r="58" spans="1:14" x14ac:dyDescent="0.25">
      <c r="A58" s="240" t="s">
        <v>90</v>
      </c>
      <c r="B58" s="240"/>
      <c r="C58" s="240"/>
      <c r="D58" s="181">
        <f>E46</f>
        <v>17990.009999999998</v>
      </c>
      <c r="E58" s="181"/>
      <c r="F58" s="181"/>
      <c r="G58" s="181"/>
      <c r="H58" s="181"/>
      <c r="I58" s="247" t="s">
        <v>194</v>
      </c>
      <c r="J58" s="312"/>
      <c r="K58" s="312"/>
      <c r="L58" s="312"/>
      <c r="M58" s="312"/>
    </row>
    <row r="59" spans="1:14" x14ac:dyDescent="0.25">
      <c r="A59" s="240" t="s">
        <v>46</v>
      </c>
      <c r="B59" s="181"/>
      <c r="C59" s="181"/>
      <c r="D59" s="181" t="s">
        <v>254</v>
      </c>
      <c r="E59" s="181"/>
      <c r="F59" s="181"/>
      <c r="G59" s="181"/>
      <c r="H59" s="181"/>
      <c r="I59" s="181" t="s">
        <v>193</v>
      </c>
      <c r="J59" s="181"/>
      <c r="K59" s="181"/>
      <c r="L59" s="181"/>
      <c r="M59" s="181"/>
    </row>
    <row r="60" spans="1:14" ht="100.5" customHeight="1" x14ac:dyDescent="0.25">
      <c r="A60" s="315" t="s">
        <v>47</v>
      </c>
      <c r="B60" s="316"/>
      <c r="C60" s="317"/>
      <c r="D60" s="247" t="s">
        <v>235</v>
      </c>
      <c r="E60" s="312"/>
      <c r="F60" s="312"/>
      <c r="G60" s="312"/>
      <c r="H60" s="312"/>
      <c r="I60" s="181" t="s">
        <v>196</v>
      </c>
      <c r="J60" s="181"/>
      <c r="K60" s="181"/>
      <c r="L60" s="181"/>
      <c r="M60" s="181"/>
    </row>
    <row r="61" spans="1:14" ht="15.75" customHeight="1" x14ac:dyDescent="0.25">
      <c r="A61" s="315" t="s">
        <v>88</v>
      </c>
      <c r="B61" s="316"/>
      <c r="C61" s="317"/>
      <c r="D61" s="181" t="s">
        <v>236</v>
      </c>
      <c r="E61" s="181"/>
      <c r="F61" s="181"/>
      <c r="G61" s="181"/>
      <c r="H61" s="181"/>
      <c r="I61" s="181" t="s">
        <v>199</v>
      </c>
      <c r="J61" s="181"/>
      <c r="K61" s="181"/>
      <c r="L61" s="181"/>
      <c r="M61" s="181"/>
    </row>
    <row r="62" spans="1:14" ht="15.75" customHeight="1" x14ac:dyDescent="0.25">
      <c r="A62" s="318"/>
      <c r="B62" s="319"/>
      <c r="C62" s="320"/>
      <c r="D62" s="181" t="s">
        <v>237</v>
      </c>
      <c r="E62" s="181"/>
      <c r="F62" s="181"/>
      <c r="G62" s="181"/>
      <c r="H62" s="181"/>
      <c r="I62" s="181" t="s">
        <v>198</v>
      </c>
      <c r="J62" s="181"/>
      <c r="K62" s="181"/>
      <c r="L62" s="181"/>
      <c r="M62" s="181"/>
    </row>
    <row r="63" spans="1:14" ht="15.75" customHeight="1" x14ac:dyDescent="0.25">
      <c r="A63" s="318"/>
      <c r="B63" s="319"/>
      <c r="C63" s="320"/>
      <c r="D63" s="181" t="s">
        <v>238</v>
      </c>
      <c r="E63" s="181"/>
      <c r="F63" s="181"/>
      <c r="G63" s="181"/>
      <c r="H63" s="181"/>
    </row>
    <row r="64" spans="1:14" ht="15.75" customHeight="1" x14ac:dyDescent="0.25">
      <c r="A64" s="318"/>
      <c r="B64" s="319"/>
      <c r="C64" s="320"/>
      <c r="D64" s="181" t="s">
        <v>227</v>
      </c>
      <c r="E64" s="181"/>
      <c r="F64" s="181"/>
      <c r="G64" s="181"/>
      <c r="H64" s="181"/>
    </row>
    <row r="65" spans="1:14" ht="15.75" customHeight="1" x14ac:dyDescent="0.25">
      <c r="A65" s="318"/>
      <c r="B65" s="319"/>
      <c r="C65" s="320"/>
      <c r="D65" s="181" t="s">
        <v>196</v>
      </c>
      <c r="E65" s="181"/>
      <c r="F65" s="181"/>
      <c r="G65" s="181"/>
      <c r="H65" s="181"/>
    </row>
    <row r="66" spans="1:14" x14ac:dyDescent="0.25">
      <c r="A66" s="318"/>
      <c r="B66" s="319"/>
      <c r="C66" s="320"/>
      <c r="D66" s="181" t="s">
        <v>239</v>
      </c>
      <c r="E66" s="181"/>
      <c r="F66" s="181"/>
      <c r="G66" s="181"/>
      <c r="H66" s="181"/>
      <c r="I66" s="240" t="s">
        <v>180</v>
      </c>
      <c r="J66" s="240"/>
      <c r="K66" s="240"/>
      <c r="L66" s="240"/>
      <c r="M66" s="240"/>
      <c r="N66" s="22"/>
    </row>
    <row r="67" spans="1:14" ht="15.75" customHeight="1" x14ac:dyDescent="0.25">
      <c r="A67" s="321"/>
      <c r="B67" s="322"/>
      <c r="C67" s="323"/>
      <c r="D67" s="181" t="s">
        <v>198</v>
      </c>
      <c r="E67" s="181"/>
      <c r="F67" s="181"/>
      <c r="G67" s="181"/>
      <c r="H67" s="181"/>
      <c r="N67" s="22"/>
    </row>
    <row r="68" spans="1:14" ht="49.5" customHeight="1" x14ac:dyDescent="0.25">
      <c r="A68" s="181" t="s">
        <v>44</v>
      </c>
      <c r="B68" s="181"/>
      <c r="C68" s="181"/>
      <c r="D68" s="240" t="s">
        <v>267</v>
      </c>
      <c r="E68" s="240"/>
      <c r="F68" s="240"/>
      <c r="G68" s="240"/>
      <c r="H68" s="240"/>
      <c r="J68" s="23"/>
      <c r="K68" s="23"/>
    </row>
    <row r="69" spans="1:14" x14ac:dyDescent="0.25">
      <c r="A69" s="236" t="s">
        <v>86</v>
      </c>
      <c r="B69" s="236"/>
      <c r="C69" s="236"/>
      <c r="D69" s="300" t="str">
        <f>(IF(G56="NA","60 Years After Completion",IF(G56&lt;&gt;"NA",""&amp;60-ROUNDDOWN((E3-G56)/360,0)&amp;" Years"," ")))</f>
        <v>60 Years After Completion</v>
      </c>
      <c r="E69" s="300"/>
      <c r="F69" s="300"/>
      <c r="G69" s="300"/>
      <c r="H69" s="300"/>
    </row>
    <row r="70" spans="1:14" x14ac:dyDescent="0.25">
      <c r="A70" s="236" t="s">
        <v>87</v>
      </c>
      <c r="B70" s="236"/>
      <c r="C70" s="236"/>
      <c r="D70" s="237" t="s">
        <v>23</v>
      </c>
      <c r="E70" s="237"/>
      <c r="F70" s="237"/>
      <c r="G70" s="237"/>
      <c r="H70" s="237"/>
      <c r="I70" s="24"/>
      <c r="J70" s="24"/>
      <c r="K70" s="24"/>
      <c r="L70" s="24"/>
      <c r="M70" s="24"/>
      <c r="N70" s="24"/>
    </row>
    <row r="71" spans="1:14" ht="41.25" customHeight="1" x14ac:dyDescent="0.25">
      <c r="A71" s="236" t="s">
        <v>73</v>
      </c>
      <c r="B71" s="236"/>
      <c r="C71" s="236"/>
      <c r="D71" s="240" t="s">
        <v>197</v>
      </c>
      <c r="E71" s="237"/>
      <c r="F71" s="237"/>
      <c r="G71" s="237"/>
      <c r="H71" s="237"/>
      <c r="J71" s="23"/>
    </row>
    <row r="72" spans="1:14" ht="16.5" thickBot="1" x14ac:dyDescent="0.3">
      <c r="A72" s="237" t="s">
        <v>148</v>
      </c>
      <c r="B72" s="237"/>
      <c r="C72" s="237"/>
      <c r="D72" s="237" t="s">
        <v>28</v>
      </c>
      <c r="E72" s="237"/>
      <c r="F72" s="237"/>
      <c r="G72" s="237"/>
      <c r="H72" s="237"/>
    </row>
    <row r="73" spans="1:14" ht="15.75" customHeight="1" x14ac:dyDescent="0.25">
      <c r="A73" s="246" t="s">
        <v>85</v>
      </c>
      <c r="B73" s="246"/>
      <c r="C73" s="246"/>
      <c r="D73" s="247" t="str">
        <f ca="1">(IF(G135&gt;95%,"Nothing",IF(G135&gt;0%,"Cement, Aggregate, Steel, etc",IF(G135=0%,"Work not yet Started"))))</f>
        <v>Cement, Aggregate, Steel, etc</v>
      </c>
      <c r="E73" s="247"/>
      <c r="F73" s="247"/>
      <c r="G73" s="247"/>
      <c r="H73" s="247"/>
      <c r="I73" s="42" t="str">
        <f ca="1">IF(D88=100%,"All work Completed. Possession granted to the Building.",IF(D87=100%,"All work Completed, Waiting for OC",I74&amp;""&amp;I75&amp;""&amp;J74&amp;""&amp;J73&amp;" "&amp;J75))</f>
        <v xml:space="preserve">Excavation Completed, Plinth work is process </v>
      </c>
      <c r="J73"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row>
    <row r="74" spans="1:14" ht="16.5" thickBot="1" x14ac:dyDescent="0.3">
      <c r="A74" s="237" t="s">
        <v>117</v>
      </c>
      <c r="B74" s="237"/>
      <c r="C74" s="237"/>
      <c r="D74" s="240" t="str">
        <f ca="1">(IF(D73="Nothing","Yes",IF(D73="Cement, Aggregate, Steel, etc","Under Construction",IF(D73="Work not yet Started","Work not yet Started"))))</f>
        <v>Under Construction</v>
      </c>
      <c r="E74" s="240"/>
      <c r="F74" s="240" t="str">
        <f ca="1">(IF(D73="Nothing","Yes",IF(D73="Cement, Aggregate, Steel, etc","Under Construction",IF(D73="Work not yet Started","Work not yet Started"))))</f>
        <v>Under Construction</v>
      </c>
      <c r="G74" s="240"/>
      <c r="H74" s="240"/>
      <c r="I74" s="53" t="str">
        <f ca="1">IF(D79=100%,"Excavation","")&amp;IF(D80=100%,", Plinth","")&amp;IF(D81=100%,", RCC Slab","")&amp;IF(D82=100%,", Brickwork","")&amp;IF(D83=100%,", Internal Plaster","")&amp;IF(D84=100%,", External Plaster","")&amp;IF(D85=100%,", Flooring","")&amp;IF(D86=100%,", Painting","")&amp;IF(D87=100%,", Building common Amenities","")</f>
        <v>Excavation</v>
      </c>
      <c r="J74" s="54" t="str">
        <f ca="1">(IF(C79=0,"Work not yet Started.",IF(D79=25%,"Piling work in process",IF(D79=50%,"Excavation work in process",IF(D79=100%,"","0")))))&amp;(IF(C80=0%,"",IF(C80=J79,", Footing work is process",IF(C80=J80,", Footing work Completed",IF(C80=J81,", 1st Basement Completed",IF(C80=J82,", 1st &amp; 2nd Basement Completed",IF(C80=J83,", 1st to 3rd Basement Completed",IF(C80=J84,", 1st to 4th Basement Completed",IF(C80=J85,", Plinth work is process",IF(C80=J86,"","0"))))))))))</f>
        <v>, Plinth work is process</v>
      </c>
    </row>
    <row r="75" spans="1:14" x14ac:dyDescent="0.25">
      <c r="A75" s="224" t="s">
        <v>140</v>
      </c>
      <c r="B75" s="225"/>
      <c r="C75" s="242" t="str">
        <f>D61</f>
        <v>Wing A - Gr/St + 1st to 7th Floor</v>
      </c>
      <c r="D75" s="243"/>
      <c r="E75" s="243"/>
      <c r="F75" s="243"/>
      <c r="G75" s="243"/>
      <c r="H75" s="244"/>
      <c r="I75" s="44" t="str">
        <f ca="1">IF(I74&lt;&gt;""," Completed","")</f>
        <v xml:space="preserve"> Completed</v>
      </c>
      <c r="J75" s="45" t="str">
        <f ca="1">IF(J73&lt;&gt;"","Completed","")</f>
        <v/>
      </c>
    </row>
    <row r="76" spans="1:14" ht="15.75" customHeight="1" x14ac:dyDescent="0.25">
      <c r="A76" s="16" t="s">
        <v>142</v>
      </c>
      <c r="B76" s="79">
        <v>0</v>
      </c>
      <c r="C76" s="79" t="s">
        <v>70</v>
      </c>
      <c r="D76" s="79">
        <v>1</v>
      </c>
      <c r="E76" s="79" t="s">
        <v>69</v>
      </c>
      <c r="F76" s="79">
        <v>0</v>
      </c>
      <c r="G76" s="79" t="s">
        <v>79</v>
      </c>
      <c r="H76" s="17">
        <f ca="1">--TRIM(RIGHT(SUBSTITUTE(LEFT(C75,_xlfn.AGGREGATE(16,6,FIND({0,1,2,3,4,5,6,7,8,9},C75,ROW(INDIRECT("1:"&amp;LEN(C75)))),1))," ",REPT(" ",LEN(C75))),LEN(C75)))</f>
        <v>7</v>
      </c>
      <c r="I76" s="14" t="s">
        <v>141</v>
      </c>
      <c r="J76" s="25">
        <f ca="1">H76*25%</f>
        <v>1.75</v>
      </c>
    </row>
    <row r="77" spans="1:14" x14ac:dyDescent="0.25">
      <c r="A77" s="245" t="s">
        <v>89</v>
      </c>
      <c r="B77" s="107"/>
      <c r="C77" s="238" t="str">
        <f ca="1">(IF($G$56="NA",I73,"All work Completed. OC Received."))</f>
        <v xml:space="preserve">Excavation Completed, Plinth work is process </v>
      </c>
      <c r="D77" s="238"/>
      <c r="E77" s="238"/>
      <c r="F77" s="238"/>
      <c r="G77" s="238"/>
      <c r="H77" s="239"/>
      <c r="I77" s="14" t="s">
        <v>99</v>
      </c>
      <c r="J77" s="26">
        <f ca="1">H76*50%</f>
        <v>3.5</v>
      </c>
    </row>
    <row r="78" spans="1:14" x14ac:dyDescent="0.25">
      <c r="A78" s="186" t="s">
        <v>48</v>
      </c>
      <c r="B78" s="184"/>
      <c r="C78" s="75" t="s">
        <v>139</v>
      </c>
      <c r="D78" s="75" t="s">
        <v>82</v>
      </c>
      <c r="E78" s="184" t="s">
        <v>84</v>
      </c>
      <c r="F78" s="184"/>
      <c r="G78" s="184" t="s">
        <v>83</v>
      </c>
      <c r="H78" s="185"/>
      <c r="I78" s="14" t="s">
        <v>100</v>
      </c>
      <c r="J78" s="26">
        <f ca="1">H76</f>
        <v>7</v>
      </c>
    </row>
    <row r="79" spans="1:14" ht="15.75" customHeight="1" x14ac:dyDescent="0.25">
      <c r="A79" s="186" t="s">
        <v>128</v>
      </c>
      <c r="B79" s="184"/>
      <c r="C79" s="75">
        <f ca="1">J78</f>
        <v>7</v>
      </c>
      <c r="D79" s="50">
        <f ca="1">((100/H76)*C79)/100</f>
        <v>1</v>
      </c>
      <c r="E79" s="187">
        <f ca="1">(((C80/H76*10)+(40/(D76+F76+H76)*C81)+(7.5/(H76)*C82)+(7.5/(H76)*C83)+(10/H76*C84)+(10/H76*C85)+(5/H76*C86)+(5/H76*C87)+(5/H76*C88))/100)</f>
        <v>7.4999999999999997E-2</v>
      </c>
      <c r="F79" s="188"/>
      <c r="G79" s="187">
        <f ca="1">((((C79/H76)*20)+((C80/H76)*25)+(30/(H76+F76+D76)*C81)+(5/H76*C82)+(5/H76*C83)+(5/H76*C84)+(5/H76*C85)+(0/H76*C86)+(0/H76*C87)+(5/H76*C88))/100)</f>
        <v>0.38750000000000001</v>
      </c>
      <c r="H79" s="193"/>
      <c r="I79" s="14" t="s">
        <v>101</v>
      </c>
      <c r="J79" s="27">
        <f ca="1">(IF(B76&gt;1,(H76/(B76+2)),H76/4))</f>
        <v>1.75</v>
      </c>
    </row>
    <row r="80" spans="1:14" ht="15.75" customHeight="1" x14ac:dyDescent="0.25">
      <c r="A80" s="186" t="s">
        <v>49</v>
      </c>
      <c r="B80" s="184"/>
      <c r="C80" s="64">
        <f ca="1">J85</f>
        <v>5.25</v>
      </c>
      <c r="D80" s="50">
        <f ca="1">((100/H76)*C80)/100</f>
        <v>0.75</v>
      </c>
      <c r="E80" s="189"/>
      <c r="F80" s="190"/>
      <c r="G80" s="189"/>
      <c r="H80" s="194"/>
      <c r="I80" s="14" t="s">
        <v>102</v>
      </c>
      <c r="J80" s="27">
        <f ca="1">(IF(B76&gt;1,(H76/(B76+2)+J79),H76/4+J79))</f>
        <v>3.5</v>
      </c>
    </row>
    <row r="81" spans="1:10" ht="15.75" customHeight="1" x14ac:dyDescent="0.25">
      <c r="A81" s="186" t="s">
        <v>129</v>
      </c>
      <c r="B81" s="184"/>
      <c r="C81" s="75">
        <v>0</v>
      </c>
      <c r="D81" s="50">
        <f ca="1">((100/(D76+F76+H76))*C81)/100</f>
        <v>0</v>
      </c>
      <c r="E81" s="189"/>
      <c r="F81" s="190"/>
      <c r="G81" s="189"/>
      <c r="H81" s="194"/>
      <c r="I81" s="14" t="s">
        <v>146</v>
      </c>
      <c r="J81" s="27">
        <f>(IF(B76&gt;1,(H76/(B76+2)+J80),0))</f>
        <v>0</v>
      </c>
    </row>
    <row r="82" spans="1:10" ht="15" customHeight="1" x14ac:dyDescent="0.25">
      <c r="A82" s="186" t="s">
        <v>136</v>
      </c>
      <c r="B82" s="184" t="s">
        <v>130</v>
      </c>
      <c r="C82" s="75">
        <v>0</v>
      </c>
      <c r="D82" s="50">
        <f ca="1">((100/H76)*C82)/100</f>
        <v>0</v>
      </c>
      <c r="E82" s="189"/>
      <c r="F82" s="190"/>
      <c r="G82" s="189"/>
      <c r="H82" s="194"/>
      <c r="I82" s="14" t="s">
        <v>143</v>
      </c>
      <c r="J82" s="27">
        <f>(IF(B76&gt;2,(H76/(B76+2)+J81),0))</f>
        <v>0</v>
      </c>
    </row>
    <row r="83" spans="1:10" ht="15.75" customHeight="1" x14ac:dyDescent="0.25">
      <c r="A83" s="186" t="s">
        <v>137</v>
      </c>
      <c r="B83" s="184" t="s">
        <v>130</v>
      </c>
      <c r="C83" s="75">
        <v>0</v>
      </c>
      <c r="D83" s="50">
        <f ca="1">((100/H76)*C83)/100</f>
        <v>0</v>
      </c>
      <c r="E83" s="189"/>
      <c r="F83" s="190"/>
      <c r="G83" s="189"/>
      <c r="H83" s="194"/>
      <c r="I83" s="14" t="s">
        <v>144</v>
      </c>
      <c r="J83" s="28">
        <f>(IF(B76&gt;3,(H76/(B76+2)+J82),0))</f>
        <v>0</v>
      </c>
    </row>
    <row r="84" spans="1:10" ht="15.75" customHeight="1" x14ac:dyDescent="0.25">
      <c r="A84" s="186" t="s">
        <v>135</v>
      </c>
      <c r="B84" s="184" t="s">
        <v>132</v>
      </c>
      <c r="C84" s="75">
        <v>0</v>
      </c>
      <c r="D84" s="50">
        <f ca="1">((100/(H76))*C84)/100</f>
        <v>0</v>
      </c>
      <c r="E84" s="189"/>
      <c r="F84" s="190"/>
      <c r="G84" s="189"/>
      <c r="H84" s="194"/>
      <c r="I84" s="14" t="s">
        <v>145</v>
      </c>
      <c r="J84" s="27">
        <f>(IF(B76&gt;4,(H76/(B76+2)+J83),0))</f>
        <v>0</v>
      </c>
    </row>
    <row r="85" spans="1:10" ht="15.75" customHeight="1" x14ac:dyDescent="0.25">
      <c r="A85" s="186" t="s">
        <v>131</v>
      </c>
      <c r="B85" s="184" t="s">
        <v>131</v>
      </c>
      <c r="C85" s="75">
        <v>0</v>
      </c>
      <c r="D85" s="50">
        <f ca="1">((100/H76)*C85)/100</f>
        <v>0</v>
      </c>
      <c r="E85" s="189"/>
      <c r="F85" s="190"/>
      <c r="G85" s="189"/>
      <c r="H85" s="194"/>
      <c r="I85" s="14" t="s">
        <v>147</v>
      </c>
      <c r="J85" s="27">
        <f ca="1">(IF(B76=1,(H76/(B76+3)+J80),IF(B76=0,(H76/4+J80),IF(B76&gt;1,0))))</f>
        <v>5.25</v>
      </c>
    </row>
    <row r="86" spans="1:10" ht="16.5" thickBot="1" x14ac:dyDescent="0.3">
      <c r="A86" s="186" t="s">
        <v>138</v>
      </c>
      <c r="B86" s="184"/>
      <c r="C86" s="75">
        <v>0</v>
      </c>
      <c r="D86" s="50">
        <f ca="1">((100/H76)*C86)/100</f>
        <v>0</v>
      </c>
      <c r="E86" s="189"/>
      <c r="F86" s="190"/>
      <c r="G86" s="189"/>
      <c r="H86" s="194"/>
      <c r="I86" s="15" t="s">
        <v>103</v>
      </c>
      <c r="J86" s="29">
        <f ca="1">(IF(B76&gt;1.5,(H76/(B76+2)+J80+MAX(0,J81-J80)+MAX(0,J82-J81)+MAX(0,J83-J82)+MAX(0,J84-J83)+MAX(0,J85-J84)),IF(B76=1,(H76/(B76+3)+J85),IF(B76=0,H76/4+J85))))</f>
        <v>7</v>
      </c>
    </row>
    <row r="87" spans="1:10" ht="15.75" customHeight="1" x14ac:dyDescent="0.25">
      <c r="A87" s="186" t="s">
        <v>133</v>
      </c>
      <c r="B87" s="184" t="s">
        <v>133</v>
      </c>
      <c r="C87" s="75">
        <v>0</v>
      </c>
      <c r="D87" s="50">
        <f ca="1">((100/(H76))*C87)/100</f>
        <v>0</v>
      </c>
      <c r="E87" s="189"/>
      <c r="F87" s="190"/>
      <c r="G87" s="189"/>
      <c r="H87" s="194"/>
      <c r="I87" s="71" t="str">
        <f ca="1">IF(D102=100%,"All work Completed. Possession granted to the Building.",IF(D101=100%,"All work Completed, Waiting for OC",I88&amp;""&amp;I89&amp;""&amp;J88&amp;""&amp;J87&amp;" "&amp;J89))</f>
        <v>Excavation, Plinth, RCC Slab, Brickwork, Internal Plaster, External Plaster Completed, Flooring upto 6 Floor, Painting upto 5 Floor Completed</v>
      </c>
      <c r="J87"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Flooring upto 6 Floor, Painting upto 5 Floor</v>
      </c>
    </row>
    <row r="88" spans="1:10" ht="16.5" thickBot="1" x14ac:dyDescent="0.3">
      <c r="A88" s="196" t="s">
        <v>134</v>
      </c>
      <c r="B88" s="197"/>
      <c r="C88" s="78">
        <v>0</v>
      </c>
      <c r="D88" s="51">
        <f ca="1">((100/(H76))*C88)/100</f>
        <v>0</v>
      </c>
      <c r="E88" s="191"/>
      <c r="F88" s="192"/>
      <c r="G88" s="191"/>
      <c r="H88" s="195"/>
      <c r="I88" s="72" t="str">
        <f ca="1">IF(D93=100%,"Excavation","")&amp;IF(D94=100%,", Plinth","")&amp;IF(D95=100%,", RCC Slab","")&amp;IF(D96=100%,", Brickwork","")&amp;IF(D97=100%,", Internal Plaster","")&amp;IF(D98=100%,", External Plaster","")&amp;IF(D99=100%,", Flooring","")&amp;IF(D100=100%,", Painting","")&amp;IF(D101=100%,", Building common Amenities","")</f>
        <v>Excavation, Plinth, RCC Slab, Brickwork, Internal Plaster, External Plaster</v>
      </c>
      <c r="J88" s="45" t="str">
        <f ca="1">(IF(C93=0,"Work not yet Started.",IF(D93=25%,"Piling work in process",IF(D93=50%,"Excavation work in process",IF(D93=100%,"","0")))))&amp;(IF(C94=0%,"",IF(C94=J93,", Footing work is process",IF(C94=J94,", Footing work Completed",IF(C94=J95,", 1st Basement Completed",IF(C94=J96,", 1st &amp; 2nd Basement Completed",IF(C94=J97,", 1st to 3rd Basement Completed",IF(C94=J98,", 1st to 4th Basement Completed",IF(C94=J99,", Plinth work is process",IF(C94=J100,"","0"))))))))))</f>
        <v/>
      </c>
    </row>
    <row r="89" spans="1:10" x14ac:dyDescent="0.25">
      <c r="A89" s="238" t="s">
        <v>140</v>
      </c>
      <c r="B89" s="238"/>
      <c r="C89" s="238" t="str">
        <f>D62</f>
        <v>Wing B - Gr/St + 1st to 7th Floor</v>
      </c>
      <c r="D89" s="238"/>
      <c r="E89" s="238"/>
      <c r="F89" s="238"/>
      <c r="G89" s="238"/>
      <c r="H89" s="238"/>
      <c r="I89" s="72" t="str">
        <f ca="1">IF(I88&lt;&gt;""," Completed","")</f>
        <v xml:space="preserve"> Completed</v>
      </c>
      <c r="J89" s="45" t="str">
        <f ca="1">IF(J87&lt;&gt;"","Completed","")</f>
        <v>Completed</v>
      </c>
    </row>
    <row r="90" spans="1:10" ht="15.75" customHeight="1" x14ac:dyDescent="0.25">
      <c r="A90" s="70" t="s">
        <v>142</v>
      </c>
      <c r="B90" s="70">
        <v>0</v>
      </c>
      <c r="C90" s="70" t="s">
        <v>70</v>
      </c>
      <c r="D90" s="70">
        <v>1</v>
      </c>
      <c r="E90" s="70" t="s">
        <v>69</v>
      </c>
      <c r="F90" s="70">
        <v>0</v>
      </c>
      <c r="G90" s="70" t="s">
        <v>79</v>
      </c>
      <c r="H90" s="70">
        <f ca="1">--TRIM(RIGHT(SUBSTITUTE(LEFT(C89,_xlfn.AGGREGATE(16,6,FIND({0,1,2,3,4,5,6,7,8,9},C89,ROW(INDIRECT("1:"&amp;LEN(C89)))),1))," ",REPT(" ",LEN(C89))),LEN(C89)))</f>
        <v>7</v>
      </c>
      <c r="I90" s="14" t="s">
        <v>141</v>
      </c>
      <c r="J90" s="25">
        <f ca="1">H90*25%</f>
        <v>1.75</v>
      </c>
    </row>
    <row r="91" spans="1:10" ht="33" customHeight="1" x14ac:dyDescent="0.25">
      <c r="A91" s="107" t="s">
        <v>89</v>
      </c>
      <c r="B91" s="107"/>
      <c r="C91" s="238" t="str">
        <f ca="1">I87</f>
        <v>Excavation, Plinth, RCC Slab, Brickwork, Internal Plaster, External Plaster Completed, Flooring upto 6 Floor, Painting upto 5 Floor Completed</v>
      </c>
      <c r="D91" s="238"/>
      <c r="E91" s="238"/>
      <c r="F91" s="238"/>
      <c r="G91" s="238"/>
      <c r="H91" s="238"/>
      <c r="I91" s="14" t="s">
        <v>99</v>
      </c>
      <c r="J91" s="26">
        <f ca="1">H90*50%</f>
        <v>3.5</v>
      </c>
    </row>
    <row r="92" spans="1:10" x14ac:dyDescent="0.25">
      <c r="A92" s="184" t="s">
        <v>48</v>
      </c>
      <c r="B92" s="184"/>
      <c r="C92" s="69" t="s">
        <v>139</v>
      </c>
      <c r="D92" s="69" t="s">
        <v>82</v>
      </c>
      <c r="E92" s="184" t="s">
        <v>84</v>
      </c>
      <c r="F92" s="184"/>
      <c r="G92" s="184" t="s">
        <v>83</v>
      </c>
      <c r="H92" s="184"/>
      <c r="I92" s="14" t="s">
        <v>100</v>
      </c>
      <c r="J92" s="26">
        <f ca="1">H90</f>
        <v>7</v>
      </c>
    </row>
    <row r="93" spans="1:10" ht="15.75" customHeight="1" x14ac:dyDescent="0.25">
      <c r="A93" s="184" t="s">
        <v>128</v>
      </c>
      <c r="B93" s="184"/>
      <c r="C93" s="69">
        <f ca="1">J92</f>
        <v>7</v>
      </c>
      <c r="D93" s="50">
        <f ca="1">((100/H90)*C93)/100</f>
        <v>1</v>
      </c>
      <c r="E93" s="241">
        <f ca="1">(((C94/H90*10)+(40/(D90+F90+H90)*C95)+(7.5/(H90)*C96)+(7.5/(H90)*C97)+(10/H90*C98)+(10/H90*C99)+(5/H90*C100)+(5/H90*C101)+(5/H90*C102))/100)</f>
        <v>0.87142857142857144</v>
      </c>
      <c r="F93" s="241"/>
      <c r="G93" s="241">
        <f ca="1">((((C93/H90)*20)+((C94/H90)*25)+(30/(H90+F90+D90)*C95)+(5/H90*C96)+(5/H90*C97)+(5/H90*C98)+(5/H90*C99)+(0/H90*C100)+(0/H90*C101)+(5/H90*C102))/100)</f>
        <v>0.94285714285714295</v>
      </c>
      <c r="H93" s="241"/>
      <c r="I93" s="14" t="s">
        <v>101</v>
      </c>
      <c r="J93" s="27">
        <f ca="1">(IF(B90&gt;1,(H90/(B90+2)),H90/4))</f>
        <v>1.75</v>
      </c>
    </row>
    <row r="94" spans="1:10" ht="15.75" customHeight="1" x14ac:dyDescent="0.25">
      <c r="A94" s="184" t="s">
        <v>49</v>
      </c>
      <c r="B94" s="184"/>
      <c r="C94" s="64">
        <f ca="1">J100</f>
        <v>7</v>
      </c>
      <c r="D94" s="50">
        <f ca="1">((100/H90)*C94)/100</f>
        <v>1</v>
      </c>
      <c r="E94" s="241"/>
      <c r="F94" s="241"/>
      <c r="G94" s="241"/>
      <c r="H94" s="241"/>
      <c r="I94" s="14" t="s">
        <v>102</v>
      </c>
      <c r="J94" s="27">
        <f ca="1">(IF(B90&gt;1,(H90/(B90+2)+J93),H90/4+J93))</f>
        <v>3.5</v>
      </c>
    </row>
    <row r="95" spans="1:10" ht="15.75" customHeight="1" x14ac:dyDescent="0.25">
      <c r="A95" s="184" t="s">
        <v>129</v>
      </c>
      <c r="B95" s="184"/>
      <c r="C95" s="69">
        <v>8</v>
      </c>
      <c r="D95" s="50">
        <f ca="1">((100/(D90+F90+H90))*C95)/100</f>
        <v>1</v>
      </c>
      <c r="E95" s="241"/>
      <c r="F95" s="241"/>
      <c r="G95" s="241"/>
      <c r="H95" s="241"/>
      <c r="I95" s="14" t="s">
        <v>146</v>
      </c>
      <c r="J95" s="27">
        <f>(IF(B90&gt;1,(H90/(B90+2)+J94),0))</f>
        <v>0</v>
      </c>
    </row>
    <row r="96" spans="1:10" ht="15" customHeight="1" x14ac:dyDescent="0.25">
      <c r="A96" s="184" t="s">
        <v>136</v>
      </c>
      <c r="B96" s="184" t="s">
        <v>130</v>
      </c>
      <c r="C96" s="69">
        <v>7</v>
      </c>
      <c r="D96" s="50">
        <f ca="1">((100/H90)*C96)/100</f>
        <v>1</v>
      </c>
      <c r="E96" s="241"/>
      <c r="F96" s="241"/>
      <c r="G96" s="241"/>
      <c r="H96" s="241"/>
      <c r="I96" s="14" t="s">
        <v>143</v>
      </c>
      <c r="J96" s="27">
        <f>(IF(B90&gt;2,(H90/(B90+2)+J95),0))</f>
        <v>0</v>
      </c>
    </row>
    <row r="97" spans="1:10" ht="15.75" customHeight="1" x14ac:dyDescent="0.25">
      <c r="A97" s="184" t="s">
        <v>137</v>
      </c>
      <c r="B97" s="184" t="s">
        <v>130</v>
      </c>
      <c r="C97" s="69">
        <v>7</v>
      </c>
      <c r="D97" s="50">
        <f ca="1">((100/H90)*C97)/100</f>
        <v>1</v>
      </c>
      <c r="E97" s="241"/>
      <c r="F97" s="241"/>
      <c r="G97" s="241"/>
      <c r="H97" s="241"/>
      <c r="I97" s="14" t="s">
        <v>144</v>
      </c>
      <c r="J97" s="28">
        <f>(IF(B90&gt;3,(H90/(B90+2)+J96),0))</f>
        <v>0</v>
      </c>
    </row>
    <row r="98" spans="1:10" ht="15.75" customHeight="1" x14ac:dyDescent="0.25">
      <c r="A98" s="184" t="s">
        <v>135</v>
      </c>
      <c r="B98" s="184" t="s">
        <v>132</v>
      </c>
      <c r="C98" s="69">
        <v>7</v>
      </c>
      <c r="D98" s="50">
        <f ca="1">((100/(H90))*C98)/100</f>
        <v>1</v>
      </c>
      <c r="E98" s="241"/>
      <c r="F98" s="241"/>
      <c r="G98" s="241"/>
      <c r="H98" s="241"/>
      <c r="I98" s="14" t="s">
        <v>145</v>
      </c>
      <c r="J98" s="27">
        <f>(IF(B90&gt;4,(H90/(B90+2)+J97),0))</f>
        <v>0</v>
      </c>
    </row>
    <row r="99" spans="1:10" ht="15.75" customHeight="1" x14ac:dyDescent="0.25">
      <c r="A99" s="184" t="s">
        <v>131</v>
      </c>
      <c r="B99" s="184" t="s">
        <v>131</v>
      </c>
      <c r="C99" s="69">
        <v>6</v>
      </c>
      <c r="D99" s="50">
        <f ca="1">((100/H90)*C99)/100</f>
        <v>0.85714285714285721</v>
      </c>
      <c r="E99" s="241"/>
      <c r="F99" s="241"/>
      <c r="G99" s="241"/>
      <c r="H99" s="241"/>
      <c r="I99" s="14" t="s">
        <v>147</v>
      </c>
      <c r="J99" s="27">
        <f ca="1">(IF(B90=1,(H90/(B90+3)+J94),IF(B90=0,(H90/4+J94),IF(B90&gt;1,0))))</f>
        <v>5.25</v>
      </c>
    </row>
    <row r="100" spans="1:10" ht="16.5" thickBot="1" x14ac:dyDescent="0.3">
      <c r="A100" s="184" t="s">
        <v>138</v>
      </c>
      <c r="B100" s="184"/>
      <c r="C100" s="69">
        <v>5</v>
      </c>
      <c r="D100" s="50">
        <f ca="1">((100/H90)*C100)/100</f>
        <v>0.7142857142857143</v>
      </c>
      <c r="E100" s="241"/>
      <c r="F100" s="241"/>
      <c r="G100" s="241"/>
      <c r="H100" s="241"/>
      <c r="I100" s="15" t="s">
        <v>103</v>
      </c>
      <c r="J100" s="29">
        <f ca="1">(IF(B90&gt;1.5,(H90/(B90+2)+J94+MAX(0,J95-J94)+MAX(0,J96-J95)+MAX(0,J97-J96)+MAX(0,J98-J97)+MAX(0,J99-J98)),IF(B90=1,(H90/(B90+3)+J99),IF(B90=0,H90/4+J99))))</f>
        <v>7</v>
      </c>
    </row>
    <row r="101" spans="1:10" ht="15.75" customHeight="1" x14ac:dyDescent="0.25">
      <c r="A101" s="184" t="s">
        <v>133</v>
      </c>
      <c r="B101" s="184" t="s">
        <v>133</v>
      </c>
      <c r="C101" s="69">
        <v>0</v>
      </c>
      <c r="D101" s="50">
        <f ca="1">((100/(H90))*C101)/100</f>
        <v>0</v>
      </c>
      <c r="E101" s="241"/>
      <c r="F101" s="241"/>
      <c r="G101" s="241"/>
      <c r="H101" s="241"/>
      <c r="I101" s="42" t="str">
        <f ca="1">IF(D116=100%,"All work Completed. Possession granted to the Building.",IF(D115=100%,"All work Completed, Waiting for OC",I102&amp;""&amp;I103&amp;""&amp;J102&amp;""&amp;J101&amp;" "&amp;J103))</f>
        <v xml:space="preserve">Excavation Completed, Footing work is process </v>
      </c>
      <c r="J101"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2" spans="1:10" s="21" customFormat="1" ht="16.5" thickBot="1" x14ac:dyDescent="0.3">
      <c r="A102" s="184" t="s">
        <v>134</v>
      </c>
      <c r="B102" s="184"/>
      <c r="C102" s="69">
        <v>0</v>
      </c>
      <c r="D102" s="50">
        <f ca="1">((100/(H90))*C102)/100</f>
        <v>0</v>
      </c>
      <c r="E102" s="241"/>
      <c r="F102" s="241"/>
      <c r="G102" s="241"/>
      <c r="H102" s="241"/>
      <c r="I102" s="53" t="str">
        <f ca="1">IF(D107=100%,"Excavation","")&amp;IF(D108=100%,", Plinth","")&amp;IF(D109=100%,", RCC Slab","")&amp;IF(D110=100%,", Brickwork","")&amp;IF(D111=100%,", Internal Plaster","")&amp;IF(D112=100%,", External Plaster","")&amp;IF(D113=100%,", Flooring","")&amp;IF(D114=100%,", Painting","")&amp;IF(D115=100%,", Building common Amenities","")</f>
        <v>Excavation</v>
      </c>
      <c r="J102" s="54" t="str">
        <f ca="1">(IF(C107=0,"Work not yet Started.",IF(D107=25%,"Piling work in process",IF(D107=50%,"Excavation work in process",IF(D107=100%,"","0")))))&amp;(IF(C108=0%,"",IF(C108=J107,", Footing work is process",IF(C108=J108,", Footing work Completed",IF(C108=J109,", 1st Basement Completed",IF(C108=J110,", 1st &amp; 2nd Basement Completed",IF(C108=J111,", 1st to 3rd Basement Completed",IF(C108=J112,", 1st to 4th Basement Completed",IF(C108=J113,", Plinth work is process",IF(C108=J114,"","0"))))))))))</f>
        <v>, Footing work is process</v>
      </c>
    </row>
    <row r="103" spans="1:10" x14ac:dyDescent="0.25">
      <c r="A103" s="224" t="s">
        <v>140</v>
      </c>
      <c r="B103" s="225"/>
      <c r="C103" s="242" t="str">
        <f>D63</f>
        <v>Wing C - Gr/St + 1st to 7th Floor</v>
      </c>
      <c r="D103" s="243"/>
      <c r="E103" s="243"/>
      <c r="F103" s="243"/>
      <c r="G103" s="243"/>
      <c r="H103" s="244"/>
      <c r="I103" s="44" t="str">
        <f ca="1">IF(I102&lt;&gt;""," Completed","")</f>
        <v xml:space="preserve"> Completed</v>
      </c>
      <c r="J103" s="45" t="str">
        <f ca="1">IF(J101&lt;&gt;"","Completed","")</f>
        <v/>
      </c>
    </row>
    <row r="104" spans="1:10" ht="15.75" customHeight="1" x14ac:dyDescent="0.25">
      <c r="A104" s="16" t="s">
        <v>142</v>
      </c>
      <c r="B104" s="83">
        <v>0</v>
      </c>
      <c r="C104" s="83" t="s">
        <v>70</v>
      </c>
      <c r="D104" s="83">
        <v>1</v>
      </c>
      <c r="E104" s="83" t="s">
        <v>69</v>
      </c>
      <c r="F104" s="83">
        <v>0</v>
      </c>
      <c r="G104" s="83" t="s">
        <v>79</v>
      </c>
      <c r="H104" s="17">
        <f ca="1">--TRIM(RIGHT(SUBSTITUTE(LEFT(C103,_xlfn.AGGREGATE(16,6,FIND({0,1,2,3,4,5,6,7,8,9},C103,ROW(INDIRECT("1:"&amp;LEN(C103)))),1))," ",REPT(" ",LEN(C103))),LEN(C103)))</f>
        <v>7</v>
      </c>
      <c r="I104" s="14" t="s">
        <v>141</v>
      </c>
      <c r="J104" s="25">
        <f ca="1">H104*25%</f>
        <v>1.75</v>
      </c>
    </row>
    <row r="105" spans="1:10" x14ac:dyDescent="0.25">
      <c r="A105" s="245" t="s">
        <v>89</v>
      </c>
      <c r="B105" s="107"/>
      <c r="C105" s="238" t="str">
        <f ca="1">(IF($G$56="NA",I101,"All work Completed. OC Received."))</f>
        <v xml:space="preserve">Excavation Completed, Footing work is process </v>
      </c>
      <c r="D105" s="238"/>
      <c r="E105" s="238"/>
      <c r="F105" s="238"/>
      <c r="G105" s="238"/>
      <c r="H105" s="239"/>
      <c r="I105" s="14" t="s">
        <v>99</v>
      </c>
      <c r="J105" s="26">
        <f ca="1">H104*50%</f>
        <v>3.5</v>
      </c>
    </row>
    <row r="106" spans="1:10" x14ac:dyDescent="0.25">
      <c r="A106" s="186" t="s">
        <v>48</v>
      </c>
      <c r="B106" s="184"/>
      <c r="C106" s="82" t="s">
        <v>139</v>
      </c>
      <c r="D106" s="82" t="s">
        <v>82</v>
      </c>
      <c r="E106" s="184" t="s">
        <v>84</v>
      </c>
      <c r="F106" s="184"/>
      <c r="G106" s="184" t="s">
        <v>83</v>
      </c>
      <c r="H106" s="185"/>
      <c r="I106" s="14" t="s">
        <v>100</v>
      </c>
      <c r="J106" s="26">
        <f ca="1">H104</f>
        <v>7</v>
      </c>
    </row>
    <row r="107" spans="1:10" ht="15.75" customHeight="1" x14ac:dyDescent="0.25">
      <c r="A107" s="186" t="s">
        <v>128</v>
      </c>
      <c r="B107" s="184"/>
      <c r="C107" s="82">
        <f ca="1">J106</f>
        <v>7</v>
      </c>
      <c r="D107" s="50">
        <f ca="1">((100/H104)*C107)/100</f>
        <v>1</v>
      </c>
      <c r="E107" s="187">
        <f ca="1">(((C108/H104*10)+(40/(D104+F104+H104)*C109)+(7.5/(H104)*C110)+(7.5/(H104)*C111)+(10/H104*C112)+(10/H104*C113)+(5/H104*C114)+(5/H104*C115)+(5/H104*C116))/100)</f>
        <v>2.5000000000000001E-2</v>
      </c>
      <c r="F107" s="188"/>
      <c r="G107" s="187">
        <f ca="1">((((C107/H104)*20)+((C108/H104)*25)+(30/(H104+F104+D104)*C109)+(5/H104*C110)+(5/H104*C111)+(5/H104*C112)+(5/H104*C113)+(0/H104*C114)+(0/H104*C115)+(5/H104*C116))/100)</f>
        <v>0.26250000000000001</v>
      </c>
      <c r="H107" s="193"/>
      <c r="I107" s="14" t="s">
        <v>101</v>
      </c>
      <c r="J107" s="27">
        <f ca="1">(IF(B104&gt;1,(H104/(B104+2)),H104/4))</f>
        <v>1.75</v>
      </c>
    </row>
    <row r="108" spans="1:10" ht="15.75" customHeight="1" x14ac:dyDescent="0.25">
      <c r="A108" s="186" t="s">
        <v>49</v>
      </c>
      <c r="B108" s="184"/>
      <c r="C108" s="64">
        <f ca="1">J107</f>
        <v>1.75</v>
      </c>
      <c r="D108" s="50">
        <f ca="1">((100/H104)*C108)/100</f>
        <v>0.25</v>
      </c>
      <c r="E108" s="189"/>
      <c r="F108" s="190"/>
      <c r="G108" s="189"/>
      <c r="H108" s="194"/>
      <c r="I108" s="14" t="s">
        <v>102</v>
      </c>
      <c r="J108" s="27">
        <f ca="1">(IF(B104&gt;1,(H104/(B104+2)+J107),H104/4+J107))</f>
        <v>3.5</v>
      </c>
    </row>
    <row r="109" spans="1:10" ht="15.75" customHeight="1" x14ac:dyDescent="0.25">
      <c r="A109" s="186" t="s">
        <v>129</v>
      </c>
      <c r="B109" s="184"/>
      <c r="C109" s="82">
        <f>0</f>
        <v>0</v>
      </c>
      <c r="D109" s="50">
        <f ca="1">((100/(D104+F104+H104))*C109)/100</f>
        <v>0</v>
      </c>
      <c r="E109" s="189"/>
      <c r="F109" s="190"/>
      <c r="G109" s="189"/>
      <c r="H109" s="194"/>
      <c r="I109" s="14" t="s">
        <v>146</v>
      </c>
      <c r="J109" s="27">
        <f>(IF(B104&gt;1,(H104/(B104+2)+J108),0))</f>
        <v>0</v>
      </c>
    </row>
    <row r="110" spans="1:10" ht="15" customHeight="1" x14ac:dyDescent="0.25">
      <c r="A110" s="186" t="s">
        <v>136</v>
      </c>
      <c r="B110" s="184" t="s">
        <v>130</v>
      </c>
      <c r="C110" s="82">
        <f>0</f>
        <v>0</v>
      </c>
      <c r="D110" s="50">
        <f ca="1">((100/H104)*C110)/100</f>
        <v>0</v>
      </c>
      <c r="E110" s="189"/>
      <c r="F110" s="190"/>
      <c r="G110" s="189"/>
      <c r="H110" s="194"/>
      <c r="I110" s="14" t="s">
        <v>143</v>
      </c>
      <c r="J110" s="27">
        <f>(IF(B104&gt;2,(H104/(B104+2)+J109),0))</f>
        <v>0</v>
      </c>
    </row>
    <row r="111" spans="1:10" ht="15.75" customHeight="1" x14ac:dyDescent="0.25">
      <c r="A111" s="186" t="s">
        <v>137</v>
      </c>
      <c r="B111" s="184" t="s">
        <v>130</v>
      </c>
      <c r="C111" s="82">
        <f>0</f>
        <v>0</v>
      </c>
      <c r="D111" s="50">
        <f ca="1">((100/H104)*C111)/100</f>
        <v>0</v>
      </c>
      <c r="E111" s="189"/>
      <c r="F111" s="190"/>
      <c r="G111" s="189"/>
      <c r="H111" s="194"/>
      <c r="I111" s="14" t="s">
        <v>144</v>
      </c>
      <c r="J111" s="28">
        <f>(IF(B104&gt;3,(H104/(B104+2)+J110),0))</f>
        <v>0</v>
      </c>
    </row>
    <row r="112" spans="1:10" ht="15.75" customHeight="1" x14ac:dyDescent="0.25">
      <c r="A112" s="186" t="s">
        <v>135</v>
      </c>
      <c r="B112" s="184" t="s">
        <v>132</v>
      </c>
      <c r="C112" s="82">
        <f>0</f>
        <v>0</v>
      </c>
      <c r="D112" s="50">
        <f ca="1">((100/(H104))*C112)/100</f>
        <v>0</v>
      </c>
      <c r="E112" s="189"/>
      <c r="F112" s="190"/>
      <c r="G112" s="189"/>
      <c r="H112" s="194"/>
      <c r="I112" s="14" t="s">
        <v>145</v>
      </c>
      <c r="J112" s="27">
        <f>(IF(B104&gt;4,(H104/(B104+2)+J111),0))</f>
        <v>0</v>
      </c>
    </row>
    <row r="113" spans="1:10" ht="15.75" customHeight="1" x14ac:dyDescent="0.25">
      <c r="A113" s="186" t="s">
        <v>131</v>
      </c>
      <c r="B113" s="184" t="s">
        <v>131</v>
      </c>
      <c r="C113" s="82">
        <f>0</f>
        <v>0</v>
      </c>
      <c r="D113" s="50">
        <f ca="1">((100/H104)*C113)/100</f>
        <v>0</v>
      </c>
      <c r="E113" s="189"/>
      <c r="F113" s="190"/>
      <c r="G113" s="189"/>
      <c r="H113" s="194"/>
      <c r="I113" s="14" t="s">
        <v>147</v>
      </c>
      <c r="J113" s="27">
        <f ca="1">(IF(B104=1,(H104/(B104+3)+J108),IF(B104=0,(H104/4+J108),IF(B104&gt;1,0))))</f>
        <v>5.25</v>
      </c>
    </row>
    <row r="114" spans="1:10" ht="16.5" thickBot="1" x14ac:dyDescent="0.3">
      <c r="A114" s="186" t="s">
        <v>138</v>
      </c>
      <c r="B114" s="184"/>
      <c r="C114" s="82">
        <f>0</f>
        <v>0</v>
      </c>
      <c r="D114" s="50">
        <f ca="1">((100/H104)*C114)/100</f>
        <v>0</v>
      </c>
      <c r="E114" s="189"/>
      <c r="F114" s="190"/>
      <c r="G114" s="189"/>
      <c r="H114" s="194"/>
      <c r="I114" s="15" t="s">
        <v>103</v>
      </c>
      <c r="J114" s="29">
        <f ca="1">(IF(B104&gt;1.5,(H104/(B104+2)+J108+MAX(0,J109-J108)+MAX(0,J110-J109)+MAX(0,J111-J110)+MAX(0,J112-J111)+MAX(0,J113-J112)),IF(B104=1,(H104/(B104+3)+J113),IF(B104=0,H104/4+J113))))</f>
        <v>7</v>
      </c>
    </row>
    <row r="115" spans="1:10" ht="15.75" customHeight="1" x14ac:dyDescent="0.25">
      <c r="A115" s="186" t="s">
        <v>133</v>
      </c>
      <c r="B115" s="184" t="s">
        <v>133</v>
      </c>
      <c r="C115" s="82">
        <f>0</f>
        <v>0</v>
      </c>
      <c r="D115" s="50">
        <f ca="1">((100/(H104))*C115)/100</f>
        <v>0</v>
      </c>
      <c r="E115" s="189"/>
      <c r="F115" s="190"/>
      <c r="G115" s="189"/>
      <c r="H115" s="194"/>
      <c r="I115" s="42" t="str">
        <f ca="1">IF(D130=100%,"All work Completed. Possession granted to the Building.",IF(D129=100%,"All work Completed, Waiting for OC",I116&amp;""&amp;I117&amp;""&amp;J116&amp;""&amp;J115&amp;" "&amp;J117))</f>
        <v>Excavation, Plinth, RCC Slab, Brickwork, Internal Plaster Completed, External Plaster upto 6 Floor Completed</v>
      </c>
      <c r="J115" s="43"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External Plaster upto 6 Floor</v>
      </c>
    </row>
    <row r="116" spans="1:10" s="21" customFormat="1" ht="16.5" thickBot="1" x14ac:dyDescent="0.3">
      <c r="A116" s="196" t="s">
        <v>134</v>
      </c>
      <c r="B116" s="197"/>
      <c r="C116" s="82">
        <f>0</f>
        <v>0</v>
      </c>
      <c r="D116" s="51">
        <f ca="1">((100/(H104))*C116)/100</f>
        <v>0</v>
      </c>
      <c r="E116" s="191"/>
      <c r="F116" s="192"/>
      <c r="G116" s="191"/>
      <c r="H116" s="195"/>
      <c r="I116" s="53" t="str">
        <f ca="1">IF(D121=100%,"Excavation","")&amp;IF(D122=100%,", Plinth","")&amp;IF(D123=100%,", RCC Slab","")&amp;IF(D124=100%,", Brickwork","")&amp;IF(D125=100%,", Internal Plaster","")&amp;IF(D126=100%,", External Plaster","")&amp;IF(D127=100%,", Flooring","")&amp;IF(D128=100%,", Painting","")&amp;IF(D129=100%,", Building common Amenities","")</f>
        <v>Excavation, Plinth, RCC Slab, Brickwork, Internal Plaster</v>
      </c>
      <c r="J116" s="54" t="str">
        <f ca="1">(IF(C121=0,"Work not yet Started.",IF(D121=25%,"Piling work in process",IF(D121=50%,"Excavation work in process",IF(D121=100%,"","0")))))&amp;(IF(C122=0%,"",IF(C122=J121,", Footing work is process",IF(C122=J122,", Footing work Completed",IF(C122=J123,", 1st Basement Completed",IF(C122=J124,", 1st &amp; 2nd Basement Completed",IF(C122=J125,", 1st to 3rd Basement Completed",IF(C122=J126,", 1st to 4th Basement Completed",IF(C122=J127,", Plinth work is process",IF(C122=J128,"","0"))))))))))</f>
        <v/>
      </c>
    </row>
    <row r="117" spans="1:10" x14ac:dyDescent="0.25">
      <c r="A117" s="224" t="s">
        <v>140</v>
      </c>
      <c r="B117" s="225"/>
      <c r="C117" s="242" t="str">
        <f>D64</f>
        <v>Wing D - Stilt + 1st to 7th Floor</v>
      </c>
      <c r="D117" s="243"/>
      <c r="E117" s="243"/>
      <c r="F117" s="243"/>
      <c r="G117" s="243"/>
      <c r="H117" s="244"/>
      <c r="I117" s="44" t="str">
        <f ca="1">IF(I116&lt;&gt;""," Completed","")</f>
        <v xml:space="preserve"> Completed</v>
      </c>
      <c r="J117" s="45" t="str">
        <f ca="1">IF(J115&lt;&gt;"","Completed","")</f>
        <v>Completed</v>
      </c>
    </row>
    <row r="118" spans="1:10" ht="15.75" customHeight="1" x14ac:dyDescent="0.25">
      <c r="A118" s="16" t="s">
        <v>142</v>
      </c>
      <c r="B118" s="79">
        <v>0</v>
      </c>
      <c r="C118" s="79" t="s">
        <v>70</v>
      </c>
      <c r="D118" s="79">
        <v>1</v>
      </c>
      <c r="E118" s="79" t="s">
        <v>69</v>
      </c>
      <c r="F118" s="79">
        <v>0</v>
      </c>
      <c r="G118" s="79" t="s">
        <v>79</v>
      </c>
      <c r="H118" s="17">
        <f ca="1">--TRIM(RIGHT(SUBSTITUTE(LEFT(C117,_xlfn.AGGREGATE(16,6,FIND({0,1,2,3,4,5,6,7,8,9},C117,ROW(INDIRECT("1:"&amp;LEN(C117)))),1))," ",REPT(" ",LEN(C117))),LEN(C117)))</f>
        <v>7</v>
      </c>
      <c r="I118" s="14" t="s">
        <v>141</v>
      </c>
      <c r="J118" s="25">
        <f ca="1">H118*25%</f>
        <v>1.75</v>
      </c>
    </row>
    <row r="119" spans="1:10" ht="33.75" customHeight="1" x14ac:dyDescent="0.25">
      <c r="A119" s="245" t="s">
        <v>89</v>
      </c>
      <c r="B119" s="107"/>
      <c r="C119" s="238" t="str">
        <f ca="1">(IF($G$56="NA",I115,"All work Completed. OC Received."))</f>
        <v>Excavation, Plinth, RCC Slab, Brickwork, Internal Plaster Completed, External Plaster upto 6 Floor Completed</v>
      </c>
      <c r="D119" s="238"/>
      <c r="E119" s="238"/>
      <c r="F119" s="238"/>
      <c r="G119" s="238"/>
      <c r="H119" s="239"/>
      <c r="I119" s="14" t="s">
        <v>99</v>
      </c>
      <c r="J119" s="26">
        <f ca="1">H118*50%</f>
        <v>3.5</v>
      </c>
    </row>
    <row r="120" spans="1:10" x14ac:dyDescent="0.25">
      <c r="A120" s="186" t="s">
        <v>48</v>
      </c>
      <c r="B120" s="184"/>
      <c r="C120" s="75" t="s">
        <v>139</v>
      </c>
      <c r="D120" s="75" t="s">
        <v>82</v>
      </c>
      <c r="E120" s="184" t="s">
        <v>84</v>
      </c>
      <c r="F120" s="184"/>
      <c r="G120" s="184" t="s">
        <v>83</v>
      </c>
      <c r="H120" s="185"/>
      <c r="I120" s="14" t="s">
        <v>100</v>
      </c>
      <c r="J120" s="26">
        <f ca="1">H118</f>
        <v>7</v>
      </c>
    </row>
    <row r="121" spans="1:10" ht="15.75" customHeight="1" x14ac:dyDescent="0.25">
      <c r="A121" s="186" t="s">
        <v>128</v>
      </c>
      <c r="B121" s="184"/>
      <c r="C121" s="75">
        <f ca="1">J120</f>
        <v>7</v>
      </c>
      <c r="D121" s="50">
        <f ca="1">((100/H118)*C121)/100</f>
        <v>1</v>
      </c>
      <c r="E121" s="187">
        <f ca="1">(((C122/H118*10)+(40/(D118+F118+H118)*C123)+(7.5/(H118)*C124)+(7.5/(H118)*C125)+(10/H118*C126)+(10/H118*C127)+(5/H118*C128)+(5/H118*C129)+(5/H118*C130))/100)</f>
        <v>0.73571428571428565</v>
      </c>
      <c r="F121" s="188"/>
      <c r="G121" s="187">
        <f ca="1">((((C121/H118)*20)+((C122/H118)*25)+(30/(H118+F118+D118)*C123)+(5/H118*C124)+(5/H118*C125)+(5/H118*C126)+(5/H118*C127)+(0/H118*C128)+(0/H118*C129)+(5/H118*C130))/100)</f>
        <v>0.8928571428571429</v>
      </c>
      <c r="H121" s="193"/>
      <c r="I121" s="14" t="s">
        <v>101</v>
      </c>
      <c r="J121" s="27">
        <f ca="1">(IF(B118&gt;1,(H118/(B118+2)),H118/4))</f>
        <v>1.75</v>
      </c>
    </row>
    <row r="122" spans="1:10" ht="15.75" customHeight="1" x14ac:dyDescent="0.25">
      <c r="A122" s="186" t="s">
        <v>49</v>
      </c>
      <c r="B122" s="184"/>
      <c r="C122" s="75">
        <f ca="1">J128</f>
        <v>7</v>
      </c>
      <c r="D122" s="50">
        <f ca="1">((100/H118)*C122)/100</f>
        <v>1</v>
      </c>
      <c r="E122" s="189"/>
      <c r="F122" s="190"/>
      <c r="G122" s="189"/>
      <c r="H122" s="194"/>
      <c r="I122" s="14" t="s">
        <v>102</v>
      </c>
      <c r="J122" s="27">
        <f ca="1">(IF(B118&gt;1,(H118/(B118+2)+J121),H118/4+J121))</f>
        <v>3.5</v>
      </c>
    </row>
    <row r="123" spans="1:10" ht="15.75" customHeight="1" x14ac:dyDescent="0.25">
      <c r="A123" s="186" t="s">
        <v>129</v>
      </c>
      <c r="B123" s="184"/>
      <c r="C123" s="75">
        <f>8</f>
        <v>8</v>
      </c>
      <c r="D123" s="50">
        <f ca="1">((100/(D118+F118+H118))*C123)/100</f>
        <v>1</v>
      </c>
      <c r="E123" s="189"/>
      <c r="F123" s="190"/>
      <c r="G123" s="189"/>
      <c r="H123" s="194"/>
      <c r="I123" s="14" t="s">
        <v>146</v>
      </c>
      <c r="J123" s="27">
        <f>(IF(B118&gt;1,(H118/(B118+2)+J122),0))</f>
        <v>0</v>
      </c>
    </row>
    <row r="124" spans="1:10" ht="15" customHeight="1" x14ac:dyDescent="0.25">
      <c r="A124" s="186" t="s">
        <v>136</v>
      </c>
      <c r="B124" s="184" t="s">
        <v>130</v>
      </c>
      <c r="C124" s="75">
        <f>7</f>
        <v>7</v>
      </c>
      <c r="D124" s="50">
        <f ca="1">((100/H118)*C124)/100</f>
        <v>1</v>
      </c>
      <c r="E124" s="189"/>
      <c r="F124" s="190"/>
      <c r="G124" s="189"/>
      <c r="H124" s="194"/>
      <c r="I124" s="14" t="s">
        <v>143</v>
      </c>
      <c r="J124" s="27">
        <f>(IF(B118&gt;2,(H118/(B118+2)+J123),0))</f>
        <v>0</v>
      </c>
    </row>
    <row r="125" spans="1:10" ht="15.75" customHeight="1" x14ac:dyDescent="0.25">
      <c r="A125" s="186" t="s">
        <v>137</v>
      </c>
      <c r="B125" s="184" t="s">
        <v>130</v>
      </c>
      <c r="C125" s="75">
        <v>7</v>
      </c>
      <c r="D125" s="50">
        <f ca="1">((100/H118)*C125)/100</f>
        <v>1</v>
      </c>
      <c r="E125" s="189"/>
      <c r="F125" s="190"/>
      <c r="G125" s="189"/>
      <c r="H125" s="194"/>
      <c r="I125" s="14" t="s">
        <v>144</v>
      </c>
      <c r="J125" s="28">
        <f>(IF(B118&gt;3,(H118/(B118+2)+J124),0))</f>
        <v>0</v>
      </c>
    </row>
    <row r="126" spans="1:10" ht="15.75" customHeight="1" x14ac:dyDescent="0.25">
      <c r="A126" s="186" t="s">
        <v>135</v>
      </c>
      <c r="B126" s="184" t="s">
        <v>132</v>
      </c>
      <c r="C126" s="75">
        <v>6</v>
      </c>
      <c r="D126" s="50">
        <f ca="1">((100/(H118))*C126)/100</f>
        <v>0.85714285714285721</v>
      </c>
      <c r="E126" s="189"/>
      <c r="F126" s="190"/>
      <c r="G126" s="189"/>
      <c r="H126" s="194"/>
      <c r="I126" s="14" t="s">
        <v>145</v>
      </c>
      <c r="J126" s="27">
        <f>(IF(B118&gt;4,(H118/(B118+2)+J125),0))</f>
        <v>0</v>
      </c>
    </row>
    <row r="127" spans="1:10" ht="15.75" customHeight="1" x14ac:dyDescent="0.25">
      <c r="A127" s="186" t="s">
        <v>131</v>
      </c>
      <c r="B127" s="184" t="s">
        <v>131</v>
      </c>
      <c r="C127" s="75">
        <v>0</v>
      </c>
      <c r="D127" s="50">
        <f ca="1">((100/H118)*C127)/100</f>
        <v>0</v>
      </c>
      <c r="E127" s="189"/>
      <c r="F127" s="190"/>
      <c r="G127" s="189"/>
      <c r="H127" s="194"/>
      <c r="I127" s="14" t="s">
        <v>147</v>
      </c>
      <c r="J127" s="27">
        <f ca="1">(IF(B118=1,(H118/(B118+3)+J122),IF(B118=0,(H118/4+J122),IF(B118&gt;1,0))))</f>
        <v>5.25</v>
      </c>
    </row>
    <row r="128" spans="1:10" ht="16.5" thickBot="1" x14ac:dyDescent="0.3">
      <c r="A128" s="186" t="s">
        <v>138</v>
      </c>
      <c r="B128" s="184"/>
      <c r="C128" s="75">
        <v>0</v>
      </c>
      <c r="D128" s="50">
        <f ca="1">((100/H118)*C128)/100</f>
        <v>0</v>
      </c>
      <c r="E128" s="189"/>
      <c r="F128" s="190"/>
      <c r="G128" s="189"/>
      <c r="H128" s="194"/>
      <c r="I128" s="15" t="s">
        <v>103</v>
      </c>
      <c r="J128" s="29">
        <f ca="1">(IF(B118&gt;1.5,(H118/(B118+2)+J122+MAX(0,J123-J122)+MAX(0,J124-J123)+MAX(0,J125-J124)+MAX(0,J126-J125)+MAX(0,J127-J126)),IF(B118=1,(H118/(B118+3)+J127),IF(B118=0,H118/4+J127))))</f>
        <v>7</v>
      </c>
    </row>
    <row r="129" spans="1:11" x14ac:dyDescent="0.25">
      <c r="A129" s="186" t="s">
        <v>133</v>
      </c>
      <c r="B129" s="184" t="s">
        <v>133</v>
      </c>
      <c r="C129" s="75">
        <v>0</v>
      </c>
      <c r="D129" s="50">
        <f ca="1">((100/(H118))*C129)/100</f>
        <v>0</v>
      </c>
      <c r="E129" s="189"/>
      <c r="F129" s="190"/>
      <c r="G129" s="189"/>
      <c r="H129" s="194"/>
      <c r="I129" s="42" t="str">
        <f ca="1">IF(D144=100%,"All work Completed. Possession granted to the Building.",IF(D143=100%,"All work Completed, Waiting for OC",I130&amp;""&amp;I131&amp;""&amp;J130&amp;""&amp;J129&amp;" "&amp;J131))</f>
        <v>Excavation, Plinth, RCC Slab, Brickwork, Internal Plaster Completed, External Plaster upto 5 Floor Completed</v>
      </c>
      <c r="J129" s="43" t="str">
        <f ca="1">(IF(C137=(D132+F132+H132),"",IF(C137&gt;0,", RCC upto "&amp;C137&amp;" Slab","")))&amp;(IF(C138=H132,"",IF(C138&gt;0,", Brickwork upto "&amp;C138&amp;" Floor","")))&amp;(IF(C139=H132,"",IF(C139&gt;0,", Internal Plaster upto "&amp;C139&amp;" Floor","")))&amp;(IF(C140=H132,"",IF(C140&gt;0,", External Plaster upto "&amp;C140&amp;" Floor","")))&amp;(IF(C141=H132,"",IF(C141&gt;0,", Flooring upto "&amp;C141&amp;" Floor","")))&amp;(IF(C142=H132,"",IF(C142&gt;0,", Painting upto "&amp;C142&amp;" Floor","")))&amp;(IF(C143=H132,"",IF(C143&gt;0,", Finishing upto "&amp;C143&amp;" Floor","")))&amp;(IF(C144=H132,"",IF(C144&gt;0,", Possession upto "&amp;C144&amp;" Floor","")))</f>
        <v>, External Plaster upto 5 Floor</v>
      </c>
    </row>
    <row r="130" spans="1:11" ht="15.75" customHeight="1" thickBot="1" x14ac:dyDescent="0.3">
      <c r="A130" s="196" t="s">
        <v>134</v>
      </c>
      <c r="B130" s="197"/>
      <c r="C130" s="78">
        <v>0</v>
      </c>
      <c r="D130" s="51">
        <f ca="1">((100/(H118))*C130)/100</f>
        <v>0</v>
      </c>
      <c r="E130" s="191"/>
      <c r="F130" s="192"/>
      <c r="G130" s="191"/>
      <c r="H130" s="195"/>
      <c r="I130" s="44" t="str">
        <f ca="1">IF(D135=100%,"Excavation","")&amp;IF(D136=100%,", Plinth","")&amp;IF(D137=100%,", RCC Slab","")&amp;IF(D138=100%,", Brickwork","")&amp;IF(D139=100%,", Internal Plaster","")&amp;IF(D140=100%,", External Plaster","")&amp;IF(D141=100%,", Flooring","")&amp;IF(D142=100%,", Painting","")&amp;IF(D143=100%,", Building common Amenities","")</f>
        <v>Excavation, Plinth, RCC Slab, Brickwork, Internal Plaster</v>
      </c>
      <c r="J130" s="45" t="str">
        <f ca="1">(IF(C135=0,"Work not yet Started.",IF(D135=25%,"Piling work in process",IF(D135=50%,"Excavation work in process",IF(D135=100%,"","0")))))&amp;(IF(C136=0%,"",IF(C136=J135,", Footing work is process",IF(C136=J136,", Footing work Completed",IF(C136=J137,", 1st Basement Completed",IF(C136=J138,", 1st &amp; 2nd Basement Completed",IF(C136=J139,", 1st to 3rd Basement Completed",IF(C136=J140,", 1st to 4th Basement Completed",IF(C136=J141,", Plinth work is process",IF(C136=J142,"","0"))))))))))</f>
        <v/>
      </c>
      <c r="K130" s="21"/>
    </row>
    <row r="131" spans="1:11" s="21" customFormat="1" x14ac:dyDescent="0.25">
      <c r="A131" s="298" t="s">
        <v>140</v>
      </c>
      <c r="B131" s="299"/>
      <c r="C131" s="198" t="str">
        <f>D65</f>
        <v>Wing E - Stilt + 1st to 7th Floor</v>
      </c>
      <c r="D131" s="199"/>
      <c r="E131" s="199"/>
      <c r="F131" s="199"/>
      <c r="G131" s="199"/>
      <c r="H131" s="200"/>
      <c r="I131" s="44" t="str">
        <f ca="1">IF(I130&lt;&gt;""," Completed","")</f>
        <v xml:space="preserve"> Completed</v>
      </c>
      <c r="J131" s="45" t="str">
        <f ca="1">IF(J129&lt;&gt;"","Completed","")</f>
        <v>Completed</v>
      </c>
      <c r="K131" s="19"/>
    </row>
    <row r="132" spans="1:11" x14ac:dyDescent="0.25">
      <c r="A132" s="16" t="s">
        <v>142</v>
      </c>
      <c r="B132" s="58">
        <v>0</v>
      </c>
      <c r="C132" s="58" t="s">
        <v>70</v>
      </c>
      <c r="D132" s="58">
        <v>1</v>
      </c>
      <c r="E132" s="58" t="s">
        <v>69</v>
      </c>
      <c r="F132" s="58">
        <v>0</v>
      </c>
      <c r="G132" s="58" t="s">
        <v>79</v>
      </c>
      <c r="H132" s="17">
        <f ca="1">--TRIM(RIGHT(SUBSTITUTE(LEFT(C131,_xlfn.AGGREGATE(16,6,FIND({0,1,2,3,4,5,6,7,8,9},C131,ROW(INDIRECT("1:"&amp;LEN(C131)))),1))," ",REPT(" ",LEN(C131))),LEN(C131)))</f>
        <v>7</v>
      </c>
      <c r="I132" s="14" t="s">
        <v>141</v>
      </c>
      <c r="J132" s="25">
        <f ca="1">H132*25%</f>
        <v>1.75</v>
      </c>
    </row>
    <row r="133" spans="1:11" ht="32.25" customHeight="1" x14ac:dyDescent="0.25">
      <c r="A133" s="245" t="s">
        <v>89</v>
      </c>
      <c r="B133" s="107"/>
      <c r="C133" s="238" t="str">
        <f ca="1">I129</f>
        <v>Excavation, Plinth, RCC Slab, Brickwork, Internal Plaster Completed, External Plaster upto 5 Floor Completed</v>
      </c>
      <c r="D133" s="238"/>
      <c r="E133" s="238"/>
      <c r="F133" s="238"/>
      <c r="G133" s="238"/>
      <c r="H133" s="239"/>
      <c r="I133" s="14" t="s">
        <v>99</v>
      </c>
      <c r="J133" s="26">
        <f ca="1">H132*50%</f>
        <v>3.5</v>
      </c>
    </row>
    <row r="134" spans="1:11" x14ac:dyDescent="0.25">
      <c r="A134" s="186" t="s">
        <v>48</v>
      </c>
      <c r="B134" s="184"/>
      <c r="C134" s="57" t="s">
        <v>139</v>
      </c>
      <c r="D134" s="57" t="s">
        <v>82</v>
      </c>
      <c r="E134" s="184" t="s">
        <v>84</v>
      </c>
      <c r="F134" s="184"/>
      <c r="G134" s="184" t="s">
        <v>83</v>
      </c>
      <c r="H134" s="185"/>
      <c r="I134" s="14" t="s">
        <v>100</v>
      </c>
      <c r="J134" s="26">
        <f ca="1">H132</f>
        <v>7</v>
      </c>
    </row>
    <row r="135" spans="1:11" x14ac:dyDescent="0.25">
      <c r="A135" s="186" t="s">
        <v>128</v>
      </c>
      <c r="B135" s="184"/>
      <c r="C135" s="57">
        <f ca="1">J134</f>
        <v>7</v>
      </c>
      <c r="D135" s="50">
        <f ca="1">((100/H132)*C135)/100</f>
        <v>1</v>
      </c>
      <c r="E135" s="187">
        <f ca="1">(((C136/H132*10)+(40/(D132+F132+H132)*C137)+(7.5/(H132)*C138)+(7.5/(H132)*C139)+(10/H132*C140)+(10/H132*C141)+(5/H132*C142)+(5/H132*C143)+(5/H132*C144))/100)</f>
        <v>0.72142857142857142</v>
      </c>
      <c r="F135" s="188"/>
      <c r="G135" s="187">
        <f ca="1">((((C135/H132)*20)+((C136/H132)*25)+(30/(H132+F132+D132)*C137)+(5/H132*C138)+(5/H132*C139)+(5/H132*C140)+(5/H132*C141)+(0/H132*C142)+(0/H132*C143)+(5/H132*C144))/100)</f>
        <v>0.88571428571428568</v>
      </c>
      <c r="H135" s="193"/>
      <c r="I135" s="14" t="s">
        <v>101</v>
      </c>
      <c r="J135" s="27">
        <f ca="1">(IF(B132&gt;1,(H132/(B132+2)),H132/4))</f>
        <v>1.75</v>
      </c>
    </row>
    <row r="136" spans="1:11" ht="15.75" customHeight="1" x14ac:dyDescent="0.25">
      <c r="A136" s="186" t="s">
        <v>49</v>
      </c>
      <c r="B136" s="184"/>
      <c r="C136" s="64">
        <f ca="1">J142</f>
        <v>7</v>
      </c>
      <c r="D136" s="50">
        <f ca="1">((100/H132)*C136)/100</f>
        <v>1</v>
      </c>
      <c r="E136" s="189"/>
      <c r="F136" s="190"/>
      <c r="G136" s="189"/>
      <c r="H136" s="194"/>
      <c r="I136" s="14" t="s">
        <v>102</v>
      </c>
      <c r="J136" s="27">
        <f ca="1">(IF(B132&gt;1,(H132/(B132+2)+J135),H132/4+J135))</f>
        <v>3.5</v>
      </c>
    </row>
    <row r="137" spans="1:11" ht="15.75" customHeight="1" x14ac:dyDescent="0.25">
      <c r="A137" s="186" t="s">
        <v>129</v>
      </c>
      <c r="B137" s="184"/>
      <c r="C137" s="57">
        <v>8</v>
      </c>
      <c r="D137" s="50">
        <f ca="1">((100/(D132+F132+H132))*C137)/100</f>
        <v>1</v>
      </c>
      <c r="E137" s="189"/>
      <c r="F137" s="190"/>
      <c r="G137" s="189"/>
      <c r="H137" s="194"/>
      <c r="I137" s="14" t="s">
        <v>146</v>
      </c>
      <c r="J137" s="27">
        <f>(IF(B132&gt;1,(H132/(B132+2)+J136),0))</f>
        <v>0</v>
      </c>
    </row>
    <row r="138" spans="1:11" ht="15.75" customHeight="1" x14ac:dyDescent="0.25">
      <c r="A138" s="186" t="s">
        <v>136</v>
      </c>
      <c r="B138" s="184" t="s">
        <v>130</v>
      </c>
      <c r="C138" s="57">
        <v>7</v>
      </c>
      <c r="D138" s="50">
        <f ca="1">((100/H132)*C138)/100</f>
        <v>1</v>
      </c>
      <c r="E138" s="189"/>
      <c r="F138" s="190"/>
      <c r="G138" s="189"/>
      <c r="H138" s="194"/>
      <c r="I138" s="14" t="s">
        <v>143</v>
      </c>
      <c r="J138" s="27">
        <f>(IF(B132&gt;2,(H132/(B132+2)+J137),0))</f>
        <v>0</v>
      </c>
    </row>
    <row r="139" spans="1:11" ht="15" customHeight="1" x14ac:dyDescent="0.25">
      <c r="A139" s="186" t="s">
        <v>137</v>
      </c>
      <c r="B139" s="184" t="s">
        <v>130</v>
      </c>
      <c r="C139" s="57">
        <v>7</v>
      </c>
      <c r="D139" s="50">
        <f ca="1">((100/H132)*C139)/100</f>
        <v>1</v>
      </c>
      <c r="E139" s="189"/>
      <c r="F139" s="190"/>
      <c r="G139" s="189"/>
      <c r="H139" s="194"/>
      <c r="I139" s="14" t="s">
        <v>144</v>
      </c>
      <c r="J139" s="28">
        <f>(IF(B132&gt;3,(H132/(B132+2)+J138),0))</f>
        <v>0</v>
      </c>
    </row>
    <row r="140" spans="1:11" ht="15.75" customHeight="1" x14ac:dyDescent="0.25">
      <c r="A140" s="186" t="s">
        <v>135</v>
      </c>
      <c r="B140" s="184" t="s">
        <v>132</v>
      </c>
      <c r="C140" s="57">
        <v>5</v>
      </c>
      <c r="D140" s="50">
        <f ca="1">((100/(H132))*C140)/100</f>
        <v>0.7142857142857143</v>
      </c>
      <c r="E140" s="189"/>
      <c r="F140" s="190"/>
      <c r="G140" s="189"/>
      <c r="H140" s="194"/>
      <c r="I140" s="14" t="s">
        <v>145</v>
      </c>
      <c r="J140" s="27">
        <f>(IF(B132&gt;4,(H132/(B132+2)+J139),0))</f>
        <v>0</v>
      </c>
    </row>
    <row r="141" spans="1:11" ht="15.75" customHeight="1" x14ac:dyDescent="0.25">
      <c r="A141" s="186" t="s">
        <v>131</v>
      </c>
      <c r="B141" s="184" t="s">
        <v>131</v>
      </c>
      <c r="C141" s="57">
        <v>0</v>
      </c>
      <c r="D141" s="50">
        <f ca="1">((100/H132)*C141)/100</f>
        <v>0</v>
      </c>
      <c r="E141" s="189"/>
      <c r="F141" s="190"/>
      <c r="G141" s="189"/>
      <c r="H141" s="194"/>
      <c r="I141" s="14" t="s">
        <v>147</v>
      </c>
      <c r="J141" s="27">
        <f ca="1">(IF(B132=1,(H132/(B132+3)+J136),IF(B132=0,(H132/4+J136),IF(B132&gt;1,0))))</f>
        <v>5.25</v>
      </c>
    </row>
    <row r="142" spans="1:11" ht="15.75" customHeight="1" thickBot="1" x14ac:dyDescent="0.3">
      <c r="A142" s="186" t="s">
        <v>138</v>
      </c>
      <c r="B142" s="184"/>
      <c r="C142" s="57">
        <v>0</v>
      </c>
      <c r="D142" s="50">
        <f ca="1">((100/H132)*C142)/100</f>
        <v>0</v>
      </c>
      <c r="E142" s="189"/>
      <c r="F142" s="190"/>
      <c r="G142" s="189"/>
      <c r="H142" s="194"/>
      <c r="I142" s="15" t="s">
        <v>103</v>
      </c>
      <c r="J142" s="29">
        <f ca="1">(IF(B132&gt;1.5,(H132/(B132+2)+J136+MAX(0,J137-J136)+MAX(0,J138-J137)+MAX(0,J139-J138)+MAX(0,J140-J139)+MAX(0,J141-J140)),IF(B132=1,(H132/(B132+3)+J141),IF(B132=0,H132/4+J141))))</f>
        <v>7</v>
      </c>
    </row>
    <row r="143" spans="1:11" x14ac:dyDescent="0.25">
      <c r="A143" s="186" t="s">
        <v>133</v>
      </c>
      <c r="B143" s="184" t="s">
        <v>133</v>
      </c>
      <c r="C143" s="57">
        <v>0</v>
      </c>
      <c r="D143" s="50">
        <f ca="1">((100/(H132))*C143)/100</f>
        <v>0</v>
      </c>
      <c r="E143" s="189"/>
      <c r="F143" s="190"/>
      <c r="G143" s="189"/>
      <c r="H143" s="194"/>
      <c r="I143" s="42" t="str">
        <f ca="1">IF(D158=100%,"All work Completed. Possession granted to the Building.",IF(D157=100%,"All work Completed, Waiting for OC",I144&amp;""&amp;I145&amp;""&amp;J144&amp;""&amp;J143&amp;" "&amp;J145))</f>
        <v>All work Completed. Possession granted to the Building.</v>
      </c>
      <c r="J143" s="43" t="str">
        <f ca="1">(IF(C151=(D146+F146+H146),"",IF(C151&gt;0,", RCC upto "&amp;C151&amp;" Slab","")))&amp;(IF(C152=H146,"",IF(C152&gt;0,", Brickwork upto "&amp;C152&amp;" Floor","")))&amp;(IF(C153=H146,"",IF(C153&gt;0,", Internal Plaster upto "&amp;C153&amp;" Floor","")))&amp;(IF(C154=H146,"",IF(C154&gt;0,", External Plaster upto "&amp;C154&amp;" Floor","")))&amp;(IF(C155=H146,"",IF(C155&gt;0,", Flooring upto "&amp;C155&amp;" Floor","")))&amp;(IF(C156=H146,"",IF(C156&gt;0,", Painting upto "&amp;C156&amp;" Floor","")))&amp;(IF(C157=H146,"",IF(C157&gt;0,", Finishing upto "&amp;C157&amp;" Floor","")))&amp;(IF(C158=H146,"",IF(C158&gt;0,", Possession upto "&amp;C158&amp;" Floor","")))</f>
        <v/>
      </c>
    </row>
    <row r="144" spans="1:11" ht="15.75" customHeight="1" thickBot="1" x14ac:dyDescent="0.3">
      <c r="A144" s="196" t="s">
        <v>134</v>
      </c>
      <c r="B144" s="197"/>
      <c r="C144" s="59">
        <v>0</v>
      </c>
      <c r="D144" s="51">
        <f ca="1">((100/(H132))*C144)/100</f>
        <v>0</v>
      </c>
      <c r="E144" s="191"/>
      <c r="F144" s="192"/>
      <c r="G144" s="191"/>
      <c r="H144" s="195"/>
      <c r="I144" s="53" t="str">
        <f ca="1">IF(D149=100%,"Excavation","")&amp;IF(D150=100%,", Plinth","")&amp;IF(D151=100%,", RCC Slab","")&amp;IF(D152=100%,", Brickwork","")&amp;IF(D153=100%,", Internal Plaster","")&amp;IF(D154=100%,", External Plaster","")&amp;IF(D155=100%,", Flooring","")&amp;IF(D156=100%,", Painting","")&amp;IF(D157=100%,", Building common Amenities","")</f>
        <v>Excavation, Plinth, RCC Slab, Brickwork, Internal Plaster, External Plaster, Flooring, Painting, Building common Amenities</v>
      </c>
      <c r="J144" s="54" t="str">
        <f ca="1">(IF(C149=0,"Work not yet Started.",IF(D149=25%,"Piling work in process",IF(D149=50%,"Excavation work in process",IF(D149=100%,"","0")))))&amp;(IF(C150=0%,"",IF(C150=J149,", Footing work is process",IF(C150=J150,", Footing work Completed",IF(C150=J151,", 1st Basement Completed",IF(C150=J152,", 1st &amp; 2nd Basement Completed",IF(C150=J153,", 1st to 3rd Basement Completed",IF(C150=J154,", 1st to 4th Basement Completed",IF(C150=J155,", Plinth work is process",IF(C150=J156,"","0"))))))))))</f>
        <v/>
      </c>
    </row>
    <row r="145" spans="1:12" s="21" customFormat="1" x14ac:dyDescent="0.25">
      <c r="A145" s="281" t="s">
        <v>140</v>
      </c>
      <c r="B145" s="282"/>
      <c r="C145" s="242" t="s">
        <v>261</v>
      </c>
      <c r="D145" s="243"/>
      <c r="E145" s="243"/>
      <c r="F145" s="243"/>
      <c r="G145" s="243"/>
      <c r="H145" s="244"/>
      <c r="I145" s="44" t="str">
        <f ca="1">IF(I144&lt;&gt;""," Completed","")</f>
        <v xml:space="preserve"> Completed</v>
      </c>
      <c r="J145" s="45" t="str">
        <f ca="1">IF(J143&lt;&gt;"","Completed","")</f>
        <v/>
      </c>
    </row>
    <row r="146" spans="1:12" x14ac:dyDescent="0.25">
      <c r="A146" s="16" t="s">
        <v>142</v>
      </c>
      <c r="B146" s="79">
        <v>0</v>
      </c>
      <c r="C146" s="79" t="s">
        <v>70</v>
      </c>
      <c r="D146" s="79">
        <v>1</v>
      </c>
      <c r="E146" s="79" t="s">
        <v>69</v>
      </c>
      <c r="F146" s="79">
        <v>0</v>
      </c>
      <c r="G146" s="79" t="s">
        <v>79</v>
      </c>
      <c r="H146" s="17">
        <f ca="1">--TRIM(RIGHT(SUBSTITUTE(LEFT(C145,_xlfn.AGGREGATE(16,6,FIND({0,1,2,3,4,5,6,7,8,9},C145,ROW(INDIRECT("1:"&amp;LEN(C145)))),1))," ",REPT(" ",LEN(C145))),LEN(C145)))</f>
        <v>8</v>
      </c>
      <c r="I146" s="14" t="s">
        <v>141</v>
      </c>
      <c r="J146" s="25">
        <f ca="1">H146*25%</f>
        <v>2</v>
      </c>
    </row>
    <row r="147" spans="1:12" ht="15.75" customHeight="1" thickBot="1" x14ac:dyDescent="0.3">
      <c r="A147" s="245" t="s">
        <v>89</v>
      </c>
      <c r="B147" s="107"/>
      <c r="C147" s="238" t="s">
        <v>262</v>
      </c>
      <c r="D147" s="238"/>
      <c r="E147" s="238"/>
      <c r="F147" s="238"/>
      <c r="G147" s="238"/>
      <c r="H147" s="239"/>
      <c r="I147" s="14" t="s">
        <v>99</v>
      </c>
      <c r="J147" s="26">
        <f ca="1">H146*50%</f>
        <v>4</v>
      </c>
    </row>
    <row r="148" spans="1:12" hidden="1" x14ac:dyDescent="0.25">
      <c r="A148" s="186" t="s">
        <v>48</v>
      </c>
      <c r="B148" s="184"/>
      <c r="C148" s="75" t="s">
        <v>139</v>
      </c>
      <c r="D148" s="75" t="s">
        <v>82</v>
      </c>
      <c r="E148" s="184" t="s">
        <v>84</v>
      </c>
      <c r="F148" s="184"/>
      <c r="G148" s="184" t="s">
        <v>83</v>
      </c>
      <c r="H148" s="185"/>
      <c r="I148" s="14" t="s">
        <v>100</v>
      </c>
      <c r="J148" s="26">
        <f ca="1">H146</f>
        <v>8</v>
      </c>
    </row>
    <row r="149" spans="1:12" hidden="1" x14ac:dyDescent="0.25">
      <c r="A149" s="186" t="s">
        <v>128</v>
      </c>
      <c r="B149" s="184"/>
      <c r="C149" s="75">
        <f ca="1">J148</f>
        <v>8</v>
      </c>
      <c r="D149" s="50">
        <f ca="1">((100/H146)*C149)/100</f>
        <v>1</v>
      </c>
      <c r="E149" s="187">
        <f ca="1">(((C150/H146*10)+(40/(D146+F146+H146)*C151)+(7.5/(H146)*C152)+(7.5/(H146)*C153)+(10/H146*C154)+(10/H146*C155)+(5/H146*C156)+(5/H146*C157)+(5/H146*C158))/100)</f>
        <v>1</v>
      </c>
      <c r="F149" s="188"/>
      <c r="G149" s="187">
        <f ca="1">((((C149/H146)*20)+((C150/H146)*25)+(30/(H146+F146+D146)*C151)+(5/H146*C152)+(5/H146*C153)+(5/H146*C154)+(5/H146*C155)+(0/H146*C156)+(0/H146*C157)+(5/H146*C158))/100)</f>
        <v>1</v>
      </c>
      <c r="H149" s="193"/>
      <c r="I149" s="14" t="s">
        <v>101</v>
      </c>
      <c r="J149" s="27">
        <f ca="1">(IF(B146&gt;1,(H146/(B146+2)),H146/4))</f>
        <v>2</v>
      </c>
    </row>
    <row r="150" spans="1:12" ht="15.75" hidden="1" customHeight="1" x14ac:dyDescent="0.25">
      <c r="A150" s="186" t="s">
        <v>49</v>
      </c>
      <c r="B150" s="184"/>
      <c r="C150" s="75">
        <f ca="1">J156</f>
        <v>8</v>
      </c>
      <c r="D150" s="50">
        <f ca="1">((100/H146)*C150)/100</f>
        <v>1</v>
      </c>
      <c r="E150" s="189"/>
      <c r="F150" s="190"/>
      <c r="G150" s="189"/>
      <c r="H150" s="194"/>
      <c r="I150" s="14" t="s">
        <v>102</v>
      </c>
      <c r="J150" s="27">
        <f ca="1">(IF(B146&gt;1,(H146/(B146+2)+J149),H146/4+J149))</f>
        <v>4</v>
      </c>
    </row>
    <row r="151" spans="1:12" ht="15.75" hidden="1" customHeight="1" x14ac:dyDescent="0.25">
      <c r="A151" s="186" t="s">
        <v>129</v>
      </c>
      <c r="B151" s="184"/>
      <c r="C151" s="75">
        <v>9</v>
      </c>
      <c r="D151" s="50">
        <f ca="1">((100/(D146+F146+H146))*C151)/100</f>
        <v>1</v>
      </c>
      <c r="E151" s="189"/>
      <c r="F151" s="190"/>
      <c r="G151" s="189"/>
      <c r="H151" s="194"/>
      <c r="I151" s="14" t="s">
        <v>146</v>
      </c>
      <c r="J151" s="27">
        <f>(IF(B146&gt;1,(H146/(B146+2)+J150),0))</f>
        <v>0</v>
      </c>
    </row>
    <row r="152" spans="1:12" ht="15.75" hidden="1" customHeight="1" x14ac:dyDescent="0.25">
      <c r="A152" s="186" t="s">
        <v>136</v>
      </c>
      <c r="B152" s="184" t="s">
        <v>130</v>
      </c>
      <c r="C152" s="75">
        <v>8</v>
      </c>
      <c r="D152" s="50">
        <f ca="1">((100/H146)*C152)/100</f>
        <v>1</v>
      </c>
      <c r="E152" s="189"/>
      <c r="F152" s="190"/>
      <c r="G152" s="189"/>
      <c r="H152" s="194"/>
      <c r="I152" s="14" t="s">
        <v>143</v>
      </c>
      <c r="J152" s="27">
        <f>(IF(B146&gt;2,(H146/(B146+2)+J151),0))</f>
        <v>0</v>
      </c>
    </row>
    <row r="153" spans="1:12" ht="15" hidden="1" customHeight="1" x14ac:dyDescent="0.25">
      <c r="A153" s="186" t="s">
        <v>137</v>
      </c>
      <c r="B153" s="184" t="s">
        <v>130</v>
      </c>
      <c r="C153" s="75">
        <v>8</v>
      </c>
      <c r="D153" s="50">
        <f ca="1">((100/H146)*C153)/100</f>
        <v>1</v>
      </c>
      <c r="E153" s="189"/>
      <c r="F153" s="190"/>
      <c r="G153" s="189"/>
      <c r="H153" s="194"/>
      <c r="I153" s="14" t="s">
        <v>144</v>
      </c>
      <c r="J153" s="28">
        <f>(IF(B146&gt;3,(H146/(B146+2)+J152),0))</f>
        <v>0</v>
      </c>
    </row>
    <row r="154" spans="1:12" ht="15.75" hidden="1" customHeight="1" x14ac:dyDescent="0.25">
      <c r="A154" s="186" t="s">
        <v>135</v>
      </c>
      <c r="B154" s="184" t="s">
        <v>132</v>
      </c>
      <c r="C154" s="75">
        <v>8</v>
      </c>
      <c r="D154" s="50">
        <f ca="1">((100/(H146))*C154)/100</f>
        <v>1</v>
      </c>
      <c r="E154" s="189"/>
      <c r="F154" s="190"/>
      <c r="G154" s="189"/>
      <c r="H154" s="194"/>
      <c r="I154" s="14" t="s">
        <v>145</v>
      </c>
      <c r="J154" s="27">
        <f>(IF(B146&gt;4,(H146/(B146+2)+J153),0))</f>
        <v>0</v>
      </c>
    </row>
    <row r="155" spans="1:12" ht="15.75" hidden="1" customHeight="1" x14ac:dyDescent="0.25">
      <c r="A155" s="186" t="s">
        <v>131</v>
      </c>
      <c r="B155" s="184" t="s">
        <v>131</v>
      </c>
      <c r="C155" s="75">
        <v>8</v>
      </c>
      <c r="D155" s="50">
        <f ca="1">((100/H146)*C155)/100</f>
        <v>1</v>
      </c>
      <c r="E155" s="189"/>
      <c r="F155" s="190"/>
      <c r="G155" s="189"/>
      <c r="H155" s="194"/>
      <c r="I155" s="14" t="s">
        <v>147</v>
      </c>
      <c r="J155" s="27">
        <f ca="1">(IF(B146=1,(H146/(B146+3)+J150),IF(B146=0,(H146/4+J150),IF(B146&gt;1,0))))</f>
        <v>6</v>
      </c>
    </row>
    <row r="156" spans="1:12" ht="15.75" hidden="1" customHeight="1" thickBot="1" x14ac:dyDescent="0.3">
      <c r="A156" s="186" t="s">
        <v>138</v>
      </c>
      <c r="B156" s="184"/>
      <c r="C156" s="75">
        <v>8</v>
      </c>
      <c r="D156" s="50">
        <f ca="1">((100/H146)*C156)/100</f>
        <v>1</v>
      </c>
      <c r="E156" s="189"/>
      <c r="F156" s="190"/>
      <c r="G156" s="189"/>
      <c r="H156" s="194"/>
      <c r="I156" s="15" t="s">
        <v>103</v>
      </c>
      <c r="J156" s="29">
        <f ca="1">(IF(B146&gt;1.5,(H146/(B146+2)+J150+MAX(0,J151-J150)+MAX(0,J152-J151)+MAX(0,J153-J152)+MAX(0,J154-J153)+MAX(0,J155-J154)),IF(B146=1,(H146/(B146+3)+J155),IF(B146=0,H146/4+J155))))</f>
        <v>8</v>
      </c>
    </row>
    <row r="157" spans="1:12" s="20" customFormat="1" hidden="1" x14ac:dyDescent="0.25">
      <c r="A157" s="186" t="s">
        <v>133</v>
      </c>
      <c r="B157" s="184" t="s">
        <v>133</v>
      </c>
      <c r="C157" s="75">
        <v>8</v>
      </c>
      <c r="D157" s="50">
        <f ca="1">((100/(H146))*C157)/100</f>
        <v>1</v>
      </c>
      <c r="E157" s="189"/>
      <c r="F157" s="190"/>
      <c r="G157" s="189"/>
      <c r="H157" s="194"/>
      <c r="I157" s="93" t="str">
        <f ca="1">IF(D173=100%,"All work Completed. Possession granted to the Building.",IF(D172=100%,"All work Completed, Waiting for OC",I158&amp;""&amp;I160&amp;""&amp;J158&amp;""&amp;J157&amp;" "&amp;J160))</f>
        <v>All work Completed. Possession granted to the Building.</v>
      </c>
      <c r="J157" s="94" t="str">
        <f ca="1">(IF(C166=(D161+F161+H161),"",IF(C166&gt;0,", RCC upto "&amp;C166&amp;" Slab","")))&amp;(IF(C167=H161,"",IF(C167&gt;0,", Brickwork upto "&amp;C167&amp;" Floor","")))&amp;(IF(C168=H161,"",IF(C168&gt;0,", Internal Plaster upto "&amp;C168&amp;" Floor","")))&amp;(IF(C169=H161,"",IF(C169&gt;0,", External Plaster upto "&amp;C169&amp;" Floor","")))&amp;(IF(C170=H161,"",IF(C170&gt;0,", Flooring upto "&amp;C170&amp;" Floor","")))&amp;(IF(C171=H161,"",IF(C171&gt;0,", Painting upto "&amp;C171&amp;" Floor","")))&amp;(IF(C172=H161,"",IF(C172&gt;0,", Finishing upto "&amp;C172&amp;" Floor","")))&amp;(IF(C173=H161,"",IF(C173&gt;0,", Possession upto "&amp;C173&amp;" Floor","")))</f>
        <v/>
      </c>
    </row>
    <row r="158" spans="1:12" s="20" customFormat="1" ht="15.75" hidden="1" customHeight="1" thickBot="1" x14ac:dyDescent="0.3">
      <c r="A158" s="196" t="s">
        <v>134</v>
      </c>
      <c r="B158" s="197"/>
      <c r="C158" s="78">
        <v>8</v>
      </c>
      <c r="D158" s="51">
        <f ca="1">((100/(H146))*C158)/100</f>
        <v>1</v>
      </c>
      <c r="E158" s="191"/>
      <c r="F158" s="192"/>
      <c r="G158" s="191"/>
      <c r="H158" s="195"/>
      <c r="I158" s="95" t="str">
        <f ca="1">IF(D164=100%,"Excavation","")&amp;IF(D165=100%,", Plinth","")&amp;IF(D166=100%,", RCC Slab","")&amp;IF(D167=100%,", Brickwork","")&amp;IF(D168=100%,", Internal Plaster","")&amp;IF(D169=100%,", External Plaster","")&amp;IF(D170=100%,", Flooring","")&amp;IF(D171=100%,", Painting","")&amp;IF(D172=100%,", Building common Amenities","")</f>
        <v>Excavation, Plinth, RCC Slab, Brickwork, Internal Plaster, External Plaster, Flooring, Painting, Building common Amenities</v>
      </c>
      <c r="J158" s="96" t="str">
        <f ca="1">(IF(C164=0,"Work not yet Started.",IF(D164=25%,"Piling work in process",IF(D164=50%,"Excavation work in process",IF(D164=100%,"","0")))))&amp;(IF(C165=0%,"",IF(C165=J164,", Footing work is process",IF(C165=J165,", Footing work Completed",IF(C165=J166,", 1st Basement Completed",IF(C165=J167,", 1st &amp; 2nd Basement Completed",IF(C165=J168,", 1st to 3rd Basement Completed",IF(C165=J169,", 1st to 4th Basement Completed",IF(C165=J170,", Plinth work is process",IF(C165=J171,"","0"))))))))))</f>
        <v/>
      </c>
    </row>
    <row r="159" spans="1:12" ht="33.75" customHeight="1" thickBot="1" x14ac:dyDescent="0.3">
      <c r="A159" s="331" t="s">
        <v>84</v>
      </c>
      <c r="B159" s="332"/>
      <c r="C159" s="333">
        <f ca="1">E149</f>
        <v>1</v>
      </c>
      <c r="D159" s="334"/>
      <c r="E159" s="335" t="s">
        <v>83</v>
      </c>
      <c r="F159" s="336"/>
      <c r="G159" s="335">
        <f ca="1">G149</f>
        <v>1</v>
      </c>
      <c r="H159" s="336"/>
      <c r="I159" s="52" t="s">
        <v>189</v>
      </c>
      <c r="J159" s="52" t="s">
        <v>190</v>
      </c>
      <c r="K159" s="52" t="s">
        <v>191</v>
      </c>
      <c r="L159" s="52"/>
    </row>
    <row r="160" spans="1:12" s="20" customFormat="1" hidden="1" x14ac:dyDescent="0.25">
      <c r="A160" s="204" t="s">
        <v>140</v>
      </c>
      <c r="B160" s="205"/>
      <c r="C160" s="206" t="str">
        <f>D67</f>
        <v>Wing G - Stilt + 1st to 8th Floor</v>
      </c>
      <c r="D160" s="207"/>
      <c r="E160" s="207"/>
      <c r="F160" s="207"/>
      <c r="G160" s="207"/>
      <c r="H160" s="208"/>
      <c r="I160" s="95" t="str">
        <f ca="1">IF(I158&lt;&gt;""," Completed","")</f>
        <v xml:space="preserve"> Completed</v>
      </c>
      <c r="J160" s="96" t="str">
        <f ca="1">IF(J157&lt;&gt;"","Completed","")</f>
        <v/>
      </c>
    </row>
    <row r="161" spans="1:12" s="20" customFormat="1" hidden="1" x14ac:dyDescent="0.25">
      <c r="A161" s="87" t="s">
        <v>142</v>
      </c>
      <c r="B161" s="88">
        <v>0</v>
      </c>
      <c r="C161" s="88" t="s">
        <v>70</v>
      </c>
      <c r="D161" s="88">
        <v>1</v>
      </c>
      <c r="E161" s="88" t="s">
        <v>69</v>
      </c>
      <c r="F161" s="88">
        <v>0</v>
      </c>
      <c r="G161" s="88" t="s">
        <v>79</v>
      </c>
      <c r="H161" s="89">
        <f ca="1">--TRIM(RIGHT(SUBSTITUTE(LEFT(C160,_xlfn.AGGREGATE(16,6,FIND({0,1,2,3,4,5,6,7,8,9},C160,ROW(INDIRECT("1:"&amp;LEN(C160)))),1))," ",REPT(" ",LEN(C160))),LEN(C160)))</f>
        <v>8</v>
      </c>
      <c r="I161" s="97" t="s">
        <v>141</v>
      </c>
      <c r="J161" s="98">
        <f ca="1">H161*25%</f>
        <v>2</v>
      </c>
    </row>
    <row r="162" spans="1:12" s="20" customFormat="1" ht="15.75" hidden="1" customHeight="1" x14ac:dyDescent="0.25">
      <c r="A162" s="209" t="s">
        <v>89</v>
      </c>
      <c r="B162" s="210"/>
      <c r="C162" s="211" t="str">
        <f ca="1">(IF($G$56="NA",I157,"All work Completed. OC Received."))</f>
        <v>All work Completed. Possession granted to the Building.</v>
      </c>
      <c r="D162" s="211"/>
      <c r="E162" s="211"/>
      <c r="F162" s="211"/>
      <c r="G162" s="211"/>
      <c r="H162" s="212"/>
      <c r="I162" s="97" t="s">
        <v>99</v>
      </c>
      <c r="J162" s="100">
        <f ca="1">H161*50%</f>
        <v>4</v>
      </c>
    </row>
    <row r="163" spans="1:12" s="20" customFormat="1" hidden="1" x14ac:dyDescent="0.25">
      <c r="A163" s="182" t="s">
        <v>48</v>
      </c>
      <c r="B163" s="183"/>
      <c r="C163" s="90" t="s">
        <v>139</v>
      </c>
      <c r="D163" s="90" t="s">
        <v>82</v>
      </c>
      <c r="E163" s="183" t="s">
        <v>84</v>
      </c>
      <c r="F163" s="183"/>
      <c r="G163" s="183" t="s">
        <v>83</v>
      </c>
      <c r="H163" s="213"/>
      <c r="I163" s="97" t="s">
        <v>100</v>
      </c>
      <c r="J163" s="100">
        <f ca="1">H161</f>
        <v>8</v>
      </c>
    </row>
    <row r="164" spans="1:12" s="20" customFormat="1" hidden="1" x14ac:dyDescent="0.25">
      <c r="A164" s="182" t="s">
        <v>128</v>
      </c>
      <c r="B164" s="183"/>
      <c r="C164" s="90">
        <f ca="1">J163</f>
        <v>8</v>
      </c>
      <c r="D164" s="99">
        <f ca="1">((100/H161)*C164)/100</f>
        <v>1</v>
      </c>
      <c r="E164" s="214">
        <f ca="1">(((C165/H161*10)+(40/(D161+F161+H161)*C166)+(7.5/(H161)*C167)+(7.5/(H161)*C168)+(10/H161*C169)+(10/H161*C170)+(5/H161*C171)+(5/H161*C172)+(5/H161*C173))/100)</f>
        <v>1</v>
      </c>
      <c r="F164" s="215"/>
      <c r="G164" s="214">
        <f ca="1">((((C164/H161)*20)+((C165/H161)*25)+(30/(H161+F161+D161)*C166)+(5/H161*C167)+(5/H161*C168)+(5/H161*C169)+(5/H161*C170)+(0/H161*C171)+(0/H161*C172)+(5/H161*C173))/100)</f>
        <v>1</v>
      </c>
      <c r="H164" s="220"/>
      <c r="I164" s="97" t="s">
        <v>101</v>
      </c>
      <c r="J164" s="101">
        <f ca="1">(IF(B161&gt;1,(H161/(B161+2)),H161/4))</f>
        <v>2</v>
      </c>
    </row>
    <row r="165" spans="1:12" s="20" customFormat="1" ht="15.75" hidden="1" customHeight="1" x14ac:dyDescent="0.25">
      <c r="A165" s="182" t="s">
        <v>49</v>
      </c>
      <c r="B165" s="183"/>
      <c r="C165" s="90">
        <f ca="1">J171</f>
        <v>8</v>
      </c>
      <c r="D165" s="99">
        <f ca="1">((100/H161)*C165)/100</f>
        <v>1</v>
      </c>
      <c r="E165" s="216"/>
      <c r="F165" s="217"/>
      <c r="G165" s="216"/>
      <c r="H165" s="221"/>
      <c r="I165" s="97" t="s">
        <v>102</v>
      </c>
      <c r="J165" s="101">
        <f ca="1">(IF(B161&gt;1,(H161/(B161+2)+J164),H161/4+J164))</f>
        <v>4</v>
      </c>
    </row>
    <row r="166" spans="1:12" s="20" customFormat="1" ht="15.75" hidden="1" customHeight="1" x14ac:dyDescent="0.25">
      <c r="A166" s="182" t="s">
        <v>129</v>
      </c>
      <c r="B166" s="183"/>
      <c r="C166" s="90">
        <v>9</v>
      </c>
      <c r="D166" s="99">
        <f ca="1">((100/(D161+F161+H161))*C166)/100</f>
        <v>1</v>
      </c>
      <c r="E166" s="216"/>
      <c r="F166" s="217"/>
      <c r="G166" s="216"/>
      <c r="H166" s="221"/>
      <c r="I166" s="97" t="s">
        <v>146</v>
      </c>
      <c r="J166" s="101">
        <f>(IF(B161&gt;1,(H161/(B161+2)+J165),0))</f>
        <v>0</v>
      </c>
    </row>
    <row r="167" spans="1:12" s="20" customFormat="1" ht="15.75" hidden="1" customHeight="1" x14ac:dyDescent="0.25">
      <c r="A167" s="182" t="s">
        <v>136</v>
      </c>
      <c r="B167" s="183" t="s">
        <v>130</v>
      </c>
      <c r="C167" s="90">
        <v>8</v>
      </c>
      <c r="D167" s="99">
        <f ca="1">((100/H161)*C167)/100</f>
        <v>1</v>
      </c>
      <c r="E167" s="216"/>
      <c r="F167" s="217"/>
      <c r="G167" s="216"/>
      <c r="H167" s="221"/>
      <c r="I167" s="97" t="s">
        <v>143</v>
      </c>
      <c r="J167" s="101">
        <f>(IF(B161&gt;2,(H161/(B161+2)+J166),0))</f>
        <v>0</v>
      </c>
    </row>
    <row r="168" spans="1:12" s="20" customFormat="1" ht="15" hidden="1" customHeight="1" x14ac:dyDescent="0.25">
      <c r="A168" s="182" t="s">
        <v>137</v>
      </c>
      <c r="B168" s="183" t="s">
        <v>130</v>
      </c>
      <c r="C168" s="90">
        <v>8</v>
      </c>
      <c r="D168" s="99">
        <f ca="1">((100/H161)*C168)/100</f>
        <v>1</v>
      </c>
      <c r="E168" s="216"/>
      <c r="F168" s="217"/>
      <c r="G168" s="216"/>
      <c r="H168" s="221"/>
      <c r="I168" s="97" t="s">
        <v>144</v>
      </c>
      <c r="J168" s="102">
        <f>(IF(B161&gt;3,(H161/(B161+2)+J167),0))</f>
        <v>0</v>
      </c>
    </row>
    <row r="169" spans="1:12" s="20" customFormat="1" ht="15.75" hidden="1" customHeight="1" x14ac:dyDescent="0.25">
      <c r="A169" s="182" t="s">
        <v>135</v>
      </c>
      <c r="B169" s="183" t="s">
        <v>132</v>
      </c>
      <c r="C169" s="90">
        <v>8</v>
      </c>
      <c r="D169" s="99">
        <f ca="1">((100/(H161))*C169)/100</f>
        <v>1</v>
      </c>
      <c r="E169" s="216"/>
      <c r="F169" s="217"/>
      <c r="G169" s="216"/>
      <c r="H169" s="221"/>
      <c r="I169" s="97" t="s">
        <v>145</v>
      </c>
      <c r="J169" s="101">
        <f>(IF(B161&gt;4,(H161/(B161+2)+J168),0))</f>
        <v>0</v>
      </c>
    </row>
    <row r="170" spans="1:12" s="20" customFormat="1" ht="15.75" hidden="1" customHeight="1" x14ac:dyDescent="0.25">
      <c r="A170" s="182" t="s">
        <v>131</v>
      </c>
      <c r="B170" s="183" t="s">
        <v>131</v>
      </c>
      <c r="C170" s="90">
        <v>8</v>
      </c>
      <c r="D170" s="99">
        <f ca="1">((100/H161)*C170)/100</f>
        <v>1</v>
      </c>
      <c r="E170" s="216"/>
      <c r="F170" s="217"/>
      <c r="G170" s="216"/>
      <c r="H170" s="221"/>
      <c r="I170" s="97" t="s">
        <v>147</v>
      </c>
      <c r="J170" s="101">
        <f ca="1">(IF(B161=1,(H161/(B161+3)+J165),IF(B161=0,(H161/4+J165),IF(B161&gt;1,0))))</f>
        <v>6</v>
      </c>
    </row>
    <row r="171" spans="1:12" s="20" customFormat="1" ht="15.75" hidden="1" customHeight="1" thickBot="1" x14ac:dyDescent="0.3">
      <c r="A171" s="182" t="s">
        <v>138</v>
      </c>
      <c r="B171" s="183"/>
      <c r="C171" s="90">
        <v>8</v>
      </c>
      <c r="D171" s="99">
        <f ca="1">((100/H161)*C171)/100</f>
        <v>1</v>
      </c>
      <c r="E171" s="216"/>
      <c r="F171" s="217"/>
      <c r="G171" s="216"/>
      <c r="H171" s="221"/>
      <c r="I171" s="105" t="s">
        <v>103</v>
      </c>
      <c r="J171" s="106">
        <f ca="1">(IF(B161&gt;1.5,(H161/(B161+2)+J165+MAX(0,J166-J165)+MAX(0,J167-J166)+MAX(0,J168-J167)+MAX(0,J169-J168)+MAX(0,J170-J169)),IF(B161=1,(H161/(B161+3)+J170),IF(B161=0,H161/4+J170))))</f>
        <v>8</v>
      </c>
    </row>
    <row r="172" spans="1:12" s="20" customFormat="1" ht="25.5" hidden="1" customHeight="1" thickBot="1" x14ac:dyDescent="0.3">
      <c r="A172" s="182" t="s">
        <v>133</v>
      </c>
      <c r="B172" s="183" t="s">
        <v>133</v>
      </c>
      <c r="C172" s="90">
        <v>8</v>
      </c>
      <c r="D172" s="99">
        <f ca="1">((100/(H161))*C172)/100</f>
        <v>1</v>
      </c>
      <c r="E172" s="216"/>
      <c r="F172" s="217"/>
      <c r="G172" s="216"/>
      <c r="H172" s="221"/>
      <c r="I172" s="105" t="s">
        <v>103</v>
      </c>
      <c r="J172" s="106">
        <f ca="1">(IF(B162&gt;1.5,(H162/(B162+2)+J166+MAX(0,J167-J166)+MAX(0,J168-J167)+MAX(0,J169-J168)+MAX(0,J170-J169)+MAX(0,J171-J170)),IF(B162=1,(H162/(B162+3)+J171),IF(B162=0,H162/4+J171))))</f>
        <v>8</v>
      </c>
    </row>
    <row r="173" spans="1:12" ht="16.5" hidden="1" thickBot="1" x14ac:dyDescent="0.3">
      <c r="A173" s="202" t="s">
        <v>134</v>
      </c>
      <c r="B173" s="203"/>
      <c r="C173" s="103">
        <v>8</v>
      </c>
      <c r="D173" s="104">
        <f ca="1">((100/(H161))*C173)/100</f>
        <v>1</v>
      </c>
      <c r="E173" s="218"/>
      <c r="F173" s="219"/>
      <c r="G173" s="218"/>
      <c r="H173" s="222"/>
    </row>
    <row r="174" spans="1:12" ht="16.5" hidden="1" thickBot="1" x14ac:dyDescent="0.3">
      <c r="A174" s="120" t="s">
        <v>84</v>
      </c>
      <c r="B174" s="121"/>
      <c r="C174" s="122">
        <f ca="1">E164</f>
        <v>1</v>
      </c>
      <c r="D174" s="123"/>
      <c r="E174" s="124" t="s">
        <v>83</v>
      </c>
      <c r="F174" s="125"/>
      <c r="G174" s="124">
        <f ca="1">G164</f>
        <v>1</v>
      </c>
      <c r="H174" s="125"/>
      <c r="I174" s="52" t="s">
        <v>189</v>
      </c>
      <c r="J174" s="52" t="s">
        <v>190</v>
      </c>
      <c r="K174" s="52" t="s">
        <v>191</v>
      </c>
      <c r="L174" s="52"/>
    </row>
    <row r="175" spans="1:12" x14ac:dyDescent="0.25">
      <c r="A175" s="324" t="s">
        <v>155</v>
      </c>
      <c r="B175" s="325"/>
      <c r="C175" s="325"/>
      <c r="D175" s="325"/>
      <c r="E175" s="282"/>
      <c r="F175" s="326" t="s">
        <v>160</v>
      </c>
      <c r="G175" s="327"/>
      <c r="H175" s="328"/>
    </row>
    <row r="176" spans="1:12" x14ac:dyDescent="0.25">
      <c r="A176" s="181" t="s">
        <v>158</v>
      </c>
      <c r="B176" s="181"/>
      <c r="C176" s="181"/>
      <c r="D176" s="181"/>
      <c r="E176" s="181"/>
      <c r="F176" s="179">
        <v>4000</v>
      </c>
      <c r="G176" s="179"/>
      <c r="H176" s="179"/>
    </row>
    <row r="177" spans="1:12" s="30" customFormat="1" hidden="1" x14ac:dyDescent="0.25">
      <c r="A177" s="181" t="s">
        <v>157</v>
      </c>
      <c r="B177" s="181"/>
      <c r="C177" s="181"/>
      <c r="D177" s="181"/>
      <c r="E177" s="181"/>
      <c r="F177" s="179"/>
      <c r="G177" s="179"/>
      <c r="H177" s="179"/>
    </row>
    <row r="178" spans="1:12" s="30" customFormat="1" hidden="1" x14ac:dyDescent="0.25">
      <c r="A178" s="181" t="s">
        <v>159</v>
      </c>
      <c r="B178" s="181"/>
      <c r="C178" s="181"/>
      <c r="D178" s="181"/>
      <c r="E178" s="181"/>
      <c r="F178" s="179"/>
      <c r="G178" s="179"/>
      <c r="H178" s="179"/>
    </row>
    <row r="179" spans="1:12" s="30" customFormat="1" hidden="1" x14ac:dyDescent="0.25">
      <c r="A179" s="181" t="s">
        <v>156</v>
      </c>
      <c r="B179" s="181"/>
      <c r="C179" s="181"/>
      <c r="D179" s="181"/>
      <c r="E179" s="181"/>
      <c r="F179" s="179"/>
      <c r="G179" s="179"/>
      <c r="H179" s="179"/>
    </row>
    <row r="180" spans="1:12" s="30" customFormat="1" hidden="1" x14ac:dyDescent="0.25">
      <c r="A180" s="181" t="s">
        <v>94</v>
      </c>
      <c r="B180" s="181"/>
      <c r="C180" s="181"/>
      <c r="D180" s="181"/>
      <c r="E180" s="181"/>
      <c r="F180" s="179"/>
      <c r="G180" s="179"/>
      <c r="H180" s="179"/>
    </row>
    <row r="181" spans="1:12" hidden="1" x14ac:dyDescent="0.25">
      <c r="A181" s="181" t="s">
        <v>95</v>
      </c>
      <c r="B181" s="181"/>
      <c r="C181" s="181"/>
      <c r="D181" s="181"/>
      <c r="E181" s="181"/>
      <c r="F181" s="179"/>
      <c r="G181" s="179"/>
      <c r="H181" s="179"/>
      <c r="I181" s="52" t="s">
        <v>213</v>
      </c>
      <c r="J181" s="52"/>
      <c r="K181" s="52"/>
      <c r="L181" s="52"/>
    </row>
    <row r="182" spans="1:12" s="30" customFormat="1" hidden="1" x14ac:dyDescent="0.25">
      <c r="A182" s="180" t="s">
        <v>161</v>
      </c>
      <c r="B182" s="180"/>
      <c r="C182" s="180"/>
      <c r="D182" s="180"/>
      <c r="E182" s="180"/>
      <c r="F182" s="293">
        <v>15000</v>
      </c>
      <c r="G182" s="293"/>
      <c r="H182" s="293"/>
      <c r="I182" s="91">
        <f>F184+F186</f>
        <v>390000</v>
      </c>
    </row>
    <row r="183" spans="1:12" s="30" customFormat="1" x14ac:dyDescent="0.25">
      <c r="A183" s="181" t="s">
        <v>157</v>
      </c>
      <c r="B183" s="181"/>
      <c r="C183" s="181"/>
      <c r="D183" s="181"/>
      <c r="E183" s="181"/>
      <c r="F183" s="179">
        <v>8000</v>
      </c>
      <c r="G183" s="179"/>
      <c r="H183" s="179"/>
    </row>
    <row r="184" spans="1:12" s="30" customFormat="1" x14ac:dyDescent="0.25">
      <c r="A184" s="181" t="s">
        <v>188</v>
      </c>
      <c r="B184" s="181"/>
      <c r="C184" s="181"/>
      <c r="D184" s="181"/>
      <c r="E184" s="181"/>
      <c r="F184" s="179">
        <v>365000</v>
      </c>
      <c r="G184" s="179"/>
      <c r="H184" s="179"/>
    </row>
    <row r="185" spans="1:12" s="30" customFormat="1" hidden="1" x14ac:dyDescent="0.25">
      <c r="A185" s="181" t="s">
        <v>96</v>
      </c>
      <c r="B185" s="181"/>
      <c r="C185" s="181"/>
      <c r="D185" s="181"/>
      <c r="E185" s="181"/>
      <c r="F185" s="179"/>
      <c r="G185" s="179"/>
      <c r="H185" s="179"/>
    </row>
    <row r="186" spans="1:12" x14ac:dyDescent="0.25">
      <c r="A186" s="181" t="s">
        <v>97</v>
      </c>
      <c r="B186" s="181"/>
      <c r="C186" s="181"/>
      <c r="D186" s="181"/>
      <c r="E186" s="181"/>
      <c r="F186" s="179">
        <v>25000</v>
      </c>
      <c r="G186" s="179"/>
      <c r="H186" s="179"/>
    </row>
    <row r="187" spans="1:12" s="31" customFormat="1" hidden="1" x14ac:dyDescent="0.25">
      <c r="A187" s="181" t="s">
        <v>98</v>
      </c>
      <c r="B187" s="181"/>
      <c r="C187" s="181"/>
      <c r="D187" s="181"/>
      <c r="E187" s="181"/>
      <c r="F187" s="179"/>
      <c r="G187" s="179"/>
      <c r="H187" s="179"/>
    </row>
    <row r="188" spans="1:12" s="32" customFormat="1" ht="15.75" customHeight="1" x14ac:dyDescent="0.25">
      <c r="A188" s="181" t="s">
        <v>50</v>
      </c>
      <c r="B188" s="181"/>
      <c r="C188" s="181"/>
      <c r="D188" s="181"/>
      <c r="E188" s="181"/>
      <c r="F188" s="179">
        <v>150000</v>
      </c>
      <c r="G188" s="179"/>
      <c r="H188" s="179"/>
    </row>
    <row r="189" spans="1:12" s="32" customFormat="1" ht="15.75" customHeight="1" x14ac:dyDescent="0.25">
      <c r="A189" s="107" t="s">
        <v>51</v>
      </c>
      <c r="B189" s="107"/>
      <c r="C189" s="107"/>
      <c r="D189" s="107"/>
      <c r="E189" s="107"/>
      <c r="F189" s="179">
        <f>F176*0.8</f>
        <v>3200</v>
      </c>
      <c r="G189" s="179"/>
      <c r="H189" s="179"/>
    </row>
    <row r="190" spans="1:12" s="32" customFormat="1" x14ac:dyDescent="0.25">
      <c r="A190" s="229" t="s">
        <v>74</v>
      </c>
      <c r="B190" s="229"/>
      <c r="C190" s="229"/>
      <c r="D190" s="229"/>
      <c r="E190" s="229"/>
      <c r="F190" s="229"/>
      <c r="G190" s="229"/>
      <c r="H190" s="229"/>
    </row>
    <row r="191" spans="1:12" s="32" customFormat="1" x14ac:dyDescent="0.25">
      <c r="A191" s="228" t="s">
        <v>52</v>
      </c>
      <c r="B191" s="228"/>
      <c r="C191" s="201" t="s">
        <v>77</v>
      </c>
      <c r="D191" s="201"/>
      <c r="E191" s="226" t="s">
        <v>53</v>
      </c>
      <c r="F191" s="226"/>
      <c r="G191" s="228" t="s">
        <v>54</v>
      </c>
      <c r="H191" s="228"/>
    </row>
    <row r="192" spans="1:12" s="32" customFormat="1" ht="27" customHeight="1" x14ac:dyDescent="0.25">
      <c r="A192" s="108" t="s">
        <v>246</v>
      </c>
      <c r="B192" s="77" t="s">
        <v>221</v>
      </c>
      <c r="C192" s="169">
        <f>COUNT(D227:D235)</f>
        <v>9</v>
      </c>
      <c r="D192" s="223"/>
      <c r="E192" s="169">
        <f>SUM(D227:D235)</f>
        <v>2543.5331999999999</v>
      </c>
      <c r="F192" s="223"/>
      <c r="G192" s="169">
        <f>SUM(F227:F235)</f>
        <v>4413.9934800000001</v>
      </c>
      <c r="H192" s="223"/>
    </row>
    <row r="193" spans="1:9" s="32" customFormat="1" ht="26.25" customHeight="1" x14ac:dyDescent="0.25">
      <c r="A193" s="109"/>
      <c r="B193" s="77" t="s">
        <v>222</v>
      </c>
      <c r="C193" s="169">
        <f>COUNT(D238:D247)</f>
        <v>10</v>
      </c>
      <c r="D193" s="223"/>
      <c r="E193" s="169">
        <f>SUM(D238:D247)</f>
        <v>2148.8173199999997</v>
      </c>
      <c r="F193" s="223"/>
      <c r="G193" s="169">
        <f>SUM(F238:F247)</f>
        <v>3828.5072279999999</v>
      </c>
      <c r="H193" s="223"/>
    </row>
    <row r="194" spans="1:9" s="32" customFormat="1" ht="47.25" x14ac:dyDescent="0.25">
      <c r="A194" s="77" t="s">
        <v>245</v>
      </c>
      <c r="B194" s="77" t="s">
        <v>200</v>
      </c>
      <c r="C194" s="166">
        <f>COUNT(D214:D223)</f>
        <v>10</v>
      </c>
      <c r="D194" s="227"/>
      <c r="E194" s="169">
        <f>SUM(D214:D223)</f>
        <v>2616.2978399999997</v>
      </c>
      <c r="F194" s="223"/>
      <c r="G194" s="169">
        <f>SUM(F214:F223)</f>
        <v>4581.2660399999986</v>
      </c>
      <c r="H194" s="223"/>
    </row>
    <row r="195" spans="1:9" s="32" customFormat="1" ht="15.75" customHeight="1" x14ac:dyDescent="0.25">
      <c r="A195" s="230" t="s">
        <v>150</v>
      </c>
      <c r="B195" s="230"/>
      <c r="C195" s="329">
        <f t="shared" ref="C195:G195" si="0">SUM(C192:D194)</f>
        <v>29</v>
      </c>
      <c r="D195" s="226"/>
      <c r="E195" s="329">
        <f t="shared" si="0"/>
        <v>7308.6483599999992</v>
      </c>
      <c r="F195" s="226"/>
      <c r="G195" s="329">
        <f t="shared" si="0"/>
        <v>12823.766747999998</v>
      </c>
      <c r="H195" s="226"/>
    </row>
    <row r="196" spans="1:9" s="32" customFormat="1" x14ac:dyDescent="0.25">
      <c r="A196" s="230" t="s">
        <v>68</v>
      </c>
      <c r="B196" s="230"/>
      <c r="C196" s="230"/>
      <c r="D196" s="230"/>
      <c r="E196" s="230"/>
      <c r="F196" s="230"/>
      <c r="G196" s="230"/>
      <c r="H196" s="230"/>
      <c r="I196" s="84">
        <f>49+73+56+56+56+64+64</f>
        <v>418</v>
      </c>
    </row>
    <row r="197" spans="1:9" s="32" customFormat="1" x14ac:dyDescent="0.25">
      <c r="A197" s="228" t="s">
        <v>52</v>
      </c>
      <c r="B197" s="228"/>
      <c r="C197" s="201" t="s">
        <v>77</v>
      </c>
      <c r="D197" s="201"/>
      <c r="E197" s="226" t="s">
        <v>53</v>
      </c>
      <c r="F197" s="226"/>
      <c r="G197" s="228" t="s">
        <v>54</v>
      </c>
      <c r="H197" s="228"/>
    </row>
    <row r="198" spans="1:9" s="32" customFormat="1" ht="19.5" customHeight="1" x14ac:dyDescent="0.25">
      <c r="A198" s="108" t="s">
        <v>170</v>
      </c>
      <c r="B198" s="77" t="s">
        <v>182</v>
      </c>
      <c r="C198" s="166">
        <f>COUNT(D255:D262)*8</f>
        <v>64</v>
      </c>
      <c r="D198" s="166"/>
      <c r="E198" s="167">
        <f>SUM(D255:D262)*8</f>
        <v>22200.534720000003</v>
      </c>
      <c r="F198" s="168"/>
      <c r="G198" s="167">
        <f>SUM(F255:F262)*8</f>
        <v>32190.775343999994</v>
      </c>
      <c r="H198" s="168"/>
    </row>
    <row r="199" spans="1:9" s="32" customFormat="1" ht="25.5" customHeight="1" x14ac:dyDescent="0.25">
      <c r="A199" s="109"/>
      <c r="B199" s="77" t="s">
        <v>187</v>
      </c>
      <c r="C199" s="166">
        <f>COUNT(D266:D273)*8</f>
        <v>64</v>
      </c>
      <c r="D199" s="166"/>
      <c r="E199" s="167">
        <f>SUM(D266:D273)*8</f>
        <v>22200.534720000003</v>
      </c>
      <c r="F199" s="168"/>
      <c r="G199" s="167">
        <f>SUM(F266:F273)*8</f>
        <v>32190.775343999994</v>
      </c>
      <c r="H199" s="168"/>
    </row>
    <row r="200" spans="1:9" s="32" customFormat="1" ht="25.5" customHeight="1" x14ac:dyDescent="0.25">
      <c r="A200" s="108" t="s">
        <v>245</v>
      </c>
      <c r="B200" s="77" t="s">
        <v>200</v>
      </c>
      <c r="C200" s="166">
        <f>COUNT(D277:D280)+COUNT(D283:D292)*7</f>
        <v>73</v>
      </c>
      <c r="D200" s="166"/>
      <c r="E200" s="167">
        <f>SUM(D277:D280)+SUM(D283:D292)*7</f>
        <v>29657.295720000002</v>
      </c>
      <c r="F200" s="168"/>
      <c r="G200" s="167">
        <f>SUM(F277:F280)+SUM(F283:F292)*7</f>
        <v>43003.078794000001</v>
      </c>
      <c r="H200" s="168"/>
      <c r="I200" s="74" t="s">
        <v>226</v>
      </c>
    </row>
    <row r="201" spans="1:9" s="32" customFormat="1" ht="26.25" customHeight="1" x14ac:dyDescent="0.25">
      <c r="A201" s="109"/>
      <c r="B201" s="77" t="s">
        <v>201</v>
      </c>
      <c r="C201" s="166">
        <f>COUNT(D296:D303)*7</f>
        <v>56</v>
      </c>
      <c r="D201" s="166"/>
      <c r="E201" s="167">
        <f>SUM(D296:D303)*7</f>
        <v>19425.467880000004</v>
      </c>
      <c r="F201" s="168"/>
      <c r="G201" s="167">
        <f>SUM(F296:F303)*7</f>
        <v>28166.928425999995</v>
      </c>
      <c r="H201" s="168"/>
      <c r="I201" s="74" t="s">
        <v>226</v>
      </c>
    </row>
    <row r="202" spans="1:9" s="32" customFormat="1" x14ac:dyDescent="0.25">
      <c r="A202" s="108" t="s">
        <v>246</v>
      </c>
      <c r="B202" s="77" t="s">
        <v>221</v>
      </c>
      <c r="C202" s="169">
        <f>COUNT(D307:D313)*7</f>
        <v>49</v>
      </c>
      <c r="D202" s="169"/>
      <c r="E202" s="167">
        <f>SUM(D307:D313)*7</f>
        <v>20745.564839999995</v>
      </c>
      <c r="F202" s="168"/>
      <c r="G202" s="167">
        <f>SUM(F307:F313)*7</f>
        <v>30081.069017999987</v>
      </c>
      <c r="H202" s="168"/>
      <c r="I202" s="74" t="s">
        <v>226</v>
      </c>
    </row>
    <row r="203" spans="1:9" s="32" customFormat="1" x14ac:dyDescent="0.25">
      <c r="A203" s="110"/>
      <c r="B203" s="77" t="s">
        <v>222</v>
      </c>
      <c r="C203" s="169">
        <f>COUNT(D316:D323)*7</f>
        <v>56</v>
      </c>
      <c r="D203" s="169"/>
      <c r="E203" s="167">
        <f>SUM(D316:D323)*7</f>
        <v>19900.913760000003</v>
      </c>
      <c r="F203" s="168"/>
      <c r="G203" s="167">
        <f>SUM(F316:F323)*7</f>
        <v>28856.324951999995</v>
      </c>
      <c r="H203" s="168"/>
      <c r="I203" s="33"/>
    </row>
    <row r="204" spans="1:9" s="32" customFormat="1" x14ac:dyDescent="0.25">
      <c r="A204" s="109"/>
      <c r="B204" s="77" t="s">
        <v>223</v>
      </c>
      <c r="C204" s="169">
        <f>COUNT(D327:D334)*7</f>
        <v>56</v>
      </c>
      <c r="D204" s="169"/>
      <c r="E204" s="167">
        <f>SUM(D327:D334)*7</f>
        <v>19425.467880000004</v>
      </c>
      <c r="F204" s="168"/>
      <c r="G204" s="167">
        <f>SUM(F327:F334)*7</f>
        <v>28166.928425999995</v>
      </c>
      <c r="H204" s="168"/>
      <c r="I204" s="33"/>
    </row>
    <row r="205" spans="1:9" s="31" customFormat="1" ht="16.5" thickBot="1" x14ac:dyDescent="0.3">
      <c r="A205" s="163" t="s">
        <v>150</v>
      </c>
      <c r="B205" s="163"/>
      <c r="C205" s="161">
        <f t="shared" ref="C205:G205" si="1">SUM(C198:D204)</f>
        <v>418</v>
      </c>
      <c r="D205" s="162"/>
      <c r="E205" s="164">
        <f t="shared" si="1"/>
        <v>153555.77952000004</v>
      </c>
      <c r="F205" s="165"/>
      <c r="G205" s="278">
        <f t="shared" si="1"/>
        <v>222655.88030399996</v>
      </c>
      <c r="H205" s="279"/>
      <c r="I205" s="33"/>
    </row>
    <row r="206" spans="1:9" ht="16.5" thickBot="1" x14ac:dyDescent="0.3">
      <c r="A206" s="129" t="s">
        <v>208</v>
      </c>
      <c r="B206" s="130"/>
      <c r="C206" s="131">
        <f>C195+C205</f>
        <v>447</v>
      </c>
      <c r="D206" s="132"/>
      <c r="E206" s="131">
        <f>E195+E205</f>
        <v>160864.42788000003</v>
      </c>
      <c r="F206" s="132"/>
      <c r="G206" s="131">
        <f>G195+G205</f>
        <v>235479.64705199996</v>
      </c>
      <c r="H206" s="132"/>
      <c r="I206" s="33"/>
    </row>
    <row r="207" spans="1:9" x14ac:dyDescent="0.25">
      <c r="A207" s="280" t="s">
        <v>240</v>
      </c>
      <c r="B207" s="280"/>
      <c r="C207" s="280"/>
      <c r="D207" s="280"/>
      <c r="E207" s="280"/>
      <c r="F207" s="280"/>
      <c r="G207" s="280"/>
      <c r="H207" s="280"/>
      <c r="I207" s="33"/>
    </row>
    <row r="208" spans="1:9" s="34" customFormat="1" x14ac:dyDescent="0.25">
      <c r="A208" s="174" t="s">
        <v>241</v>
      </c>
      <c r="B208" s="174"/>
      <c r="C208" s="174"/>
      <c r="D208" s="174"/>
      <c r="E208" s="174"/>
      <c r="F208" s="174"/>
      <c r="G208" s="174"/>
      <c r="H208" s="174"/>
      <c r="I208" s="33"/>
    </row>
    <row r="209" spans="1:14" s="76" customFormat="1" ht="47.25" x14ac:dyDescent="0.25">
      <c r="A209" s="177" t="s">
        <v>119</v>
      </c>
      <c r="B209" s="177" t="s">
        <v>118</v>
      </c>
      <c r="C209" s="177" t="s">
        <v>55</v>
      </c>
      <c r="D209" s="177" t="s">
        <v>56</v>
      </c>
      <c r="E209" s="294" t="s">
        <v>206</v>
      </c>
      <c r="F209" s="40" t="s">
        <v>149</v>
      </c>
      <c r="G209" s="159" t="s">
        <v>58</v>
      </c>
      <c r="H209" s="296"/>
      <c r="I209" s="33"/>
    </row>
    <row r="210" spans="1:14" s="66" customFormat="1" x14ac:dyDescent="0.25">
      <c r="A210" s="178"/>
      <c r="B210" s="178"/>
      <c r="C210" s="178"/>
      <c r="D210" s="178"/>
      <c r="E210" s="295"/>
      <c r="F210" s="13">
        <v>0.5</v>
      </c>
      <c r="G210" s="160"/>
      <c r="H210" s="297"/>
      <c r="I210" s="33"/>
      <c r="J210" s="34"/>
      <c r="K210" s="34"/>
      <c r="L210" s="170"/>
      <c r="M210" s="170"/>
      <c r="N210" s="33"/>
    </row>
    <row r="211" spans="1:14" s="66" customFormat="1" x14ac:dyDescent="0.25">
      <c r="A211" s="111" t="s">
        <v>245</v>
      </c>
      <c r="B211" s="112"/>
      <c r="C211" s="112"/>
      <c r="D211" s="112"/>
      <c r="E211" s="112"/>
      <c r="F211" s="112"/>
      <c r="G211" s="112"/>
      <c r="H211" s="113"/>
      <c r="I211" s="33"/>
      <c r="L211" s="170"/>
      <c r="M211" s="170"/>
      <c r="N211" s="33"/>
    </row>
    <row r="212" spans="1:14" s="34" customFormat="1" ht="15.75" customHeight="1" x14ac:dyDescent="0.25">
      <c r="A212" s="114" t="s">
        <v>200</v>
      </c>
      <c r="B212" s="115"/>
      <c r="C212" s="115"/>
      <c r="D212" s="115"/>
      <c r="E212" s="115"/>
      <c r="F212" s="115"/>
      <c r="G212" s="115"/>
      <c r="H212" s="116"/>
      <c r="I212" s="33"/>
      <c r="L212" s="170"/>
      <c r="M212" s="170"/>
      <c r="N212" s="33"/>
    </row>
    <row r="213" spans="1:14" s="34" customFormat="1" ht="15.75" customHeight="1" x14ac:dyDescent="0.25">
      <c r="A213" s="171" t="s">
        <v>215</v>
      </c>
      <c r="B213" s="172"/>
      <c r="C213" s="172"/>
      <c r="D213" s="172"/>
      <c r="E213" s="172"/>
      <c r="F213" s="172"/>
      <c r="G213" s="172"/>
      <c r="H213" s="173"/>
      <c r="I213" s="33" t="s">
        <v>110</v>
      </c>
      <c r="L213" s="170"/>
      <c r="M213" s="170"/>
      <c r="N213" s="33"/>
    </row>
    <row r="214" spans="1:14" s="34" customFormat="1" ht="15.75" customHeight="1" x14ac:dyDescent="0.25">
      <c r="A214" s="140">
        <v>10</v>
      </c>
      <c r="B214" s="141"/>
      <c r="C214" s="39" t="s">
        <v>205</v>
      </c>
      <c r="D214" s="55">
        <f>(17.28)*10.764</f>
        <v>186.00192000000001</v>
      </c>
      <c r="E214" s="55">
        <f>(1.2*2.7)*10.764</f>
        <v>34.875360000000001</v>
      </c>
      <c r="F214" s="39">
        <f t="shared" ref="F214:F223" si="2">(D214+E214)*(($F$210)+1)</f>
        <v>331.31592000000001</v>
      </c>
      <c r="G214" s="133" t="str">
        <f>A213</f>
        <v>Ground Floor For Commercial (Part Residential &amp; Parking)</v>
      </c>
      <c r="H214" s="134"/>
      <c r="I214" s="65" t="s">
        <v>212</v>
      </c>
      <c r="J214" s="56"/>
      <c r="K214" s="56"/>
      <c r="L214" s="170"/>
      <c r="M214" s="170"/>
      <c r="N214" s="33"/>
    </row>
    <row r="215" spans="1:14" s="34" customFormat="1" ht="15.75" customHeight="1" x14ac:dyDescent="0.25">
      <c r="A215" s="140">
        <v>11</v>
      </c>
      <c r="B215" s="141"/>
      <c r="C215" s="55" t="s">
        <v>205</v>
      </c>
      <c r="D215" s="55">
        <f>(32.54)*10.764</f>
        <v>350.26055999999994</v>
      </c>
      <c r="E215" s="55">
        <f>(1.2*4.35)*10.764</f>
        <v>56.188079999999992</v>
      </c>
      <c r="F215" s="39">
        <f t="shared" si="2"/>
        <v>609.67295999999988</v>
      </c>
      <c r="G215" s="135"/>
      <c r="H215" s="136"/>
      <c r="I215" s="48">
        <v>10.763999999999999</v>
      </c>
      <c r="J215" s="56"/>
      <c r="K215" s="56"/>
      <c r="L215" s="170"/>
      <c r="M215" s="170"/>
      <c r="N215" s="33"/>
    </row>
    <row r="216" spans="1:14" s="56" customFormat="1" x14ac:dyDescent="0.25">
      <c r="A216" s="140">
        <v>12</v>
      </c>
      <c r="B216" s="141"/>
      <c r="C216" s="55" t="s">
        <v>205</v>
      </c>
      <c r="D216" s="55">
        <f>(17.28)*10.764</f>
        <v>186.00192000000001</v>
      </c>
      <c r="E216" s="55">
        <f>(1.2*2.7)*10.764</f>
        <v>34.875360000000001</v>
      </c>
      <c r="F216" s="39">
        <f t="shared" si="2"/>
        <v>331.31592000000001</v>
      </c>
      <c r="G216" s="135"/>
      <c r="H216" s="136"/>
      <c r="I216" s="33"/>
      <c r="L216" s="170"/>
      <c r="M216" s="170"/>
      <c r="N216" s="33"/>
    </row>
    <row r="217" spans="1:14" s="56" customFormat="1" x14ac:dyDescent="0.25">
      <c r="A217" s="140">
        <v>13</v>
      </c>
      <c r="B217" s="141"/>
      <c r="C217" s="55" t="s">
        <v>205</v>
      </c>
      <c r="D217" s="55">
        <f>(32.54)*10.764</f>
        <v>350.26055999999994</v>
      </c>
      <c r="E217" s="55">
        <f>(1.2*4.35)*10.764</f>
        <v>56.188079999999992</v>
      </c>
      <c r="F217" s="39">
        <f t="shared" si="2"/>
        <v>609.67295999999988</v>
      </c>
      <c r="G217" s="135"/>
      <c r="H217" s="136"/>
      <c r="I217" s="62"/>
      <c r="L217" s="170"/>
      <c r="M217" s="170"/>
      <c r="N217" s="33"/>
    </row>
    <row r="218" spans="1:14" s="56" customFormat="1" x14ac:dyDescent="0.25">
      <c r="A218" s="140">
        <v>14</v>
      </c>
      <c r="B218" s="141"/>
      <c r="C218" s="55" t="s">
        <v>205</v>
      </c>
      <c r="D218" s="55">
        <f>(32.54)*10.764</f>
        <v>350.26055999999994</v>
      </c>
      <c r="E218" s="55">
        <f>(1.2*4.35)*10.764</f>
        <v>56.188079999999992</v>
      </c>
      <c r="F218" s="55">
        <f t="shared" si="2"/>
        <v>609.67295999999988</v>
      </c>
      <c r="G218" s="135"/>
      <c r="H218" s="136"/>
      <c r="I218" s="33"/>
      <c r="L218" s="170"/>
      <c r="M218" s="170"/>
      <c r="N218" s="33"/>
    </row>
    <row r="219" spans="1:14" s="56" customFormat="1" x14ac:dyDescent="0.25">
      <c r="A219" s="140">
        <v>15</v>
      </c>
      <c r="B219" s="141"/>
      <c r="C219" s="55" t="s">
        <v>205</v>
      </c>
      <c r="D219" s="55">
        <f>(17.28)*10.764</f>
        <v>186.00192000000001</v>
      </c>
      <c r="E219" s="55">
        <f>(1.2*2.7)*10.764</f>
        <v>34.875360000000001</v>
      </c>
      <c r="F219" s="55">
        <f t="shared" si="2"/>
        <v>331.31592000000001</v>
      </c>
      <c r="G219" s="135"/>
      <c r="H219" s="136"/>
      <c r="I219" s="56">
        <f>6*4.35+1.5*4.35</f>
        <v>32.625</v>
      </c>
      <c r="L219" s="170"/>
      <c r="M219" s="170"/>
      <c r="N219" s="33"/>
    </row>
    <row r="220" spans="1:14" s="56" customFormat="1" x14ac:dyDescent="0.25">
      <c r="A220" s="140">
        <v>16</v>
      </c>
      <c r="B220" s="141"/>
      <c r="C220" s="55" t="s">
        <v>205</v>
      </c>
      <c r="D220" s="55">
        <f>(32.54)*10.764</f>
        <v>350.26055999999994</v>
      </c>
      <c r="E220" s="55">
        <f>(1.2*4.35)*10.764</f>
        <v>56.188079999999992</v>
      </c>
      <c r="F220" s="55">
        <f t="shared" si="2"/>
        <v>609.67295999999988</v>
      </c>
      <c r="G220" s="135"/>
      <c r="H220" s="136"/>
      <c r="I220" s="33"/>
      <c r="J220" s="66"/>
      <c r="K220" s="34"/>
      <c r="L220" s="34"/>
      <c r="M220" s="34"/>
      <c r="N220" s="33"/>
    </row>
    <row r="221" spans="1:14" s="56" customFormat="1" x14ac:dyDescent="0.25">
      <c r="A221" s="140">
        <v>17</v>
      </c>
      <c r="B221" s="141"/>
      <c r="C221" s="55" t="s">
        <v>205</v>
      </c>
      <c r="D221" s="55">
        <f>(17.28)*10.764</f>
        <v>186.00192000000001</v>
      </c>
      <c r="E221" s="55">
        <f>(1.2*2.7)*10.764</f>
        <v>34.875360000000001</v>
      </c>
      <c r="F221" s="55">
        <f t="shared" si="2"/>
        <v>331.31592000000001</v>
      </c>
      <c r="G221" s="135"/>
      <c r="H221" s="136"/>
      <c r="I221" s="62">
        <f>2.75*3.75+2.1*2.1+2.75*2.7+1.75*1.15+0.9*1.2+0.9*1.6+0.9*0.9+0.6*1.5</f>
        <v>28.39</v>
      </c>
      <c r="J221" s="19"/>
      <c r="K221" s="19"/>
      <c r="L221" s="19"/>
      <c r="M221" s="19"/>
      <c r="N221" s="19"/>
    </row>
    <row r="222" spans="1:14" s="73" customFormat="1" x14ac:dyDescent="0.25">
      <c r="A222" s="140">
        <v>18</v>
      </c>
      <c r="B222" s="141"/>
      <c r="C222" s="55" t="s">
        <v>205</v>
      </c>
      <c r="D222" s="55">
        <f>(21.89)*10.764</f>
        <v>235.62395999999998</v>
      </c>
      <c r="E222" s="55">
        <f>(1.2*2.85)*10.764</f>
        <v>36.81288</v>
      </c>
      <c r="F222" s="55">
        <f t="shared" si="2"/>
        <v>408.65525999999994</v>
      </c>
      <c r="G222" s="135"/>
      <c r="H222" s="136"/>
      <c r="I222" s="33"/>
      <c r="L222" s="170"/>
      <c r="M222" s="170"/>
      <c r="N222" s="33"/>
    </row>
    <row r="223" spans="1:14" s="73" customFormat="1" ht="15.75" customHeight="1" x14ac:dyDescent="0.25">
      <c r="A223" s="140">
        <v>19</v>
      </c>
      <c r="B223" s="141"/>
      <c r="C223" s="55" t="s">
        <v>205</v>
      </c>
      <c r="D223" s="55">
        <f>(21.89)*10.764</f>
        <v>235.62395999999998</v>
      </c>
      <c r="E223" s="55">
        <f>(1.2*2.85)*10.764</f>
        <v>36.81288</v>
      </c>
      <c r="F223" s="55">
        <f t="shared" si="2"/>
        <v>408.65525999999994</v>
      </c>
      <c r="G223" s="175"/>
      <c r="H223" s="176"/>
      <c r="I223" s="33"/>
      <c r="L223" s="170"/>
      <c r="M223" s="170"/>
      <c r="N223" s="33"/>
    </row>
    <row r="224" spans="1:14" s="73" customFormat="1" ht="15.75" customHeight="1" x14ac:dyDescent="0.25">
      <c r="A224" s="111" t="s">
        <v>246</v>
      </c>
      <c r="B224" s="112"/>
      <c r="C224" s="112"/>
      <c r="D224" s="112"/>
      <c r="E224" s="112"/>
      <c r="F224" s="112"/>
      <c r="G224" s="112"/>
      <c r="H224" s="113"/>
      <c r="I224" s="33"/>
      <c r="L224" s="170"/>
      <c r="M224" s="170"/>
      <c r="N224" s="33"/>
    </row>
    <row r="225" spans="1:14" s="73" customFormat="1" ht="15.75" customHeight="1" x14ac:dyDescent="0.25">
      <c r="A225" s="114" t="s">
        <v>221</v>
      </c>
      <c r="B225" s="115"/>
      <c r="C225" s="115"/>
      <c r="D225" s="115"/>
      <c r="E225" s="115"/>
      <c r="F225" s="115"/>
      <c r="G225" s="115"/>
      <c r="H225" s="116"/>
      <c r="I225" s="33"/>
      <c r="L225" s="170"/>
      <c r="M225" s="170"/>
      <c r="N225" s="33"/>
    </row>
    <row r="226" spans="1:14" s="73" customFormat="1" ht="15.75" customHeight="1" x14ac:dyDescent="0.25">
      <c r="A226" s="171" t="s">
        <v>224</v>
      </c>
      <c r="B226" s="172"/>
      <c r="C226" s="172"/>
      <c r="D226" s="172"/>
      <c r="E226" s="172"/>
      <c r="F226" s="172"/>
      <c r="G226" s="172"/>
      <c r="H226" s="173"/>
      <c r="I226" s="65"/>
      <c r="L226" s="170"/>
      <c r="M226" s="170"/>
      <c r="N226" s="33"/>
    </row>
    <row r="227" spans="1:14" s="73" customFormat="1" ht="15.75" customHeight="1" x14ac:dyDescent="0.25">
      <c r="A227" s="140">
        <v>1</v>
      </c>
      <c r="B227" s="141"/>
      <c r="C227" s="55" t="s">
        <v>205</v>
      </c>
      <c r="D227" s="55">
        <f>(45.49)*10.764</f>
        <v>489.65436</v>
      </c>
      <c r="E227" s="55">
        <f>(1.2*4.2)*10.764</f>
        <v>54.25056</v>
      </c>
      <c r="F227" s="55">
        <f t="shared" ref="F227:F235" si="3">(D227+E227)*(($F$210)+1)</f>
        <v>815.85737999999992</v>
      </c>
      <c r="G227" s="133" t="str">
        <f>A226</f>
        <v>Ground Floor For Commercial, Parking &amp; Society Office</v>
      </c>
      <c r="H227" s="134"/>
      <c r="I227" s="65"/>
      <c r="L227" s="170"/>
      <c r="M227" s="170"/>
      <c r="N227" s="33"/>
    </row>
    <row r="228" spans="1:14" s="73" customFormat="1" x14ac:dyDescent="0.25">
      <c r="A228" s="140">
        <v>2</v>
      </c>
      <c r="B228" s="141"/>
      <c r="C228" s="55" t="s">
        <v>205</v>
      </c>
      <c r="D228" s="55">
        <f>(33.66)*10.764</f>
        <v>362.31623999999994</v>
      </c>
      <c r="E228" s="55">
        <f>(1.2*3)*10.764</f>
        <v>38.750399999999992</v>
      </c>
      <c r="F228" s="55">
        <f t="shared" si="3"/>
        <v>601.5999599999999</v>
      </c>
      <c r="G228" s="135"/>
      <c r="H228" s="136"/>
      <c r="I228" s="33"/>
      <c r="L228" s="170"/>
      <c r="M228" s="170"/>
      <c r="N228" s="33"/>
    </row>
    <row r="229" spans="1:14" s="73" customFormat="1" x14ac:dyDescent="0.25">
      <c r="A229" s="140">
        <v>3</v>
      </c>
      <c r="B229" s="141"/>
      <c r="C229" s="55" t="s">
        <v>205</v>
      </c>
      <c r="D229" s="55">
        <f>(14.85)*10.764</f>
        <v>159.84539999999998</v>
      </c>
      <c r="E229" s="55">
        <f>(1.2*2.7)*10.764</f>
        <v>34.875360000000001</v>
      </c>
      <c r="F229" s="55">
        <f t="shared" si="3"/>
        <v>292.08114</v>
      </c>
      <c r="G229" s="135"/>
      <c r="H229" s="136"/>
      <c r="I229" s="62"/>
      <c r="L229" s="170"/>
      <c r="M229" s="170"/>
      <c r="N229" s="33"/>
    </row>
    <row r="230" spans="1:14" s="73" customFormat="1" x14ac:dyDescent="0.25">
      <c r="A230" s="140">
        <v>4</v>
      </c>
      <c r="B230" s="141"/>
      <c r="C230" s="55" t="s">
        <v>205</v>
      </c>
      <c r="D230" s="55">
        <f>(30.16)*10.764</f>
        <v>324.64223999999996</v>
      </c>
      <c r="E230" s="55">
        <f>(1.2*4.35)*10.764</f>
        <v>56.188079999999992</v>
      </c>
      <c r="F230" s="55">
        <f t="shared" si="3"/>
        <v>571.24547999999993</v>
      </c>
      <c r="G230" s="135"/>
      <c r="H230" s="136"/>
      <c r="I230" s="33"/>
      <c r="L230" s="170"/>
      <c r="M230" s="170"/>
      <c r="N230" s="33"/>
    </row>
    <row r="231" spans="1:14" s="73" customFormat="1" x14ac:dyDescent="0.25">
      <c r="A231" s="140">
        <v>5</v>
      </c>
      <c r="B231" s="141"/>
      <c r="C231" s="55" t="s">
        <v>205</v>
      </c>
      <c r="D231" s="55">
        <f>(11.44)*10.764</f>
        <v>123.14015999999998</v>
      </c>
      <c r="E231" s="55">
        <f>(1.2*2.4)*10.764</f>
        <v>31.000319999999999</v>
      </c>
      <c r="F231" s="55">
        <f t="shared" si="3"/>
        <v>231.21071999999995</v>
      </c>
      <c r="G231" s="135"/>
      <c r="H231" s="136"/>
      <c r="L231" s="170"/>
      <c r="M231" s="170"/>
      <c r="N231" s="33"/>
    </row>
    <row r="232" spans="1:14" s="73" customFormat="1" x14ac:dyDescent="0.25">
      <c r="A232" s="140">
        <v>6</v>
      </c>
      <c r="B232" s="141"/>
      <c r="C232" s="55" t="s">
        <v>205</v>
      </c>
      <c r="D232" s="55">
        <f>(32.53)*10.764</f>
        <v>350.15291999999999</v>
      </c>
      <c r="E232" s="55">
        <f>(1.2*4.35)*10.764</f>
        <v>56.188079999999992</v>
      </c>
      <c r="F232" s="55">
        <f t="shared" si="3"/>
        <v>609.51150000000007</v>
      </c>
      <c r="G232" s="135"/>
      <c r="H232" s="136"/>
      <c r="I232" s="33"/>
      <c r="N232" s="33"/>
    </row>
    <row r="233" spans="1:14" s="73" customFormat="1" x14ac:dyDescent="0.25">
      <c r="A233" s="140">
        <v>7</v>
      </c>
      <c r="B233" s="141"/>
      <c r="C233" s="55" t="s">
        <v>205</v>
      </c>
      <c r="D233" s="55">
        <f>(17.82)*10.764</f>
        <v>191.81448</v>
      </c>
      <c r="E233" s="55">
        <f>(1.2*2.85)*10.764</f>
        <v>36.81288</v>
      </c>
      <c r="F233" s="55">
        <f t="shared" si="3"/>
        <v>342.94104000000004</v>
      </c>
      <c r="G233" s="135"/>
      <c r="H233" s="136"/>
      <c r="I233" s="33"/>
      <c r="L233" s="170"/>
      <c r="M233" s="170"/>
      <c r="N233" s="33"/>
    </row>
    <row r="234" spans="1:14" s="73" customFormat="1" x14ac:dyDescent="0.25">
      <c r="A234" s="140">
        <v>8</v>
      </c>
      <c r="B234" s="141"/>
      <c r="C234" s="55" t="s">
        <v>205</v>
      </c>
      <c r="D234" s="55">
        <f>(32.53)*10.764</f>
        <v>350.15291999999999</v>
      </c>
      <c r="E234" s="55">
        <f>(1.2*4.35)*10.764</f>
        <v>56.188079999999992</v>
      </c>
      <c r="F234" s="55">
        <f t="shared" si="3"/>
        <v>609.51150000000007</v>
      </c>
      <c r="G234" s="135"/>
      <c r="H234" s="136"/>
      <c r="I234" s="33"/>
      <c r="L234" s="170"/>
      <c r="M234" s="170"/>
      <c r="N234" s="33"/>
    </row>
    <row r="235" spans="1:14" s="73" customFormat="1" ht="15.75" customHeight="1" x14ac:dyDescent="0.25">
      <c r="A235" s="140">
        <v>9</v>
      </c>
      <c r="B235" s="141"/>
      <c r="C235" s="55" t="s">
        <v>205</v>
      </c>
      <c r="D235" s="55">
        <f>(17.82)*10.764</f>
        <v>191.81448</v>
      </c>
      <c r="E235" s="55">
        <f>(1.2*2.7)*10.764</f>
        <v>34.875360000000001</v>
      </c>
      <c r="F235" s="55">
        <f t="shared" si="3"/>
        <v>340.03476000000001</v>
      </c>
      <c r="G235" s="135"/>
      <c r="H235" s="136"/>
      <c r="I235" s="33"/>
      <c r="L235" s="170"/>
      <c r="M235" s="170"/>
      <c r="N235" s="33"/>
    </row>
    <row r="236" spans="1:14" s="73" customFormat="1" ht="15.75" customHeight="1" x14ac:dyDescent="0.25">
      <c r="A236" s="114" t="s">
        <v>222</v>
      </c>
      <c r="B236" s="115"/>
      <c r="C236" s="115"/>
      <c r="D236" s="115"/>
      <c r="E236" s="115"/>
      <c r="F236" s="115"/>
      <c r="G236" s="115"/>
      <c r="H236" s="116"/>
      <c r="I236" s="33"/>
      <c r="L236" s="170"/>
      <c r="M236" s="170"/>
      <c r="N236" s="33"/>
    </row>
    <row r="237" spans="1:14" s="73" customFormat="1" ht="15.75" customHeight="1" x14ac:dyDescent="0.25">
      <c r="A237" s="171" t="s">
        <v>224</v>
      </c>
      <c r="B237" s="172"/>
      <c r="C237" s="172"/>
      <c r="D237" s="172"/>
      <c r="E237" s="172"/>
      <c r="F237" s="172"/>
      <c r="G237" s="172"/>
      <c r="H237" s="173"/>
      <c r="I237" s="65"/>
      <c r="L237" s="170"/>
      <c r="M237" s="170"/>
      <c r="N237" s="33"/>
    </row>
    <row r="238" spans="1:14" s="73" customFormat="1" ht="15.75" customHeight="1" x14ac:dyDescent="0.25">
      <c r="A238" s="140">
        <v>1</v>
      </c>
      <c r="B238" s="141"/>
      <c r="C238" s="55" t="s">
        <v>205</v>
      </c>
      <c r="D238" s="55">
        <f>(14.13)*10.764</f>
        <v>152.09531999999999</v>
      </c>
      <c r="E238" s="55">
        <f>(1.2*2.7)*10.764</f>
        <v>34.875360000000001</v>
      </c>
      <c r="F238" s="55">
        <f t="shared" ref="F238:F247" si="4">(D238+E238)*(($F$210)+1)</f>
        <v>280.45601999999997</v>
      </c>
      <c r="G238" s="133" t="str">
        <f>A237</f>
        <v>Ground Floor For Commercial, Parking &amp; Society Office</v>
      </c>
      <c r="H238" s="134"/>
      <c r="I238" s="65"/>
      <c r="L238" s="170"/>
      <c r="M238" s="170"/>
      <c r="N238" s="33"/>
    </row>
    <row r="239" spans="1:14" s="73" customFormat="1" x14ac:dyDescent="0.25">
      <c r="A239" s="140">
        <v>2</v>
      </c>
      <c r="B239" s="141"/>
      <c r="C239" s="55" t="s">
        <v>205</v>
      </c>
      <c r="D239" s="55">
        <f>(14.13)*10.764</f>
        <v>152.09531999999999</v>
      </c>
      <c r="E239" s="55">
        <f>(1.2*2.7)*10.764</f>
        <v>34.875360000000001</v>
      </c>
      <c r="F239" s="55">
        <f t="shared" si="4"/>
        <v>280.45601999999997</v>
      </c>
      <c r="G239" s="135"/>
      <c r="H239" s="136"/>
      <c r="I239" s="33"/>
      <c r="L239" s="170"/>
      <c r="M239" s="170"/>
      <c r="N239" s="33"/>
    </row>
    <row r="240" spans="1:14" s="73" customFormat="1" x14ac:dyDescent="0.25">
      <c r="A240" s="140">
        <v>3</v>
      </c>
      <c r="B240" s="141"/>
      <c r="C240" s="55" t="s">
        <v>205</v>
      </c>
      <c r="D240" s="55">
        <f>(15.2)*10.764</f>
        <v>163.61279999999999</v>
      </c>
      <c r="E240" s="55">
        <f>(1.2*2.7)*10.764</f>
        <v>34.875360000000001</v>
      </c>
      <c r="F240" s="55">
        <f t="shared" si="4"/>
        <v>297.73223999999999</v>
      </c>
      <c r="G240" s="135"/>
      <c r="H240" s="136"/>
      <c r="I240" s="62"/>
      <c r="L240" s="170"/>
      <c r="M240" s="170"/>
      <c r="N240" s="33"/>
    </row>
    <row r="241" spans="1:14" s="73" customFormat="1" x14ac:dyDescent="0.25">
      <c r="A241" s="140">
        <v>4</v>
      </c>
      <c r="B241" s="141"/>
      <c r="C241" s="55" t="s">
        <v>205</v>
      </c>
      <c r="D241" s="55">
        <f>(25.84)*10.764</f>
        <v>278.14175999999998</v>
      </c>
      <c r="E241" s="55">
        <f>(1.2*3.76)*10.764</f>
        <v>48.567167999999995</v>
      </c>
      <c r="F241" s="55">
        <f t="shared" si="4"/>
        <v>490.06339199999991</v>
      </c>
      <c r="G241" s="135"/>
      <c r="H241" s="136"/>
      <c r="I241" s="33"/>
      <c r="L241" s="170"/>
      <c r="M241" s="170"/>
      <c r="N241" s="33"/>
    </row>
    <row r="242" spans="1:14" s="73" customFormat="1" x14ac:dyDescent="0.25">
      <c r="A242" s="140">
        <v>5</v>
      </c>
      <c r="B242" s="141"/>
      <c r="C242" s="55" t="s">
        <v>205</v>
      </c>
      <c r="D242" s="55">
        <f>(25.84)*10.764</f>
        <v>278.14175999999998</v>
      </c>
      <c r="E242" s="55">
        <f>(1.2*3.78)*10.764</f>
        <v>48.825503999999995</v>
      </c>
      <c r="F242" s="55">
        <f t="shared" si="4"/>
        <v>490.450896</v>
      </c>
      <c r="G242" s="135"/>
      <c r="H242" s="136"/>
      <c r="L242" s="170"/>
      <c r="M242" s="170"/>
      <c r="N242" s="33"/>
    </row>
    <row r="243" spans="1:14" s="73" customFormat="1" x14ac:dyDescent="0.25">
      <c r="A243" s="140">
        <v>6</v>
      </c>
      <c r="B243" s="141"/>
      <c r="C243" s="55" t="s">
        <v>205</v>
      </c>
      <c r="D243" s="55">
        <f>(15.2)*10.764</f>
        <v>163.61279999999999</v>
      </c>
      <c r="E243" s="55">
        <f>(1.2*2.7)*10.764</f>
        <v>34.875360000000001</v>
      </c>
      <c r="F243" s="55">
        <f t="shared" si="4"/>
        <v>297.73223999999999</v>
      </c>
      <c r="G243" s="135"/>
      <c r="H243" s="136"/>
      <c r="I243" s="33"/>
      <c r="N243" s="33"/>
    </row>
    <row r="244" spans="1:14" s="73" customFormat="1" x14ac:dyDescent="0.25">
      <c r="A244" s="140">
        <v>7</v>
      </c>
      <c r="B244" s="141"/>
      <c r="C244" s="55" t="s">
        <v>205</v>
      </c>
      <c r="D244" s="55">
        <f>(15.2)*10.764</f>
        <v>163.61279999999999</v>
      </c>
      <c r="E244" s="55">
        <f>(1.2*2.7)*10.764</f>
        <v>34.875360000000001</v>
      </c>
      <c r="F244" s="55">
        <f t="shared" si="4"/>
        <v>297.73223999999999</v>
      </c>
      <c r="G244" s="135"/>
      <c r="H244" s="136"/>
      <c r="I244" s="33"/>
      <c r="N244" s="33"/>
    </row>
    <row r="245" spans="1:14" s="34" customFormat="1" x14ac:dyDescent="0.25">
      <c r="A245" s="140">
        <v>8</v>
      </c>
      <c r="B245" s="141"/>
      <c r="C245" s="55" t="s">
        <v>205</v>
      </c>
      <c r="D245" s="55">
        <f>(25.87)*10.764</f>
        <v>278.46467999999999</v>
      </c>
      <c r="E245" s="55">
        <f>(1.2*3.75)*10.764</f>
        <v>48.437999999999995</v>
      </c>
      <c r="F245" s="55">
        <f t="shared" si="4"/>
        <v>490.35401999999999</v>
      </c>
      <c r="G245" s="135"/>
      <c r="H245" s="136"/>
      <c r="I245" s="33"/>
    </row>
    <row r="246" spans="1:14" x14ac:dyDescent="0.25">
      <c r="A246" s="140">
        <v>9</v>
      </c>
      <c r="B246" s="141"/>
      <c r="C246" s="55" t="s">
        <v>205</v>
      </c>
      <c r="D246" s="55">
        <f>(15.2)*10.764</f>
        <v>163.61279999999999</v>
      </c>
      <c r="E246" s="55">
        <f>(1.2*2.7)*10.764</f>
        <v>34.875360000000001</v>
      </c>
      <c r="F246" s="55">
        <f t="shared" si="4"/>
        <v>297.73223999999999</v>
      </c>
      <c r="G246" s="135"/>
      <c r="H246" s="136"/>
      <c r="I246" s="49"/>
      <c r="J246" s="33"/>
      <c r="K246" s="56"/>
      <c r="L246" s="56"/>
      <c r="M246" s="56"/>
      <c r="N246" s="56"/>
    </row>
    <row r="247" spans="1:14" s="34" customFormat="1" x14ac:dyDescent="0.25">
      <c r="A247" s="140">
        <v>10</v>
      </c>
      <c r="B247" s="141"/>
      <c r="C247" s="55" t="s">
        <v>205</v>
      </c>
      <c r="D247" s="55">
        <f>(33.02)*10.764</f>
        <v>355.42728</v>
      </c>
      <c r="E247" s="55">
        <f>(1.2*3.75)*10.764</f>
        <v>48.437999999999995</v>
      </c>
      <c r="F247" s="55">
        <f t="shared" si="4"/>
        <v>605.79791999999998</v>
      </c>
      <c r="G247" s="175"/>
      <c r="H247" s="176"/>
      <c r="I247" s="33"/>
      <c r="J247" s="56">
        <f>4000*F277</f>
        <v>2271247.0559999999</v>
      </c>
      <c r="K247" s="56"/>
      <c r="L247" s="56"/>
      <c r="M247" s="56"/>
      <c r="N247" s="56"/>
    </row>
    <row r="248" spans="1:14" s="56" customFormat="1" x14ac:dyDescent="0.25">
      <c r="A248" s="140"/>
      <c r="B248" s="143"/>
      <c r="C248" s="143"/>
      <c r="D248" s="143"/>
      <c r="E248" s="143"/>
      <c r="F248" s="143"/>
      <c r="G248" s="143"/>
      <c r="H248" s="141"/>
      <c r="I248" s="33"/>
      <c r="J248" s="61">
        <f>4000*F278</f>
        <v>2201324.1119999993</v>
      </c>
      <c r="K248" s="76"/>
      <c r="L248" s="76"/>
      <c r="M248" s="33"/>
    </row>
    <row r="249" spans="1:14" s="56" customFormat="1" ht="47.25" x14ac:dyDescent="0.25">
      <c r="A249" s="159" t="s">
        <v>120</v>
      </c>
      <c r="B249" s="159" t="s">
        <v>121</v>
      </c>
      <c r="C249" s="177" t="s">
        <v>55</v>
      </c>
      <c r="D249" s="177" t="s">
        <v>56</v>
      </c>
      <c r="E249" s="177" t="s">
        <v>57</v>
      </c>
      <c r="F249" s="40" t="s">
        <v>149</v>
      </c>
      <c r="G249" s="159" t="s">
        <v>58</v>
      </c>
      <c r="H249" s="296"/>
      <c r="I249" s="33"/>
      <c r="J249" s="61">
        <f>4000*F280</f>
        <v>4083936.9479999994</v>
      </c>
      <c r="K249" s="76"/>
      <c r="L249" s="76"/>
      <c r="M249" s="33"/>
    </row>
    <row r="250" spans="1:14" s="56" customFormat="1" ht="15.75" customHeight="1" x14ac:dyDescent="0.25">
      <c r="A250" s="160"/>
      <c r="B250" s="160"/>
      <c r="C250" s="178"/>
      <c r="D250" s="178"/>
      <c r="E250" s="178"/>
      <c r="F250" s="13">
        <v>0.45</v>
      </c>
      <c r="G250" s="160"/>
      <c r="H250" s="297"/>
      <c r="I250" s="33">
        <f>2.75*3.75+2.1*2.1+2.75*2.7+1.75*1.15+0.9*1.2+2*0.9+0.7*1</f>
        <v>27.740000000000002</v>
      </c>
      <c r="J250" s="61">
        <f t="shared" ref="J250:J260" si="5">4000*F282</f>
        <v>0</v>
      </c>
      <c r="K250" s="76"/>
      <c r="L250" s="76"/>
      <c r="M250" s="33"/>
    </row>
    <row r="251" spans="1:14" s="56" customFormat="1" ht="15.75" customHeight="1" x14ac:dyDescent="0.25">
      <c r="A251" s="111" t="s">
        <v>170</v>
      </c>
      <c r="B251" s="112"/>
      <c r="C251" s="112"/>
      <c r="D251" s="112"/>
      <c r="E251" s="112"/>
      <c r="F251" s="112"/>
      <c r="G251" s="112"/>
      <c r="H251" s="113"/>
      <c r="I251" s="33"/>
      <c r="J251" s="61">
        <f t="shared" si="5"/>
        <v>2265628.2479999997</v>
      </c>
    </row>
    <row r="252" spans="1:14" s="56" customFormat="1" ht="15.75" customHeight="1" x14ac:dyDescent="0.25">
      <c r="A252" s="114" t="s">
        <v>182</v>
      </c>
      <c r="B252" s="115"/>
      <c r="C252" s="115"/>
      <c r="D252" s="115"/>
      <c r="E252" s="115"/>
      <c r="F252" s="115"/>
      <c r="G252" s="115"/>
      <c r="H252" s="116"/>
      <c r="I252" s="33"/>
      <c r="J252" s="61">
        <f t="shared" si="5"/>
        <v>2195705.304</v>
      </c>
      <c r="K252" s="76"/>
      <c r="L252" s="76"/>
      <c r="M252" s="33"/>
    </row>
    <row r="253" spans="1:14" s="56" customFormat="1" x14ac:dyDescent="0.25">
      <c r="A253" s="117" t="s">
        <v>181</v>
      </c>
      <c r="B253" s="118"/>
      <c r="C253" s="118"/>
      <c r="D253" s="118"/>
      <c r="E253" s="118"/>
      <c r="F253" s="118"/>
      <c r="G253" s="118"/>
      <c r="H253" s="119"/>
      <c r="I253" s="67"/>
      <c r="J253" s="61">
        <f t="shared" si="5"/>
        <v>2195705.304</v>
      </c>
      <c r="K253" s="76"/>
      <c r="L253" s="76"/>
      <c r="M253" s="33"/>
    </row>
    <row r="254" spans="1:14" s="56" customFormat="1" ht="15.75" customHeight="1" x14ac:dyDescent="0.25">
      <c r="A254" s="117" t="s">
        <v>183</v>
      </c>
      <c r="B254" s="118"/>
      <c r="C254" s="118"/>
      <c r="D254" s="118"/>
      <c r="E254" s="118"/>
      <c r="F254" s="118"/>
      <c r="G254" s="118"/>
      <c r="H254" s="119"/>
      <c r="J254" s="61">
        <f t="shared" si="5"/>
        <v>2195705.304</v>
      </c>
      <c r="K254" s="76"/>
      <c r="L254" s="76"/>
      <c r="M254" s="33"/>
    </row>
    <row r="255" spans="1:14" s="56" customFormat="1" ht="15.75" customHeight="1" x14ac:dyDescent="0.25">
      <c r="A255" s="140">
        <v>1</v>
      </c>
      <c r="B255" s="141"/>
      <c r="C255" s="55" t="s">
        <v>185</v>
      </c>
      <c r="D255" s="48">
        <f>(36.89+0.9*(1.5+1.65))*10.764</f>
        <v>427.59989999999999</v>
      </c>
      <c r="E255" s="39">
        <v>0</v>
      </c>
      <c r="F255" s="39">
        <f t="shared" ref="F255:F262" si="6">D255*(($F$250)+1)+(IF(E255&lt;101,E255,IF(E255&lt;201,E255/2,IF(E255&lt;=301,E255/3,E255/4))))</f>
        <v>620.01985500000001</v>
      </c>
      <c r="G255" s="133" t="str">
        <f>A254</f>
        <v>1st to 8th Floor For Residential</v>
      </c>
      <c r="H255" s="134"/>
      <c r="J255" s="61">
        <f t="shared" si="5"/>
        <v>2195705.304</v>
      </c>
      <c r="K255" s="76"/>
      <c r="L255" s="76"/>
      <c r="M255" s="33"/>
    </row>
    <row r="256" spans="1:14" s="56" customFormat="1" ht="15.75" customHeight="1" x14ac:dyDescent="0.25">
      <c r="A256" s="140">
        <v>2</v>
      </c>
      <c r="B256" s="141"/>
      <c r="C256" s="55" t="s">
        <v>184</v>
      </c>
      <c r="D256" s="48">
        <f>(28.32+0.9*(1.5+1.65))*10.764</f>
        <v>335.35242</v>
      </c>
      <c r="E256" s="39">
        <v>0</v>
      </c>
      <c r="F256" s="39">
        <f t="shared" si="6"/>
        <v>486.261009</v>
      </c>
      <c r="G256" s="135" t="str">
        <f t="shared" ref="G256:G258" si="7">G255</f>
        <v>1st to 8th Floor For Residential</v>
      </c>
      <c r="H256" s="136"/>
      <c r="I256" s="33">
        <f>2.75*3.75+2.1*2.1+2.75*2.7+1.75*1.15+0.9*1.2+2*0.9+0.7*1</f>
        <v>27.740000000000002</v>
      </c>
      <c r="J256" s="61">
        <f t="shared" si="5"/>
        <v>2195705.304</v>
      </c>
      <c r="M256" s="33"/>
    </row>
    <row r="257" spans="1:14" s="56" customFormat="1" ht="15.75" customHeight="1" x14ac:dyDescent="0.25">
      <c r="A257" s="140">
        <v>3</v>
      </c>
      <c r="B257" s="141"/>
      <c r="C257" s="55" t="s">
        <v>184</v>
      </c>
      <c r="D257" s="48">
        <f>(28.32+0.9*(1.5+1.65))*10.764</f>
        <v>335.35242</v>
      </c>
      <c r="E257" s="39">
        <v>0</v>
      </c>
      <c r="F257" s="39">
        <f t="shared" si="6"/>
        <v>486.261009</v>
      </c>
      <c r="G257" s="135" t="str">
        <f t="shared" si="7"/>
        <v>1st to 8th Floor For Residential</v>
      </c>
      <c r="H257" s="136"/>
      <c r="I257" s="62">
        <f>2.75*3.75+2.1*2.1+2.75*2.7+1.75*1.15+0.9*1.2+0.9*1.6+0.9*0.9+0.6*1.5</f>
        <v>28.39</v>
      </c>
      <c r="J257" s="61">
        <f t="shared" si="5"/>
        <v>2195705.304</v>
      </c>
      <c r="N257" s="33"/>
    </row>
    <row r="258" spans="1:14" s="56" customFormat="1" ht="15.75" customHeight="1" x14ac:dyDescent="0.25">
      <c r="A258" s="140">
        <v>4</v>
      </c>
      <c r="B258" s="141"/>
      <c r="C258" s="55" t="s">
        <v>184</v>
      </c>
      <c r="D258" s="48">
        <f t="shared" ref="D258:D262" si="8">(28.32+0.9*(1.5+1.65))*10.764</f>
        <v>335.35242</v>
      </c>
      <c r="E258" s="39">
        <v>0</v>
      </c>
      <c r="F258" s="39">
        <f t="shared" si="6"/>
        <v>486.261009</v>
      </c>
      <c r="G258" s="135" t="str">
        <f t="shared" si="7"/>
        <v>1st to 8th Floor For Residential</v>
      </c>
      <c r="H258" s="136"/>
      <c r="I258" s="33"/>
      <c r="J258" s="61">
        <f t="shared" si="5"/>
        <v>2195705.304</v>
      </c>
      <c r="N258" s="33"/>
    </row>
    <row r="259" spans="1:14" s="56" customFormat="1" ht="15.75" customHeight="1" x14ac:dyDescent="0.25">
      <c r="A259" s="140">
        <v>5</v>
      </c>
      <c r="B259" s="141"/>
      <c r="C259" s="55" t="s">
        <v>184</v>
      </c>
      <c r="D259" s="48">
        <f t="shared" si="8"/>
        <v>335.35242</v>
      </c>
      <c r="E259" s="39">
        <v>0</v>
      </c>
      <c r="F259" s="39">
        <f t="shared" si="6"/>
        <v>486.261009</v>
      </c>
      <c r="G259" s="135" t="str">
        <f>G258</f>
        <v>1st to 8th Floor For Residential</v>
      </c>
      <c r="H259" s="136"/>
      <c r="I259" s="49"/>
      <c r="J259" s="61">
        <f t="shared" si="5"/>
        <v>3519558.8999999994</v>
      </c>
      <c r="N259" s="33"/>
    </row>
    <row r="260" spans="1:14" s="56" customFormat="1" ht="15.75" customHeight="1" x14ac:dyDescent="0.25">
      <c r="A260" s="140">
        <v>6</v>
      </c>
      <c r="B260" s="141"/>
      <c r="C260" s="55" t="s">
        <v>184</v>
      </c>
      <c r="D260" s="48">
        <f t="shared" si="8"/>
        <v>335.35242</v>
      </c>
      <c r="E260" s="39">
        <v>0</v>
      </c>
      <c r="F260" s="39">
        <f t="shared" si="6"/>
        <v>486.261009</v>
      </c>
      <c r="G260" s="135" t="str">
        <f>G259</f>
        <v>1st to 8th Floor For Residential</v>
      </c>
      <c r="H260" s="136"/>
      <c r="I260" s="33"/>
      <c r="J260" s="61">
        <f t="shared" si="5"/>
        <v>2195705.304</v>
      </c>
      <c r="N260" s="33"/>
    </row>
    <row r="261" spans="1:14" s="76" customFormat="1" ht="15.75" customHeight="1" x14ac:dyDescent="0.25">
      <c r="A261" s="140">
        <v>7</v>
      </c>
      <c r="B261" s="141"/>
      <c r="C261" s="55" t="s">
        <v>184</v>
      </c>
      <c r="D261" s="48">
        <f t="shared" si="8"/>
        <v>335.35242</v>
      </c>
      <c r="E261" s="39">
        <v>0</v>
      </c>
      <c r="F261" s="39">
        <f t="shared" si="6"/>
        <v>486.261009</v>
      </c>
      <c r="G261" s="135" t="str">
        <f>G260</f>
        <v>1st to 8th Floor For Residential</v>
      </c>
      <c r="H261" s="136"/>
      <c r="I261" s="33"/>
      <c r="N261" s="33"/>
    </row>
    <row r="262" spans="1:14" s="56" customFormat="1" ht="15.75" customHeight="1" x14ac:dyDescent="0.25">
      <c r="A262" s="140">
        <v>8</v>
      </c>
      <c r="B262" s="141"/>
      <c r="C262" s="55" t="s">
        <v>184</v>
      </c>
      <c r="D262" s="48">
        <f t="shared" si="8"/>
        <v>335.35242</v>
      </c>
      <c r="E262" s="46">
        <v>0</v>
      </c>
      <c r="F262" s="46">
        <f t="shared" si="6"/>
        <v>486.261009</v>
      </c>
      <c r="G262" s="135" t="str">
        <f>G261</f>
        <v>1st to 8th Floor For Residential</v>
      </c>
      <c r="H262" s="136"/>
      <c r="I262" s="33"/>
      <c r="J262" s="61">
        <f>4000*F293</f>
        <v>0</v>
      </c>
      <c r="N262" s="33"/>
    </row>
    <row r="263" spans="1:14" s="76" customFormat="1" ht="15.75" customHeight="1" x14ac:dyDescent="0.25">
      <c r="A263" s="114" t="s">
        <v>186</v>
      </c>
      <c r="B263" s="115"/>
      <c r="C263" s="115"/>
      <c r="D263" s="115"/>
      <c r="E263" s="115"/>
      <c r="F263" s="115"/>
      <c r="G263" s="115"/>
      <c r="H263" s="116"/>
      <c r="I263" s="33"/>
      <c r="N263" s="33"/>
    </row>
    <row r="264" spans="1:14" s="56" customFormat="1" ht="15.75" customHeight="1" x14ac:dyDescent="0.25">
      <c r="A264" s="117" t="s">
        <v>181</v>
      </c>
      <c r="B264" s="118"/>
      <c r="C264" s="118"/>
      <c r="D264" s="118"/>
      <c r="E264" s="118"/>
      <c r="F264" s="118"/>
      <c r="G264" s="118"/>
      <c r="H264" s="119"/>
      <c r="I264" s="33"/>
      <c r="J264" s="68" t="s">
        <v>214</v>
      </c>
    </row>
    <row r="265" spans="1:14" s="56" customFormat="1" ht="15.75" customHeight="1" x14ac:dyDescent="0.25">
      <c r="A265" s="117" t="s">
        <v>183</v>
      </c>
      <c r="B265" s="118"/>
      <c r="C265" s="118"/>
      <c r="D265" s="118"/>
      <c r="E265" s="118"/>
      <c r="F265" s="118"/>
      <c r="G265" s="118"/>
      <c r="H265" s="119"/>
      <c r="I265" s="33">
        <f>1888000/F267</f>
        <v>3882.6884431525541</v>
      </c>
    </row>
    <row r="266" spans="1:14" s="56" customFormat="1" x14ac:dyDescent="0.25">
      <c r="A266" s="140">
        <v>1</v>
      </c>
      <c r="B266" s="141"/>
      <c r="C266" s="55" t="s">
        <v>185</v>
      </c>
      <c r="D266" s="48">
        <f>(36.89+0.9*(1.5+1.65))*10.764</f>
        <v>427.59989999999999</v>
      </c>
      <c r="E266" s="46">
        <v>0</v>
      </c>
      <c r="F266" s="46">
        <f t="shared" ref="F266:F273" si="9">D266*(($F$250)+1)+(IF(E266&lt;101,E266,IF(E266&lt;201,E266/2,IF(E266&lt;=301,E266/3,E266/4))))</f>
        <v>620.01985500000001</v>
      </c>
      <c r="G266" s="133" t="str">
        <f>A265</f>
        <v>1st to 8th Floor For Residential</v>
      </c>
      <c r="H266" s="134"/>
      <c r="I266" s="47"/>
    </row>
    <row r="267" spans="1:14" s="56" customFormat="1" x14ac:dyDescent="0.25">
      <c r="A267" s="140">
        <v>2</v>
      </c>
      <c r="B267" s="141"/>
      <c r="C267" s="55" t="s">
        <v>184</v>
      </c>
      <c r="D267" s="48">
        <f>(28.32+0.9*(1.5+1.65))*10.764</f>
        <v>335.35242</v>
      </c>
      <c r="E267" s="46">
        <v>0</v>
      </c>
      <c r="F267" s="46">
        <f t="shared" si="9"/>
        <v>486.261009</v>
      </c>
      <c r="G267" s="135" t="str">
        <f t="shared" ref="G267:G269" si="10">G266</f>
        <v>1st to 8th Floor For Residential</v>
      </c>
      <c r="H267" s="136"/>
      <c r="I267" s="47"/>
      <c r="K267" s="76"/>
      <c r="L267" s="76"/>
      <c r="M267" s="33"/>
    </row>
    <row r="268" spans="1:14" s="56" customFormat="1" x14ac:dyDescent="0.25">
      <c r="A268" s="140">
        <v>3</v>
      </c>
      <c r="B268" s="141"/>
      <c r="C268" s="55" t="s">
        <v>184</v>
      </c>
      <c r="D268" s="48">
        <f>(28.32+0.9*(1.5+1.65))*10.764</f>
        <v>335.35242</v>
      </c>
      <c r="E268" s="46">
        <v>0</v>
      </c>
      <c r="F268" s="46">
        <f t="shared" si="9"/>
        <v>486.261009</v>
      </c>
      <c r="G268" s="135" t="str">
        <f t="shared" si="10"/>
        <v>1st to 8th Floor For Residential</v>
      </c>
      <c r="H268" s="136"/>
      <c r="I268" s="34"/>
      <c r="K268" s="76"/>
      <c r="L268" s="76"/>
      <c r="M268" s="33"/>
    </row>
    <row r="269" spans="1:14" s="56" customFormat="1" ht="15.75" customHeight="1" x14ac:dyDescent="0.25">
      <c r="A269" s="140">
        <v>4</v>
      </c>
      <c r="B269" s="141"/>
      <c r="C269" s="55" t="s">
        <v>184</v>
      </c>
      <c r="D269" s="48">
        <f t="shared" ref="D269:D273" si="11">(28.32+0.9*(1.5+1.65))*10.764</f>
        <v>335.35242</v>
      </c>
      <c r="E269" s="46">
        <v>0</v>
      </c>
      <c r="F269" s="46">
        <f t="shared" si="9"/>
        <v>486.261009</v>
      </c>
      <c r="G269" s="135" t="str">
        <f t="shared" si="10"/>
        <v>1st to 8th Floor For Residential</v>
      </c>
      <c r="H269" s="136"/>
      <c r="I269" s="33">
        <f>2.7*3.6+0.9*1.2+1.65*1.1+2.7*2.7+2.1*1.95+2.4*3+1.5*0.9+0.9*2.2+0.6*2+0.6*0.8</f>
        <v>36.209999999999994</v>
      </c>
      <c r="K269" s="76"/>
      <c r="L269" s="76"/>
      <c r="M269" s="33"/>
    </row>
    <row r="270" spans="1:14" s="56" customFormat="1" ht="15.75" customHeight="1" x14ac:dyDescent="0.25">
      <c r="A270" s="140">
        <v>5</v>
      </c>
      <c r="B270" s="141"/>
      <c r="C270" s="55" t="s">
        <v>184</v>
      </c>
      <c r="D270" s="48">
        <f t="shared" si="11"/>
        <v>335.35242</v>
      </c>
      <c r="E270" s="46">
        <v>0</v>
      </c>
      <c r="F270" s="46">
        <f t="shared" si="9"/>
        <v>486.261009</v>
      </c>
      <c r="G270" s="135" t="str">
        <f>G269</f>
        <v>1st to 8th Floor For Residential</v>
      </c>
      <c r="H270" s="136"/>
      <c r="I270" s="33">
        <f>2.7*3.6+0.9*1.2+1.65*1.1+2.7*2.7+2.1*1.95+1.5*0.9+0.9*2.2+0.6*0.8</f>
        <v>27.810000000000002</v>
      </c>
      <c r="K270" s="76"/>
      <c r="L270" s="76"/>
      <c r="M270" s="33"/>
    </row>
    <row r="271" spans="1:14" s="56" customFormat="1" ht="15.75" customHeight="1" x14ac:dyDescent="0.25">
      <c r="A271" s="140">
        <v>6</v>
      </c>
      <c r="B271" s="141"/>
      <c r="C271" s="55" t="s">
        <v>184</v>
      </c>
      <c r="D271" s="48">
        <f t="shared" si="11"/>
        <v>335.35242</v>
      </c>
      <c r="E271" s="46">
        <v>0</v>
      </c>
      <c r="F271" s="46">
        <f t="shared" si="9"/>
        <v>486.261009</v>
      </c>
      <c r="G271" s="135" t="str">
        <f>G270</f>
        <v>1st to 8th Floor For Residential</v>
      </c>
      <c r="H271" s="136"/>
      <c r="I271" s="33"/>
      <c r="M271" s="33"/>
    </row>
    <row r="272" spans="1:14" s="56" customFormat="1" ht="15.75" customHeight="1" x14ac:dyDescent="0.25">
      <c r="A272" s="140">
        <v>7</v>
      </c>
      <c r="B272" s="141"/>
      <c r="C272" s="55" t="s">
        <v>184</v>
      </c>
      <c r="D272" s="48">
        <f t="shared" si="11"/>
        <v>335.35242</v>
      </c>
      <c r="E272" s="46">
        <v>0</v>
      </c>
      <c r="F272" s="46">
        <f t="shared" si="9"/>
        <v>486.261009</v>
      </c>
      <c r="G272" s="135" t="str">
        <f>G271</f>
        <v>1st to 8th Floor For Residential</v>
      </c>
      <c r="H272" s="136"/>
      <c r="I272" s="49"/>
      <c r="N272" s="33"/>
    </row>
    <row r="273" spans="1:14" s="56" customFormat="1" ht="15.75" customHeight="1" x14ac:dyDescent="0.25">
      <c r="A273" s="140">
        <v>8</v>
      </c>
      <c r="B273" s="141"/>
      <c r="C273" s="55" t="s">
        <v>184</v>
      </c>
      <c r="D273" s="48">
        <f t="shared" si="11"/>
        <v>335.35242</v>
      </c>
      <c r="E273" s="46">
        <v>0</v>
      </c>
      <c r="F273" s="46">
        <f t="shared" si="9"/>
        <v>486.261009</v>
      </c>
      <c r="G273" s="135" t="str">
        <f>G272</f>
        <v>1st to 8th Floor For Residential</v>
      </c>
      <c r="H273" s="136"/>
      <c r="I273" s="33"/>
      <c r="N273" s="33"/>
    </row>
    <row r="274" spans="1:14" s="56" customFormat="1" ht="15.75" customHeight="1" x14ac:dyDescent="0.25">
      <c r="A274" s="111" t="s">
        <v>245</v>
      </c>
      <c r="B274" s="112"/>
      <c r="C274" s="112"/>
      <c r="D274" s="112"/>
      <c r="E274" s="112"/>
      <c r="F274" s="112"/>
      <c r="G274" s="112"/>
      <c r="H274" s="113"/>
      <c r="I274" s="33"/>
      <c r="N274" s="33"/>
    </row>
    <row r="275" spans="1:14" s="56" customFormat="1" ht="15.75" customHeight="1" x14ac:dyDescent="0.25">
      <c r="A275" s="114" t="s">
        <v>200</v>
      </c>
      <c r="B275" s="115"/>
      <c r="C275" s="115"/>
      <c r="D275" s="115"/>
      <c r="E275" s="115"/>
      <c r="F275" s="115"/>
      <c r="G275" s="115"/>
      <c r="H275" s="116"/>
      <c r="I275" s="33"/>
      <c r="J275" s="33"/>
      <c r="K275" s="47"/>
      <c r="L275" s="47"/>
      <c r="M275" s="47"/>
      <c r="N275" s="47"/>
    </row>
    <row r="276" spans="1:14" s="56" customFormat="1" ht="15.75" customHeight="1" x14ac:dyDescent="0.25">
      <c r="A276" s="117" t="s">
        <v>203</v>
      </c>
      <c r="B276" s="118"/>
      <c r="C276" s="118"/>
      <c r="D276" s="118"/>
      <c r="E276" s="118"/>
      <c r="F276" s="118"/>
      <c r="G276" s="118"/>
      <c r="H276" s="119"/>
      <c r="I276" s="33"/>
      <c r="J276" s="47"/>
      <c r="K276" s="47"/>
      <c r="L276" s="47"/>
      <c r="M276" s="47"/>
      <c r="N276" s="47"/>
    </row>
    <row r="277" spans="1:14" s="47" customFormat="1" ht="15.75" customHeight="1" x14ac:dyDescent="0.25">
      <c r="A277" s="140">
        <v>1</v>
      </c>
      <c r="B277" s="141"/>
      <c r="C277" s="55" t="s">
        <v>184</v>
      </c>
      <c r="D277" s="48">
        <f>(30.35+0.9*(2.2+2.75+1.75))*10.764</f>
        <v>391.59431999999998</v>
      </c>
      <c r="E277" s="55">
        <v>0</v>
      </c>
      <c r="F277" s="55">
        <f>D277*(($F$250)+1)+(IF(E277&lt;101,E277,IF(E277&lt;201,E277/2,IF(E277&lt;=301,E277/3,E277/4))))</f>
        <v>567.81176399999993</v>
      </c>
      <c r="G277" s="142" t="str">
        <f>A276</f>
        <v>Ground For Residential (Part Commerical &amp; Parking)</v>
      </c>
      <c r="H277" s="142"/>
      <c r="J277" s="34"/>
      <c r="K277" s="34"/>
      <c r="L277" s="34"/>
      <c r="M277" s="34"/>
      <c r="N277" s="34"/>
    </row>
    <row r="278" spans="1:14" s="47" customFormat="1" x14ac:dyDescent="0.25">
      <c r="A278" s="140">
        <v>2</v>
      </c>
      <c r="B278" s="141"/>
      <c r="C278" s="55" t="s">
        <v>184</v>
      </c>
      <c r="D278" s="48">
        <f>(29.23+0.9*(2.2+2.75+1.75))*10.764</f>
        <v>379.53863999999993</v>
      </c>
      <c r="E278" s="55">
        <v>0</v>
      </c>
      <c r="F278" s="55">
        <f>D278*(($F$250)+1)+(IF(E278&lt;101,E278,IF(E278&lt;201,E278/2,IF(E278&lt;=301,E278/3,E278/4))))</f>
        <v>550.33102799999983</v>
      </c>
      <c r="G278" s="142"/>
      <c r="H278" s="142"/>
      <c r="J278" s="34"/>
      <c r="K278" s="76"/>
      <c r="L278" s="76"/>
      <c r="M278" s="33"/>
      <c r="N278" s="34"/>
    </row>
    <row r="279" spans="1:14" s="34" customFormat="1" x14ac:dyDescent="0.25">
      <c r="A279" s="140" t="s">
        <v>242</v>
      </c>
      <c r="B279" s="141"/>
      <c r="C279" s="140" t="s">
        <v>243</v>
      </c>
      <c r="D279" s="143"/>
      <c r="E279" s="143"/>
      <c r="F279" s="141"/>
      <c r="G279" s="142"/>
      <c r="H279" s="142"/>
      <c r="I279" s="47"/>
      <c r="K279" s="76"/>
      <c r="L279" s="76"/>
      <c r="M279" s="33"/>
    </row>
    <row r="280" spans="1:14" s="34" customFormat="1" ht="15.75" customHeight="1" x14ac:dyDescent="0.25">
      <c r="A280" s="140">
        <v>3</v>
      </c>
      <c r="B280" s="141"/>
      <c r="C280" s="55" t="s">
        <v>204</v>
      </c>
      <c r="D280" s="48">
        <f>(58.44+0.9*(3.05+3.2+1.5))*10.764</f>
        <v>704.12705999999991</v>
      </c>
      <c r="E280" s="55">
        <v>0</v>
      </c>
      <c r="F280" s="55">
        <f>D280*(($F$250)+1)+(IF(E280&lt;101,E280,IF(E280&lt;201,E280/2,IF(E280&lt;=301,E280/3,E280/4))))</f>
        <v>1020.9842369999999</v>
      </c>
      <c r="G280" s="142"/>
      <c r="H280" s="142"/>
      <c r="I280" s="66"/>
      <c r="K280" s="76"/>
      <c r="L280" s="76"/>
      <c r="M280" s="33"/>
    </row>
    <row r="281" spans="1:14" s="34" customFormat="1" ht="15.75" customHeight="1" x14ac:dyDescent="0.25">
      <c r="A281" s="140" t="s">
        <v>242</v>
      </c>
      <c r="B281" s="141"/>
      <c r="C281" s="140" t="s">
        <v>244</v>
      </c>
      <c r="D281" s="143"/>
      <c r="E281" s="143"/>
      <c r="F281" s="141"/>
      <c r="G281" s="142"/>
      <c r="H281" s="142"/>
      <c r="I281" s="66"/>
      <c r="K281" s="76"/>
      <c r="L281" s="76"/>
      <c r="M281" s="33"/>
    </row>
    <row r="282" spans="1:14" s="34" customFormat="1" ht="15.75" customHeight="1" x14ac:dyDescent="0.25">
      <c r="A282" s="117" t="s">
        <v>225</v>
      </c>
      <c r="B282" s="118"/>
      <c r="C282" s="118"/>
      <c r="D282" s="118"/>
      <c r="E282" s="118"/>
      <c r="F282" s="118"/>
      <c r="G282" s="118"/>
      <c r="H282" s="119"/>
      <c r="I282" s="66"/>
      <c r="M282" s="33"/>
    </row>
    <row r="283" spans="1:14" s="34" customFormat="1" ht="15.75" customHeight="1" x14ac:dyDescent="0.25">
      <c r="A283" s="140">
        <v>1</v>
      </c>
      <c r="B283" s="141"/>
      <c r="C283" s="55" t="s">
        <v>184</v>
      </c>
      <c r="D283" s="48">
        <f>(30.35+0.9*(2.1+2.75+1.75))*10.764</f>
        <v>390.62555999999995</v>
      </c>
      <c r="E283" s="55">
        <v>0</v>
      </c>
      <c r="F283" s="55">
        <f t="shared" ref="F283:F292" si="12">D283*(($F$250)+1)+(IF(E283&lt;101,E283,IF(E283&lt;201,E283/2,IF(E283&lt;=301,E283/3,E283/4))))</f>
        <v>566.40706199999988</v>
      </c>
      <c r="G283" s="133" t="str">
        <f>A282</f>
        <v>1st to 7th Floor For Residential</v>
      </c>
      <c r="H283" s="134"/>
      <c r="I283" s="66"/>
      <c r="N283" s="33"/>
    </row>
    <row r="284" spans="1:14" s="34" customFormat="1" ht="15.75" customHeight="1" x14ac:dyDescent="0.25">
      <c r="A284" s="140">
        <v>2</v>
      </c>
      <c r="B284" s="141"/>
      <c r="C284" s="55" t="s">
        <v>184</v>
      </c>
      <c r="D284" s="48">
        <f t="shared" ref="D284:D290" si="13">(29.23+0.9*(2.1+2.75+1.75))*10.764</f>
        <v>378.56988000000001</v>
      </c>
      <c r="E284" s="55">
        <v>0</v>
      </c>
      <c r="F284" s="55">
        <f t="shared" si="12"/>
        <v>548.92632600000002</v>
      </c>
      <c r="G284" s="135"/>
      <c r="H284" s="136"/>
      <c r="I284" s="47"/>
      <c r="N284" s="33"/>
    </row>
    <row r="285" spans="1:14" s="34" customFormat="1" ht="15.75" customHeight="1" x14ac:dyDescent="0.25">
      <c r="A285" s="140">
        <v>3</v>
      </c>
      <c r="B285" s="141"/>
      <c r="C285" s="55" t="s">
        <v>184</v>
      </c>
      <c r="D285" s="48">
        <f t="shared" si="13"/>
        <v>378.56988000000001</v>
      </c>
      <c r="E285" s="55">
        <v>0</v>
      </c>
      <c r="F285" s="55">
        <f t="shared" si="12"/>
        <v>548.92632600000002</v>
      </c>
      <c r="G285" s="135"/>
      <c r="H285" s="136"/>
      <c r="I285" s="47"/>
      <c r="J285" s="47" t="s">
        <v>255</v>
      </c>
      <c r="K285" s="47"/>
      <c r="L285" s="47"/>
      <c r="M285" s="47"/>
      <c r="N285" s="33"/>
    </row>
    <row r="286" spans="1:14" s="34" customFormat="1" ht="15.75" customHeight="1" x14ac:dyDescent="0.25">
      <c r="A286" s="140">
        <v>4</v>
      </c>
      <c r="B286" s="141"/>
      <c r="C286" s="55" t="s">
        <v>184</v>
      </c>
      <c r="D286" s="48">
        <f t="shared" si="13"/>
        <v>378.56988000000001</v>
      </c>
      <c r="E286" s="55">
        <v>0</v>
      </c>
      <c r="F286" s="55">
        <f t="shared" si="12"/>
        <v>548.92632600000002</v>
      </c>
      <c r="G286" s="135"/>
      <c r="H286" s="136"/>
      <c r="I286" s="47"/>
      <c r="J286" s="47"/>
      <c r="K286" s="47"/>
      <c r="L286" s="47"/>
      <c r="M286" s="47"/>
      <c r="N286" s="47"/>
    </row>
    <row r="287" spans="1:14" s="47" customFormat="1" ht="15.75" customHeight="1" x14ac:dyDescent="0.25">
      <c r="A287" s="140">
        <v>5</v>
      </c>
      <c r="B287" s="141"/>
      <c r="C287" s="55" t="s">
        <v>184</v>
      </c>
      <c r="D287" s="48">
        <f t="shared" si="13"/>
        <v>378.56988000000001</v>
      </c>
      <c r="E287" s="55">
        <v>0</v>
      </c>
      <c r="F287" s="55">
        <f t="shared" si="12"/>
        <v>548.92632600000002</v>
      </c>
      <c r="G287" s="135"/>
      <c r="H287" s="136"/>
    </row>
    <row r="288" spans="1:14" s="47" customFormat="1" ht="15.75" customHeight="1" x14ac:dyDescent="0.25">
      <c r="A288" s="140">
        <v>6</v>
      </c>
      <c r="B288" s="141"/>
      <c r="C288" s="55" t="s">
        <v>184</v>
      </c>
      <c r="D288" s="48">
        <f t="shared" si="13"/>
        <v>378.56988000000001</v>
      </c>
      <c r="E288" s="55">
        <v>0</v>
      </c>
      <c r="F288" s="55">
        <f t="shared" si="12"/>
        <v>548.92632600000002</v>
      </c>
      <c r="G288" s="135"/>
      <c r="H288" s="136"/>
      <c r="I288" s="32"/>
    </row>
    <row r="289" spans="1:14" s="47" customFormat="1" x14ac:dyDescent="0.25">
      <c r="A289" s="140">
        <v>7</v>
      </c>
      <c r="B289" s="141"/>
      <c r="C289" s="55" t="s">
        <v>184</v>
      </c>
      <c r="D289" s="48">
        <f t="shared" si="13"/>
        <v>378.56988000000001</v>
      </c>
      <c r="E289" s="55">
        <v>0</v>
      </c>
      <c r="F289" s="55">
        <f t="shared" si="12"/>
        <v>548.92632600000002</v>
      </c>
      <c r="G289" s="135"/>
      <c r="H289" s="136"/>
      <c r="I289" s="32"/>
      <c r="J289" s="66"/>
      <c r="K289" s="33"/>
    </row>
    <row r="290" spans="1:14" s="47" customFormat="1" x14ac:dyDescent="0.25">
      <c r="A290" s="140">
        <v>8</v>
      </c>
      <c r="B290" s="141"/>
      <c r="C290" s="55" t="s">
        <v>184</v>
      </c>
      <c r="D290" s="48">
        <f t="shared" si="13"/>
        <v>378.56988000000001</v>
      </c>
      <c r="E290" s="55">
        <v>0</v>
      </c>
      <c r="F290" s="55">
        <f t="shared" si="12"/>
        <v>548.92632600000002</v>
      </c>
      <c r="G290" s="135"/>
      <c r="H290" s="136"/>
      <c r="I290" s="32"/>
      <c r="J290" s="66"/>
      <c r="K290" s="33"/>
    </row>
    <row r="291" spans="1:14" s="47" customFormat="1" ht="15.75" customHeight="1" x14ac:dyDescent="0.25">
      <c r="A291" s="140">
        <v>9</v>
      </c>
      <c r="B291" s="141"/>
      <c r="C291" s="55" t="s">
        <v>185</v>
      </c>
      <c r="D291" s="48">
        <f>(49.4+0.9*(3.2+3.05+1.5))*10.764</f>
        <v>606.82049999999992</v>
      </c>
      <c r="E291" s="55">
        <v>0</v>
      </c>
      <c r="F291" s="55">
        <f t="shared" si="12"/>
        <v>879.88972499999988</v>
      </c>
      <c r="G291" s="135"/>
      <c r="H291" s="136"/>
      <c r="I291" s="32"/>
      <c r="J291" s="66"/>
      <c r="K291" s="33"/>
    </row>
    <row r="292" spans="1:14" s="47" customFormat="1" ht="15.75" customHeight="1" x14ac:dyDescent="0.25">
      <c r="A292" s="140">
        <v>10</v>
      </c>
      <c r="B292" s="141"/>
      <c r="C292" s="55" t="s">
        <v>184</v>
      </c>
      <c r="D292" s="48">
        <f>(29.23+0.9*(2.75+2.1+1.75))*10.764</f>
        <v>378.56988000000001</v>
      </c>
      <c r="E292" s="55">
        <v>0</v>
      </c>
      <c r="F292" s="55">
        <f t="shared" si="12"/>
        <v>548.92632600000002</v>
      </c>
      <c r="G292" s="175"/>
      <c r="H292" s="176"/>
      <c r="I292" s="32"/>
      <c r="J292" s="66"/>
      <c r="K292" s="33"/>
    </row>
    <row r="293" spans="1:14" s="47" customFormat="1" ht="15.75" customHeight="1" x14ac:dyDescent="0.25">
      <c r="A293" s="114" t="s">
        <v>201</v>
      </c>
      <c r="B293" s="115"/>
      <c r="C293" s="115"/>
      <c r="D293" s="115"/>
      <c r="E293" s="115"/>
      <c r="F293" s="115"/>
      <c r="G293" s="115"/>
      <c r="H293" s="116"/>
      <c r="I293" s="32"/>
      <c r="K293" s="33"/>
    </row>
    <row r="294" spans="1:14" s="47" customFormat="1" ht="15.75" customHeight="1" x14ac:dyDescent="0.25">
      <c r="A294" s="117" t="s">
        <v>181</v>
      </c>
      <c r="B294" s="118"/>
      <c r="C294" s="118"/>
      <c r="D294" s="118"/>
      <c r="E294" s="118"/>
      <c r="F294" s="118"/>
      <c r="G294" s="118"/>
      <c r="H294" s="119"/>
      <c r="I294" s="32"/>
      <c r="K294" s="33"/>
    </row>
    <row r="295" spans="1:14" s="47" customFormat="1" ht="15.75" customHeight="1" x14ac:dyDescent="0.25">
      <c r="A295" s="117" t="s">
        <v>202</v>
      </c>
      <c r="B295" s="118"/>
      <c r="C295" s="118"/>
      <c r="D295" s="118"/>
      <c r="E295" s="118"/>
      <c r="F295" s="118"/>
      <c r="G295" s="118"/>
      <c r="H295" s="119"/>
      <c r="I295" s="32"/>
      <c r="K295" s="33"/>
    </row>
    <row r="296" spans="1:14" s="47" customFormat="1" ht="15.75" customHeight="1" x14ac:dyDescent="0.25">
      <c r="A296" s="140">
        <v>1</v>
      </c>
      <c r="B296" s="141"/>
      <c r="C296" s="55" t="s">
        <v>185</v>
      </c>
      <c r="D296" s="48">
        <f>(36.89+0.9*(1.5+1.65))*10.764</f>
        <v>427.59989999999999</v>
      </c>
      <c r="E296" s="55">
        <v>0</v>
      </c>
      <c r="F296" s="55">
        <f t="shared" ref="F296:F303" si="14">D296*(($F$250)+1)+(IF(E296&lt;101,E296,IF(E296&lt;201,E296/2,IF(E296&lt;=301,E296/3,E296/4))))</f>
        <v>620.01985500000001</v>
      </c>
      <c r="G296" s="133" t="str">
        <f>A295</f>
        <v>1st to 7th Floor</v>
      </c>
      <c r="H296" s="134"/>
      <c r="I296" s="32"/>
      <c r="K296" s="33"/>
    </row>
    <row r="297" spans="1:14" s="47" customFormat="1" ht="15.75" customHeight="1" x14ac:dyDescent="0.25">
      <c r="A297" s="140">
        <v>2</v>
      </c>
      <c r="B297" s="141"/>
      <c r="C297" s="55" t="s">
        <v>184</v>
      </c>
      <c r="D297" s="48">
        <f>(28.32+0.9*(1.5+1.65))*10.764</f>
        <v>335.35242</v>
      </c>
      <c r="E297" s="55">
        <v>0</v>
      </c>
      <c r="F297" s="55">
        <f t="shared" si="14"/>
        <v>486.261009</v>
      </c>
      <c r="G297" s="135"/>
      <c r="H297" s="136"/>
      <c r="I297" s="32"/>
      <c r="J297" s="32"/>
      <c r="K297" s="32"/>
      <c r="L297" s="32"/>
      <c r="M297" s="32"/>
      <c r="N297" s="32"/>
    </row>
    <row r="298" spans="1:14" s="47" customFormat="1" ht="15.75" customHeight="1" x14ac:dyDescent="0.25">
      <c r="A298" s="140">
        <v>3</v>
      </c>
      <c r="B298" s="141"/>
      <c r="C298" s="55" t="s">
        <v>184</v>
      </c>
      <c r="D298" s="48">
        <f>(28.32+0.9*(1.5+1.65))*10.764</f>
        <v>335.35242</v>
      </c>
      <c r="E298" s="55">
        <v>0</v>
      </c>
      <c r="F298" s="55">
        <f t="shared" si="14"/>
        <v>486.261009</v>
      </c>
      <c r="G298" s="135"/>
      <c r="H298" s="136"/>
      <c r="I298" s="32"/>
      <c r="J298" s="32"/>
      <c r="K298" s="32"/>
      <c r="L298" s="32"/>
      <c r="M298" s="32"/>
      <c r="N298" s="32"/>
    </row>
    <row r="299" spans="1:14" s="73" customFormat="1" ht="15.75" customHeight="1" x14ac:dyDescent="0.25">
      <c r="A299" s="140">
        <v>4</v>
      </c>
      <c r="B299" s="141"/>
      <c r="C299" s="55" t="s">
        <v>184</v>
      </c>
      <c r="D299" s="48">
        <f t="shared" ref="D299:D303" si="15">(28.32+0.9*(1.5+1.65))*10.764</f>
        <v>335.35242</v>
      </c>
      <c r="E299" s="55">
        <v>0</v>
      </c>
      <c r="F299" s="55">
        <f t="shared" si="14"/>
        <v>486.261009</v>
      </c>
      <c r="G299" s="135"/>
      <c r="H299" s="136"/>
      <c r="I299" s="32"/>
    </row>
    <row r="300" spans="1:14" s="73" customFormat="1" x14ac:dyDescent="0.25">
      <c r="A300" s="140">
        <v>5</v>
      </c>
      <c r="B300" s="141"/>
      <c r="C300" s="55" t="s">
        <v>184</v>
      </c>
      <c r="D300" s="48">
        <f t="shared" si="15"/>
        <v>335.35242</v>
      </c>
      <c r="E300" s="55">
        <v>0</v>
      </c>
      <c r="F300" s="55">
        <f t="shared" si="14"/>
        <v>486.261009</v>
      </c>
      <c r="G300" s="135"/>
      <c r="H300" s="136"/>
      <c r="I300" s="85">
        <f>2.7*3.6+2.7*2.7+2.1*1.95+1.65*1.1+0.9*1.2+0.9*2.1+0.9*0.6</f>
        <v>26.43</v>
      </c>
      <c r="J300" s="73">
        <f>0.9*1.5+0.9*1.65</f>
        <v>2.835</v>
      </c>
      <c r="K300" s="62">
        <f>I300+J300</f>
        <v>29.265000000000001</v>
      </c>
    </row>
    <row r="301" spans="1:14" s="73" customFormat="1" ht="15.75" customHeight="1" x14ac:dyDescent="0.25">
      <c r="A301" s="140">
        <v>6</v>
      </c>
      <c r="B301" s="141"/>
      <c r="C301" s="55" t="s">
        <v>184</v>
      </c>
      <c r="D301" s="48">
        <f t="shared" si="15"/>
        <v>335.35242</v>
      </c>
      <c r="E301" s="55">
        <v>0</v>
      </c>
      <c r="F301" s="55">
        <f t="shared" si="14"/>
        <v>486.261009</v>
      </c>
      <c r="G301" s="135"/>
      <c r="H301" s="136"/>
      <c r="I301" s="32"/>
      <c r="K301" s="33"/>
    </row>
    <row r="302" spans="1:14" s="73" customFormat="1" ht="15.75" customHeight="1" x14ac:dyDescent="0.25">
      <c r="A302" s="140">
        <v>7</v>
      </c>
      <c r="B302" s="141"/>
      <c r="C302" s="55" t="s">
        <v>184</v>
      </c>
      <c r="D302" s="48">
        <f t="shared" si="15"/>
        <v>335.35242</v>
      </c>
      <c r="E302" s="55">
        <v>0</v>
      </c>
      <c r="F302" s="55">
        <f t="shared" si="14"/>
        <v>486.261009</v>
      </c>
      <c r="G302" s="135"/>
      <c r="H302" s="136"/>
      <c r="I302" s="32"/>
      <c r="K302" s="33"/>
    </row>
    <row r="303" spans="1:14" s="73" customFormat="1" ht="15.75" customHeight="1" x14ac:dyDescent="0.25">
      <c r="A303" s="140">
        <v>8</v>
      </c>
      <c r="B303" s="141"/>
      <c r="C303" s="55" t="s">
        <v>184</v>
      </c>
      <c r="D303" s="48">
        <f t="shared" si="15"/>
        <v>335.35242</v>
      </c>
      <c r="E303" s="55">
        <v>0</v>
      </c>
      <c r="F303" s="55">
        <f t="shared" si="14"/>
        <v>486.261009</v>
      </c>
      <c r="G303" s="135"/>
      <c r="H303" s="136"/>
      <c r="I303" s="32"/>
      <c r="K303" s="33"/>
    </row>
    <row r="304" spans="1:14" s="73" customFormat="1" ht="15.75" customHeight="1" x14ac:dyDescent="0.25">
      <c r="A304" s="111" t="s">
        <v>246</v>
      </c>
      <c r="B304" s="112"/>
      <c r="C304" s="112"/>
      <c r="D304" s="112"/>
      <c r="E304" s="112"/>
      <c r="F304" s="112"/>
      <c r="G304" s="112"/>
      <c r="H304" s="113"/>
      <c r="I304" s="32"/>
      <c r="K304" s="33"/>
    </row>
    <row r="305" spans="1:14" s="73" customFormat="1" ht="15.75" customHeight="1" x14ac:dyDescent="0.25">
      <c r="A305" s="114" t="s">
        <v>221</v>
      </c>
      <c r="B305" s="115"/>
      <c r="C305" s="115"/>
      <c r="D305" s="115"/>
      <c r="E305" s="115"/>
      <c r="F305" s="115"/>
      <c r="G305" s="115"/>
      <c r="H305" s="116"/>
      <c r="I305" s="32"/>
      <c r="K305" s="33"/>
    </row>
    <row r="306" spans="1:14" s="73" customFormat="1" ht="15.75" customHeight="1" x14ac:dyDescent="0.25">
      <c r="A306" s="117" t="s">
        <v>225</v>
      </c>
      <c r="B306" s="118"/>
      <c r="C306" s="118"/>
      <c r="D306" s="118"/>
      <c r="E306" s="118"/>
      <c r="F306" s="118"/>
      <c r="G306" s="118"/>
      <c r="H306" s="119"/>
      <c r="I306" s="32"/>
      <c r="K306" s="33"/>
    </row>
    <row r="307" spans="1:14" s="73" customFormat="1" ht="15.75" customHeight="1" x14ac:dyDescent="0.25">
      <c r="A307" s="140">
        <v>1</v>
      </c>
      <c r="B307" s="141"/>
      <c r="C307" s="55" t="s">
        <v>185</v>
      </c>
      <c r="D307" s="48">
        <f>(37.03+0.9*(2.2+2.75+1.75))*10.764</f>
        <v>463.49784</v>
      </c>
      <c r="E307" s="55">
        <v>0</v>
      </c>
      <c r="F307" s="55">
        <f t="shared" ref="F307:F313" si="16">D307*(($F$250)+1)+(IF(E307&lt;101,E307,IF(E307&lt;201,E307/2,IF(E307&lt;=301,E307/3,E307/4))))</f>
        <v>672.07186799999999</v>
      </c>
      <c r="G307" s="133" t="str">
        <f>A306</f>
        <v>1st to 7th Floor For Residential</v>
      </c>
      <c r="H307" s="134"/>
      <c r="I307" s="32"/>
      <c r="J307" s="32"/>
      <c r="K307" s="32"/>
      <c r="L307" s="32"/>
      <c r="M307" s="32"/>
      <c r="N307" s="32"/>
    </row>
    <row r="308" spans="1:14" s="73" customFormat="1" x14ac:dyDescent="0.25">
      <c r="A308" s="140">
        <v>2</v>
      </c>
      <c r="B308" s="141"/>
      <c r="C308" s="55" t="s">
        <v>185</v>
      </c>
      <c r="D308" s="48">
        <f>(49.4+0.9*(2.75+3.05+1.5))*10.764</f>
        <v>602.46107999999992</v>
      </c>
      <c r="E308" s="55">
        <v>0</v>
      </c>
      <c r="F308" s="55">
        <f t="shared" si="16"/>
        <v>873.56856599999992</v>
      </c>
      <c r="G308" s="135" t="str">
        <f t="shared" ref="G308:G310" si="17">G307</f>
        <v>1st to 7th Floor For Residential</v>
      </c>
      <c r="H308" s="136"/>
      <c r="I308" s="32"/>
    </row>
    <row r="309" spans="1:14" s="73" customFormat="1" ht="15.75" customHeight="1" x14ac:dyDescent="0.25">
      <c r="A309" s="140">
        <v>3</v>
      </c>
      <c r="B309" s="141"/>
      <c r="C309" s="55" t="s">
        <v>184</v>
      </c>
      <c r="D309" s="48">
        <f>(29.23+0.9*(2.2+2.75+1.75))*10.764</f>
        <v>379.53863999999993</v>
      </c>
      <c r="E309" s="55">
        <v>0</v>
      </c>
      <c r="F309" s="55">
        <f t="shared" si="16"/>
        <v>550.33102799999983</v>
      </c>
      <c r="G309" s="135" t="str">
        <f t="shared" si="17"/>
        <v>1st to 7th Floor For Residential</v>
      </c>
      <c r="H309" s="136"/>
      <c r="I309" s="32"/>
      <c r="K309" s="33"/>
    </row>
    <row r="310" spans="1:14" s="73" customFormat="1" ht="15.75" customHeight="1" x14ac:dyDescent="0.25">
      <c r="A310" s="140">
        <v>4</v>
      </c>
      <c r="B310" s="141"/>
      <c r="C310" s="55" t="s">
        <v>184</v>
      </c>
      <c r="D310" s="48">
        <f t="shared" ref="D310:D313" si="18">(29.23+0.9*(2.2+2.75+1.75))*10.764</f>
        <v>379.53863999999993</v>
      </c>
      <c r="E310" s="55">
        <v>0</v>
      </c>
      <c r="F310" s="55">
        <f t="shared" si="16"/>
        <v>550.33102799999983</v>
      </c>
      <c r="G310" s="135" t="str">
        <f t="shared" si="17"/>
        <v>1st to 7th Floor For Residential</v>
      </c>
      <c r="H310" s="136"/>
      <c r="I310" s="32"/>
      <c r="K310" s="33"/>
    </row>
    <row r="311" spans="1:14" s="73" customFormat="1" ht="15.75" customHeight="1" x14ac:dyDescent="0.25">
      <c r="A311" s="140">
        <v>5</v>
      </c>
      <c r="B311" s="141"/>
      <c r="C311" s="55" t="s">
        <v>184</v>
      </c>
      <c r="D311" s="48">
        <f t="shared" si="18"/>
        <v>379.53863999999993</v>
      </c>
      <c r="E311" s="55">
        <v>0</v>
      </c>
      <c r="F311" s="55">
        <f t="shared" si="16"/>
        <v>550.33102799999983</v>
      </c>
      <c r="G311" s="135" t="str">
        <f>G310</f>
        <v>1st to 7th Floor For Residential</v>
      </c>
      <c r="H311" s="136"/>
      <c r="I311" s="32"/>
      <c r="K311" s="33"/>
    </row>
    <row r="312" spans="1:14" s="73" customFormat="1" ht="15.75" customHeight="1" x14ac:dyDescent="0.25">
      <c r="A312" s="140">
        <v>6</v>
      </c>
      <c r="B312" s="141"/>
      <c r="C312" s="55" t="s">
        <v>184</v>
      </c>
      <c r="D312" s="48">
        <f t="shared" si="18"/>
        <v>379.53863999999993</v>
      </c>
      <c r="E312" s="55">
        <v>0</v>
      </c>
      <c r="F312" s="55">
        <f t="shared" si="16"/>
        <v>550.33102799999983</v>
      </c>
      <c r="G312" s="135" t="str">
        <f>G311</f>
        <v>1st to 7th Floor For Residential</v>
      </c>
      <c r="H312" s="136"/>
      <c r="I312" s="32"/>
      <c r="K312" s="33"/>
    </row>
    <row r="313" spans="1:14" s="73" customFormat="1" ht="15.75" customHeight="1" x14ac:dyDescent="0.25">
      <c r="A313" s="140">
        <v>7</v>
      </c>
      <c r="B313" s="141"/>
      <c r="C313" s="55" t="s">
        <v>184</v>
      </c>
      <c r="D313" s="48">
        <f t="shared" si="18"/>
        <v>379.53863999999993</v>
      </c>
      <c r="E313" s="55">
        <v>0</v>
      </c>
      <c r="F313" s="55">
        <f t="shared" si="16"/>
        <v>550.33102799999983</v>
      </c>
      <c r="G313" s="135" t="str">
        <f>G312</f>
        <v>1st to 7th Floor For Residential</v>
      </c>
      <c r="H313" s="136"/>
      <c r="I313" s="32"/>
      <c r="K313" s="33"/>
    </row>
    <row r="314" spans="1:14" s="73" customFormat="1" ht="15.75" customHeight="1" x14ac:dyDescent="0.25">
      <c r="A314" s="114" t="s">
        <v>222</v>
      </c>
      <c r="B314" s="115"/>
      <c r="C314" s="115"/>
      <c r="D314" s="115"/>
      <c r="E314" s="115"/>
      <c r="F314" s="115"/>
      <c r="G314" s="115"/>
      <c r="H314" s="116"/>
      <c r="I314" s="32"/>
      <c r="K314" s="33"/>
    </row>
    <row r="315" spans="1:14" s="73" customFormat="1" ht="15.75" customHeight="1" x14ac:dyDescent="0.25">
      <c r="A315" s="117" t="s">
        <v>225</v>
      </c>
      <c r="B315" s="118"/>
      <c r="C315" s="118"/>
      <c r="D315" s="118"/>
      <c r="E315" s="118"/>
      <c r="F315" s="118"/>
      <c r="G315" s="118"/>
      <c r="H315" s="119"/>
      <c r="I315" s="32"/>
      <c r="K315" s="33"/>
    </row>
    <row r="316" spans="1:14" s="73" customFormat="1" ht="15.75" customHeight="1" x14ac:dyDescent="0.25">
      <c r="A316" s="140">
        <v>1</v>
      </c>
      <c r="B316" s="141"/>
      <c r="C316" s="55" t="s">
        <v>185</v>
      </c>
      <c r="D316" s="48">
        <f>(35.76+0.9*(1.5+1.65))*10.764</f>
        <v>415.43657999999994</v>
      </c>
      <c r="E316" s="55">
        <v>0</v>
      </c>
      <c r="F316" s="55">
        <f t="shared" ref="F316:F323" si="19">D316*(($F$250)+1)+(IF(E316&lt;101,E316,IF(E316&lt;201,E316/2,IF(E316&lt;=301,E316/3,E316/4))))</f>
        <v>602.38304099999993</v>
      </c>
      <c r="G316" s="133" t="str">
        <f>A315</f>
        <v>1st to 7th Floor For Residential</v>
      </c>
      <c r="H316" s="134"/>
      <c r="I316" s="32"/>
      <c r="J316" s="32"/>
      <c r="K316" s="32"/>
      <c r="L316" s="32"/>
      <c r="M316" s="32"/>
      <c r="N316" s="32"/>
    </row>
    <row r="317" spans="1:14" s="73" customFormat="1" ht="15.75" customHeight="1" x14ac:dyDescent="0.25">
      <c r="A317" s="140">
        <v>2</v>
      </c>
      <c r="B317" s="141"/>
      <c r="C317" s="55" t="s">
        <v>184</v>
      </c>
      <c r="D317" s="48">
        <f>(28.32+0.9*(1.5+1.65))*10.764</f>
        <v>335.35242</v>
      </c>
      <c r="E317" s="55">
        <v>0</v>
      </c>
      <c r="F317" s="55">
        <f t="shared" si="19"/>
        <v>486.261009</v>
      </c>
      <c r="G317" s="135"/>
      <c r="H317" s="136"/>
      <c r="I317" s="32"/>
      <c r="J317" s="32"/>
      <c r="K317" s="32"/>
      <c r="L317" s="32"/>
      <c r="M317" s="32"/>
      <c r="N317" s="32"/>
    </row>
    <row r="318" spans="1:14" s="73" customFormat="1" x14ac:dyDescent="0.25">
      <c r="A318" s="140">
        <v>3</v>
      </c>
      <c r="B318" s="141"/>
      <c r="C318" s="55" t="s">
        <v>185</v>
      </c>
      <c r="D318" s="48">
        <f>(35.76+0.9*(1.5+1.65))*10.764</f>
        <v>415.43657999999994</v>
      </c>
      <c r="E318" s="55">
        <v>0</v>
      </c>
      <c r="F318" s="55">
        <f t="shared" si="19"/>
        <v>602.38304099999993</v>
      </c>
      <c r="G318" s="135"/>
      <c r="H318" s="136"/>
      <c r="I318" s="32"/>
    </row>
    <row r="319" spans="1:14" s="73" customFormat="1" ht="15.75" customHeight="1" x14ac:dyDescent="0.25">
      <c r="A319" s="140">
        <v>4</v>
      </c>
      <c r="B319" s="141"/>
      <c r="C319" s="55" t="s">
        <v>184</v>
      </c>
      <c r="D319" s="48">
        <f>(28.32+0.9*(1.5+1.65))*10.764</f>
        <v>335.35242</v>
      </c>
      <c r="E319" s="55">
        <v>0</v>
      </c>
      <c r="F319" s="55">
        <f t="shared" si="19"/>
        <v>486.261009</v>
      </c>
      <c r="G319" s="135"/>
      <c r="H319" s="136"/>
      <c r="I319" s="32"/>
      <c r="K319" s="33"/>
    </row>
    <row r="320" spans="1:14" s="73" customFormat="1" ht="15.75" customHeight="1" x14ac:dyDescent="0.25">
      <c r="A320" s="140">
        <v>5</v>
      </c>
      <c r="B320" s="141"/>
      <c r="C320" s="55" t="s">
        <v>184</v>
      </c>
      <c r="D320" s="48">
        <f t="shared" ref="D320:D323" si="20">(28.32+0.9*(1.5+1.65))*10.764</f>
        <v>335.35242</v>
      </c>
      <c r="E320" s="55">
        <v>0</v>
      </c>
      <c r="F320" s="55">
        <f t="shared" si="19"/>
        <v>486.261009</v>
      </c>
      <c r="G320" s="135"/>
      <c r="H320" s="136"/>
      <c r="I320" s="32"/>
      <c r="K320" s="33"/>
    </row>
    <row r="321" spans="1:14" s="73" customFormat="1" ht="15.75" customHeight="1" x14ac:dyDescent="0.25">
      <c r="A321" s="140">
        <v>6</v>
      </c>
      <c r="B321" s="141"/>
      <c r="C321" s="55" t="s">
        <v>184</v>
      </c>
      <c r="D321" s="48">
        <f t="shared" si="20"/>
        <v>335.35242</v>
      </c>
      <c r="E321" s="55">
        <v>0</v>
      </c>
      <c r="F321" s="55">
        <f t="shared" si="19"/>
        <v>486.261009</v>
      </c>
      <c r="G321" s="135"/>
      <c r="H321" s="136"/>
      <c r="I321" s="32"/>
      <c r="K321" s="33"/>
    </row>
    <row r="322" spans="1:14" s="73" customFormat="1" ht="15.75" customHeight="1" x14ac:dyDescent="0.25">
      <c r="A322" s="140">
        <v>7</v>
      </c>
      <c r="B322" s="141"/>
      <c r="C322" s="55" t="s">
        <v>184</v>
      </c>
      <c r="D322" s="48">
        <f t="shared" si="20"/>
        <v>335.35242</v>
      </c>
      <c r="E322" s="55">
        <v>0</v>
      </c>
      <c r="F322" s="55">
        <f t="shared" si="19"/>
        <v>486.261009</v>
      </c>
      <c r="G322" s="135"/>
      <c r="H322" s="136"/>
      <c r="I322" s="32"/>
      <c r="K322" s="33"/>
    </row>
    <row r="323" spans="1:14" s="73" customFormat="1" ht="15.75" customHeight="1" x14ac:dyDescent="0.25">
      <c r="A323" s="140">
        <v>8</v>
      </c>
      <c r="B323" s="141"/>
      <c r="C323" s="55" t="s">
        <v>184</v>
      </c>
      <c r="D323" s="48">
        <f t="shared" si="20"/>
        <v>335.35242</v>
      </c>
      <c r="E323" s="55">
        <v>0</v>
      </c>
      <c r="F323" s="55">
        <f t="shared" si="19"/>
        <v>486.261009</v>
      </c>
      <c r="G323" s="175"/>
      <c r="H323" s="176"/>
      <c r="I323" s="32"/>
      <c r="K323" s="33"/>
      <c r="L323" s="67">
        <f>2100000-(2100000*0.08)</f>
        <v>1932000</v>
      </c>
    </row>
    <row r="324" spans="1:14" s="73" customFormat="1" ht="15.75" customHeight="1" x14ac:dyDescent="0.25">
      <c r="A324" s="114" t="s">
        <v>223</v>
      </c>
      <c r="B324" s="115"/>
      <c r="C324" s="115"/>
      <c r="D324" s="115"/>
      <c r="E324" s="115"/>
      <c r="F324" s="115"/>
      <c r="G324" s="115"/>
      <c r="H324" s="116"/>
      <c r="I324" s="32"/>
      <c r="J324" s="73">
        <v>4000</v>
      </c>
      <c r="K324" s="33"/>
    </row>
    <row r="325" spans="1:14" s="73" customFormat="1" ht="15.75" customHeight="1" x14ac:dyDescent="0.25">
      <c r="A325" s="117" t="s">
        <v>181</v>
      </c>
      <c r="B325" s="118"/>
      <c r="C325" s="118"/>
      <c r="D325" s="118"/>
      <c r="E325" s="118"/>
      <c r="F325" s="118"/>
      <c r="G325" s="118"/>
      <c r="H325" s="119"/>
      <c r="I325" s="32"/>
      <c r="J325" s="73">
        <f>F327*$J$324</f>
        <v>2480079.42</v>
      </c>
      <c r="K325" s="33"/>
    </row>
    <row r="326" spans="1:14" s="73" customFormat="1" ht="15.75" customHeight="1" x14ac:dyDescent="0.25">
      <c r="A326" s="117" t="s">
        <v>225</v>
      </c>
      <c r="B326" s="118"/>
      <c r="C326" s="118"/>
      <c r="D326" s="118"/>
      <c r="E326" s="118"/>
      <c r="F326" s="118"/>
      <c r="G326" s="118"/>
      <c r="H326" s="119"/>
      <c r="I326" s="32">
        <f>2.7*3.6+2.1*1.95+2.7*2.7+1.85*1.1+0.9*1.29+2.6+0.5*1.3</f>
        <v>27.551000000000005</v>
      </c>
      <c r="J326" s="80">
        <f t="shared" ref="J326:J332" si="21">F328*$J$324</f>
        <v>1945044.0360000001</v>
      </c>
      <c r="K326" s="33"/>
      <c r="L326" s="67">
        <f>1880000/F328</f>
        <v>3866.2363734781788</v>
      </c>
    </row>
    <row r="327" spans="1:14" s="73" customFormat="1" ht="15.75" customHeight="1" x14ac:dyDescent="0.25">
      <c r="A327" s="140">
        <v>1</v>
      </c>
      <c r="B327" s="141"/>
      <c r="C327" s="55" t="s">
        <v>185</v>
      </c>
      <c r="D327" s="48">
        <f>(36.89+0.9*(1.5+1.65))*10.764</f>
        <v>427.59989999999999</v>
      </c>
      <c r="E327" s="55">
        <v>0</v>
      </c>
      <c r="F327" s="55">
        <f t="shared" ref="F327:F334" si="22">D327*(($F$250)+1)+(IF(E327&lt;101,E327,IF(E327&lt;201,E327/2,IF(E327&lt;=301,E327/3,E327/4))))</f>
        <v>620.01985500000001</v>
      </c>
      <c r="G327" s="133" t="str">
        <f>A326</f>
        <v>1st to 7th Floor For Residential</v>
      </c>
      <c r="H327" s="134"/>
      <c r="I327" s="32"/>
      <c r="J327" s="67">
        <f t="shared" si="21"/>
        <v>1945044.0360000001</v>
      </c>
      <c r="K327" s="32">
        <f>J327+25000</f>
        <v>1970044.0360000001</v>
      </c>
      <c r="L327" s="32"/>
      <c r="M327" s="32"/>
      <c r="N327" s="32"/>
    </row>
    <row r="328" spans="1:14" s="73" customFormat="1" ht="15.75" customHeight="1" x14ac:dyDescent="0.25">
      <c r="A328" s="140">
        <v>2</v>
      </c>
      <c r="B328" s="141"/>
      <c r="C328" s="55" t="s">
        <v>184</v>
      </c>
      <c r="D328" s="48">
        <f>(28.32+0.9*(1.5+1.65))*10.764</f>
        <v>335.35242</v>
      </c>
      <c r="E328" s="55">
        <v>0</v>
      </c>
      <c r="F328" s="55">
        <f t="shared" si="22"/>
        <v>486.261009</v>
      </c>
      <c r="G328" s="135"/>
      <c r="H328" s="136"/>
      <c r="I328" s="32"/>
      <c r="J328" s="80">
        <f t="shared" si="21"/>
        <v>1945044.0360000001</v>
      </c>
      <c r="K328" s="32"/>
      <c r="L328" s="32"/>
      <c r="M328" s="32"/>
      <c r="N328" s="32"/>
    </row>
    <row r="329" spans="1:14" s="32" customFormat="1" x14ac:dyDescent="0.25">
      <c r="A329" s="140">
        <v>3</v>
      </c>
      <c r="B329" s="141"/>
      <c r="C329" s="55" t="s">
        <v>184</v>
      </c>
      <c r="D329" s="48">
        <f>(28.32+0.9*(1.5+1.65))*10.764</f>
        <v>335.35242</v>
      </c>
      <c r="E329" s="55">
        <v>0</v>
      </c>
      <c r="F329" s="55">
        <f t="shared" si="22"/>
        <v>486.261009</v>
      </c>
      <c r="G329" s="135"/>
      <c r="H329" s="136"/>
      <c r="I329" s="19"/>
      <c r="J329" s="80">
        <f t="shared" si="21"/>
        <v>1945044.0360000001</v>
      </c>
    </row>
    <row r="330" spans="1:14" s="32" customFormat="1" x14ac:dyDescent="0.25">
      <c r="A330" s="140">
        <v>4</v>
      </c>
      <c r="B330" s="141"/>
      <c r="C330" s="55" t="s">
        <v>184</v>
      </c>
      <c r="D330" s="48">
        <f t="shared" ref="D330:D334" si="23">(28.32+0.9*(1.5+1.65))*10.764</f>
        <v>335.35242</v>
      </c>
      <c r="E330" s="55">
        <v>0</v>
      </c>
      <c r="F330" s="55">
        <f t="shared" si="22"/>
        <v>486.261009</v>
      </c>
      <c r="G330" s="135"/>
      <c r="H330" s="136"/>
      <c r="I330" s="19"/>
      <c r="J330" s="80">
        <f t="shared" si="21"/>
        <v>1945044.0360000001</v>
      </c>
    </row>
    <row r="331" spans="1:14" s="32" customFormat="1" ht="15.75" customHeight="1" x14ac:dyDescent="0.25">
      <c r="A331" s="140">
        <v>5</v>
      </c>
      <c r="B331" s="141"/>
      <c r="C331" s="55" t="s">
        <v>184</v>
      </c>
      <c r="D331" s="48">
        <f t="shared" si="23"/>
        <v>335.35242</v>
      </c>
      <c r="E331" s="55">
        <v>0</v>
      </c>
      <c r="F331" s="55">
        <f t="shared" si="22"/>
        <v>486.261009</v>
      </c>
      <c r="G331" s="135"/>
      <c r="H331" s="136"/>
      <c r="I331" s="19"/>
      <c r="J331" s="80">
        <f t="shared" si="21"/>
        <v>1945044.0360000001</v>
      </c>
    </row>
    <row r="332" spans="1:14" s="32" customFormat="1" ht="15.75" customHeight="1" x14ac:dyDescent="0.25">
      <c r="A332" s="140">
        <v>6</v>
      </c>
      <c r="B332" s="141"/>
      <c r="C332" s="55" t="s">
        <v>184</v>
      </c>
      <c r="D332" s="48">
        <f t="shared" si="23"/>
        <v>335.35242</v>
      </c>
      <c r="E332" s="55">
        <v>0</v>
      </c>
      <c r="F332" s="55">
        <f t="shared" si="22"/>
        <v>486.261009</v>
      </c>
      <c r="G332" s="135"/>
      <c r="H332" s="136"/>
      <c r="I332" s="19"/>
      <c r="J332" s="80">
        <f t="shared" si="21"/>
        <v>1945044.0360000001</v>
      </c>
    </row>
    <row r="333" spans="1:14" s="32" customFormat="1" ht="15.75" customHeight="1" x14ac:dyDescent="0.25">
      <c r="A333" s="140">
        <v>7</v>
      </c>
      <c r="B333" s="141"/>
      <c r="C333" s="55" t="s">
        <v>184</v>
      </c>
      <c r="D333" s="48">
        <f t="shared" si="23"/>
        <v>335.35242</v>
      </c>
      <c r="E333" s="55">
        <v>0</v>
      </c>
      <c r="F333" s="55">
        <f t="shared" si="22"/>
        <v>486.261009</v>
      </c>
      <c r="G333" s="135"/>
      <c r="H333" s="136"/>
      <c r="I333" s="19"/>
    </row>
    <row r="334" spans="1:14" s="32" customFormat="1" x14ac:dyDescent="0.25">
      <c r="A334" s="140">
        <v>8</v>
      </c>
      <c r="B334" s="141"/>
      <c r="C334" s="55" t="s">
        <v>184</v>
      </c>
      <c r="D334" s="48">
        <f t="shared" si="23"/>
        <v>335.35242</v>
      </c>
      <c r="E334" s="55">
        <v>0</v>
      </c>
      <c r="F334" s="55">
        <f t="shared" si="22"/>
        <v>486.261009</v>
      </c>
      <c r="G334" s="175"/>
      <c r="H334" s="176"/>
      <c r="I334" s="19"/>
    </row>
    <row r="335" spans="1:14" s="32" customFormat="1" ht="15.75" customHeight="1" x14ac:dyDescent="0.25">
      <c r="A335" s="156" t="s">
        <v>66</v>
      </c>
      <c r="B335" s="157"/>
      <c r="C335" s="157"/>
      <c r="D335" s="157"/>
      <c r="E335" s="157"/>
      <c r="F335" s="157"/>
      <c r="G335" s="157"/>
      <c r="H335" s="158"/>
      <c r="I335" s="19"/>
    </row>
    <row r="336" spans="1:14" s="32" customFormat="1" ht="35.25" customHeight="1" x14ac:dyDescent="0.25">
      <c r="A336" s="86">
        <v>1</v>
      </c>
      <c r="B336" s="153" t="s">
        <v>277</v>
      </c>
      <c r="C336" s="154"/>
      <c r="D336" s="154"/>
      <c r="E336" s="154"/>
      <c r="F336" s="154"/>
      <c r="G336" s="154"/>
      <c r="H336" s="155"/>
      <c r="I336" s="19"/>
    </row>
    <row r="337" spans="1:14" s="32" customFormat="1" x14ac:dyDescent="0.25">
      <c r="A337" s="86">
        <f>A336+1</f>
        <v>2</v>
      </c>
      <c r="B337" s="153" t="str">
        <f>(IF(F249="Saleable area Loading :","We have considered Saleable area of Flats as per our Calculation.","We considered Saleable area of Flat as per Builder area Sheet."))</f>
        <v>We have considered Saleable area of Flats as per our Calculation.</v>
      </c>
      <c r="C337" s="154"/>
      <c r="D337" s="154"/>
      <c r="E337" s="154"/>
      <c r="F337" s="154"/>
      <c r="G337" s="154"/>
      <c r="H337" s="155"/>
      <c r="I337" s="19"/>
    </row>
    <row r="338" spans="1:14" s="32" customFormat="1" ht="15.75" customHeight="1" x14ac:dyDescent="0.25">
      <c r="A338" s="86">
        <f t="shared" ref="A338:A351" si="24">A337+1</f>
        <v>3</v>
      </c>
      <c r="B338" s="153" t="str">
        <f>(IF(F209="Saleable area Loading :","We have considered Saleable area of Commercial as per our Calculation.","We considered Saleable area of Commercial as per Builder area Sheet."))</f>
        <v>We have considered Saleable area of Commercial as per our Calculation.</v>
      </c>
      <c r="C338" s="154"/>
      <c r="D338" s="154"/>
      <c r="E338" s="154"/>
      <c r="F338" s="154"/>
      <c r="G338" s="154"/>
      <c r="H338" s="155"/>
      <c r="I338" s="19"/>
      <c r="J338" s="19"/>
      <c r="K338" s="19"/>
      <c r="L338" s="19"/>
      <c r="M338" s="19"/>
      <c r="N338" s="19"/>
    </row>
    <row r="339" spans="1:14" s="32" customFormat="1" ht="15.75" customHeight="1" x14ac:dyDescent="0.25">
      <c r="A339" s="86">
        <f t="shared" si="24"/>
        <v>4</v>
      </c>
      <c r="B339" s="153" t="s">
        <v>123</v>
      </c>
      <c r="C339" s="154"/>
      <c r="D339" s="154"/>
      <c r="E339" s="154"/>
      <c r="F339" s="154"/>
      <c r="G339" s="154"/>
      <c r="H339" s="155"/>
      <c r="I339" s="19"/>
      <c r="J339" s="19"/>
      <c r="K339" s="19"/>
      <c r="L339" s="19"/>
      <c r="M339" s="19"/>
      <c r="N339" s="19"/>
    </row>
    <row r="340" spans="1:14" s="32" customFormat="1" ht="15.75" customHeight="1" x14ac:dyDescent="0.25">
      <c r="A340" s="86">
        <f t="shared" si="24"/>
        <v>5</v>
      </c>
      <c r="B340" s="153" t="s">
        <v>264</v>
      </c>
      <c r="C340" s="154"/>
      <c r="D340" s="154"/>
      <c r="E340" s="154"/>
      <c r="F340" s="154"/>
      <c r="G340" s="154"/>
      <c r="H340" s="155"/>
      <c r="I340" s="19"/>
      <c r="J340" s="19"/>
      <c r="K340" s="19"/>
      <c r="L340" s="19"/>
      <c r="M340" s="19"/>
      <c r="N340" s="19"/>
    </row>
    <row r="341" spans="1:14" s="32" customFormat="1" x14ac:dyDescent="0.25">
      <c r="A341" s="81">
        <f t="shared" si="24"/>
        <v>6</v>
      </c>
      <c r="B341" s="137" t="s">
        <v>152</v>
      </c>
      <c r="C341" s="138"/>
      <c r="D341" s="138"/>
      <c r="E341" s="138"/>
      <c r="F341" s="138"/>
      <c r="G341" s="138"/>
      <c r="H341" s="139"/>
      <c r="I341" s="19"/>
      <c r="J341" s="19"/>
      <c r="K341" s="19"/>
      <c r="L341" s="19"/>
      <c r="M341" s="19"/>
      <c r="N341" s="19"/>
    </row>
    <row r="342" spans="1:14" ht="15.75" customHeight="1" x14ac:dyDescent="0.25">
      <c r="A342" s="81">
        <f t="shared" si="24"/>
        <v>7</v>
      </c>
      <c r="B342" s="137" t="s">
        <v>124</v>
      </c>
      <c r="C342" s="138"/>
      <c r="D342" s="138"/>
      <c r="E342" s="138"/>
      <c r="F342" s="138"/>
      <c r="G342" s="138"/>
      <c r="H342" s="139"/>
    </row>
    <row r="343" spans="1:14" ht="35.25" customHeight="1" x14ac:dyDescent="0.25">
      <c r="A343" s="81">
        <f t="shared" si="24"/>
        <v>8</v>
      </c>
      <c r="B343" s="137" t="s">
        <v>153</v>
      </c>
      <c r="C343" s="138"/>
      <c r="D343" s="138"/>
      <c r="E343" s="138"/>
      <c r="F343" s="138"/>
      <c r="G343" s="138"/>
      <c r="H343" s="139"/>
    </row>
    <row r="344" spans="1:14" x14ac:dyDescent="0.25">
      <c r="A344" s="81">
        <f t="shared" si="24"/>
        <v>9</v>
      </c>
      <c r="B344" s="137" t="s">
        <v>125</v>
      </c>
      <c r="C344" s="138"/>
      <c r="D344" s="138"/>
      <c r="E344" s="138"/>
      <c r="F344" s="138"/>
      <c r="G344" s="138"/>
      <c r="H344" s="139"/>
    </row>
    <row r="345" spans="1:14" x14ac:dyDescent="0.25">
      <c r="A345" s="81">
        <f t="shared" si="24"/>
        <v>10</v>
      </c>
      <c r="B345" s="137" t="s">
        <v>209</v>
      </c>
      <c r="C345" s="138"/>
      <c r="D345" s="138"/>
      <c r="E345" s="138"/>
      <c r="F345" s="138"/>
      <c r="G345" s="138"/>
      <c r="H345" s="139"/>
    </row>
    <row r="346" spans="1:14" x14ac:dyDescent="0.25">
      <c r="A346" s="81">
        <f t="shared" si="24"/>
        <v>11</v>
      </c>
      <c r="B346" s="153" t="s">
        <v>248</v>
      </c>
      <c r="C346" s="154"/>
      <c r="D346" s="154"/>
      <c r="E346" s="154"/>
      <c r="F346" s="154"/>
      <c r="G346" s="154"/>
      <c r="H346" s="155"/>
    </row>
    <row r="347" spans="1:14" x14ac:dyDescent="0.25">
      <c r="A347" s="81">
        <f t="shared" si="24"/>
        <v>12</v>
      </c>
      <c r="B347" s="137" t="s">
        <v>249</v>
      </c>
      <c r="C347" s="138"/>
      <c r="D347" s="138"/>
      <c r="E347" s="138"/>
      <c r="F347" s="138"/>
      <c r="G347" s="138"/>
      <c r="H347" s="139"/>
      <c r="I347" s="92" t="s">
        <v>260</v>
      </c>
    </row>
    <row r="348" spans="1:14" ht="68.25" customHeight="1" x14ac:dyDescent="0.25">
      <c r="A348" s="81">
        <f t="shared" si="24"/>
        <v>13</v>
      </c>
      <c r="B348" s="153" t="s">
        <v>247</v>
      </c>
      <c r="C348" s="154"/>
      <c r="D348" s="154"/>
      <c r="E348" s="154"/>
      <c r="F348" s="154"/>
      <c r="G348" s="154"/>
      <c r="H348" s="155"/>
    </row>
    <row r="349" spans="1:14" x14ac:dyDescent="0.25">
      <c r="A349" s="81">
        <f t="shared" si="24"/>
        <v>14</v>
      </c>
      <c r="B349" s="137" t="s">
        <v>259</v>
      </c>
      <c r="C349" s="138"/>
      <c r="D349" s="138"/>
      <c r="E349" s="138"/>
      <c r="F349" s="138"/>
      <c r="G349" s="138"/>
      <c r="H349" s="139"/>
    </row>
    <row r="350" spans="1:14" x14ac:dyDescent="0.25">
      <c r="A350" s="81">
        <f t="shared" si="24"/>
        <v>15</v>
      </c>
      <c r="B350" s="137" t="s">
        <v>266</v>
      </c>
      <c r="C350" s="138"/>
      <c r="D350" s="138"/>
      <c r="E350" s="138"/>
      <c r="F350" s="138"/>
      <c r="G350" s="138"/>
      <c r="H350" s="139"/>
    </row>
    <row r="351" spans="1:14" ht="33" customHeight="1" x14ac:dyDescent="0.25">
      <c r="A351" s="81">
        <f t="shared" si="24"/>
        <v>16</v>
      </c>
      <c r="B351" s="137" t="s">
        <v>273</v>
      </c>
      <c r="C351" s="138"/>
      <c r="D351" s="138"/>
      <c r="E351" s="138"/>
      <c r="F351" s="138"/>
      <c r="G351" s="138"/>
      <c r="H351" s="139"/>
    </row>
    <row r="352" spans="1:14" ht="15.75" customHeight="1" x14ac:dyDescent="0.25">
      <c r="A352" s="150" t="s">
        <v>59</v>
      </c>
      <c r="B352" s="151"/>
      <c r="C352" s="151"/>
      <c r="D352" s="151"/>
      <c r="E352" s="151"/>
      <c r="F352" s="151"/>
      <c r="G352" s="151"/>
      <c r="H352" s="152"/>
    </row>
    <row r="353" spans="1:8" x14ac:dyDescent="0.25">
      <c r="A353" s="144" t="s">
        <v>60</v>
      </c>
      <c r="B353" s="145"/>
      <c r="C353" s="145"/>
      <c r="D353" s="145"/>
      <c r="E353" s="145"/>
      <c r="F353" s="145"/>
      <c r="G353" s="145"/>
      <c r="H353" s="146"/>
    </row>
    <row r="354" spans="1:8" ht="15.75" customHeight="1" x14ac:dyDescent="0.25">
      <c r="A354" s="147" t="s">
        <v>61</v>
      </c>
      <c r="B354" s="148"/>
      <c r="C354" s="148"/>
      <c r="D354" s="148"/>
      <c r="E354" s="148"/>
      <c r="F354" s="148"/>
      <c r="G354" s="148"/>
      <c r="H354" s="149"/>
    </row>
    <row r="355" spans="1:8" x14ac:dyDescent="0.25">
      <c r="A355" s="144" t="s">
        <v>62</v>
      </c>
      <c r="B355" s="145"/>
      <c r="C355" s="145"/>
      <c r="D355" s="145"/>
      <c r="E355" s="145"/>
      <c r="F355" s="145"/>
      <c r="G355" s="145"/>
      <c r="H355" s="146"/>
    </row>
    <row r="356" spans="1:8" x14ac:dyDescent="0.25">
      <c r="A356" s="144" t="s">
        <v>63</v>
      </c>
      <c r="B356" s="145"/>
      <c r="C356" s="145"/>
      <c r="D356" s="145"/>
      <c r="E356" s="145"/>
      <c r="F356" s="145"/>
      <c r="G356" s="145"/>
      <c r="H356" s="146"/>
    </row>
    <row r="357" spans="1:8" x14ac:dyDescent="0.25">
      <c r="A357" s="144" t="s">
        <v>126</v>
      </c>
      <c r="B357" s="145"/>
      <c r="C357" s="145"/>
      <c r="D357" s="145"/>
      <c r="E357" s="145"/>
      <c r="F357" s="145"/>
      <c r="G357" s="145"/>
      <c r="H357" s="146"/>
    </row>
    <row r="358" spans="1:8" x14ac:dyDescent="0.25">
      <c r="A358" s="275" t="s">
        <v>127</v>
      </c>
      <c r="B358" s="276"/>
      <c r="C358" s="276"/>
      <c r="D358" s="276"/>
      <c r="E358" s="276"/>
      <c r="F358" s="276"/>
      <c r="G358" s="276"/>
      <c r="H358" s="277"/>
    </row>
    <row r="359" spans="1:8" x14ac:dyDescent="0.25">
      <c r="A359" s="292" t="s">
        <v>76</v>
      </c>
      <c r="B359" s="292"/>
      <c r="C359" s="292" t="s">
        <v>276</v>
      </c>
      <c r="D359" s="292"/>
      <c r="E359" s="292" t="s">
        <v>105</v>
      </c>
      <c r="F359" s="292"/>
      <c r="G359" s="292" t="s">
        <v>275</v>
      </c>
      <c r="H359" s="292"/>
    </row>
    <row r="360" spans="1:8" ht="15" customHeight="1" x14ac:dyDescent="0.25">
      <c r="A360" s="283" t="s">
        <v>78</v>
      </c>
      <c r="B360" s="284"/>
      <c r="C360" s="284"/>
      <c r="D360" s="284"/>
      <c r="E360" s="284"/>
      <c r="F360" s="284"/>
      <c r="G360" s="284"/>
      <c r="H360" s="285"/>
    </row>
    <row r="361" spans="1:8" x14ac:dyDescent="0.25">
      <c r="A361" s="286"/>
      <c r="B361" s="287"/>
      <c r="C361" s="287"/>
      <c r="D361" s="287"/>
      <c r="E361" s="287"/>
      <c r="F361" s="287"/>
      <c r="G361" s="287"/>
      <c r="H361" s="288"/>
    </row>
    <row r="362" spans="1:8" x14ac:dyDescent="0.25">
      <c r="A362" s="286"/>
      <c r="B362" s="287"/>
      <c r="C362" s="287"/>
      <c r="D362" s="287"/>
      <c r="E362" s="287"/>
      <c r="F362" s="287"/>
      <c r="G362" s="287"/>
      <c r="H362" s="288"/>
    </row>
    <row r="363" spans="1:8" x14ac:dyDescent="0.25">
      <c r="A363" s="289"/>
      <c r="B363" s="290"/>
      <c r="C363" s="290"/>
      <c r="D363" s="290"/>
      <c r="E363" s="290"/>
      <c r="F363" s="290"/>
      <c r="G363" s="290"/>
      <c r="H363" s="291"/>
    </row>
    <row r="364" spans="1:8" x14ac:dyDescent="0.25">
      <c r="A364" s="60" t="s">
        <v>64</v>
      </c>
      <c r="B364" s="36"/>
      <c r="C364" s="36"/>
      <c r="D364" s="35" t="str">
        <f>E8</f>
        <v>Anand Home (Wing A to G)</v>
      </c>
      <c r="F364" s="36"/>
      <c r="G364" s="36"/>
      <c r="H364" s="36"/>
    </row>
    <row r="365" spans="1:8" x14ac:dyDescent="0.25">
      <c r="A365" s="36"/>
      <c r="B365" s="36"/>
      <c r="C365" s="36"/>
      <c r="D365" s="36"/>
      <c r="E365" s="36"/>
      <c r="F365" s="36"/>
      <c r="G365" s="36"/>
      <c r="H365" s="36"/>
    </row>
    <row r="366" spans="1:8" x14ac:dyDescent="0.25">
      <c r="A366" s="36"/>
      <c r="B366" s="36"/>
      <c r="C366" s="36"/>
      <c r="D366" s="36"/>
      <c r="E366" s="36"/>
      <c r="F366" s="36"/>
      <c r="G366" s="36"/>
      <c r="H366" s="36"/>
    </row>
    <row r="393" spans="10:10" x14ac:dyDescent="0.25">
      <c r="J393"/>
    </row>
    <row r="394" spans="10:10" x14ac:dyDescent="0.25">
      <c r="J394"/>
    </row>
    <row r="407" spans="1:1" x14ac:dyDescent="0.25">
      <c r="A407" s="38" t="s">
        <v>166</v>
      </c>
    </row>
    <row r="444" spans="1:1" x14ac:dyDescent="0.25">
      <c r="A444" s="38" t="s">
        <v>263</v>
      </c>
    </row>
    <row r="487" spans="1:1" x14ac:dyDescent="0.25">
      <c r="A487" s="38" t="s">
        <v>271</v>
      </c>
    </row>
    <row r="530" spans="1:1" x14ac:dyDescent="0.25">
      <c r="A530" s="38" t="s">
        <v>271</v>
      </c>
    </row>
    <row r="573" spans="1:1" x14ac:dyDescent="0.25">
      <c r="A573" s="38" t="s">
        <v>65</v>
      </c>
    </row>
  </sheetData>
  <mergeCells count="600">
    <mergeCell ref="A323:B323"/>
    <mergeCell ref="G316:H323"/>
    <mergeCell ref="A54:B55"/>
    <mergeCell ref="C54:E54"/>
    <mergeCell ref="G54:H54"/>
    <mergeCell ref="C55:H55"/>
    <mergeCell ref="B351:H351"/>
    <mergeCell ref="B349:H349"/>
    <mergeCell ref="B347:H347"/>
    <mergeCell ref="A324:H324"/>
    <mergeCell ref="A326:H326"/>
    <mergeCell ref="A327:B327"/>
    <mergeCell ref="G327:H334"/>
    <mergeCell ref="A328:B328"/>
    <mergeCell ref="A329:B329"/>
    <mergeCell ref="A330:B330"/>
    <mergeCell ref="A331:B331"/>
    <mergeCell ref="A332:B332"/>
    <mergeCell ref="A333:B333"/>
    <mergeCell ref="A334:B334"/>
    <mergeCell ref="A325:H325"/>
    <mergeCell ref="B346:H346"/>
    <mergeCell ref="A316:B316"/>
    <mergeCell ref="A317:B317"/>
    <mergeCell ref="A318:B318"/>
    <mergeCell ref="A319:B319"/>
    <mergeCell ref="A320:B320"/>
    <mergeCell ref="A321:B321"/>
    <mergeCell ref="A322:B322"/>
    <mergeCell ref="A247:B247"/>
    <mergeCell ref="A305:H305"/>
    <mergeCell ref="A306:H306"/>
    <mergeCell ref="A307:B307"/>
    <mergeCell ref="G307:H313"/>
    <mergeCell ref="A308:B308"/>
    <mergeCell ref="A309:B309"/>
    <mergeCell ref="A310:B310"/>
    <mergeCell ref="A311:B311"/>
    <mergeCell ref="A312:B312"/>
    <mergeCell ref="A313:B313"/>
    <mergeCell ref="G238:H247"/>
    <mergeCell ref="A241:B241"/>
    <mergeCell ref="A246:B246"/>
    <mergeCell ref="A254:H254"/>
    <mergeCell ref="A259:B259"/>
    <mergeCell ref="A269:B269"/>
    <mergeCell ref="A280:B280"/>
    <mergeCell ref="A267:B267"/>
    <mergeCell ref="A242:B242"/>
    <mergeCell ref="L239:M239"/>
    <mergeCell ref="A243:B243"/>
    <mergeCell ref="L240:M240"/>
    <mergeCell ref="A244:B244"/>
    <mergeCell ref="L241:M241"/>
    <mergeCell ref="A245:B245"/>
    <mergeCell ref="L242:M242"/>
    <mergeCell ref="A236:H236"/>
    <mergeCell ref="A237:H237"/>
    <mergeCell ref="A238:B238"/>
    <mergeCell ref="A239:B239"/>
    <mergeCell ref="L236:M236"/>
    <mergeCell ref="A240:B240"/>
    <mergeCell ref="L237:M237"/>
    <mergeCell ref="L238:M238"/>
    <mergeCell ref="L222:M222"/>
    <mergeCell ref="A226:H226"/>
    <mergeCell ref="L223:M223"/>
    <mergeCell ref="A227:B227"/>
    <mergeCell ref="G227:H235"/>
    <mergeCell ref="L224:M224"/>
    <mergeCell ref="A228:B228"/>
    <mergeCell ref="L225:M225"/>
    <mergeCell ref="A229:B229"/>
    <mergeCell ref="L226:M226"/>
    <mergeCell ref="A230:B230"/>
    <mergeCell ref="L227:M227"/>
    <mergeCell ref="A231:B231"/>
    <mergeCell ref="L228:M228"/>
    <mergeCell ref="A232:B232"/>
    <mergeCell ref="L229:M229"/>
    <mergeCell ref="A233:B233"/>
    <mergeCell ref="L230:M230"/>
    <mergeCell ref="A234:B234"/>
    <mergeCell ref="L231:M231"/>
    <mergeCell ref="A235:B235"/>
    <mergeCell ref="L233:M233"/>
    <mergeCell ref="L234:M234"/>
    <mergeCell ref="L235:M235"/>
    <mergeCell ref="C193:D193"/>
    <mergeCell ref="E193:F193"/>
    <mergeCell ref="G193:H193"/>
    <mergeCell ref="C195:D195"/>
    <mergeCell ref="E195:F195"/>
    <mergeCell ref="G195:H195"/>
    <mergeCell ref="E197:F197"/>
    <mergeCell ref="C198:D198"/>
    <mergeCell ref="G197:H197"/>
    <mergeCell ref="E198:F198"/>
    <mergeCell ref="G198:H198"/>
    <mergeCell ref="C119:H119"/>
    <mergeCell ref="A120:B120"/>
    <mergeCell ref="A178:E178"/>
    <mergeCell ref="A175:E175"/>
    <mergeCell ref="A156:B156"/>
    <mergeCell ref="A157:B157"/>
    <mergeCell ref="A158:B158"/>
    <mergeCell ref="F175:H175"/>
    <mergeCell ref="E134:F134"/>
    <mergeCell ref="A170:B170"/>
    <mergeCell ref="A171:B171"/>
    <mergeCell ref="A172:B172"/>
    <mergeCell ref="E163:F163"/>
    <mergeCell ref="A159:B159"/>
    <mergeCell ref="C159:D159"/>
    <mergeCell ref="E159:F159"/>
    <mergeCell ref="G159:H159"/>
    <mergeCell ref="A75:B75"/>
    <mergeCell ref="C75:H75"/>
    <mergeCell ref="A77:B77"/>
    <mergeCell ref="C77:H77"/>
    <mergeCell ref="A78:B78"/>
    <mergeCell ref="E78:F78"/>
    <mergeCell ref="G78:H78"/>
    <mergeCell ref="A79:B79"/>
    <mergeCell ref="E79:F88"/>
    <mergeCell ref="G79:H88"/>
    <mergeCell ref="A80:B80"/>
    <mergeCell ref="A81:B81"/>
    <mergeCell ref="A82:B82"/>
    <mergeCell ref="I57:M57"/>
    <mergeCell ref="I66:M66"/>
    <mergeCell ref="D65:H65"/>
    <mergeCell ref="D66:H66"/>
    <mergeCell ref="D67:H67"/>
    <mergeCell ref="J43:M43"/>
    <mergeCell ref="J44:M44"/>
    <mergeCell ref="J45:M45"/>
    <mergeCell ref="J46:M46"/>
    <mergeCell ref="J47:M47"/>
    <mergeCell ref="I53:N53"/>
    <mergeCell ref="I58:M58"/>
    <mergeCell ref="I59:M59"/>
    <mergeCell ref="I60:M60"/>
    <mergeCell ref="D63:H63"/>
    <mergeCell ref="C53:H53"/>
    <mergeCell ref="D64:H64"/>
    <mergeCell ref="A48:H48"/>
    <mergeCell ref="A61:C67"/>
    <mergeCell ref="A60:C60"/>
    <mergeCell ref="I61:M61"/>
    <mergeCell ref="I62:M62"/>
    <mergeCell ref="A50:B50"/>
    <mergeCell ref="C50:E50"/>
    <mergeCell ref="G50:H50"/>
    <mergeCell ref="G52:H52"/>
    <mergeCell ref="D58:H58"/>
    <mergeCell ref="C52:E52"/>
    <mergeCell ref="D61:H61"/>
    <mergeCell ref="D62:H62"/>
    <mergeCell ref="C51:E51"/>
    <mergeCell ref="A56:B56"/>
    <mergeCell ref="C56:E56"/>
    <mergeCell ref="A51:B51"/>
    <mergeCell ref="A57:H57"/>
    <mergeCell ref="A58:C58"/>
    <mergeCell ref="A59:C59"/>
    <mergeCell ref="D59:H59"/>
    <mergeCell ref="G56:H56"/>
    <mergeCell ref="G51:H51"/>
    <mergeCell ref="A52:B53"/>
    <mergeCell ref="D60:H60"/>
    <mergeCell ref="D69:H69"/>
    <mergeCell ref="A197:B197"/>
    <mergeCell ref="D249:D250"/>
    <mergeCell ref="E249:E250"/>
    <mergeCell ref="G249:H250"/>
    <mergeCell ref="A255:B255"/>
    <mergeCell ref="A256:B256"/>
    <mergeCell ref="A257:B257"/>
    <mergeCell ref="A258:B258"/>
    <mergeCell ref="G93:H102"/>
    <mergeCell ref="A94:B94"/>
    <mergeCell ref="A209:A210"/>
    <mergeCell ref="C249:C250"/>
    <mergeCell ref="G106:H106"/>
    <mergeCell ref="A107:B107"/>
    <mergeCell ref="A83:B83"/>
    <mergeCell ref="A84:B84"/>
    <mergeCell ref="A85:B85"/>
    <mergeCell ref="A86:B86"/>
    <mergeCell ref="A87:B87"/>
    <mergeCell ref="A88:B88"/>
    <mergeCell ref="A95:B95"/>
    <mergeCell ref="A89:B89"/>
    <mergeCell ref="A135:B135"/>
    <mergeCell ref="A360:H363"/>
    <mergeCell ref="A359:B359"/>
    <mergeCell ref="E359:F359"/>
    <mergeCell ref="C359:D359"/>
    <mergeCell ref="G359:H359"/>
    <mergeCell ref="A273:B273"/>
    <mergeCell ref="B345:H345"/>
    <mergeCell ref="A147:B147"/>
    <mergeCell ref="C147:H147"/>
    <mergeCell ref="A148:B148"/>
    <mergeCell ref="E148:F148"/>
    <mergeCell ref="G148:H148"/>
    <mergeCell ref="F182:H182"/>
    <mergeCell ref="A176:E176"/>
    <mergeCell ref="A212:H212"/>
    <mergeCell ref="E209:E210"/>
    <mergeCell ref="G209:H210"/>
    <mergeCell ref="A149:B149"/>
    <mergeCell ref="E149:F158"/>
    <mergeCell ref="F178:H178"/>
    <mergeCell ref="F179:H179"/>
    <mergeCell ref="C192:D192"/>
    <mergeCell ref="E192:F192"/>
    <mergeCell ref="G192:H192"/>
    <mergeCell ref="A355:H355"/>
    <mergeCell ref="A196:H196"/>
    <mergeCell ref="A358:H358"/>
    <mergeCell ref="A356:H356"/>
    <mergeCell ref="A248:H248"/>
    <mergeCell ref="A249:A250"/>
    <mergeCell ref="A264:H264"/>
    <mergeCell ref="A286:B286"/>
    <mergeCell ref="A287:B287"/>
    <mergeCell ref="A288:B288"/>
    <mergeCell ref="A289:B289"/>
    <mergeCell ref="A290:B290"/>
    <mergeCell ref="E199:F199"/>
    <mergeCell ref="B343:H343"/>
    <mergeCell ref="A265:H265"/>
    <mergeCell ref="G205:H205"/>
    <mergeCell ref="B342:H342"/>
    <mergeCell ref="B338:H338"/>
    <mergeCell ref="A207:H207"/>
    <mergeCell ref="A270:B270"/>
    <mergeCell ref="A271:B271"/>
    <mergeCell ref="A272:B272"/>
    <mergeCell ref="A278:B278"/>
    <mergeCell ref="C203:D203"/>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2:D12"/>
    <mergeCell ref="E12:H12"/>
    <mergeCell ref="A10:D10"/>
    <mergeCell ref="E10:H10"/>
    <mergeCell ref="C34:E34"/>
    <mergeCell ref="E13:F13"/>
    <mergeCell ref="G13:H13"/>
    <mergeCell ref="E14:F14"/>
    <mergeCell ref="G14:H14"/>
    <mergeCell ref="E15:F15"/>
    <mergeCell ref="G15:H15"/>
    <mergeCell ref="G21:H21"/>
    <mergeCell ref="A22:B22"/>
    <mergeCell ref="C22:D22"/>
    <mergeCell ref="E22:F22"/>
    <mergeCell ref="G22:H22"/>
    <mergeCell ref="A18:B18"/>
    <mergeCell ref="C18:H18"/>
    <mergeCell ref="A13:D15"/>
    <mergeCell ref="C35:E35"/>
    <mergeCell ref="A23:D24"/>
    <mergeCell ref="E23:H24"/>
    <mergeCell ref="A16:B16"/>
    <mergeCell ref="C16:H16"/>
    <mergeCell ref="C17:H17"/>
    <mergeCell ref="A25:D25"/>
    <mergeCell ref="E25:H25"/>
    <mergeCell ref="A19:B19"/>
    <mergeCell ref="C19:D19"/>
    <mergeCell ref="E19:F19"/>
    <mergeCell ref="G19:H19"/>
    <mergeCell ref="A20:B20"/>
    <mergeCell ref="C20:D20"/>
    <mergeCell ref="E20:F20"/>
    <mergeCell ref="G20:H20"/>
    <mergeCell ref="A21:B21"/>
    <mergeCell ref="C21:D21"/>
    <mergeCell ref="E21:F21"/>
    <mergeCell ref="F34:H34"/>
    <mergeCell ref="F35:H35"/>
    <mergeCell ref="A17:B17"/>
    <mergeCell ref="A34:B34"/>
    <mergeCell ref="A33:B33"/>
    <mergeCell ref="A68:C68"/>
    <mergeCell ref="D68:H68"/>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F37:H37"/>
    <mergeCell ref="A39:B39"/>
    <mergeCell ref="A35:B35"/>
    <mergeCell ref="A40:B40"/>
    <mergeCell ref="A46:D46"/>
    <mergeCell ref="A47:D47"/>
    <mergeCell ref="A38:H38"/>
    <mergeCell ref="A37:B37"/>
    <mergeCell ref="C37:E37"/>
    <mergeCell ref="A42:D42"/>
    <mergeCell ref="E42:H42"/>
    <mergeCell ref="E43:H43"/>
    <mergeCell ref="A43:D43"/>
    <mergeCell ref="C40:H40"/>
    <mergeCell ref="A44:D44"/>
    <mergeCell ref="E44:H44"/>
    <mergeCell ref="E45:H45"/>
    <mergeCell ref="E46:H46"/>
    <mergeCell ref="E47:H47"/>
    <mergeCell ref="A45:D45"/>
    <mergeCell ref="A41:H41"/>
    <mergeCell ref="A71:C71"/>
    <mergeCell ref="D71:H71"/>
    <mergeCell ref="A74:C74"/>
    <mergeCell ref="G134:H134"/>
    <mergeCell ref="C89:H89"/>
    <mergeCell ref="A91:B91"/>
    <mergeCell ref="C91:H91"/>
    <mergeCell ref="A92:B92"/>
    <mergeCell ref="E92:F92"/>
    <mergeCell ref="G92:H92"/>
    <mergeCell ref="A93:B93"/>
    <mergeCell ref="E93:F102"/>
    <mergeCell ref="A103:B103"/>
    <mergeCell ref="C103:H103"/>
    <mergeCell ref="A105:B105"/>
    <mergeCell ref="C105:H105"/>
    <mergeCell ref="A106:B106"/>
    <mergeCell ref="E106:F106"/>
    <mergeCell ref="A73:C73"/>
    <mergeCell ref="D73:H73"/>
    <mergeCell ref="A72:C72"/>
    <mergeCell ref="D72:H72"/>
    <mergeCell ref="A129:B129"/>
    <mergeCell ref="D74:H74"/>
    <mergeCell ref="A49:B49"/>
    <mergeCell ref="C49:H49"/>
    <mergeCell ref="G149:H158"/>
    <mergeCell ref="A150:B150"/>
    <mergeCell ref="A151:B151"/>
    <mergeCell ref="A152:B152"/>
    <mergeCell ref="F177:H177"/>
    <mergeCell ref="A177:E177"/>
    <mergeCell ref="D209:D210"/>
    <mergeCell ref="A179:E179"/>
    <mergeCell ref="F185:H185"/>
    <mergeCell ref="G191:H191"/>
    <mergeCell ref="A153:B153"/>
    <mergeCell ref="A154:B154"/>
    <mergeCell ref="A155:B155"/>
    <mergeCell ref="F176:H176"/>
    <mergeCell ref="G194:H194"/>
    <mergeCell ref="A69:C69"/>
    <mergeCell ref="E135:F144"/>
    <mergeCell ref="G135:H144"/>
    <mergeCell ref="A70:C70"/>
    <mergeCell ref="D70:H70"/>
    <mergeCell ref="C133:H133"/>
    <mergeCell ref="A136:B136"/>
    <mergeCell ref="A268:B268"/>
    <mergeCell ref="A300:B300"/>
    <mergeCell ref="A277:B277"/>
    <mergeCell ref="A275:H275"/>
    <mergeCell ref="A260:B260"/>
    <mergeCell ref="A261:B261"/>
    <mergeCell ref="A283:B283"/>
    <mergeCell ref="A284:B284"/>
    <mergeCell ref="A285:B285"/>
    <mergeCell ref="A292:B292"/>
    <mergeCell ref="G283:H292"/>
    <mergeCell ref="A262:B262"/>
    <mergeCell ref="A266:B266"/>
    <mergeCell ref="G266:H273"/>
    <mergeCell ref="A295:H295"/>
    <mergeCell ref="A296:B296"/>
    <mergeCell ref="G296:H303"/>
    <mergeCell ref="A302:B302"/>
    <mergeCell ref="A291:B291"/>
    <mergeCell ref="A276:H276"/>
    <mergeCell ref="A298:B298"/>
    <mergeCell ref="A299:B299"/>
    <mergeCell ref="A297:B297"/>
    <mergeCell ref="A274:H274"/>
    <mergeCell ref="A214:B214"/>
    <mergeCell ref="A116:B116"/>
    <mergeCell ref="A117:B117"/>
    <mergeCell ref="A189:E189"/>
    <mergeCell ref="A186:E186"/>
    <mergeCell ref="E191:F191"/>
    <mergeCell ref="C194:D194"/>
    <mergeCell ref="A187:E187"/>
    <mergeCell ref="A191:B191"/>
    <mergeCell ref="A190:H190"/>
    <mergeCell ref="A188:E188"/>
    <mergeCell ref="F188:H188"/>
    <mergeCell ref="A195:B195"/>
    <mergeCell ref="A185:E185"/>
    <mergeCell ref="A184:E184"/>
    <mergeCell ref="C191:D191"/>
    <mergeCell ref="E107:F116"/>
    <mergeCell ref="G107:H116"/>
    <mergeCell ref="A145:B145"/>
    <mergeCell ref="C145:H145"/>
    <mergeCell ref="A115:B115"/>
    <mergeCell ref="A140:B140"/>
    <mergeCell ref="A143:B143"/>
    <mergeCell ref="A144:B144"/>
    <mergeCell ref="F186:H186"/>
    <mergeCell ref="A96:B96"/>
    <mergeCell ref="A97:B97"/>
    <mergeCell ref="A98:B98"/>
    <mergeCell ref="A99:B99"/>
    <mergeCell ref="A100:B100"/>
    <mergeCell ref="A101:B101"/>
    <mergeCell ref="A102:B102"/>
    <mergeCell ref="A141:B141"/>
    <mergeCell ref="A142:B142"/>
    <mergeCell ref="A134:B134"/>
    <mergeCell ref="A137:B137"/>
    <mergeCell ref="A133:B133"/>
    <mergeCell ref="A131:B131"/>
    <mergeCell ref="A139:B139"/>
    <mergeCell ref="A108:B108"/>
    <mergeCell ref="A109:B109"/>
    <mergeCell ref="A110:B110"/>
    <mergeCell ref="A111:B111"/>
    <mergeCell ref="A112:B112"/>
    <mergeCell ref="A113:B113"/>
    <mergeCell ref="A114:B114"/>
    <mergeCell ref="C117:H117"/>
    <mergeCell ref="A119:B119"/>
    <mergeCell ref="C131:H131"/>
    <mergeCell ref="G199:H199"/>
    <mergeCell ref="C197:D197"/>
    <mergeCell ref="C199:D199"/>
    <mergeCell ref="C204:D204"/>
    <mergeCell ref="E204:F204"/>
    <mergeCell ref="G204:H204"/>
    <mergeCell ref="A173:B173"/>
    <mergeCell ref="A160:B160"/>
    <mergeCell ref="C160:H160"/>
    <mergeCell ref="A162:B162"/>
    <mergeCell ref="C162:H162"/>
    <mergeCell ref="A163:B163"/>
    <mergeCell ref="A167:B167"/>
    <mergeCell ref="G163:H163"/>
    <mergeCell ref="A164:B164"/>
    <mergeCell ref="E164:F173"/>
    <mergeCell ref="G164:H173"/>
    <mergeCell ref="A166:B166"/>
    <mergeCell ref="E194:F194"/>
    <mergeCell ref="F180:H180"/>
    <mergeCell ref="F184:H184"/>
    <mergeCell ref="F187:H187"/>
    <mergeCell ref="F189:H189"/>
    <mergeCell ref="A220:B220"/>
    <mergeCell ref="F181:H181"/>
    <mergeCell ref="A182:E182"/>
    <mergeCell ref="A183:E183"/>
    <mergeCell ref="A168:B168"/>
    <mergeCell ref="A169:B169"/>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30:B130"/>
    <mergeCell ref="A165:B165"/>
    <mergeCell ref="A138:B138"/>
    <mergeCell ref="A181:E181"/>
    <mergeCell ref="A180:E180"/>
    <mergeCell ref="F183:H183"/>
    <mergeCell ref="A225:H225"/>
    <mergeCell ref="L217:M217"/>
    <mergeCell ref="L218:M218"/>
    <mergeCell ref="A213:H213"/>
    <mergeCell ref="L211:M211"/>
    <mergeCell ref="L219:M219"/>
    <mergeCell ref="A208:H208"/>
    <mergeCell ref="G214:H223"/>
    <mergeCell ref="A218:B218"/>
    <mergeCell ref="A222:B222"/>
    <mergeCell ref="A219:B219"/>
    <mergeCell ref="A223:B223"/>
    <mergeCell ref="B209:B210"/>
    <mergeCell ref="L216:M216"/>
    <mergeCell ref="L213:M213"/>
    <mergeCell ref="L212:M212"/>
    <mergeCell ref="L210:M210"/>
    <mergeCell ref="L214:M214"/>
    <mergeCell ref="L215:M215"/>
    <mergeCell ref="C209:C210"/>
    <mergeCell ref="A221:B221"/>
    <mergeCell ref="A215:B215"/>
    <mergeCell ref="A216:B216"/>
    <mergeCell ref="A217:B217"/>
    <mergeCell ref="C205:D205"/>
    <mergeCell ref="A205:B205"/>
    <mergeCell ref="E205:F205"/>
    <mergeCell ref="C200:D200"/>
    <mergeCell ref="E200:F200"/>
    <mergeCell ref="G200:H200"/>
    <mergeCell ref="E201:F201"/>
    <mergeCell ref="G201:H201"/>
    <mergeCell ref="E203:F203"/>
    <mergeCell ref="G203:H203"/>
    <mergeCell ref="C201:D201"/>
    <mergeCell ref="C202:D202"/>
    <mergeCell ref="E202:F202"/>
    <mergeCell ref="G202:H202"/>
    <mergeCell ref="B350:H350"/>
    <mergeCell ref="A281:B281"/>
    <mergeCell ref="G277:H281"/>
    <mergeCell ref="A282:H282"/>
    <mergeCell ref="C281:F281"/>
    <mergeCell ref="A279:B279"/>
    <mergeCell ref="C279:F279"/>
    <mergeCell ref="A357:H357"/>
    <mergeCell ref="A354:H354"/>
    <mergeCell ref="A353:H353"/>
    <mergeCell ref="A352:H352"/>
    <mergeCell ref="B344:H344"/>
    <mergeCell ref="B341:H341"/>
    <mergeCell ref="B340:H340"/>
    <mergeCell ref="B339:H339"/>
    <mergeCell ref="B337:H337"/>
    <mergeCell ref="B336:H336"/>
    <mergeCell ref="A335:H335"/>
    <mergeCell ref="A315:H315"/>
    <mergeCell ref="A314:H314"/>
    <mergeCell ref="B348:H348"/>
    <mergeCell ref="A301:B301"/>
    <mergeCell ref="A303:B303"/>
    <mergeCell ref="A293:H293"/>
    <mergeCell ref="I8:L8"/>
    <mergeCell ref="A198:A199"/>
    <mergeCell ref="A200:A201"/>
    <mergeCell ref="A202:A204"/>
    <mergeCell ref="A192:A193"/>
    <mergeCell ref="A224:H224"/>
    <mergeCell ref="A211:H211"/>
    <mergeCell ref="A304:H304"/>
    <mergeCell ref="A251:H251"/>
    <mergeCell ref="A263:H263"/>
    <mergeCell ref="A253:H253"/>
    <mergeCell ref="A252:H252"/>
    <mergeCell ref="A174:B174"/>
    <mergeCell ref="C174:D174"/>
    <mergeCell ref="E174:F174"/>
    <mergeCell ref="G174:H174"/>
    <mergeCell ref="C39:H39"/>
    <mergeCell ref="A294:H294"/>
    <mergeCell ref="A206:B206"/>
    <mergeCell ref="C206:D206"/>
    <mergeCell ref="E206:F206"/>
    <mergeCell ref="G206:H206"/>
    <mergeCell ref="G255:H262"/>
    <mergeCell ref="B249:B250"/>
  </mergeCells>
  <hyperlinks>
    <hyperlink ref="I214" r:id="rId1"/>
    <hyperlink ref="C40" r:id="rId2"/>
  </hyperlinks>
  <printOptions horizontalCentered="1"/>
  <pageMargins left="0.39370078740157483" right="0.39370078740157483" top="0.82677165354330717" bottom="0.78740157480314965" header="0.15748031496062992" footer="0.19685039370078741"/>
  <pageSetup paperSize="9" scale="92" fitToHeight="0" orientation="portrait" r:id="rId3"/>
  <headerFooter>
    <oddHeader>&amp;C&amp;G</oddHeader>
    <oddFooter>&amp;L&amp;"Times New Roman,Bold"&amp;12Ref No: &amp;F&amp;C&amp;G&amp;R&amp;"Times New Roman,Bold"&amp;12&amp;P</oddFooter>
  </headerFooter>
  <rowBreaks count="8" manualBreakCount="8">
    <brk id="102" max="16383" man="1"/>
    <brk id="144" max="16383" man="1"/>
    <brk id="363" max="7" man="1"/>
    <brk id="406" max="7" man="1"/>
    <brk id="443" max="7" man="1"/>
    <brk id="486" max="7" man="1"/>
    <brk id="529" max="7" man="1"/>
    <brk id="572" max="7"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330" t="s">
        <v>106</v>
      </c>
      <c r="C3" s="330"/>
      <c r="D3" s="330"/>
      <c r="E3" s="330"/>
      <c r="F3" s="330"/>
      <c r="G3" s="330"/>
      <c r="H3" s="330"/>
    </row>
    <row r="4" spans="1:9" x14ac:dyDescent="0.25">
      <c r="A4" s="2"/>
      <c r="B4" s="3" t="s">
        <v>107</v>
      </c>
      <c r="C4" s="3" t="s">
        <v>108</v>
      </c>
      <c r="D4" s="3" t="s">
        <v>67</v>
      </c>
      <c r="E4" s="3" t="s">
        <v>109</v>
      </c>
      <c r="F4" s="3" t="s">
        <v>115</v>
      </c>
      <c r="G4" s="3" t="s">
        <v>116</v>
      </c>
      <c r="H4" s="3" t="s">
        <v>110</v>
      </c>
    </row>
    <row r="5" spans="1:9" ht="15" customHeight="1" x14ac:dyDescent="0.25">
      <c r="A5" s="2"/>
      <c r="B5" s="5" t="s">
        <v>111</v>
      </c>
      <c r="C5" s="6"/>
      <c r="D5" s="5"/>
      <c r="E5" s="5"/>
      <c r="F5" s="7">
        <f>E5*1.6</f>
        <v>0</v>
      </c>
      <c r="G5" s="7" t="e">
        <f>H5/F5</f>
        <v>#DIV/0!</v>
      </c>
      <c r="H5" s="8"/>
    </row>
    <row r="6" spans="1:9" x14ac:dyDescent="0.25">
      <c r="A6" s="2"/>
      <c r="B6" s="5" t="s">
        <v>111</v>
      </c>
      <c r="C6" s="9"/>
      <c r="D6" s="5"/>
      <c r="E6" s="5"/>
      <c r="F6" s="7">
        <f t="shared" ref="F6:F11" si="0">E6*1.6</f>
        <v>0</v>
      </c>
      <c r="G6" s="7" t="e">
        <f t="shared" ref="G6:G11" si="1">H6/F6</f>
        <v>#DIV/0!</v>
      </c>
      <c r="H6" s="8"/>
    </row>
    <row r="7" spans="1:9" ht="15" customHeight="1" x14ac:dyDescent="0.25">
      <c r="A7" s="2"/>
      <c r="B7" s="5" t="s">
        <v>111</v>
      </c>
      <c r="C7" s="6"/>
      <c r="D7" s="5"/>
      <c r="E7" s="5"/>
      <c r="F7" s="7">
        <f t="shared" si="0"/>
        <v>0</v>
      </c>
      <c r="G7" s="7" t="e">
        <f t="shared" si="1"/>
        <v>#DIV/0!</v>
      </c>
      <c r="H7" s="8"/>
    </row>
    <row r="8" spans="1:9" x14ac:dyDescent="0.25">
      <c r="A8" s="2"/>
      <c r="B8" s="5" t="s">
        <v>111</v>
      </c>
      <c r="C8" s="9"/>
      <c r="D8" s="5"/>
      <c r="E8" s="5"/>
      <c r="F8" s="7">
        <f t="shared" si="0"/>
        <v>0</v>
      </c>
      <c r="G8" s="7" t="e">
        <f t="shared" si="1"/>
        <v>#DIV/0!</v>
      </c>
      <c r="H8" s="8"/>
    </row>
    <row r="9" spans="1:9" ht="15" customHeight="1" x14ac:dyDescent="0.25">
      <c r="A9" s="2"/>
      <c r="B9" s="5" t="s">
        <v>111</v>
      </c>
      <c r="C9" s="9"/>
      <c r="D9" s="5"/>
      <c r="E9" s="5"/>
      <c r="F9" s="7">
        <f t="shared" si="0"/>
        <v>0</v>
      </c>
      <c r="G9" s="7" t="e">
        <f t="shared" si="1"/>
        <v>#DIV/0!</v>
      </c>
      <c r="H9" s="8"/>
    </row>
    <row r="10" spans="1:9" ht="15" customHeight="1" x14ac:dyDescent="0.25">
      <c r="A10" s="2"/>
      <c r="B10" s="5" t="s">
        <v>112</v>
      </c>
      <c r="C10" s="6"/>
      <c r="D10" s="5"/>
      <c r="E10" s="5"/>
      <c r="F10" s="7">
        <f t="shared" si="0"/>
        <v>0</v>
      </c>
      <c r="G10" s="7" t="e">
        <f t="shared" si="1"/>
        <v>#DIV/0!</v>
      </c>
      <c r="H10" s="8"/>
    </row>
    <row r="11" spans="1:9" ht="15" customHeight="1" x14ac:dyDescent="0.25">
      <c r="A11" s="2"/>
      <c r="B11" s="5" t="s">
        <v>112</v>
      </c>
      <c r="C11" s="6"/>
      <c r="D11" s="5"/>
      <c r="E11" s="5"/>
      <c r="F11" s="7">
        <f t="shared" si="0"/>
        <v>0</v>
      </c>
      <c r="G11" s="7" t="e">
        <f t="shared" si="1"/>
        <v>#DIV/0!</v>
      </c>
      <c r="H11" s="8"/>
    </row>
    <row r="12" spans="1:9" ht="15" customHeight="1" x14ac:dyDescent="0.25">
      <c r="A12" s="2"/>
      <c r="B12" s="10" t="s">
        <v>113</v>
      </c>
      <c r="C12" s="5"/>
      <c r="D12" s="5"/>
      <c r="E12" s="5"/>
      <c r="F12" s="5"/>
      <c r="G12" s="11" t="e">
        <f>AVERAGE(G5:G11)</f>
        <v>#DIV/0!</v>
      </c>
      <c r="H12" s="5"/>
    </row>
    <row r="13" spans="1:9" ht="15" customHeight="1" x14ac:dyDescent="0.25">
      <c r="B13" s="10" t="s">
        <v>114</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2025-08-14T12:53:41Z</cp:lastPrinted>
  <dcterms:created xsi:type="dcterms:W3CDTF">2019-07-16T09:29:46Z</dcterms:created>
  <dcterms:modified xsi:type="dcterms:W3CDTF">2025-08-14T12:54:07Z</dcterms:modified>
</cp:coreProperties>
</file>