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Aug 25\Dump\DUMP\New folder\"/>
    </mc:Choice>
  </mc:AlternateContent>
  <bookViews>
    <workbookView xWindow="0" yWindow="0" windowWidth="20490" windowHeight="7755" tabRatio="842"/>
  </bookViews>
  <sheets>
    <sheet name="Report" sheetId="16" r:id="rId1"/>
    <sheet name="2A%" sheetId="15" r:id="rId2"/>
    <sheet name="2B%" sheetId="18" r:id="rId3"/>
    <sheet name="2C%" sheetId="19" r:id="rId4"/>
    <sheet name="4A%" sheetId="20" r:id="rId5"/>
    <sheet name="Note" sheetId="21" r:id="rId6"/>
    <sheet name="Valuation" sheetId="22" r:id="rId7"/>
    <sheet name="Wing A" sheetId="11" r:id="rId8"/>
    <sheet name="Wing B" sheetId="12" r:id="rId9"/>
    <sheet name="Wing C" sheetId="13" r:id="rId10"/>
    <sheet name="Sheet3" sheetId="17" r:id="rId11"/>
  </sheets>
  <definedNames>
    <definedName name="_xlnm.Print_Area" localSheetId="0">Report!$A$1:$J$316</definedName>
  </definedNames>
  <calcPr calcId="152511"/>
</workbook>
</file>

<file path=xl/calcChain.xml><?xml version="1.0" encoding="utf-8"?>
<calcChain xmlns="http://schemas.openxmlformats.org/spreadsheetml/2006/main">
  <c r="L95" i="16" l="1"/>
  <c r="L94" i="16"/>
  <c r="L93" i="16"/>
  <c r="L92" i="16"/>
  <c r="I85" i="16"/>
  <c r="L89" i="16" l="1"/>
  <c r="C88" i="16" s="1"/>
  <c r="D88" i="16" s="1"/>
  <c r="L87" i="16"/>
  <c r="D95" i="16"/>
  <c r="D93" i="16"/>
  <c r="D91" i="16"/>
  <c r="L90" i="16"/>
  <c r="L91" i="16" s="1"/>
  <c r="L96" i="16" s="1"/>
  <c r="L97" i="16" s="1"/>
  <c r="C89" i="16" s="1"/>
  <c r="D96" i="16"/>
  <c r="D94" i="16"/>
  <c r="D92" i="16"/>
  <c r="D90" i="16"/>
  <c r="L88" i="16"/>
  <c r="D97" i="16"/>
  <c r="H129" i="16"/>
  <c r="M178" i="16"/>
  <c r="D206" i="16"/>
  <c r="M206" i="16" s="1"/>
  <c r="D205" i="16"/>
  <c r="M205" i="16" s="1"/>
  <c r="D204" i="16"/>
  <c r="M204" i="16" s="1"/>
  <c r="I203" i="16"/>
  <c r="D203" i="16"/>
  <c r="M203" i="16" s="1"/>
  <c r="D201" i="16"/>
  <c r="M201" i="16" s="1"/>
  <c r="D200" i="16"/>
  <c r="M200" i="16" s="1"/>
  <c r="D199" i="16"/>
  <c r="M199" i="16" s="1"/>
  <c r="D198" i="16"/>
  <c r="M198" i="16" s="1"/>
  <c r="D172" i="16"/>
  <c r="M172" i="16" s="1"/>
  <c r="D170" i="16"/>
  <c r="G170" i="16" s="1"/>
  <c r="H130" i="16" s="1"/>
  <c r="D184" i="16"/>
  <c r="M184" i="16" s="1"/>
  <c r="L183" i="16"/>
  <c r="D183" i="16"/>
  <c r="M183" i="16" s="1"/>
  <c r="D182" i="16"/>
  <c r="M182" i="16" s="1"/>
  <c r="D181" i="16"/>
  <c r="M181" i="16" s="1"/>
  <c r="D180" i="16"/>
  <c r="M180" i="16" s="1"/>
  <c r="I179" i="16"/>
  <c r="D179" i="16"/>
  <c r="M179" i="16" s="1"/>
  <c r="L176" i="16"/>
  <c r="D177" i="16"/>
  <c r="M177" i="16" s="1"/>
  <c r="D175" i="16"/>
  <c r="M175" i="16" s="1"/>
  <c r="D176" i="16"/>
  <c r="M176" i="16" s="1"/>
  <c r="D174" i="16"/>
  <c r="M174" i="16" s="1"/>
  <c r="D173" i="16"/>
  <c r="M173" i="16" s="1"/>
  <c r="D169" i="16"/>
  <c r="I44" i="16"/>
  <c r="F3" i="16"/>
  <c r="F88" i="16" l="1"/>
  <c r="K84" i="16" s="1"/>
  <c r="C86" i="16" s="1"/>
  <c r="D89" i="16"/>
  <c r="H88" i="16"/>
  <c r="E130" i="16"/>
  <c r="C130" i="16"/>
  <c r="L109" i="16"/>
  <c r="L108" i="16"/>
  <c r="L107" i="16"/>
  <c r="L106" i="16"/>
  <c r="L67" i="16"/>
  <c r="L66" i="16"/>
  <c r="L65" i="16"/>
  <c r="L64" i="16"/>
  <c r="L81" i="16"/>
  <c r="L80" i="16"/>
  <c r="L79" i="16"/>
  <c r="L78" i="16"/>
  <c r="I71" i="16"/>
  <c r="I99" i="16"/>
  <c r="I57" i="16"/>
  <c r="L102" i="16" l="1"/>
  <c r="D111" i="16"/>
  <c r="D109" i="16"/>
  <c r="D107" i="16"/>
  <c r="D105" i="16"/>
  <c r="L103" i="16"/>
  <c r="L101" i="16"/>
  <c r="D110" i="16"/>
  <c r="D106" i="16"/>
  <c r="L104" i="16"/>
  <c r="L105" i="16" s="1"/>
  <c r="L110" i="16" s="1"/>
  <c r="L111" i="16" s="1"/>
  <c r="D108" i="16"/>
  <c r="D104" i="16"/>
  <c r="D102" i="16"/>
  <c r="D69" i="16"/>
  <c r="D67" i="16"/>
  <c r="D65" i="16"/>
  <c r="D63" i="16"/>
  <c r="L61" i="16"/>
  <c r="C60" i="16" s="1"/>
  <c r="D60" i="16" s="1"/>
  <c r="L59" i="16"/>
  <c r="D68" i="16"/>
  <c r="L62" i="16"/>
  <c r="L63" i="16" s="1"/>
  <c r="L68" i="16" s="1"/>
  <c r="L69" i="16" s="1"/>
  <c r="C61" i="16" s="1"/>
  <c r="D66" i="16"/>
  <c r="D64" i="16"/>
  <c r="D62" i="16"/>
  <c r="L60" i="16"/>
  <c r="D76" i="16"/>
  <c r="L74" i="16"/>
  <c r="D83" i="16"/>
  <c r="D81" i="16"/>
  <c r="D79" i="16"/>
  <c r="D77" i="16"/>
  <c r="L75" i="16"/>
  <c r="C74" i="16" s="1"/>
  <c r="D74" i="16" s="1"/>
  <c r="L73" i="16"/>
  <c r="D82" i="16"/>
  <c r="D80" i="16"/>
  <c r="L76" i="16"/>
  <c r="L77" i="16" s="1"/>
  <c r="L82" i="16" s="1"/>
  <c r="L83" i="16" s="1"/>
  <c r="C75" i="16" s="1"/>
  <c r="D78" i="16"/>
  <c r="F102" i="16" l="1"/>
  <c r="K98" i="16" s="1"/>
  <c r="C100" i="16" s="1"/>
  <c r="D103" i="16"/>
  <c r="H102" i="16"/>
  <c r="F60" i="16"/>
  <c r="K56" i="16" s="1"/>
  <c r="C58" i="16" s="1"/>
  <c r="D61" i="16"/>
  <c r="H60" i="16"/>
  <c r="F74" i="16"/>
  <c r="K70" i="16" s="1"/>
  <c r="C72" i="16" s="1"/>
  <c r="D75" i="16"/>
  <c r="H74" i="16"/>
  <c r="G11" i="22" l="1"/>
  <c r="G10" i="22"/>
  <c r="G9" i="22"/>
  <c r="G8" i="22"/>
  <c r="G7" i="22"/>
  <c r="G6" i="22"/>
  <c r="G5" i="22"/>
  <c r="G12" i="22" s="1"/>
  <c r="B6" i="19"/>
  <c r="E5" i="19" s="1"/>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E4" i="11"/>
  <c r="B6" i="11"/>
  <c r="E5" i="11" s="1"/>
  <c r="I6" i="11"/>
  <c r="G13" i="11" s="1"/>
  <c r="J7" i="11"/>
  <c r="H14" i="11" s="1"/>
  <c r="B8" i="11"/>
  <c r="K6" i="11" s="1"/>
  <c r="G15" i="11" s="1"/>
  <c r="B10" i="11"/>
  <c r="E7" i="11" s="1"/>
  <c r="B12" i="11"/>
  <c r="E8" i="11" s="1"/>
  <c r="B14" i="11"/>
  <c r="N6" i="11" s="1"/>
  <c r="G18" i="11" s="1"/>
  <c r="B16" i="11"/>
  <c r="O6" i="11" s="1"/>
  <c r="G19" i="11" s="1"/>
  <c r="E4" i="20"/>
  <c r="B6" i="20"/>
  <c r="J7" i="20" s="1"/>
  <c r="H14" i="20" s="1"/>
  <c r="I6" i="20"/>
  <c r="G13" i="20" s="1"/>
  <c r="J6" i="20"/>
  <c r="G14" i="20" s="1"/>
  <c r="I7" i="20"/>
  <c r="H13" i="20" s="1"/>
  <c r="B8" i="20"/>
  <c r="K6" i="20" s="1"/>
  <c r="G15" i="20" s="1"/>
  <c r="B10" i="20"/>
  <c r="L6" i="20" s="1"/>
  <c r="G16" i="20" s="1"/>
  <c r="B12" i="20"/>
  <c r="E8" i="20" s="1"/>
  <c r="M6" i="20"/>
  <c r="G17" i="20" s="1"/>
  <c r="B14" i="20"/>
  <c r="N6" i="20" s="1"/>
  <c r="G18" i="20" s="1"/>
  <c r="B16" i="20"/>
  <c r="E10" i="20" s="1"/>
  <c r="E4" i="19"/>
  <c r="I6" i="19"/>
  <c r="I7" i="19" s="1"/>
  <c r="H13" i="19" s="1"/>
  <c r="B8" i="19"/>
  <c r="K6" i="19" s="1"/>
  <c r="G15" i="19" s="1"/>
  <c r="B10" i="19"/>
  <c r="L6" i="19" s="1"/>
  <c r="G16" i="19" s="1"/>
  <c r="B12" i="19"/>
  <c r="M7" i="19" s="1"/>
  <c r="H17" i="19" s="1"/>
  <c r="B14" i="19"/>
  <c r="N6" i="19" s="1"/>
  <c r="G18" i="19" s="1"/>
  <c r="B16" i="19"/>
  <c r="O6" i="19" s="1"/>
  <c r="G19" i="19" s="1"/>
  <c r="E4" i="18"/>
  <c r="B6" i="18"/>
  <c r="E5" i="18" s="1"/>
  <c r="I6" i="18"/>
  <c r="I7" i="18"/>
  <c r="H13" i="18" s="1"/>
  <c r="L7" i="18"/>
  <c r="H16" i="18" s="1"/>
  <c r="B8" i="18"/>
  <c r="K6" i="18" s="1"/>
  <c r="G15" i="18" s="1"/>
  <c r="B10" i="18"/>
  <c r="E7" i="18" s="1"/>
  <c r="L6" i="18"/>
  <c r="G16" i="18" s="1"/>
  <c r="B12" i="18"/>
  <c r="M6" i="18" s="1"/>
  <c r="G17" i="18" s="1"/>
  <c r="E8" i="18"/>
  <c r="G13" i="18"/>
  <c r="B14" i="18"/>
  <c r="N7" i="18" s="1"/>
  <c r="H18" i="18" s="1"/>
  <c r="B16" i="18"/>
  <c r="O6" i="18" s="1"/>
  <c r="G19" i="18" s="1"/>
  <c r="E4" i="15"/>
  <c r="B6" i="15"/>
  <c r="E5" i="15" s="1"/>
  <c r="J6" i="15"/>
  <c r="G14" i="15"/>
  <c r="I6" i="15"/>
  <c r="I7" i="15" s="1"/>
  <c r="H13" i="15" s="1"/>
  <c r="J7" i="15"/>
  <c r="H14" i="15" s="1"/>
  <c r="B8" i="15"/>
  <c r="E6" i="15" s="1"/>
  <c r="B10" i="15"/>
  <c r="E7" i="15" s="1"/>
  <c r="L6" i="15"/>
  <c r="G16" i="15"/>
  <c r="B12" i="15"/>
  <c r="M6" i="15" s="1"/>
  <c r="G17" i="15" s="1"/>
  <c r="B14" i="15"/>
  <c r="E9" i="15" s="1"/>
  <c r="B16" i="15"/>
  <c r="E10" i="15" s="1"/>
  <c r="F7" i="16"/>
  <c r="C13" i="16"/>
  <c r="F39" i="16"/>
  <c r="F40" i="16" s="1"/>
  <c r="D51" i="16"/>
  <c r="G120" i="16"/>
  <c r="D141" i="16"/>
  <c r="D142" i="16"/>
  <c r="G142" i="16" s="1"/>
  <c r="D143" i="16"/>
  <c r="G143" i="16" s="1"/>
  <c r="D144" i="16"/>
  <c r="G144" i="16" s="1"/>
  <c r="D145" i="16"/>
  <c r="G145" i="16" s="1"/>
  <c r="D146" i="16"/>
  <c r="G146" i="16" s="1"/>
  <c r="D147" i="16"/>
  <c r="G147" i="16" s="1"/>
  <c r="D149" i="16"/>
  <c r="L149" i="16" s="1"/>
  <c r="I149" i="16"/>
  <c r="D150" i="16"/>
  <c r="D151" i="16"/>
  <c r="D152" i="16"/>
  <c r="D157" i="16"/>
  <c r="D158" i="16"/>
  <c r="G158" i="16" s="1"/>
  <c r="D159" i="16"/>
  <c r="G159" i="16" s="1"/>
  <c r="D160" i="16"/>
  <c r="G160" i="16" s="1"/>
  <c r="D161" i="16"/>
  <c r="G161" i="16" s="1"/>
  <c r="D162" i="16"/>
  <c r="G162" i="16" s="1"/>
  <c r="D163" i="16"/>
  <c r="G163" i="16" s="1"/>
  <c r="D164" i="16"/>
  <c r="G164" i="16" s="1"/>
  <c r="D165" i="16"/>
  <c r="G165" i="16" s="1"/>
  <c r="D166" i="16"/>
  <c r="G166" i="16" s="1"/>
  <c r="D167" i="16"/>
  <c r="G167" i="16" s="1"/>
  <c r="D168" i="16"/>
  <c r="G168" i="16" s="1"/>
  <c r="G169" i="16"/>
  <c r="I172" i="16"/>
  <c r="D189" i="16"/>
  <c r="D190" i="16"/>
  <c r="G190" i="16" s="1"/>
  <c r="D191" i="16"/>
  <c r="G191" i="16" s="1"/>
  <c r="D192" i="16"/>
  <c r="G192" i="16" s="1"/>
  <c r="D193" i="16"/>
  <c r="G193" i="16" s="1"/>
  <c r="D194" i="16"/>
  <c r="G194" i="16" s="1"/>
  <c r="D195" i="16"/>
  <c r="G195" i="16" s="1"/>
  <c r="D196" i="16"/>
  <c r="I198" i="16"/>
  <c r="D211" i="16"/>
  <c r="D212" i="16"/>
  <c r="G212" i="16" s="1"/>
  <c r="D214" i="16"/>
  <c r="G214" i="16" s="1"/>
  <c r="I214" i="16"/>
  <c r="D215" i="16"/>
  <c r="G215" i="16" s="1"/>
  <c r="D216" i="16"/>
  <c r="G216" i="16" s="1"/>
  <c r="D217" i="16"/>
  <c r="G217" i="16" s="1"/>
  <c r="D230" i="16"/>
  <c r="J6" i="18"/>
  <c r="G14" i="18" s="1"/>
  <c r="E6" i="18"/>
  <c r="O7" i="20"/>
  <c r="H19" i="20" s="1"/>
  <c r="E9" i="11"/>
  <c r="M7" i="15"/>
  <c r="H17" i="15" s="1"/>
  <c r="M7" i="20"/>
  <c r="H17" i="20" s="1"/>
  <c r="K7" i="15"/>
  <c r="H15" i="15" s="1"/>
  <c r="K7" i="20"/>
  <c r="H15" i="20" s="1"/>
  <c r="M7" i="18" l="1"/>
  <c r="H17" i="18" s="1"/>
  <c r="L7" i="15"/>
  <c r="H16" i="15" s="1"/>
  <c r="L7" i="19"/>
  <c r="H16" i="19" s="1"/>
  <c r="G13" i="15"/>
  <c r="L7" i="20"/>
  <c r="H16" i="20" s="1"/>
  <c r="N6" i="18"/>
  <c r="G18" i="18" s="1"/>
  <c r="E6" i="20"/>
  <c r="E9" i="19"/>
  <c r="N7" i="19"/>
  <c r="H18" i="19" s="1"/>
  <c r="J6" i="11"/>
  <c r="G14" i="11" s="1"/>
  <c r="F35" i="12"/>
  <c r="E35" i="12" s="1"/>
  <c r="E5" i="20"/>
  <c r="M35" i="12"/>
  <c r="L35" i="12" s="1"/>
  <c r="M7" i="11"/>
  <c r="H17" i="11" s="1"/>
  <c r="K7" i="19"/>
  <c r="H15" i="19" s="1"/>
  <c r="N7" i="15"/>
  <c r="H18" i="15" s="1"/>
  <c r="L7" i="11"/>
  <c r="H16" i="11" s="1"/>
  <c r="E8" i="15"/>
  <c r="J35" i="12"/>
  <c r="I35" i="12" s="1"/>
  <c r="M6" i="11"/>
  <c r="G17" i="11" s="1"/>
  <c r="J7" i="19"/>
  <c r="H14" i="19" s="1"/>
  <c r="H20" i="19" s="1"/>
  <c r="G35" i="13"/>
  <c r="F35" i="13" s="1"/>
  <c r="J6" i="19"/>
  <c r="G14" i="19" s="1"/>
  <c r="K35" i="13"/>
  <c r="J35" i="13" s="1"/>
  <c r="N35" i="13"/>
  <c r="M35" i="13" s="1"/>
  <c r="G157" i="16"/>
  <c r="H124" i="16" s="1"/>
  <c r="C124" i="16"/>
  <c r="E124" i="16"/>
  <c r="G141" i="16"/>
  <c r="H123" i="16" s="1"/>
  <c r="C123" i="16"/>
  <c r="E123" i="16"/>
  <c r="G189" i="16"/>
  <c r="H125" i="16" s="1"/>
  <c r="C125" i="16"/>
  <c r="E125" i="16"/>
  <c r="G211" i="16"/>
  <c r="H132" i="16" s="1"/>
  <c r="C132" i="16"/>
  <c r="E132" i="16"/>
  <c r="G196" i="16"/>
  <c r="H131" i="16" s="1"/>
  <c r="C131" i="16"/>
  <c r="E131" i="16"/>
  <c r="C129" i="16"/>
  <c r="E129" i="16"/>
  <c r="G20" i="18"/>
  <c r="M6" i="19"/>
  <c r="G17" i="19" s="1"/>
  <c r="O7" i="11"/>
  <c r="H19" i="11" s="1"/>
  <c r="E10" i="11"/>
  <c r="O7" i="18"/>
  <c r="H19" i="18" s="1"/>
  <c r="O7" i="15"/>
  <c r="H19" i="15" s="1"/>
  <c r="E9" i="18"/>
  <c r="J7" i="18"/>
  <c r="H14" i="18" s="1"/>
  <c r="G13" i="19"/>
  <c r="E10" i="19"/>
  <c r="E6" i="11"/>
  <c r="I7" i="11"/>
  <c r="H13" i="11" s="1"/>
  <c r="O6" i="15"/>
  <c r="G19" i="15" s="1"/>
  <c r="E8" i="19"/>
  <c r="N7" i="11"/>
  <c r="H18" i="11" s="1"/>
  <c r="N7" i="20"/>
  <c r="H18" i="20" s="1"/>
  <c r="H20" i="20" s="1"/>
  <c r="L6" i="11"/>
  <c r="G16" i="11" s="1"/>
  <c r="E9" i="20"/>
  <c r="K7" i="18"/>
  <c r="H15" i="18" s="1"/>
  <c r="O6" i="20"/>
  <c r="G19" i="20" s="1"/>
  <c r="G20" i="20" s="1"/>
  <c r="O7" i="19"/>
  <c r="H19" i="19" s="1"/>
  <c r="E6" i="19"/>
  <c r="K6" i="15"/>
  <c r="G15" i="15" s="1"/>
  <c r="E10" i="18"/>
  <c r="E7" i="19"/>
  <c r="E7" i="20"/>
  <c r="K7" i="11"/>
  <c r="H15" i="11" s="1"/>
  <c r="N6" i="15"/>
  <c r="G18" i="15" s="1"/>
  <c r="G37" i="12" l="1"/>
  <c r="G20" i="11"/>
  <c r="H20" i="18"/>
  <c r="G20" i="15"/>
  <c r="H20" i="15"/>
  <c r="C126" i="16"/>
  <c r="H126" i="16"/>
  <c r="E133" i="16"/>
  <c r="C133" i="16"/>
  <c r="E126" i="16"/>
  <c r="L133" i="16" s="1"/>
  <c r="H133" i="16"/>
  <c r="G20" i="19"/>
  <c r="H20" i="11"/>
</calcChain>
</file>

<file path=xl/sharedStrings.xml><?xml version="1.0" encoding="utf-8"?>
<sst xmlns="http://schemas.openxmlformats.org/spreadsheetml/2006/main" count="801" uniqueCount="273">
  <si>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</si>
  <si>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</si>
  <si>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</si>
  <si>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</si>
  <si>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</si>
  <si>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</si>
  <si>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</si>
  <si>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</si>
  <si>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</si>
  <si>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</si>
  <si>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</si>
  <si>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</si>
  <si>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</si>
  <si>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</si>
  <si>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</si>
  <si>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</si>
  <si>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</si>
  <si>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</si>
  <si>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</si>
  <si>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</si>
  <si>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</si>
  <si>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</si>
  <si>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</si>
  <si>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</si>
  <si>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</si>
  <si>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</si>
  <si>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</si>
  <si>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</si>
  <si>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</si>
  <si>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</si>
  <si>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</si>
  <si>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</si>
  <si>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</si>
  <si>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</si>
  <si>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</si>
  <si>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</si>
  <si>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</si>
  <si>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</si>
  <si>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</si>
  <si>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Latitude</t>
  </si>
  <si>
    <t>Longitude</t>
  </si>
  <si>
    <t>Flooring</t>
  </si>
  <si>
    <t>Finishing</t>
  </si>
  <si>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</si>
  <si>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</si>
  <si>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</si>
  <si>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</si>
  <si>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</si>
  <si>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</si>
  <si>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</si>
  <si>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</si>
  <si>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</si>
  <si>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Projected life of the structure: 60 Years After Completion</t>
  </si>
  <si>
    <t>Material laying at Site: :Bricks, Cement &amp; Steel etc.</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</si>
  <si>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</si>
  <si>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</si>
  <si>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</si>
  <si>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</si>
  <si>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</si>
  <si>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</si>
  <si>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</si>
  <si>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</si>
  <si>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</si>
  <si>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</si>
  <si>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</si>
  <si>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</si>
  <si>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</si>
  <si>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</si>
  <si>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</si>
  <si>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Floors</t>
  </si>
  <si>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</si>
  <si>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</si>
  <si>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</si>
  <si>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</si>
  <si>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</si>
  <si>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</si>
  <si>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</si>
  <si>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</si>
  <si>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</si>
  <si>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</si>
  <si>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</si>
  <si>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</si>
  <si>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</si>
  <si>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</si>
  <si>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</si>
  <si>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</si>
  <si>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</si>
  <si>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</si>
  <si>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</si>
  <si>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</si>
  <si>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</si>
  <si>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</si>
  <si>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</si>
  <si>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</si>
  <si>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</si>
  <si>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</si>
  <si>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</si>
  <si>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O. Certificate No.: </t>
  </si>
  <si>
    <t xml:space="preserve">Date of approval: </t>
  </si>
  <si>
    <t>Contect Details ( Name &amp; Contect No.)</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</si>
  <si>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</si>
  <si>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</si>
  <si>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</si>
  <si>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</si>
  <si>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</si>
  <si>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</si>
  <si>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</si>
  <si>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</si>
  <si>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</si>
  <si>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</si>
  <si>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</si>
  <si>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</si>
  <si>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</si>
  <si>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</si>
  <si>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</si>
  <si>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</si>
  <si>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</si>
  <si>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</si>
  <si>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</si>
  <si>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</si>
  <si>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</si>
  <si>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</si>
  <si>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</si>
  <si>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</si>
  <si>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</si>
  <si>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</si>
  <si>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</si>
  <si>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</si>
  <si>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Middle Class</t>
  </si>
  <si>
    <t>Developing</t>
  </si>
  <si>
    <t>RERA No.</t>
  </si>
  <si>
    <t>Recommended rate of the flat Per Sq. Ft. ( on Saleable area)</t>
  </si>
  <si>
    <t>Gross Carpet area</t>
  </si>
  <si>
    <t>Accessibility to the Project from the City:
(Proximity to civic amenities like school, hospital, market)</t>
  </si>
  <si>
    <t>Name / No of the Building</t>
  </si>
  <si>
    <t xml:space="preserve">PHOTOGRAPHS OF PROPERTY : 
</t>
  </si>
  <si>
    <r>
      <t xml:space="preserve">Proposed Amenities :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</si>
  <si>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Saleable area</t>
  </si>
  <si>
    <t>Axis Sanpada</t>
  </si>
  <si>
    <t>Axis Goregaon</t>
  </si>
  <si>
    <t>Axis Kalina</t>
  </si>
  <si>
    <t>Upper Class</t>
  </si>
  <si>
    <t>Developed</t>
  </si>
  <si>
    <t xml:space="preserve">(Restrictive Covenants in regard to Land Use, if any)    </t>
  </si>
  <si>
    <t>Residential</t>
  </si>
  <si>
    <t>Commercial</t>
  </si>
  <si>
    <t>Residential &amp; Commercial</t>
  </si>
  <si>
    <t>No</t>
  </si>
  <si>
    <t>Area Statement Details :</t>
  </si>
  <si>
    <t>4) Legal title of the property is not verified by us.</t>
  </si>
  <si>
    <t>5) Gross carpet area =  Net Carpet area + Fungible area.</t>
  </si>
  <si>
    <t>6) Fungible Area= Enclosed Balcony + Flower Bed + Covered Balcony + Service Slab + Duct + Chajja + Wheather Shed area.</t>
  </si>
  <si>
    <t>M/s. Savera Builders &amp; Developers</t>
  </si>
  <si>
    <t>Savera Complex</t>
  </si>
  <si>
    <t>Approved Plans &amp; CC.</t>
  </si>
  <si>
    <t>P99000016226</t>
  </si>
  <si>
    <t>Gut No</t>
  </si>
  <si>
    <t>Zanzroli</t>
  </si>
  <si>
    <t>Residential &amp; Commercial.</t>
  </si>
  <si>
    <t>16/02/2018.</t>
  </si>
  <si>
    <t>Building No. 2</t>
  </si>
  <si>
    <t>Wing A</t>
  </si>
  <si>
    <t>Ground floor</t>
  </si>
  <si>
    <t>Ground floor is for Parking &amp; Commercial</t>
  </si>
  <si>
    <t>Shop</t>
  </si>
  <si>
    <t>N</t>
  </si>
  <si>
    <t xml:space="preserve">1st to 4th floor </t>
  </si>
  <si>
    <t>1BHK</t>
  </si>
  <si>
    <t>Type A5</t>
  </si>
  <si>
    <t>Wing B</t>
  </si>
  <si>
    <t>Type A4</t>
  </si>
  <si>
    <t>Type A6</t>
  </si>
  <si>
    <t>Wing C</t>
  </si>
  <si>
    <t>Ground floor is for Parking, Commercial, &amp; Residential</t>
  </si>
  <si>
    <t>1RK</t>
  </si>
  <si>
    <t>Recommended rate of the Shop Per Sq. Ft. ( on Saleable area)</t>
  </si>
  <si>
    <t>5000/-</t>
  </si>
  <si>
    <t>S. S Park</t>
  </si>
  <si>
    <t>Kelve road</t>
  </si>
  <si>
    <t>Building</t>
  </si>
  <si>
    <t>Internal Road</t>
  </si>
  <si>
    <t xml:space="preserve">Open </t>
  </si>
  <si>
    <t>Sambhav Apartment</t>
  </si>
  <si>
    <t>Building No. 4</t>
  </si>
  <si>
    <t>Type A10</t>
  </si>
  <si>
    <t>Ground floor is for Parking &amp;Residential</t>
  </si>
  <si>
    <t>890546090/8600247466</t>
  </si>
  <si>
    <t>Building No.2 = Type A4 (Wing A)
Building No.2 = Type A5 (Wing B)
Building No.2 = Type A6 (Wing C)
Building No.4 = Type A10 (Wing A)</t>
  </si>
  <si>
    <t>Palghar</t>
  </si>
  <si>
    <t>Society formation &amp; Development charges</t>
  </si>
  <si>
    <t>120000/-</t>
  </si>
  <si>
    <t>1,00,000/-</t>
  </si>
  <si>
    <t>Pratiksha</t>
  </si>
  <si>
    <t>Market Research Data</t>
  </si>
  <si>
    <t>Source</t>
  </si>
  <si>
    <t>Distance from proposed property</t>
  </si>
  <si>
    <t>Net Carpet</t>
  </si>
  <si>
    <t>Saleable Area</t>
  </si>
  <si>
    <t>Rate on Saleable</t>
  </si>
  <si>
    <t>Market Value</t>
  </si>
  <si>
    <t>Housing</t>
  </si>
  <si>
    <t>Proptiger</t>
  </si>
  <si>
    <t>Magic Brick</t>
  </si>
  <si>
    <t>99 Acres</t>
  </si>
  <si>
    <t>Average</t>
  </si>
  <si>
    <t xml:space="preserve">Valuation Adopted </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</si>
  <si>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</si>
  <si>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</si>
  <si>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</si>
  <si>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</si>
  <si>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</si>
  <si>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</si>
  <si>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</si>
  <si>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</si>
  <si>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</si>
  <si>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</si>
  <si>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</si>
  <si>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</si>
  <si>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</si>
  <si>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</si>
  <si>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</si>
  <si>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</si>
  <si>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</si>
  <si>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</si>
  <si>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</si>
  <si>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</si>
  <si>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</si>
  <si>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</si>
  <si>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</si>
  <si>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</si>
  <si>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</si>
  <si>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</si>
  <si>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</si>
  <si>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</si>
  <si>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</si>
  <si>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</si>
  <si>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</si>
  <si>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</si>
  <si>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</si>
  <si>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1.2 Km from Kelve Railway Station</t>
  </si>
  <si>
    <t>4 Wings</t>
  </si>
  <si>
    <t xml:space="preserve">Approved usage of the Property:                                                                                                                                             </t>
  </si>
  <si>
    <r>
      <rPr>
        <b/>
        <sz val="11"/>
        <rFont val="Times New Roman"/>
        <family val="1"/>
      </rPr>
      <t>Flat No</t>
    </r>
    <r>
      <rPr>
        <b/>
        <sz val="12"/>
        <rFont val="Times New Roman"/>
        <family val="1"/>
      </rPr>
      <t xml:space="preserve">.  </t>
    </r>
    <r>
      <rPr>
        <b/>
        <sz val="9"/>
        <rFont val="Times New Roman"/>
        <family val="1"/>
      </rPr>
      <t>(As per sales plan)</t>
    </r>
  </si>
  <si>
    <r>
      <t xml:space="preserve">Flat No.    </t>
    </r>
    <r>
      <rPr>
        <b/>
        <sz val="9"/>
        <rFont val="Times New Roman"/>
        <family val="1"/>
      </rPr>
      <t>(As per approved plan)</t>
    </r>
  </si>
  <si>
    <t>Building No.2 - Type A4 (Wing A)= G + 1st to 5th Floor</t>
  </si>
  <si>
    <t>Proposed no of Floors</t>
  </si>
  <si>
    <t>Building No.2 - Type A4 (Wing A) =  G + 1st to 5th Floor
Building No.2 - Type A5 (Wing B) =  G + 1st to 5th Floor
Building No.2 - Type A6 (Wing C) =  G + 1st to 5th Floor
Building No.4 - Type A10 (Wing A) =  G + 1st to 5th Floor</t>
  </si>
  <si>
    <t>Building No.4 = G + 1st to 5th Floor</t>
  </si>
  <si>
    <t>MHSL/K-1/B.S.P./S.R./C.R./241/18</t>
  </si>
  <si>
    <t>Approved Floor plan No.  
Building No.2 Type A4 (Wing A)
Building No.4 Type A10 (Wing A)</t>
  </si>
  <si>
    <t>Approved Floor plan No.  
Building No.2 Type A5 (Wing B)
Building No.2 Type A6 (Wing C)</t>
  </si>
  <si>
    <t>Commencement Certificate No.
Building No.2 Type A4 (Wing A)
Building No.2 Type A5 (Wing B)
Building No.2 Type A6 (Wing C)
Building No.4 Type A10 (Wing A)</t>
  </si>
  <si>
    <t xml:space="preserve">MHSL/KS.1/T.1/NAP/SR.201/2019
Valid Up to: Gr. + 1st to 5th Floor
</t>
  </si>
  <si>
    <t xml:space="preserve">5th floor </t>
  </si>
  <si>
    <t xml:space="preserve">Ground floor is for Parking, Commercial &amp; Residential </t>
  </si>
  <si>
    <t>Commercial Area Details :</t>
  </si>
  <si>
    <t>Residential Area Details :</t>
  </si>
  <si>
    <t>Building &amp; Wing</t>
  </si>
  <si>
    <t>No. of Units</t>
  </si>
  <si>
    <t>Total Carpet Area</t>
  </si>
  <si>
    <t>Total Saleable Area</t>
  </si>
  <si>
    <t>Building No. 4 Wing A</t>
  </si>
  <si>
    <t>Shop = 27
Flat = 86</t>
  </si>
  <si>
    <t>Building No.2 - Type A4 (Wing A) =  G + 1st to 4th Floor
Building No.2 - Type A5 (Wing B) =  G + 1st to 5th Floor
Building No.2 - Type A6 (Wing C) =  G + 1st to 5th Floor
Building No.4 - Type A10 (Wing A) =  G + 1st to 4th Floor</t>
  </si>
  <si>
    <t>MHSL/K-1/MJ1/B.S.P/S.R/C.R/ 201/2019</t>
  </si>
  <si>
    <t>Location Link</t>
  </si>
  <si>
    <t>https://goo.gl/maps/H2y56PwCVer8VWoAA?coh=178572&amp;entry=tt</t>
  </si>
  <si>
    <t>Building No.2 - Type A6 (Wing C)= G + 1st to 5th Floor</t>
  </si>
  <si>
    <t>s</t>
  </si>
  <si>
    <t>Office No. 1031, Wing J, Akshar Business Park, Plot No. 03 Sector 25, Near APMC Market, Vashi, Navi Mumbai, Maharashtra 400703 TEL: 022-46090378/79/80
 E mail : vsjcapf@gmail.com. Web site : www.vsjadon.com</t>
  </si>
  <si>
    <t>Building No.2 - Type A5 (Wing B)= G + 1st to 5th Floor
Building No.2 - Type A6 (Wing C)= G + 1st to 5th Floor</t>
  </si>
  <si>
    <t>Construction work is in process at the time of Visit. (Slow Speed)</t>
  </si>
  <si>
    <t>Remarks:  
1. Building No.2 (A Wing) - Construction work is same as last visit dtd. 14/05/2025.
    Building No. 2 (B &amp; C Wing) - Lift, Meter &amp; Finishing work is pending. (Very Slow Speed)
    Building No. 4 - Work not yet started.
2. We considered building No.2 flat Saleable area as per builder area sheet.
    Shop &amp; building no.4 saleable as per our calculation.
3. We considered Carpet area as per Approved Plan.
4. We considered rate as per Market Inquiry.
5. Car parking is subjected to authentic documentation.
6. Recommended rate should be considered as all inclusive rate if other charges are not mentioned. (Excluding GST &amp; other government Taxes).
7. The Building No 2 consist of Type A4 (Wing A), Type A5 (Wing B), Type A6 (Wing C), Type A7  (Wing D) &amp; Type A8 (Wing E) out of which we received approved plan of  Type A4 (Wing A), Type A5 (Wing B) &amp; Type A6 (Wing C).
8. The Building No 4 consist of Type A10 (Wing A), Type A10a (Wing B) &amp; Type A10 (Wing C) out of which we received the approved plan of Type A10 (Wing A).
9. The Building No 4 is not registered on RERA &amp; the builder's profile is not provided. 
10. Please provide revised approved floor plan of Building No. 2 (Wing A)  &amp; Building No.4 (Wing A).
11. The construction stage is given as per the proposed structure of floor.
12. We have updated revised C.C &amp; approved floor plan of Building No. 2 (Wing B &amp; C).
13. The project has received first CC on 16/02/2018, But construction work is not yet completed.
14. On site we met Mr. Arvind Yadav 9890546090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</si>
</sst>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19" x14ac:knownFonts="1">
    <font>
      <sz val="11"/>
      <color theme="1"/>
      <name val="Calibri"/>
      <family val="2"/>
      <scheme val="minor"/>
    </font>
    <font>
      <sz val="11"/>
      <color indexed="8"/>
      <name val="Calibri"/>
      <family val="2"/>
    </font>
    <font>
      <sz val="11"/>
      <color indexed="8"/>
      <name val="Calibri"/>
      <family val="2"/>
    </font>
    <font>
      <b/>
      <sz val="11"/>
      <name val="Times New Roman"/>
      <family val="1"/>
    </font>
    <font>
      <sz val="11"/>
      <name val="Times New Roman"/>
      <family val="1"/>
    </font>
    <font>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1"/>
      <color theme="1"/>
      <name val="Times New Roman"/>
      <family val="1"/>
    </font>
    <font>
      <sz val="11"/>
      <color rgb="FFFF0000"/>
      <name val="Calibri"/>
      <family val="2"/>
    </font>
    <font>
      <b/>
      <sz val="12"/>
      <name val="Times New Roman"/>
      <family val="1"/>
    </font>
    <font>
      <sz val="11"/>
      <name val="Calibri"/>
      <family val="2"/>
      <scheme val="minor"/>
    </font>
    <font>
      <sz val="11"/>
      <name val="Calibri"/>
      <family val="2"/>
    </font>
    <font>
      <b/>
      <sz val="14"/>
      <name val="Times New Roman"/>
      <family val="1"/>
    </font>
    <font>
      <b/>
      <sz val="9"/>
      <name val="Times New Roman"/>
      <family val="1"/>
    </font>
    <font>
      <b/>
      <sz val="10"/>
      <name val="Times New Roman"/>
      <family val="1"/>
    </font>
    <font>
      <b/>
      <sz val="11"/>
      <name val="Calibri"/>
      <family val="2"/>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6" fillId="0" borderId="0"/>
    <xf numFmtId="0" fontId="6" fillId="0" borderId="0"/>
    <xf numFmtId="0" fontId="18" fillId="0" borderId="0" applyNumberFormat="0" applyFill="0" applyBorder="0" applyAlignment="0" applyProtection="0"/>
  </cellStyleXfs>
  <cellXfs count="202">
    <xf numFmtId="0" fontId="0" fillId="0" borderId="0" xfId="0"/>
    <xf numFmtId="0" fontId="0" fillId="0" borderId="1" xfId="0" applyBorder="1"/>
    <xf numFmtId="0" fontId="7" fillId="0" borderId="1" xfId="0" applyFont="1" applyBorder="1"/>
    <xf numFmtId="0" fontId="0" fillId="0" borderId="2" xfId="0" applyBorder="1"/>
    <xf numFmtId="0" fontId="0" fillId="2" borderId="1" xfId="0" applyFill="1" applyBorder="1"/>
    <xf numFmtId="0" fontId="7" fillId="0" borderId="1" xfId="0" applyFont="1" applyBorder="1" applyAlignment="1">
      <alignment horizontal="center"/>
    </xf>
    <xf numFmtId="0" fontId="7" fillId="2" borderId="1" xfId="0" applyFont="1" applyFill="1" applyBorder="1"/>
    <xf numFmtId="0" fontId="0" fillId="0" borderId="3" xfId="0" applyBorder="1"/>
    <xf numFmtId="0" fontId="0" fillId="0" borderId="0" xfId="0" applyAlignment="1">
      <alignment wrapText="1"/>
    </xf>
    <xf numFmtId="0" fontId="0" fillId="0" borderId="1" xfId="0" applyBorder="1" applyAlignment="1">
      <alignment wrapText="1"/>
    </xf>
    <xf numFmtId="0" fontId="9" fillId="0" borderId="0" xfId="0" applyFont="1"/>
    <xf numFmtId="1" fontId="5" fillId="0" borderId="1" xfId="0" applyNumberFormat="1" applyFont="1" applyBorder="1" applyAlignment="1">
      <alignment horizontal="center" vertical="center" wrapText="1"/>
    </xf>
    <xf numFmtId="14" fontId="1" fillId="0" borderId="0" xfId="3" applyNumberFormat="1"/>
    <xf numFmtId="0" fontId="1" fillId="0" borderId="0" xfId="3"/>
    <xf numFmtId="0" fontId="6" fillId="0" borderId="0" xfId="4"/>
    <xf numFmtId="0" fontId="7" fillId="0" borderId="1" xfId="4" applyFont="1" applyBorder="1" applyAlignment="1">
      <alignment horizontal="center" vertical="top" wrapText="1"/>
    </xf>
    <xf numFmtId="0" fontId="6" fillId="0" borderId="1" xfId="4" applyBorder="1" applyAlignment="1">
      <alignment horizontal="center" vertical="center"/>
    </xf>
    <xf numFmtId="0" fontId="6" fillId="0" borderId="1" xfId="4" applyBorder="1" applyAlignment="1">
      <alignment horizontal="left" vertical="center"/>
    </xf>
    <xf numFmtId="1" fontId="6" fillId="0" borderId="1" xfId="4" applyNumberFormat="1" applyBorder="1" applyAlignment="1">
      <alignment horizontal="center" vertical="center"/>
    </xf>
    <xf numFmtId="166" fontId="6" fillId="0" borderId="1" xfId="1" applyNumberFormat="1" applyFont="1" applyBorder="1" applyAlignment="1">
      <alignment horizontal="right" vertical="center"/>
    </xf>
    <xf numFmtId="0" fontId="6" fillId="0" borderId="1" xfId="4" applyBorder="1" applyAlignment="1">
      <alignment horizontal="left" vertical="center" wrapText="1"/>
    </xf>
    <xf numFmtId="0" fontId="7" fillId="0" borderId="1" xfId="4" applyFont="1" applyBorder="1" applyAlignment="1">
      <alignment horizontal="center" vertical="center"/>
    </xf>
    <xf numFmtId="1" fontId="8" fillId="0" borderId="1" xfId="4" applyNumberFormat="1" applyFont="1" applyBorder="1" applyAlignment="1">
      <alignment horizontal="center" vertical="center"/>
    </xf>
    <xf numFmtId="0" fontId="1" fillId="0" borderId="1" xfId="3" applyBorder="1" applyAlignment="1">
      <alignment horizontal="center" vertical="center"/>
    </xf>
    <xf numFmtId="0" fontId="10" fillId="0" borderId="0" xfId="3" applyFont="1"/>
    <xf numFmtId="0" fontId="1" fillId="0" borderId="0" xfId="3" applyAlignment="1">
      <alignment vertical="top" wrapText="1"/>
    </xf>
    <xf numFmtId="0" fontId="4" fillId="0" borderId="1" xfId="0" applyFont="1" applyBorder="1" applyAlignment="1">
      <alignment horizontal="left" vertical="top"/>
    </xf>
    <xf numFmtId="0" fontId="4" fillId="0" borderId="4" xfId="0" applyFont="1" applyBorder="1" applyAlignment="1">
      <alignment horizontal="left" vertical="top"/>
    </xf>
    <xf numFmtId="0" fontId="5" fillId="0" borderId="1" xfId="5" applyFont="1" applyBorder="1" applyAlignment="1" applyProtection="1">
      <alignment horizontal="center" vertical="top" wrapText="1"/>
      <protection locked="0"/>
    </xf>
    <xf numFmtId="0" fontId="5" fillId="0" borderId="21" xfId="5" applyFont="1" applyBorder="1" applyAlignment="1" applyProtection="1">
      <alignment horizontal="center" vertical="top"/>
      <protection locked="0"/>
    </xf>
    <xf numFmtId="0" fontId="5" fillId="0" borderId="1" xfId="5" applyFont="1" applyBorder="1" applyAlignment="1" applyProtection="1">
      <alignment horizontal="center" vertical="top"/>
      <protection locked="0"/>
    </xf>
    <xf numFmtId="1" fontId="5" fillId="0" borderId="4" xfId="0" applyNumberFormat="1" applyFont="1" applyBorder="1" applyAlignment="1">
      <alignment horizontal="center" vertical="center" wrapText="1"/>
    </xf>
    <xf numFmtId="0" fontId="4" fillId="0" borderId="1" xfId="0" applyFont="1" applyBorder="1" applyAlignment="1">
      <alignment vertical="top" wrapText="1"/>
    </xf>
    <xf numFmtId="0" fontId="4" fillId="0" borderId="1" xfId="0" applyFont="1" applyBorder="1" applyAlignment="1">
      <alignment vertical="top"/>
    </xf>
    <xf numFmtId="0" fontId="4" fillId="0" borderId="4" xfId="0" applyFont="1" applyBorder="1" applyAlignment="1">
      <alignment vertical="top" wrapText="1"/>
    </xf>
    <xf numFmtId="0" fontId="5" fillId="0" borderId="19" xfId="5" applyFont="1" applyBorder="1" applyProtection="1">
      <protection hidden="1"/>
    </xf>
    <xf numFmtId="0" fontId="5" fillId="0" borderId="0" xfId="5" applyFont="1" applyProtection="1">
      <protection hidden="1"/>
    </xf>
    <xf numFmtId="0" fontId="4" fillId="0" borderId="0" xfId="0" applyFont="1" applyProtection="1">
      <protection hidden="1"/>
    </xf>
    <xf numFmtId="0" fontId="4" fillId="0" borderId="32" xfId="0" applyFont="1" applyBorder="1" applyProtection="1">
      <protection hidden="1"/>
    </xf>
    <xf numFmtId="1" fontId="11" fillId="0" borderId="1" xfId="0" applyNumberFormat="1" applyFont="1" applyBorder="1" applyAlignment="1">
      <alignment horizontal="center" vertical="top" wrapText="1"/>
    </xf>
    <xf numFmtId="1" fontId="11" fillId="0" borderId="4" xfId="0" applyNumberFormat="1" applyFont="1" applyBorder="1" applyAlignment="1">
      <alignment horizontal="center" vertical="top" wrapText="1"/>
    </xf>
    <xf numFmtId="1" fontId="16" fillId="0" borderId="1" xfId="0" applyNumberFormat="1" applyFont="1" applyBorder="1" applyAlignment="1">
      <alignment horizontal="center" vertical="top" wrapText="1"/>
    </xf>
    <xf numFmtId="0" fontId="12" fillId="0" borderId="0" xfId="0" applyFont="1"/>
    <xf numFmtId="0" fontId="5" fillId="0" borderId="20" xfId="5" applyFont="1" applyBorder="1" applyProtection="1">
      <protection hidden="1"/>
    </xf>
    <xf numFmtId="0" fontId="5" fillId="0" borderId="23" xfId="5" applyFont="1" applyBorder="1" applyProtection="1">
      <protection hidden="1"/>
    </xf>
    <xf numFmtId="0" fontId="5" fillId="0" borderId="23" xfId="5" applyFont="1" applyBorder="1"/>
    <xf numFmtId="0" fontId="5" fillId="0" borderId="1" xfId="5" applyFont="1" applyBorder="1" applyAlignment="1" applyProtection="1">
      <alignment horizontal="center" wrapText="1"/>
      <protection locked="0"/>
    </xf>
    <xf numFmtId="0" fontId="4" fillId="0" borderId="23" xfId="0" applyFont="1" applyBorder="1" applyProtection="1">
      <protection hidden="1"/>
    </xf>
    <xf numFmtId="1" fontId="5" fillId="0" borderId="1" xfId="5" applyNumberFormat="1" applyFont="1" applyBorder="1" applyAlignment="1" applyProtection="1">
      <alignment horizontal="center" wrapText="1"/>
      <protection locked="0"/>
    </xf>
    <xf numFmtId="1" fontId="12" fillId="0" borderId="23" xfId="0" applyNumberFormat="1" applyFont="1" applyBorder="1"/>
    <xf numFmtId="1" fontId="12" fillId="0" borderId="23" xfId="0" applyNumberFormat="1" applyFont="1" applyBorder="1" applyAlignment="1">
      <alignment horizontal="right"/>
    </xf>
    <xf numFmtId="0" fontId="5" fillId="0" borderId="28" xfId="5" applyFont="1" applyBorder="1" applyAlignment="1" applyProtection="1">
      <alignment horizontal="center" wrapText="1"/>
      <protection locked="0"/>
    </xf>
    <xf numFmtId="1" fontId="12" fillId="0" borderId="33" xfId="0" applyNumberFormat="1" applyFont="1" applyBorder="1"/>
    <xf numFmtId="0" fontId="13" fillId="0" borderId="0" xfId="2" applyFont="1"/>
    <xf numFmtId="0" fontId="16"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3" fillId="0" borderId="0" xfId="0" applyFont="1"/>
    <xf numFmtId="0" fontId="4" fillId="0" borderId="1" xfId="0" applyFont="1" applyBorder="1" applyAlignment="1">
      <alignment horizontal="center" vertical="top"/>
    </xf>
    <xf numFmtId="1" fontId="5" fillId="0" borderId="6" xfId="0" applyNumberFormat="1" applyFont="1" applyBorder="1" applyAlignment="1">
      <alignment horizontal="center" vertical="center" wrapText="1"/>
    </xf>
    <xf numFmtId="0" fontId="17" fillId="0" borderId="0" xfId="2" applyFont="1"/>
    <xf numFmtId="1" fontId="13" fillId="0" borderId="0" xfId="2" applyNumberFormat="1" applyFont="1"/>
    <xf numFmtId="0" fontId="3" fillId="0" borderId="1" xfId="0" applyFont="1" applyBorder="1" applyAlignment="1">
      <alignment horizontal="center" vertical="top"/>
    </xf>
    <xf numFmtId="1" fontId="3" fillId="0" borderId="1" xfId="0" applyNumberFormat="1" applyFont="1" applyBorder="1" applyAlignment="1">
      <alignment horizontal="center" vertical="top"/>
    </xf>
    <xf numFmtId="1" fontId="4" fillId="0" borderId="1" xfId="0" applyNumberFormat="1" applyFont="1" applyBorder="1" applyAlignment="1">
      <alignment horizontal="center" vertical="top"/>
    </xf>
    <xf numFmtId="0" fontId="4" fillId="0" borderId="1" xfId="0" applyFont="1" applyBorder="1" applyAlignment="1">
      <alignment horizontal="center" vertical="top"/>
    </xf>
    <xf numFmtId="0" fontId="4" fillId="0" borderId="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1" fontId="5" fillId="0" borderId="5"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11" fillId="0" borderId="5"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1" fontId="11" fillId="0" borderId="4"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8" xfId="0" applyNumberFormat="1" applyFont="1" applyBorder="1" applyAlignment="1">
      <alignment horizontal="center" vertical="center" wrapText="1"/>
    </xf>
    <xf numFmtId="1" fontId="5" fillId="0" borderId="9" xfId="0" applyNumberFormat="1" applyFont="1" applyBorder="1" applyAlignment="1">
      <alignment horizontal="center" vertical="center" wrapText="1"/>
    </xf>
    <xf numFmtId="1" fontId="5" fillId="0" borderId="10" xfId="0" applyNumberFormat="1" applyFont="1" applyBorder="1" applyAlignment="1">
      <alignment horizontal="center" vertical="center" wrapText="1"/>
    </xf>
    <xf numFmtId="1" fontId="5" fillId="0" borderId="12" xfId="0" applyNumberFormat="1" applyFont="1" applyBorder="1" applyAlignment="1">
      <alignment horizontal="center" vertical="center" wrapText="1"/>
    </xf>
    <xf numFmtId="1" fontId="5" fillId="0" borderId="13" xfId="0" applyNumberFormat="1" applyFont="1" applyBorder="1" applyAlignment="1">
      <alignment horizontal="center" vertical="center"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vertical="top"/>
    </xf>
    <xf numFmtId="0" fontId="4" fillId="0" borderId="6" xfId="0" applyFont="1" applyBorder="1" applyAlignment="1">
      <alignment vertical="top"/>
    </xf>
    <xf numFmtId="0" fontId="4" fillId="0" borderId="4" xfId="0" applyFont="1" applyBorder="1" applyAlignment="1">
      <alignment vertical="top"/>
    </xf>
    <xf numFmtId="0" fontId="4" fillId="0" borderId="5" xfId="0" applyFont="1" applyBorder="1" applyAlignment="1">
      <alignment horizontal="center" vertical="top"/>
    </xf>
    <xf numFmtId="0" fontId="4" fillId="0" borderId="4" xfId="0" applyFont="1" applyBorder="1" applyAlignment="1">
      <alignment horizontal="center"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1" xfId="0" applyFont="1" applyBorder="1" applyAlignment="1">
      <alignment horizontal="left" vertical="top" wrapText="1"/>
    </xf>
    <xf numFmtId="0" fontId="4" fillId="0" borderId="8" xfId="0" applyFont="1" applyBorder="1" applyAlignment="1">
      <alignment horizontal="left" vertical="top" wrapText="1"/>
    </xf>
    <xf numFmtId="0" fontId="4" fillId="0" borderId="12" xfId="0" applyFont="1" applyBorder="1" applyAlignment="1">
      <alignment horizontal="left" vertical="top" wrapText="1"/>
    </xf>
    <xf numFmtId="0" fontId="4" fillId="0" borderId="2" xfId="0" applyFont="1" applyBorder="1" applyAlignment="1">
      <alignment horizontal="left" vertical="top" wrapText="1"/>
    </xf>
    <xf numFmtId="0" fontId="4" fillId="0" borderId="13"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4" fillId="0" borderId="7" xfId="0" applyFont="1" applyBorder="1" applyAlignment="1">
      <alignment horizontal="left" vertical="top"/>
    </xf>
    <xf numFmtId="0" fontId="4" fillId="0" borderId="11" xfId="0" applyFont="1" applyBorder="1" applyAlignment="1">
      <alignment horizontal="left" vertical="top"/>
    </xf>
    <xf numFmtId="0" fontId="4" fillId="0" borderId="8" xfId="0" applyFont="1" applyBorder="1" applyAlignment="1">
      <alignment horizontal="left" vertical="top"/>
    </xf>
    <xf numFmtId="0" fontId="4" fillId="0" borderId="12" xfId="0" applyFont="1" applyBorder="1" applyAlignment="1">
      <alignment horizontal="left" vertical="top"/>
    </xf>
    <xf numFmtId="0" fontId="4" fillId="0" borderId="2" xfId="0" applyFont="1" applyBorder="1" applyAlignment="1">
      <alignment horizontal="left" vertical="top"/>
    </xf>
    <xf numFmtId="0" fontId="4" fillId="0" borderId="13"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4" xfId="0" applyFont="1" applyBorder="1" applyAlignment="1">
      <alignment horizontal="center" vertical="top"/>
    </xf>
    <xf numFmtId="14" fontId="4" fillId="0" borderId="5" xfId="0" applyNumberFormat="1" applyFont="1" applyBorder="1" applyAlignment="1">
      <alignment horizontal="left" vertical="top"/>
    </xf>
    <xf numFmtId="14" fontId="4" fillId="0" borderId="6" xfId="0" applyNumberFormat="1" applyFont="1" applyBorder="1" applyAlignment="1">
      <alignment horizontal="left" vertical="top"/>
    </xf>
    <xf numFmtId="14" fontId="4" fillId="0" borderId="4" xfId="0" applyNumberFormat="1" applyFont="1" applyBorder="1" applyAlignment="1">
      <alignment horizontal="left" vertical="top"/>
    </xf>
    <xf numFmtId="2" fontId="4" fillId="0" borderId="5" xfId="0" applyNumberFormat="1" applyFont="1" applyBorder="1" applyAlignment="1">
      <alignment horizontal="left" vertical="top" wrapText="1"/>
    </xf>
    <xf numFmtId="2" fontId="4" fillId="0" borderId="6" xfId="0" applyNumberFormat="1" applyFont="1" applyBorder="1" applyAlignment="1">
      <alignment horizontal="left" vertical="top" wrapText="1"/>
    </xf>
    <xf numFmtId="2" fontId="4" fillId="0" borderId="4" xfId="0" applyNumberFormat="1" applyFont="1" applyBorder="1" applyAlignment="1">
      <alignment horizontal="left" vertical="top" wrapText="1"/>
    </xf>
    <xf numFmtId="0" fontId="18" fillId="0" borderId="5" xfId="6" applyFill="1" applyBorder="1" applyAlignment="1">
      <alignment horizontal="center" vertical="top"/>
    </xf>
    <xf numFmtId="0" fontId="4" fillId="0" borderId="6" xfId="0" applyFont="1" applyBorder="1" applyAlignment="1">
      <alignment horizontal="center" vertical="top"/>
    </xf>
    <xf numFmtId="165" fontId="4" fillId="0" borderId="5" xfId="0" applyNumberFormat="1" applyFont="1" applyBorder="1" applyAlignment="1">
      <alignment horizontal="left" vertical="top"/>
    </xf>
    <xf numFmtId="165" fontId="4" fillId="0" borderId="6" xfId="0" applyNumberFormat="1" applyFont="1" applyBorder="1" applyAlignment="1">
      <alignment horizontal="left" vertical="top"/>
    </xf>
    <xf numFmtId="165" fontId="4" fillId="0" borderId="4" xfId="0" applyNumberFormat="1" applyFont="1" applyBorder="1" applyAlignment="1">
      <alignment horizontal="left" vertical="top"/>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2" fontId="4" fillId="0" borderId="5" xfId="0" applyNumberFormat="1" applyFont="1" applyBorder="1" applyAlignment="1">
      <alignment horizontal="left" vertical="top"/>
    </xf>
    <xf numFmtId="2" fontId="4" fillId="0" borderId="6" xfId="0" applyNumberFormat="1" applyFont="1" applyBorder="1" applyAlignment="1">
      <alignment horizontal="left" vertical="top"/>
    </xf>
    <xf numFmtId="2" fontId="4" fillId="0" borderId="4" xfId="0" applyNumberFormat="1" applyFont="1" applyBorder="1" applyAlignment="1">
      <alignment horizontal="left" vertical="top"/>
    </xf>
    <xf numFmtId="14" fontId="4" fillId="0" borderId="5" xfId="0" applyNumberFormat="1" applyFont="1" applyBorder="1" applyAlignment="1">
      <alignment horizontal="left" vertical="top" wrapText="1"/>
    </xf>
    <xf numFmtId="14" fontId="4" fillId="0" borderId="4" xfId="0" applyNumberFormat="1" applyFont="1" applyBorder="1" applyAlignment="1">
      <alignment horizontal="left" vertical="top" wrapText="1"/>
    </xf>
    <xf numFmtId="14" fontId="4" fillId="0" borderId="1" xfId="0" applyNumberFormat="1" applyFont="1" applyBorder="1" applyAlignment="1">
      <alignment horizontal="center" vertical="top"/>
    </xf>
    <xf numFmtId="0" fontId="12" fillId="0" borderId="4" xfId="0" applyFont="1" applyBorder="1" applyAlignment="1">
      <alignment horizontal="left"/>
    </xf>
    <xf numFmtId="0" fontId="3" fillId="0" borderId="5" xfId="0" applyFont="1" applyBorder="1" applyAlignment="1">
      <alignment vertical="top"/>
    </xf>
    <xf numFmtId="0" fontId="3" fillId="0" borderId="6" xfId="0" applyFont="1" applyBorder="1" applyAlignment="1">
      <alignment vertical="top"/>
    </xf>
    <xf numFmtId="0" fontId="3" fillId="0" borderId="4" xfId="0" applyFont="1" applyBorder="1" applyAlignment="1">
      <alignment vertical="top"/>
    </xf>
    <xf numFmtId="0" fontId="4" fillId="0" borderId="1" xfId="0" applyFont="1" applyBorder="1" applyAlignment="1">
      <alignment horizontal="center" vertical="top" wrapText="1"/>
    </xf>
    <xf numFmtId="0" fontId="5" fillId="0" borderId="21" xfId="5" applyFont="1" applyBorder="1" applyAlignment="1" applyProtection="1">
      <alignment horizontal="center" vertical="top" wrapText="1"/>
      <protection locked="0"/>
    </xf>
    <xf numFmtId="0" fontId="5" fillId="0" borderId="1" xfId="5" applyFont="1" applyBorder="1" applyAlignment="1" applyProtection="1">
      <alignment horizontal="center" vertical="top" wrapText="1"/>
      <protection locked="0"/>
    </xf>
    <xf numFmtId="9" fontId="5" fillId="0" borderId="5" xfId="5" applyNumberFormat="1" applyFont="1" applyBorder="1" applyAlignment="1" applyProtection="1">
      <alignment horizontal="center" vertical="center" wrapText="1"/>
      <protection hidden="1"/>
    </xf>
    <xf numFmtId="9" fontId="5" fillId="0" borderId="4" xfId="5" applyNumberFormat="1" applyFont="1" applyBorder="1" applyAlignment="1" applyProtection="1">
      <alignment horizontal="center" vertical="center" wrapText="1"/>
      <protection hidden="1"/>
    </xf>
    <xf numFmtId="0" fontId="5" fillId="0" borderId="21" xfId="5" applyFont="1" applyBorder="1" applyAlignment="1" applyProtection="1">
      <alignment horizontal="center" vertical="top"/>
      <protection locked="0"/>
    </xf>
    <xf numFmtId="0" fontId="5" fillId="0" borderId="1" xfId="5" applyFont="1" applyBorder="1" applyAlignment="1" applyProtection="1">
      <alignment horizontal="center" vertical="top"/>
      <protection locked="0"/>
    </xf>
    <xf numFmtId="0" fontId="11" fillId="0" borderId="16" xfId="5" applyFont="1" applyBorder="1" applyAlignment="1" applyProtection="1">
      <alignment horizontal="left" vertical="top" wrapText="1"/>
      <protection locked="0"/>
    </xf>
    <xf numFmtId="0" fontId="11" fillId="0" borderId="17" xfId="5" applyFont="1" applyBorder="1" applyAlignment="1" applyProtection="1">
      <alignment horizontal="left" vertical="top" wrapText="1"/>
      <protection locked="0"/>
    </xf>
    <xf numFmtId="0" fontId="11" fillId="0" borderId="18" xfId="5" applyFont="1" applyBorder="1" applyAlignment="1" applyProtection="1">
      <alignment horizontal="left" vertical="top" wrapText="1"/>
      <protection locked="0"/>
    </xf>
    <xf numFmtId="0" fontId="5" fillId="0" borderId="5" xfId="5" applyFont="1" applyBorder="1" applyAlignment="1" applyProtection="1">
      <alignment horizontal="center" vertical="top"/>
      <protection locked="0"/>
    </xf>
    <xf numFmtId="0" fontId="5" fillId="0" borderId="4" xfId="5" applyFont="1" applyBorder="1" applyAlignment="1" applyProtection="1">
      <alignment horizontal="center" vertical="top"/>
      <protection locked="0"/>
    </xf>
    <xf numFmtId="0" fontId="5" fillId="0" borderId="22" xfId="5" applyFont="1" applyBorder="1" applyAlignment="1" applyProtection="1">
      <alignment horizontal="center" vertical="top"/>
      <protection locked="0"/>
    </xf>
    <xf numFmtId="0" fontId="11" fillId="0" borderId="21" xfId="5" applyFont="1" applyBorder="1" applyAlignment="1" applyProtection="1">
      <alignment horizontal="left" vertical="top"/>
      <protection locked="0"/>
    </xf>
    <xf numFmtId="0" fontId="11" fillId="0" borderId="1" xfId="5" applyFont="1" applyBorder="1" applyAlignment="1" applyProtection="1">
      <alignment horizontal="left" vertical="top"/>
      <protection locked="0"/>
    </xf>
    <xf numFmtId="0" fontId="11" fillId="0" borderId="5" xfId="5" applyFont="1" applyBorder="1" applyAlignment="1" applyProtection="1">
      <alignment horizontal="left" vertical="top" wrapText="1"/>
      <protection locked="0"/>
    </xf>
    <xf numFmtId="0" fontId="11" fillId="0" borderId="6" xfId="5" applyFont="1" applyBorder="1" applyAlignment="1" applyProtection="1">
      <alignment horizontal="left" vertical="top" wrapText="1"/>
      <protection locked="0"/>
    </xf>
    <xf numFmtId="0" fontId="11" fillId="0" borderId="22" xfId="5" applyFont="1" applyBorder="1" applyAlignment="1" applyProtection="1">
      <alignment horizontal="left" vertical="top" wrapText="1"/>
      <protection locked="0"/>
    </xf>
    <xf numFmtId="0" fontId="5" fillId="0" borderId="24" xfId="5" applyFont="1" applyBorder="1" applyAlignment="1" applyProtection="1">
      <alignment horizontal="center" vertical="top" wrapText="1"/>
      <protection locked="0"/>
    </xf>
    <xf numFmtId="0" fontId="5" fillId="0" borderId="4" xfId="5" applyFont="1" applyBorder="1" applyAlignment="1" applyProtection="1">
      <alignment horizontal="center" vertical="top" wrapText="1"/>
      <protection locked="0"/>
    </xf>
    <xf numFmtId="0" fontId="5" fillId="0" borderId="25" xfId="5" applyFont="1" applyBorder="1" applyAlignment="1" applyProtection="1">
      <alignment horizontal="center" vertical="top" wrapText="1"/>
      <protection locked="0"/>
    </xf>
    <xf numFmtId="9" fontId="5" fillId="0" borderId="1" xfId="5" applyNumberFormat="1" applyFont="1" applyBorder="1" applyAlignment="1" applyProtection="1">
      <alignment horizontal="center" vertical="center" wrapText="1"/>
      <protection hidden="1"/>
    </xf>
    <xf numFmtId="9" fontId="5" fillId="0" borderId="28" xfId="5" applyNumberFormat="1" applyFont="1" applyBorder="1" applyAlignment="1" applyProtection="1">
      <alignment horizontal="center" vertical="center" wrapText="1"/>
      <protection hidden="1"/>
    </xf>
    <xf numFmtId="9" fontId="5" fillId="0" borderId="7" xfId="5" applyNumberFormat="1" applyFont="1" applyBorder="1" applyAlignment="1" applyProtection="1">
      <alignment horizontal="center" vertical="center" wrapText="1"/>
      <protection hidden="1"/>
    </xf>
    <xf numFmtId="9" fontId="5" fillId="0" borderId="11" xfId="5" applyNumberFormat="1" applyFont="1" applyBorder="1" applyAlignment="1" applyProtection="1">
      <alignment horizontal="center" vertical="center" wrapText="1"/>
      <protection hidden="1"/>
    </xf>
    <xf numFmtId="9" fontId="5" fillId="0" borderId="26" xfId="5" applyNumberFormat="1" applyFont="1" applyBorder="1" applyAlignment="1" applyProtection="1">
      <alignment horizontal="center" vertical="center" wrapText="1"/>
      <protection hidden="1"/>
    </xf>
    <xf numFmtId="9" fontId="5" fillId="0" borderId="9" xfId="5" applyNumberFormat="1" applyFont="1" applyBorder="1" applyAlignment="1" applyProtection="1">
      <alignment horizontal="center" vertical="center" wrapText="1"/>
      <protection hidden="1"/>
    </xf>
    <xf numFmtId="9" fontId="5" fillId="0" borderId="0" xfId="5" applyNumberFormat="1" applyFont="1" applyAlignment="1" applyProtection="1">
      <alignment horizontal="center" vertical="center" wrapText="1"/>
      <protection hidden="1"/>
    </xf>
    <xf numFmtId="9" fontId="5" fillId="0" borderId="23" xfId="5" applyNumberFormat="1" applyFont="1" applyBorder="1" applyAlignment="1" applyProtection="1">
      <alignment horizontal="center" vertical="center" wrapText="1"/>
      <protection hidden="1"/>
    </xf>
    <xf numFmtId="9" fontId="5" fillId="0" borderId="31" xfId="5" applyNumberFormat="1" applyFont="1" applyBorder="1" applyAlignment="1" applyProtection="1">
      <alignment horizontal="center" vertical="center" wrapText="1"/>
      <protection hidden="1"/>
    </xf>
    <xf numFmtId="9" fontId="5" fillId="0" borderId="32" xfId="5" applyNumberFormat="1" applyFont="1" applyBorder="1" applyAlignment="1" applyProtection="1">
      <alignment horizontal="center" vertical="center" wrapText="1"/>
      <protection hidden="1"/>
    </xf>
    <xf numFmtId="9" fontId="5" fillId="0" borderId="33" xfId="5" applyNumberFormat="1" applyFont="1" applyBorder="1" applyAlignment="1" applyProtection="1">
      <alignment horizontal="center" vertical="center" wrapText="1"/>
      <protection hidden="1"/>
    </xf>
    <xf numFmtId="0" fontId="11" fillId="0" borderId="14" xfId="5" applyFont="1" applyBorder="1" applyAlignment="1" applyProtection="1">
      <alignment horizontal="center" vertical="top" wrapText="1"/>
      <protection locked="0"/>
    </xf>
    <xf numFmtId="0" fontId="11" fillId="0" borderId="15" xfId="5" applyFont="1" applyBorder="1" applyAlignment="1" applyProtection="1">
      <alignment horizontal="center" vertical="top" wrapText="1"/>
      <protection locked="0"/>
    </xf>
    <xf numFmtId="9" fontId="5" fillId="0" borderId="29" xfId="5" applyNumberFormat="1" applyFont="1" applyBorder="1" applyAlignment="1" applyProtection="1">
      <alignment horizontal="center" vertical="center" wrapText="1"/>
      <protection hidden="1"/>
    </xf>
    <xf numFmtId="9" fontId="5" fillId="0" borderId="30" xfId="5" applyNumberFormat="1" applyFont="1" applyBorder="1" applyAlignment="1" applyProtection="1">
      <alignment horizontal="center" vertical="center" wrapText="1"/>
      <protection hidden="1"/>
    </xf>
    <xf numFmtId="0" fontId="3" fillId="0" borderId="7" xfId="0" applyFont="1" applyBorder="1" applyAlignment="1">
      <alignment vertical="top" wrapText="1"/>
    </xf>
    <xf numFmtId="0" fontId="3" fillId="0" borderId="11" xfId="0" applyFont="1" applyBorder="1" applyAlignment="1">
      <alignment vertical="top" wrapText="1"/>
    </xf>
    <xf numFmtId="0" fontId="3" fillId="0" borderId="8" xfId="0" applyFont="1" applyBorder="1" applyAlignment="1">
      <alignment vertical="top" wrapText="1"/>
    </xf>
    <xf numFmtId="0" fontId="5" fillId="0" borderId="27" xfId="5" applyFont="1" applyBorder="1" applyAlignment="1" applyProtection="1">
      <alignment horizontal="center" vertical="top" wrapText="1"/>
      <protection locked="0"/>
    </xf>
    <xf numFmtId="0" fontId="5" fillId="0" borderId="28" xfId="5" applyFont="1" applyBorder="1" applyAlignment="1" applyProtection="1">
      <alignment horizontal="center" vertical="top" wrapText="1"/>
      <protection locked="0"/>
    </xf>
    <xf numFmtId="0" fontId="14" fillId="0" borderId="5" xfId="0" applyFont="1" applyBorder="1" applyAlignment="1">
      <alignment horizontal="center" vertical="top"/>
    </xf>
    <xf numFmtId="0" fontId="14" fillId="0" borderId="6" xfId="0" applyFont="1" applyBorder="1" applyAlignment="1">
      <alignment horizontal="center" vertical="top"/>
    </xf>
    <xf numFmtId="0" fontId="14" fillId="0" borderId="4" xfId="0" applyFont="1" applyBorder="1" applyAlignment="1">
      <alignment horizontal="center" vertical="top"/>
    </xf>
    <xf numFmtId="1" fontId="3" fillId="0" borderId="5" xfId="0" applyNumberFormat="1" applyFont="1" applyBorder="1" applyAlignment="1">
      <alignment horizontal="center" vertical="top" wrapText="1"/>
    </xf>
    <xf numFmtId="1" fontId="3" fillId="0" borderId="4" xfId="0" applyNumberFormat="1" applyFont="1" applyBorder="1" applyAlignment="1">
      <alignment horizontal="center" vertical="top" wrapText="1"/>
    </xf>
    <xf numFmtId="1" fontId="11" fillId="0" borderId="5" xfId="0" applyNumberFormat="1" applyFont="1" applyBorder="1" applyAlignment="1">
      <alignment horizontal="center" vertical="top" wrapText="1"/>
    </xf>
    <xf numFmtId="1" fontId="11" fillId="0" borderId="4" xfId="0" applyNumberFormat="1" applyFont="1" applyBorder="1" applyAlignment="1">
      <alignment horizontal="center" vertical="top" wrapText="1"/>
    </xf>
    <xf numFmtId="1" fontId="5" fillId="0" borderId="1" xfId="0" applyNumberFormat="1" applyFont="1" applyBorder="1" applyAlignment="1">
      <alignment horizontal="center" vertical="center" wrapText="1"/>
    </xf>
    <xf numFmtId="0" fontId="3" fillId="0" borderId="7" xfId="0" applyFont="1" applyBorder="1" applyAlignment="1">
      <alignment horizontal="center" vertical="top" wrapText="1"/>
    </xf>
    <xf numFmtId="0" fontId="3" fillId="0" borderId="11"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10" xfId="0" applyFont="1" applyBorder="1" applyAlignment="1">
      <alignment horizontal="center" vertical="top" wrapText="1"/>
    </xf>
    <xf numFmtId="0" fontId="3" fillId="0" borderId="12" xfId="0" applyFont="1" applyBorder="1" applyAlignment="1">
      <alignment horizontal="center" vertical="top" wrapText="1"/>
    </xf>
    <xf numFmtId="0" fontId="3" fillId="0" borderId="2" xfId="0" applyFont="1" applyBorder="1" applyAlignment="1">
      <alignment horizontal="center" vertical="top" wrapText="1"/>
    </xf>
    <xf numFmtId="0" fontId="3" fillId="0" borderId="13" xfId="0" applyFont="1" applyBorder="1" applyAlignment="1">
      <alignment horizontal="center" vertical="top" wrapText="1"/>
    </xf>
    <xf numFmtId="0" fontId="3" fillId="0" borderId="7" xfId="2" applyFont="1" applyBorder="1" applyAlignment="1">
      <alignment horizontal="left" vertical="top" wrapText="1"/>
    </xf>
    <xf numFmtId="0" fontId="3" fillId="0" borderId="11" xfId="2" applyFont="1" applyBorder="1" applyAlignment="1">
      <alignment horizontal="left" vertical="top" wrapText="1"/>
    </xf>
    <xf numFmtId="0" fontId="3" fillId="0" borderId="8" xfId="2" applyFont="1" applyBorder="1" applyAlignment="1">
      <alignment horizontal="left" vertical="top" wrapText="1"/>
    </xf>
    <xf numFmtId="0" fontId="7" fillId="0" borderId="1" xfId="4" applyFont="1" applyBorder="1" applyAlignment="1">
      <alignment horizontal="left"/>
    </xf>
    <xf numFmtId="0" fontId="0" fillId="2" borderId="1" xfId="0" applyFill="1" applyBorder="1" applyAlignment="1">
      <alignment horizontal="center" wrapText="1"/>
    </xf>
    <xf numFmtId="0" fontId="7" fillId="0" borderId="1" xfId="0" applyFont="1" applyBorder="1" applyAlignment="1">
      <alignment horizontal="center"/>
    </xf>
    <xf numFmtId="0" fontId="12" fillId="0" borderId="0" xfId="0" applyFont="1" applyAlignment="1">
      <alignment vertical="top"/>
    </xf>
  </cellXfs>
  <cellStyles count="7">
    <cellStyle name="Comma 2" xfId="1"/>
    <cellStyle name="Excel Built-in Normal" xfId="2"/>
    <cellStyle name="Excel Built-in Normal 2" xfId="3"/>
    <cellStyle name="Hyperlink" xfId="6" builtinId="8"/>
    <cellStyle name="Normal" xfId="0" builtinId="0"/>
    <cellStyle name="Normal 3" xfId="5"/>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image" Target="../media/image2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8.jpeg"/><Relationship Id="rId1" Type="http://schemas.openxmlformats.org/officeDocument/2006/relationships/image" Target="../media/image2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483538</xdr:colOff>
      <xdr:row>276</xdr:row>
      <xdr:rowOff>86846</xdr:rowOff>
    </xdr:from>
    <xdr:to>
      <xdr:col>9</xdr:col>
      <xdr:colOff>552848</xdr:colOff>
      <xdr:row>295</xdr:row>
      <xdr:rowOff>32287</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83538" y="60332471"/>
          <a:ext cx="6041485" cy="3564941"/>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513960</xdr:colOff>
      <xdr:row>296</xdr:row>
      <xdr:rowOff>12837</xdr:rowOff>
    </xdr:from>
    <xdr:to>
      <xdr:col>9</xdr:col>
      <xdr:colOff>496652</xdr:colOff>
      <xdr:row>314</xdr:row>
      <xdr:rowOff>148779</xdr:rowOff>
    </xdr:to>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513960" y="66766278"/>
          <a:ext cx="5966633" cy="3564941"/>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120623</xdr:colOff>
      <xdr:row>239</xdr:row>
      <xdr:rowOff>84848</xdr:rowOff>
    </xdr:from>
    <xdr:to>
      <xdr:col>19</xdr:col>
      <xdr:colOff>521849</xdr:colOff>
      <xdr:row>241</xdr:row>
      <xdr:rowOff>109280</xdr:rowOff>
    </xdr:to>
    <xdr:sp macro="" textlink="">
      <xdr:nvSpPr>
        <xdr:cNvPr id="28" name="TextBox 24">
          <a:extLst>
            <a:ext uri="{FF2B5EF4-FFF2-40B4-BE49-F238E27FC236}">
              <a16:creationId xmlns:a16="http://schemas.microsoft.com/office/drawing/2014/main" xmlns="" id="{00000000-0008-0000-0000-00001C000000}"/>
            </a:ext>
          </a:extLst>
        </xdr:cNvPr>
        <xdr:cNvSpPr txBox="1"/>
      </xdr:nvSpPr>
      <xdr:spPr>
        <a:xfrm>
          <a:off x="10598123" y="53783436"/>
          <a:ext cx="2384667" cy="4054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FF00"/>
              </a:solidFill>
            </a:rPr>
            <a:t>BLDG No. 2 Wing B</a:t>
          </a:r>
          <a:endParaRPr lang="en-IN" sz="2000" b="1">
            <a:solidFill>
              <a:srgbClr val="FFFF00"/>
            </a:solidFill>
          </a:endParaRPr>
        </a:p>
      </xdr:txBody>
    </xdr:sp>
    <xdr:clientData/>
  </xdr:twoCellAnchor>
  <xdr:twoCellAnchor>
    <xdr:from>
      <xdr:col>11</xdr:col>
      <xdr:colOff>476981</xdr:colOff>
      <xdr:row>238</xdr:row>
      <xdr:rowOff>189623</xdr:rowOff>
    </xdr:from>
    <xdr:to>
      <xdr:col>15</xdr:col>
      <xdr:colOff>172236</xdr:colOff>
      <xdr:row>241</xdr:row>
      <xdr:rowOff>23555</xdr:rowOff>
    </xdr:to>
    <xdr:sp macro="" textlink="">
      <xdr:nvSpPr>
        <xdr:cNvPr id="29" name="TextBox 24">
          <a:extLst>
            <a:ext uri="{FF2B5EF4-FFF2-40B4-BE49-F238E27FC236}">
              <a16:creationId xmlns:a16="http://schemas.microsoft.com/office/drawing/2014/main" xmlns="" id="{00000000-0008-0000-0000-00001D000000}"/>
            </a:ext>
          </a:extLst>
        </xdr:cNvPr>
        <xdr:cNvSpPr txBox="1"/>
      </xdr:nvSpPr>
      <xdr:spPr>
        <a:xfrm>
          <a:off x="7648746" y="53697711"/>
          <a:ext cx="2339843" cy="4054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FF00"/>
              </a:solidFill>
            </a:rPr>
            <a:t>BLDG No. 2 Wing C</a:t>
          </a:r>
          <a:endParaRPr lang="en-IN" sz="2000" b="1">
            <a:solidFill>
              <a:srgbClr val="FFFF00"/>
            </a:solidFill>
          </a:endParaRPr>
        </a:p>
      </xdr:txBody>
    </xdr:sp>
    <xdr:clientData/>
  </xdr:twoCellAnchor>
  <xdr:twoCellAnchor>
    <xdr:from>
      <xdr:col>12</xdr:col>
      <xdr:colOff>62363</xdr:colOff>
      <xdr:row>251</xdr:row>
      <xdr:rowOff>73418</xdr:rowOff>
    </xdr:from>
    <xdr:to>
      <xdr:col>15</xdr:col>
      <xdr:colOff>470313</xdr:colOff>
      <xdr:row>253</xdr:row>
      <xdr:rowOff>92528</xdr:rowOff>
    </xdr:to>
    <xdr:sp macro="" textlink="">
      <xdr:nvSpPr>
        <xdr:cNvPr id="30" name="TextBox 24">
          <a:extLst>
            <a:ext uri="{FF2B5EF4-FFF2-40B4-BE49-F238E27FC236}">
              <a16:creationId xmlns:a16="http://schemas.microsoft.com/office/drawing/2014/main" xmlns="" id="{00000000-0008-0000-0000-00001E000000}"/>
            </a:ext>
          </a:extLst>
        </xdr:cNvPr>
        <xdr:cNvSpPr txBox="1"/>
      </xdr:nvSpPr>
      <xdr:spPr>
        <a:xfrm>
          <a:off x="8034788" y="58204493"/>
          <a:ext cx="2236750" cy="4001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FF00"/>
              </a:solidFill>
            </a:rPr>
            <a:t>BLDG No. 2 Wing A</a:t>
          </a:r>
          <a:endParaRPr lang="en-IN" sz="2000" b="1">
            <a:solidFill>
              <a:srgbClr val="FFFF00"/>
            </a:solidFill>
          </a:endParaRPr>
        </a:p>
      </xdr:txBody>
    </xdr:sp>
    <xdr:clientData/>
  </xdr:twoCellAnchor>
  <xdr:oneCellAnchor>
    <xdr:from>
      <xdr:col>12</xdr:col>
      <xdr:colOff>0</xdr:colOff>
      <xdr:row>232</xdr:row>
      <xdr:rowOff>0</xdr:rowOff>
    </xdr:from>
    <xdr:ext cx="303416" cy="342786"/>
    <xdr:sp macro="" textlink="">
      <xdr:nvSpPr>
        <xdr:cNvPr id="17" name="TextBox 16">
          <a:extLst>
            <a:ext uri="{FF2B5EF4-FFF2-40B4-BE49-F238E27FC236}">
              <a16:creationId xmlns:a16="http://schemas.microsoft.com/office/drawing/2014/main" xmlns="" id="{00000000-0008-0000-0000-000011000000}"/>
            </a:ext>
          </a:extLst>
        </xdr:cNvPr>
        <xdr:cNvSpPr txBox="1"/>
      </xdr:nvSpPr>
      <xdr:spPr>
        <a:xfrm>
          <a:off x="7724775" y="54625875"/>
          <a:ext cx="303416" cy="34278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chemeClr val="tx1"/>
              </a:solidFill>
              <a:effectLst>
                <a:outerShdw blurRad="38100" dist="19050" dir="2700000" algn="tl" rotWithShape="0">
                  <a:schemeClr val="dk1">
                    <a:alpha val="40000"/>
                  </a:schemeClr>
                </a:outerShdw>
              </a:effectLst>
            </a:rPr>
            <a:t>A</a:t>
          </a:r>
        </a:p>
      </xdr:txBody>
    </xdr:sp>
    <xdr:clientData/>
  </xdr:oneCellAnchor>
  <xdr:oneCellAnchor>
    <xdr:from>
      <xdr:col>12</xdr:col>
      <xdr:colOff>0</xdr:colOff>
      <xdr:row>244</xdr:row>
      <xdr:rowOff>16933</xdr:rowOff>
    </xdr:from>
    <xdr:ext cx="303416" cy="342786"/>
    <xdr:sp macro="" textlink="">
      <xdr:nvSpPr>
        <xdr:cNvPr id="18" name="TextBox 17">
          <a:extLst>
            <a:ext uri="{FF2B5EF4-FFF2-40B4-BE49-F238E27FC236}">
              <a16:creationId xmlns:a16="http://schemas.microsoft.com/office/drawing/2014/main" xmlns="" id="{00000000-0008-0000-0000-000012000000}"/>
            </a:ext>
          </a:extLst>
        </xdr:cNvPr>
        <xdr:cNvSpPr txBox="1"/>
      </xdr:nvSpPr>
      <xdr:spPr>
        <a:xfrm>
          <a:off x="7724775" y="56928808"/>
          <a:ext cx="303416" cy="34278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chemeClr val="tx1"/>
              </a:solidFill>
              <a:effectLst>
                <a:outerShdw blurRad="38100" dist="19050" dir="2700000" algn="tl" rotWithShape="0">
                  <a:schemeClr val="dk1">
                    <a:alpha val="40000"/>
                  </a:schemeClr>
                </a:outerShdw>
              </a:effectLst>
            </a:rPr>
            <a:t>C</a:t>
          </a:r>
        </a:p>
      </xdr:txBody>
    </xdr:sp>
    <xdr:clientData/>
  </xdr:oneCellAnchor>
  <xdr:twoCellAnchor editAs="oneCell">
    <xdr:from>
      <xdr:col>10</xdr:col>
      <xdr:colOff>159728</xdr:colOff>
      <xdr:row>234</xdr:row>
      <xdr:rowOff>152400</xdr:rowOff>
    </xdr:from>
    <xdr:to>
      <xdr:col>14</xdr:col>
      <xdr:colOff>397291</xdr:colOff>
      <xdr:row>237</xdr:row>
      <xdr:rowOff>129588</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3"/>
        <a:stretch>
          <a:fillRect/>
        </a:stretch>
      </xdr:blipFill>
      <xdr:spPr>
        <a:xfrm>
          <a:off x="7036778" y="55321200"/>
          <a:ext cx="2304488" cy="548688"/>
        </a:xfrm>
        <a:prstGeom prst="rect">
          <a:avLst/>
        </a:prstGeom>
      </xdr:spPr>
    </xdr:pic>
    <xdr:clientData/>
  </xdr:twoCellAnchor>
  <xdr:twoCellAnchor editAs="oneCell">
    <xdr:from>
      <xdr:col>15</xdr:col>
      <xdr:colOff>397853</xdr:colOff>
      <xdr:row>233</xdr:row>
      <xdr:rowOff>171450</xdr:rowOff>
    </xdr:from>
    <xdr:to>
      <xdr:col>19</xdr:col>
      <xdr:colOff>282230</xdr:colOff>
      <xdr:row>236</xdr:row>
      <xdr:rowOff>148638</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4"/>
        <a:stretch>
          <a:fillRect/>
        </a:stretch>
      </xdr:blipFill>
      <xdr:spPr>
        <a:xfrm>
          <a:off x="9951428" y="55149750"/>
          <a:ext cx="2322777" cy="548688"/>
        </a:xfrm>
        <a:prstGeom prst="rect">
          <a:avLst/>
        </a:prstGeom>
      </xdr:spPr>
    </xdr:pic>
    <xdr:clientData/>
  </xdr:twoCellAnchor>
  <xdr:twoCellAnchor>
    <xdr:from>
      <xdr:col>12</xdr:col>
      <xdr:colOff>243338</xdr:colOff>
      <xdr:row>248</xdr:row>
      <xdr:rowOff>149617</xdr:rowOff>
    </xdr:from>
    <xdr:to>
      <xdr:col>14</xdr:col>
      <xdr:colOff>152400</xdr:colOff>
      <xdr:row>250</xdr:row>
      <xdr:rowOff>180974</xdr:rowOff>
    </xdr:to>
    <xdr:sp macro="" textlink="">
      <xdr:nvSpPr>
        <xdr:cNvPr id="32" name="TextBox 24">
          <a:extLst>
            <a:ext uri="{FF2B5EF4-FFF2-40B4-BE49-F238E27FC236}">
              <a16:creationId xmlns:a16="http://schemas.microsoft.com/office/drawing/2014/main" xmlns="" id="{00000000-0008-0000-0000-000020000000}"/>
            </a:ext>
          </a:extLst>
        </xdr:cNvPr>
        <xdr:cNvSpPr txBox="1"/>
      </xdr:nvSpPr>
      <xdr:spPr>
        <a:xfrm>
          <a:off x="8215763" y="57709192"/>
          <a:ext cx="1128262" cy="41235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Wing A</a:t>
          </a:r>
          <a:endParaRPr lang="en-IN" sz="2000" b="1">
            <a:solidFill>
              <a:srgbClr val="FF0000"/>
            </a:solidFill>
          </a:endParaRPr>
        </a:p>
      </xdr:txBody>
    </xdr:sp>
    <xdr:clientData/>
  </xdr:twoCellAnchor>
  <xdr:twoCellAnchor>
    <xdr:from>
      <xdr:col>11</xdr:col>
      <xdr:colOff>466725</xdr:colOff>
      <xdr:row>229</xdr:row>
      <xdr:rowOff>123825</xdr:rowOff>
    </xdr:from>
    <xdr:to>
      <xdr:col>22</xdr:col>
      <xdr:colOff>428625</xdr:colOff>
      <xdr:row>269</xdr:row>
      <xdr:rowOff>38100</xdr:rowOff>
    </xdr:to>
    <xdr:grpSp>
      <xdr:nvGrpSpPr>
        <xdr:cNvPr id="23" name="Group 22">
          <a:extLst>
            <a:ext uri="{FF2B5EF4-FFF2-40B4-BE49-F238E27FC236}">
              <a16:creationId xmlns:a16="http://schemas.microsoft.com/office/drawing/2014/main" xmlns="" id="{9024BDD5-3CAB-4ADE-BF96-8AA13BC9D44E}"/>
            </a:ext>
          </a:extLst>
        </xdr:cNvPr>
        <xdr:cNvGrpSpPr/>
      </xdr:nvGrpSpPr>
      <xdr:grpSpPr>
        <a:xfrm>
          <a:off x="7829550" y="51501675"/>
          <a:ext cx="6667500" cy="7534275"/>
          <a:chOff x="384573" y="209550"/>
          <a:chExt cx="6088853" cy="7029449"/>
        </a:xfrm>
      </xdr:grpSpPr>
      <xdr:grpSp>
        <xdr:nvGrpSpPr>
          <xdr:cNvPr id="39" name="Group 38">
            <a:extLst>
              <a:ext uri="{FF2B5EF4-FFF2-40B4-BE49-F238E27FC236}">
                <a16:creationId xmlns:a16="http://schemas.microsoft.com/office/drawing/2014/main" xmlns="" id="{C774EE90-EC33-43A7-A52B-573F9413377C}"/>
              </a:ext>
            </a:extLst>
          </xdr:cNvPr>
          <xdr:cNvGrpSpPr/>
        </xdr:nvGrpSpPr>
        <xdr:grpSpPr>
          <a:xfrm>
            <a:off x="384573" y="209550"/>
            <a:ext cx="6088853" cy="7029449"/>
            <a:chOff x="384573" y="209550"/>
            <a:chExt cx="6088853" cy="7029449"/>
          </a:xfrm>
        </xdr:grpSpPr>
        <xdr:pic>
          <xdr:nvPicPr>
            <xdr:cNvPr id="43" name="Picture 42">
              <a:extLst>
                <a:ext uri="{FF2B5EF4-FFF2-40B4-BE49-F238E27FC236}">
                  <a16:creationId xmlns:a16="http://schemas.microsoft.com/office/drawing/2014/main" xmlns="" id="{F145C347-594A-4223-BA14-9309E61454EC}"/>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84573" y="209550"/>
              <a:ext cx="1901427" cy="2700000"/>
            </a:xfrm>
            <a:prstGeom prst="rect">
              <a:avLst/>
            </a:prstGeom>
            <a:ln>
              <a:solidFill>
                <a:schemeClr val="tx1"/>
              </a:solidFill>
            </a:ln>
          </xdr:spPr>
        </xdr:pic>
        <xdr:pic>
          <xdr:nvPicPr>
            <xdr:cNvPr id="44" name="Picture 43">
              <a:extLst>
                <a:ext uri="{FF2B5EF4-FFF2-40B4-BE49-F238E27FC236}">
                  <a16:creationId xmlns:a16="http://schemas.microsoft.com/office/drawing/2014/main" xmlns="" id="{0E1723C9-21BE-4C1C-97F5-05DD50658597}"/>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478286" y="209550"/>
              <a:ext cx="1901427" cy="2700000"/>
            </a:xfrm>
            <a:prstGeom prst="rect">
              <a:avLst/>
            </a:prstGeom>
            <a:ln>
              <a:solidFill>
                <a:schemeClr val="tx1"/>
              </a:solidFill>
            </a:ln>
          </xdr:spPr>
        </xdr:pic>
        <xdr:pic>
          <xdr:nvPicPr>
            <xdr:cNvPr id="45" name="Picture 44">
              <a:extLst>
                <a:ext uri="{FF2B5EF4-FFF2-40B4-BE49-F238E27FC236}">
                  <a16:creationId xmlns:a16="http://schemas.microsoft.com/office/drawing/2014/main" xmlns="" id="{454BCDDD-76C7-49A1-8E0E-83FBCD5112E8}"/>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571999" y="209550"/>
              <a:ext cx="1901427" cy="2700000"/>
            </a:xfrm>
            <a:prstGeom prst="rect">
              <a:avLst/>
            </a:prstGeom>
            <a:ln>
              <a:solidFill>
                <a:schemeClr val="tx1"/>
              </a:solidFill>
            </a:ln>
          </xdr:spPr>
        </xdr:pic>
        <xdr:pic>
          <xdr:nvPicPr>
            <xdr:cNvPr id="46" name="Picture 45">
              <a:extLst>
                <a:ext uri="{FF2B5EF4-FFF2-40B4-BE49-F238E27FC236}">
                  <a16:creationId xmlns:a16="http://schemas.microsoft.com/office/drawing/2014/main" xmlns="" id="{51FF8CD2-B6DE-4627-8976-1D6AC60F21B7}"/>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685800" y="3104035"/>
              <a:ext cx="5400000" cy="2431755"/>
            </a:xfrm>
            <a:prstGeom prst="rect">
              <a:avLst/>
            </a:prstGeom>
            <a:ln>
              <a:solidFill>
                <a:schemeClr val="tx1"/>
              </a:solidFill>
            </a:ln>
          </xdr:spPr>
        </xdr:pic>
        <xdr:pic>
          <xdr:nvPicPr>
            <xdr:cNvPr id="47" name="Picture 46">
              <a:extLst>
                <a:ext uri="{FF2B5EF4-FFF2-40B4-BE49-F238E27FC236}">
                  <a16:creationId xmlns:a16="http://schemas.microsoft.com/office/drawing/2014/main" xmlns="" id="{6D2E7968-FC37-4ABC-8F10-BC2F75952643}"/>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701536" y="5730274"/>
              <a:ext cx="2590800" cy="1508725"/>
            </a:xfrm>
            <a:prstGeom prst="rect">
              <a:avLst/>
            </a:prstGeom>
            <a:ln>
              <a:solidFill>
                <a:schemeClr val="tx1"/>
              </a:solidFill>
            </a:ln>
          </xdr:spPr>
        </xdr:pic>
        <xdr:pic>
          <xdr:nvPicPr>
            <xdr:cNvPr id="48" name="Picture 47">
              <a:extLst>
                <a:ext uri="{FF2B5EF4-FFF2-40B4-BE49-F238E27FC236}">
                  <a16:creationId xmlns:a16="http://schemas.microsoft.com/office/drawing/2014/main" xmlns="" id="{BCB6A5B1-D9C7-4052-9D3F-EEAF44F9A45D}"/>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448049" y="5730274"/>
              <a:ext cx="2590800" cy="1508725"/>
            </a:xfrm>
            <a:prstGeom prst="rect">
              <a:avLst/>
            </a:prstGeom>
            <a:ln>
              <a:solidFill>
                <a:schemeClr val="tx1"/>
              </a:solidFill>
            </a:ln>
          </xdr:spPr>
        </xdr:pic>
      </xdr:grpSp>
      <xdr:sp macro="" textlink="">
        <xdr:nvSpPr>
          <xdr:cNvPr id="40" name="TextBox 160">
            <a:extLst>
              <a:ext uri="{FF2B5EF4-FFF2-40B4-BE49-F238E27FC236}">
                <a16:creationId xmlns:a16="http://schemas.microsoft.com/office/drawing/2014/main" xmlns="" id="{C6AAB809-03BD-4C27-8B10-8E9278F8A853}"/>
              </a:ext>
            </a:extLst>
          </xdr:cNvPr>
          <xdr:cNvSpPr txBox="1"/>
        </xdr:nvSpPr>
        <xdr:spPr>
          <a:xfrm>
            <a:off x="1181210" y="209550"/>
            <a:ext cx="110479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Wing A</a:t>
            </a:r>
            <a:endParaRPr lang="en-IN" sz="2400" b="1">
              <a:solidFill>
                <a:srgbClr val="FF0000"/>
              </a:solidFill>
            </a:endParaRPr>
          </a:p>
        </xdr:txBody>
      </xdr:sp>
      <xdr:sp macro="" textlink="">
        <xdr:nvSpPr>
          <xdr:cNvPr id="41" name="TextBox 161">
            <a:extLst>
              <a:ext uri="{FF2B5EF4-FFF2-40B4-BE49-F238E27FC236}">
                <a16:creationId xmlns:a16="http://schemas.microsoft.com/office/drawing/2014/main" xmlns="" id="{81D33038-00F5-4880-AC3B-96CFA6160D31}"/>
              </a:ext>
            </a:extLst>
          </xdr:cNvPr>
          <xdr:cNvSpPr txBox="1"/>
        </xdr:nvSpPr>
        <xdr:spPr>
          <a:xfrm>
            <a:off x="2701057" y="209550"/>
            <a:ext cx="1091966"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Wing B</a:t>
            </a:r>
            <a:endParaRPr lang="en-IN" sz="2400" b="1">
              <a:solidFill>
                <a:srgbClr val="FF0000"/>
              </a:solidFill>
            </a:endParaRPr>
          </a:p>
        </xdr:txBody>
      </xdr:sp>
      <xdr:sp macro="" textlink="">
        <xdr:nvSpPr>
          <xdr:cNvPr id="42" name="TextBox 162">
            <a:extLst>
              <a:ext uri="{FF2B5EF4-FFF2-40B4-BE49-F238E27FC236}">
                <a16:creationId xmlns:a16="http://schemas.microsoft.com/office/drawing/2014/main" xmlns="" id="{07DBA35E-B11B-4BE0-A46F-5E96AF1E9FC6}"/>
              </a:ext>
            </a:extLst>
          </xdr:cNvPr>
          <xdr:cNvSpPr txBox="1"/>
        </xdr:nvSpPr>
        <xdr:spPr>
          <a:xfrm>
            <a:off x="4988660" y="209550"/>
            <a:ext cx="108234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Wing C</a:t>
            </a:r>
            <a:endParaRPr lang="en-IN" sz="2400" b="1">
              <a:solidFill>
                <a:srgbClr val="FF0000"/>
              </a:solidFill>
            </a:endParaRPr>
          </a:p>
        </xdr:txBody>
      </xdr:sp>
    </xdr:grpSp>
    <xdr:clientData/>
  </xdr:twoCellAnchor>
  <xdr:twoCellAnchor editAs="oneCell">
    <xdr:from>
      <xdr:col>5</xdr:col>
      <xdr:colOff>542926</xdr:colOff>
      <xdr:row>266</xdr:row>
      <xdr:rowOff>114300</xdr:rowOff>
    </xdr:from>
    <xdr:to>
      <xdr:col>7</xdr:col>
      <xdr:colOff>468623</xdr:colOff>
      <xdr:row>274</xdr:row>
      <xdr:rowOff>112124</xdr:rowOff>
    </xdr:to>
    <xdr:pic>
      <xdr:nvPicPr>
        <xdr:cNvPr id="49" name="Picture 48" descr="https://vsjcllp.vsjadon.com/upload/insp-243334-152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3905251" y="58454925"/>
          <a:ext cx="1182997" cy="15218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619125</xdr:colOff>
      <xdr:row>256</xdr:row>
      <xdr:rowOff>114299</xdr:rowOff>
    </xdr:from>
    <xdr:to>
      <xdr:col>9</xdr:col>
      <xdr:colOff>1033094</xdr:colOff>
      <xdr:row>266</xdr:row>
      <xdr:rowOff>28574</xdr:rowOff>
    </xdr:to>
    <xdr:pic>
      <xdr:nvPicPr>
        <xdr:cNvPr id="50" name="Picture 49" descr="https://vsjcllp.vsjadon.com/upload/insp-243334-843.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4581525" y="56549924"/>
          <a:ext cx="2423744" cy="1819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523875</xdr:colOff>
      <xdr:row>243</xdr:row>
      <xdr:rowOff>76200</xdr:rowOff>
    </xdr:from>
    <xdr:to>
      <xdr:col>9</xdr:col>
      <xdr:colOff>326723</xdr:colOff>
      <xdr:row>256</xdr:row>
      <xdr:rowOff>19050</xdr:rowOff>
    </xdr:to>
    <xdr:pic>
      <xdr:nvPicPr>
        <xdr:cNvPr id="51" name="Picture 50" descr="https://vsjcllp.vsjadon.com/upload/insp-243334-844.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4486275" y="54035325"/>
          <a:ext cx="1812623" cy="2419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xdr:colOff>
      <xdr:row>243</xdr:row>
      <xdr:rowOff>76200</xdr:rowOff>
    </xdr:from>
    <xdr:to>
      <xdr:col>6</xdr:col>
      <xdr:colOff>431498</xdr:colOff>
      <xdr:row>256</xdr:row>
      <xdr:rowOff>19050</xdr:rowOff>
    </xdr:to>
    <xdr:pic>
      <xdr:nvPicPr>
        <xdr:cNvPr id="52" name="Picture 51" descr="https://vsjcllp.vsjadon.com/upload/insp-243334-847.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581275" y="54035325"/>
          <a:ext cx="1812623" cy="2419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161926</xdr:colOff>
      <xdr:row>256</xdr:row>
      <xdr:rowOff>114299</xdr:rowOff>
    </xdr:from>
    <xdr:to>
      <xdr:col>6</xdr:col>
      <xdr:colOff>558918</xdr:colOff>
      <xdr:row>266</xdr:row>
      <xdr:rowOff>35924</xdr:rowOff>
    </xdr:to>
    <xdr:pic>
      <xdr:nvPicPr>
        <xdr:cNvPr id="53" name="Picture 52" descr="https://vsjcllp.vsjadon.com/upload/insp-243334-861.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3152776" y="56549924"/>
          <a:ext cx="1368542" cy="18266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243</xdr:row>
      <xdr:rowOff>85725</xdr:rowOff>
    </xdr:from>
    <xdr:to>
      <xdr:col>2</xdr:col>
      <xdr:colOff>945848</xdr:colOff>
      <xdr:row>256</xdr:row>
      <xdr:rowOff>28575</xdr:rowOff>
    </xdr:to>
    <xdr:pic>
      <xdr:nvPicPr>
        <xdr:cNvPr id="54" name="Picture 53" descr="https://vsjcllp.vsjadon.com/upload/insp-243334-862.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676275" y="54044850"/>
          <a:ext cx="1812623" cy="2419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230</xdr:row>
      <xdr:rowOff>47625</xdr:rowOff>
    </xdr:from>
    <xdr:to>
      <xdr:col>2</xdr:col>
      <xdr:colOff>945848</xdr:colOff>
      <xdr:row>242</xdr:row>
      <xdr:rowOff>180975</xdr:rowOff>
    </xdr:to>
    <xdr:pic>
      <xdr:nvPicPr>
        <xdr:cNvPr id="55" name="Picture 54" descr="https://vsjcllp.vsjadon.com/upload/insp-243334-860.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676275" y="51530250"/>
          <a:ext cx="1812623" cy="2419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xdr:colOff>
      <xdr:row>230</xdr:row>
      <xdr:rowOff>47625</xdr:rowOff>
    </xdr:from>
    <xdr:to>
      <xdr:col>6</xdr:col>
      <xdr:colOff>431498</xdr:colOff>
      <xdr:row>242</xdr:row>
      <xdr:rowOff>180975</xdr:rowOff>
    </xdr:to>
    <xdr:pic>
      <xdr:nvPicPr>
        <xdr:cNvPr id="56" name="Picture 55" descr="https://vsjcllp.vsjadon.com/upload/insp-243334-871.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2581275" y="51530250"/>
          <a:ext cx="1812623" cy="2419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219076</xdr:colOff>
      <xdr:row>256</xdr:row>
      <xdr:rowOff>104774</xdr:rowOff>
    </xdr:from>
    <xdr:to>
      <xdr:col>2</xdr:col>
      <xdr:colOff>44568</xdr:colOff>
      <xdr:row>266</xdr:row>
      <xdr:rowOff>26399</xdr:rowOff>
    </xdr:to>
    <xdr:pic>
      <xdr:nvPicPr>
        <xdr:cNvPr id="57" name="Picture 56" descr="https://vsjcllp.vsjadon.com/upload/insp-243334-874.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219076" y="56540399"/>
          <a:ext cx="1368542" cy="18266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142876</xdr:colOff>
      <xdr:row>256</xdr:row>
      <xdr:rowOff>104774</xdr:rowOff>
    </xdr:from>
    <xdr:to>
      <xdr:col>4</xdr:col>
      <xdr:colOff>63618</xdr:colOff>
      <xdr:row>266</xdr:row>
      <xdr:rowOff>26399</xdr:rowOff>
    </xdr:to>
    <xdr:pic>
      <xdr:nvPicPr>
        <xdr:cNvPr id="58" name="Picture 57" descr="https://vsjcllp.vsjadon.com/upload/insp-243334-880.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1685926" y="56540399"/>
          <a:ext cx="1368542" cy="18266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514350</xdr:colOff>
      <xdr:row>230</xdr:row>
      <xdr:rowOff>47625</xdr:rowOff>
    </xdr:from>
    <xdr:to>
      <xdr:col>9</xdr:col>
      <xdr:colOff>317198</xdr:colOff>
      <xdr:row>242</xdr:row>
      <xdr:rowOff>180975</xdr:rowOff>
    </xdr:to>
    <xdr:pic>
      <xdr:nvPicPr>
        <xdr:cNvPr id="59" name="Picture 58" descr="https://vsjcllp.vsjadon.com/upload/insp-243334-916.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4476750" y="51530250"/>
          <a:ext cx="1812623" cy="2419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171450</xdr:colOff>
      <xdr:row>266</xdr:row>
      <xdr:rowOff>114300</xdr:rowOff>
    </xdr:from>
    <xdr:to>
      <xdr:col>5</xdr:col>
      <xdr:colOff>455776</xdr:colOff>
      <xdr:row>274</xdr:row>
      <xdr:rowOff>112124</xdr:rowOff>
    </xdr:to>
    <xdr:pic>
      <xdr:nvPicPr>
        <xdr:cNvPr id="62" name="Picture 61" descr="https://vsjcllp.vsjadon.com/upload/insp-243334-851.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1714500" y="58454925"/>
          <a:ext cx="2103601" cy="15218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12</xdr:row>
      <xdr:rowOff>9525</xdr:rowOff>
    </xdr:from>
    <xdr:to>
      <xdr:col>10</xdr:col>
      <xdr:colOff>495300</xdr:colOff>
      <xdr:row>21</xdr:row>
      <xdr:rowOff>66675</xdr:rowOff>
    </xdr:to>
    <xdr:pic>
      <xdr:nvPicPr>
        <xdr:cNvPr id="4161" name="Picture 1">
          <a:extLst>
            <a:ext uri="{FF2B5EF4-FFF2-40B4-BE49-F238E27FC236}">
              <a16:creationId xmlns:a16="http://schemas.microsoft.com/office/drawing/2014/main" xmlns="" id="{00000000-0008-0000-0100-0000411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477000" y="2295525"/>
          <a:ext cx="15049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342900</xdr:colOff>
      <xdr:row>12</xdr:row>
      <xdr:rowOff>0</xdr:rowOff>
    </xdr:from>
    <xdr:to>
      <xdr:col>13</xdr:col>
      <xdr:colOff>0</xdr:colOff>
      <xdr:row>21</xdr:row>
      <xdr:rowOff>57150</xdr:rowOff>
    </xdr:to>
    <xdr:pic>
      <xdr:nvPicPr>
        <xdr:cNvPr id="4162" name="Picture 2">
          <a:extLst>
            <a:ext uri="{FF2B5EF4-FFF2-40B4-BE49-F238E27FC236}">
              <a16:creationId xmlns:a16="http://schemas.microsoft.com/office/drawing/2014/main" xmlns="" id="{00000000-0008-0000-0100-0000421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8439150" y="2286000"/>
          <a:ext cx="137160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295275</xdr:colOff>
      <xdr:row>1</xdr:row>
      <xdr:rowOff>0</xdr:rowOff>
    </xdr:from>
    <xdr:to>
      <xdr:col>12</xdr:col>
      <xdr:colOff>476250</xdr:colOff>
      <xdr:row>24</xdr:row>
      <xdr:rowOff>123825</xdr:rowOff>
    </xdr:to>
    <xdr:pic>
      <xdr:nvPicPr>
        <xdr:cNvPr id="6151" name="Picture 1">
          <a:extLst>
            <a:ext uri="{FF2B5EF4-FFF2-40B4-BE49-F238E27FC236}">
              <a16:creationId xmlns:a16="http://schemas.microsoft.com/office/drawing/2014/main" xmlns="" id="{00000000-0008-0000-0500-00000718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638675" y="190500"/>
          <a:ext cx="3228975" cy="450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7</xdr:col>
      <xdr:colOff>190500</xdr:colOff>
      <xdr:row>24</xdr:row>
      <xdr:rowOff>123825</xdr:rowOff>
    </xdr:to>
    <xdr:pic>
      <xdr:nvPicPr>
        <xdr:cNvPr id="6152" name="Picture 2">
          <a:extLst>
            <a:ext uri="{FF2B5EF4-FFF2-40B4-BE49-F238E27FC236}">
              <a16:creationId xmlns:a16="http://schemas.microsoft.com/office/drawing/2014/main" xmlns="" id="{00000000-0008-0000-0500-00000818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295400" y="190500"/>
          <a:ext cx="3238500" cy="450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H2y56PwCVer8VWoAA?coh=178572&amp;entry=tt"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76"/>
  <sheetViews>
    <sheetView tabSelected="1" view="pageBreakPreview" topLeftCell="A218" zoomScaleNormal="100" zoomScaleSheetLayoutView="100" zoomScalePageLayoutView="85" workbookViewId="0">
      <selection activeCell="O72" sqref="O72"/>
    </sheetView>
  </sheetViews>
  <sheetFormatPr defaultColWidth="9.140625" defaultRowHeight="15" x14ac:dyDescent="0.25"/>
  <cols>
    <col min="1" max="1" width="8.7109375" style="42" customWidth="1"/>
    <col min="2" max="3" width="14.42578125" style="42" customWidth="1"/>
    <col min="4" max="4" width="7.28515625" style="42" customWidth="1"/>
    <col min="5" max="5" width="5.5703125" style="42" customWidth="1"/>
    <col min="6" max="6" width="9" style="42" customWidth="1"/>
    <col min="7" max="8" width="9.85546875" style="42" customWidth="1"/>
    <col min="9" max="9" width="10.42578125" style="42" customWidth="1"/>
    <col min="10" max="10" width="17.28515625" style="42" customWidth="1"/>
    <col min="11" max="11" width="3.5703125" style="42" customWidth="1"/>
    <col min="12" max="16384" width="9.140625" style="42"/>
  </cols>
  <sheetData>
    <row r="1" spans="1:10" ht="43.9" customHeight="1" x14ac:dyDescent="0.25">
      <c r="A1" s="108" t="s">
        <v>269</v>
      </c>
      <c r="B1" s="109"/>
      <c r="C1" s="109"/>
      <c r="D1" s="109"/>
      <c r="E1" s="109"/>
      <c r="F1" s="109"/>
      <c r="G1" s="109"/>
      <c r="H1" s="109"/>
      <c r="I1" s="109"/>
      <c r="J1" s="110"/>
    </row>
    <row r="2" spans="1:10" x14ac:dyDescent="0.25">
      <c r="A2" s="111" t="s">
        <v>43</v>
      </c>
      <c r="B2" s="112"/>
      <c r="C2" s="112"/>
      <c r="D2" s="112"/>
      <c r="E2" s="112"/>
      <c r="F2" s="112"/>
      <c r="G2" s="112"/>
      <c r="H2" s="112"/>
      <c r="I2" s="112"/>
      <c r="J2" s="113"/>
    </row>
    <row r="3" spans="1:10" x14ac:dyDescent="0.25">
      <c r="A3" s="80" t="s">
        <v>0</v>
      </c>
      <c r="B3" s="81"/>
      <c r="C3" s="81"/>
      <c r="D3" s="81"/>
      <c r="E3" s="82"/>
      <c r="F3" s="114" t="str">
        <f ca="1">TEXT(TODAY(),"DD/MM/YYYY")</f>
        <v>14/08/2025</v>
      </c>
      <c r="G3" s="115"/>
      <c r="H3" s="115"/>
      <c r="I3" s="115"/>
      <c r="J3" s="116"/>
    </row>
    <row r="4" spans="1:10" ht="15" customHeight="1" x14ac:dyDescent="0.25">
      <c r="A4" s="80" t="s">
        <v>1</v>
      </c>
      <c r="B4" s="81"/>
      <c r="C4" s="81"/>
      <c r="D4" s="81"/>
      <c r="E4" s="82"/>
      <c r="F4" s="125" t="s">
        <v>139</v>
      </c>
      <c r="G4" s="126"/>
      <c r="H4" s="126"/>
      <c r="I4" s="126"/>
      <c r="J4" s="27"/>
    </row>
    <row r="5" spans="1:10" x14ac:dyDescent="0.25">
      <c r="A5" s="80" t="s">
        <v>2</v>
      </c>
      <c r="B5" s="81"/>
      <c r="C5" s="81"/>
      <c r="D5" s="81"/>
      <c r="E5" s="82"/>
      <c r="F5" s="114">
        <v>45880</v>
      </c>
      <c r="G5" s="115"/>
      <c r="H5" s="115"/>
      <c r="I5" s="115"/>
      <c r="J5" s="116"/>
    </row>
    <row r="6" spans="1:10" ht="16.5" customHeight="1" x14ac:dyDescent="0.25">
      <c r="A6" s="80" t="s">
        <v>3</v>
      </c>
      <c r="B6" s="81"/>
      <c r="C6" s="81"/>
      <c r="D6" s="81"/>
      <c r="E6" s="82"/>
      <c r="F6" s="96" t="s">
        <v>152</v>
      </c>
      <c r="G6" s="97"/>
      <c r="H6" s="97"/>
      <c r="I6" s="97"/>
      <c r="J6" s="98"/>
    </row>
    <row r="7" spans="1:10" ht="15" customHeight="1" x14ac:dyDescent="0.25">
      <c r="A7" s="80" t="s">
        <v>4</v>
      </c>
      <c r="B7" s="81"/>
      <c r="C7" s="81"/>
      <c r="D7" s="81"/>
      <c r="E7" s="82"/>
      <c r="F7" s="96" t="str">
        <f>F6</f>
        <v>M/s. Savera Builders &amp; Developers</v>
      </c>
      <c r="G7" s="97"/>
      <c r="H7" s="97"/>
      <c r="I7" s="97"/>
      <c r="J7" s="98"/>
    </row>
    <row r="8" spans="1:10" x14ac:dyDescent="0.25">
      <c r="A8" s="80" t="s">
        <v>5</v>
      </c>
      <c r="B8" s="81"/>
      <c r="C8" s="81"/>
      <c r="D8" s="81"/>
      <c r="E8" s="82"/>
      <c r="F8" s="105" t="s">
        <v>153</v>
      </c>
      <c r="G8" s="106"/>
      <c r="H8" s="106"/>
      <c r="I8" s="106"/>
      <c r="J8" s="107"/>
    </row>
    <row r="9" spans="1:10" x14ac:dyDescent="0.25">
      <c r="A9" s="80" t="s">
        <v>99</v>
      </c>
      <c r="B9" s="81"/>
      <c r="C9" s="81"/>
      <c r="D9" s="81"/>
      <c r="E9" s="82"/>
      <c r="F9" s="96" t="s">
        <v>186</v>
      </c>
      <c r="G9" s="81"/>
      <c r="H9" s="81"/>
      <c r="I9" s="81"/>
      <c r="J9" s="82"/>
    </row>
    <row r="10" spans="1:10" ht="62.25" customHeight="1" x14ac:dyDescent="0.25">
      <c r="A10" s="80" t="s">
        <v>134</v>
      </c>
      <c r="B10" s="81"/>
      <c r="C10" s="81"/>
      <c r="D10" s="81"/>
      <c r="E10" s="82"/>
      <c r="F10" s="96" t="s">
        <v>187</v>
      </c>
      <c r="G10" s="81"/>
      <c r="H10" s="81"/>
      <c r="I10" s="81"/>
      <c r="J10" s="82"/>
    </row>
    <row r="11" spans="1:10" x14ac:dyDescent="0.25">
      <c r="A11" s="80" t="s">
        <v>6</v>
      </c>
      <c r="B11" s="81"/>
      <c r="C11" s="81"/>
      <c r="D11" s="81"/>
      <c r="E11" s="82"/>
      <c r="F11" s="96" t="s">
        <v>154</v>
      </c>
      <c r="G11" s="97"/>
      <c r="H11" s="97"/>
      <c r="I11" s="97"/>
      <c r="J11" s="98"/>
    </row>
    <row r="12" spans="1:10" x14ac:dyDescent="0.25">
      <c r="A12" s="88" t="s">
        <v>130</v>
      </c>
      <c r="B12" s="88"/>
      <c r="C12" s="88"/>
      <c r="D12" s="88"/>
      <c r="E12" s="88"/>
      <c r="F12" s="88" t="s">
        <v>155</v>
      </c>
      <c r="G12" s="88"/>
      <c r="H12" s="88"/>
      <c r="I12" s="88"/>
      <c r="J12" s="88"/>
    </row>
    <row r="13" spans="1:10" x14ac:dyDescent="0.25">
      <c r="A13" s="88" t="s">
        <v>58</v>
      </c>
      <c r="B13" s="88"/>
      <c r="C13" s="89" t="str">
        <f>CONCATENATE((IF(OR(F8="",F8="NA"),"",F8)),", ",(IF(OR(A14="",A14="NA"),"",A14)),". ",(IF(OR(C14="",C14="NA"),"",C14)),", ",(IF(OR(B15="",B15="NA"),"",B15)),", ",(IF(OR(I14="",I14="NA"),"",I14)),", ",(IF(OR(B16="",B16="NA"),"",B16)),", ",(IF(OR(G15="",G15="NA"),"",G15)),".")</f>
        <v>Savera Complex, Gut No. 144, Kelve road, Zanzroli, Palghar, Palghar.</v>
      </c>
      <c r="D13" s="89"/>
      <c r="E13" s="89"/>
      <c r="F13" s="89"/>
      <c r="G13" s="89"/>
      <c r="H13" s="89"/>
      <c r="I13" s="89"/>
      <c r="J13" s="89"/>
    </row>
    <row r="14" spans="1:10" x14ac:dyDescent="0.25">
      <c r="A14" s="89" t="s">
        <v>156</v>
      </c>
      <c r="B14" s="89"/>
      <c r="C14" s="89">
        <v>144</v>
      </c>
      <c r="D14" s="89"/>
      <c r="E14" s="89"/>
      <c r="F14" s="89"/>
      <c r="G14" s="89"/>
      <c r="H14" s="32" t="s">
        <v>59</v>
      </c>
      <c r="I14" s="89" t="s">
        <v>157</v>
      </c>
      <c r="J14" s="89"/>
    </row>
    <row r="15" spans="1:10" x14ac:dyDescent="0.25">
      <c r="A15" s="33" t="s">
        <v>7</v>
      </c>
      <c r="B15" s="88" t="s">
        <v>178</v>
      </c>
      <c r="C15" s="88"/>
      <c r="D15" s="88"/>
      <c r="E15" s="88"/>
      <c r="F15" s="33" t="s">
        <v>60</v>
      </c>
      <c r="G15" s="88" t="s">
        <v>188</v>
      </c>
      <c r="H15" s="88"/>
      <c r="I15" s="88"/>
      <c r="J15" s="88"/>
    </row>
    <row r="16" spans="1:10" x14ac:dyDescent="0.25">
      <c r="A16" s="33" t="s">
        <v>8</v>
      </c>
      <c r="B16" s="88" t="s">
        <v>188</v>
      </c>
      <c r="C16" s="88"/>
      <c r="D16" s="88"/>
      <c r="E16" s="88"/>
      <c r="F16" s="33" t="s">
        <v>61</v>
      </c>
      <c r="G16" s="88">
        <v>401401</v>
      </c>
      <c r="H16" s="88"/>
      <c r="I16" s="88"/>
      <c r="J16" s="88"/>
    </row>
    <row r="17" spans="1:10" ht="32.25" customHeight="1" x14ac:dyDescent="0.25">
      <c r="A17" s="88" t="s">
        <v>62</v>
      </c>
      <c r="B17" s="88"/>
      <c r="C17" s="88" t="s">
        <v>177</v>
      </c>
      <c r="D17" s="88"/>
      <c r="E17" s="88"/>
      <c r="F17" s="89" t="s">
        <v>50</v>
      </c>
      <c r="G17" s="89"/>
      <c r="H17" s="89" t="s">
        <v>239</v>
      </c>
      <c r="I17" s="89"/>
      <c r="J17" s="89"/>
    </row>
    <row r="18" spans="1:10" ht="15" customHeight="1" x14ac:dyDescent="0.25">
      <c r="A18" s="90" t="s">
        <v>133</v>
      </c>
      <c r="B18" s="91"/>
      <c r="C18" s="91"/>
      <c r="D18" s="91"/>
      <c r="E18" s="92"/>
      <c r="F18" s="99" t="s">
        <v>56</v>
      </c>
      <c r="G18" s="100"/>
      <c r="H18" s="100"/>
      <c r="I18" s="100"/>
      <c r="J18" s="101"/>
    </row>
    <row r="19" spans="1:10" x14ac:dyDescent="0.25">
      <c r="A19" s="93"/>
      <c r="B19" s="94"/>
      <c r="C19" s="94"/>
      <c r="D19" s="94"/>
      <c r="E19" s="95"/>
      <c r="F19" s="102"/>
      <c r="G19" s="103"/>
      <c r="H19" s="103"/>
      <c r="I19" s="103"/>
      <c r="J19" s="104"/>
    </row>
    <row r="20" spans="1:10" ht="15" customHeight="1" x14ac:dyDescent="0.25">
      <c r="A20" s="90" t="s">
        <v>100</v>
      </c>
      <c r="B20" s="91"/>
      <c r="C20" s="91"/>
      <c r="D20" s="91"/>
      <c r="E20" s="92"/>
      <c r="F20" s="90" t="s">
        <v>45</v>
      </c>
      <c r="G20" s="91"/>
      <c r="H20" s="91"/>
      <c r="I20" s="91"/>
      <c r="J20" s="92"/>
    </row>
    <row r="21" spans="1:10" x14ac:dyDescent="0.25">
      <c r="A21" s="93"/>
      <c r="B21" s="94"/>
      <c r="C21" s="94"/>
      <c r="D21" s="94"/>
      <c r="E21" s="95"/>
      <c r="F21" s="93"/>
      <c r="G21" s="94"/>
      <c r="H21" s="94"/>
      <c r="I21" s="94"/>
      <c r="J21" s="95"/>
    </row>
    <row r="22" spans="1:10" ht="15" customHeight="1" x14ac:dyDescent="0.25">
      <c r="A22" s="80" t="s">
        <v>9</v>
      </c>
      <c r="B22" s="81"/>
      <c r="C22" s="81"/>
      <c r="D22" s="81"/>
      <c r="E22" s="82"/>
      <c r="F22" s="125" t="s">
        <v>128</v>
      </c>
      <c r="G22" s="126"/>
      <c r="H22" s="126"/>
      <c r="I22" s="126"/>
      <c r="J22" s="34"/>
    </row>
    <row r="23" spans="1:10" x14ac:dyDescent="0.25">
      <c r="A23" s="80" t="s">
        <v>10</v>
      </c>
      <c r="B23" s="81"/>
      <c r="C23" s="81"/>
      <c r="D23" s="81"/>
      <c r="E23" s="82"/>
      <c r="F23" s="83" t="s">
        <v>51</v>
      </c>
      <c r="G23" s="84"/>
      <c r="H23" s="84"/>
      <c r="I23" s="84"/>
      <c r="J23" s="85"/>
    </row>
    <row r="24" spans="1:10" ht="15" customHeight="1" x14ac:dyDescent="0.25">
      <c r="A24" s="80" t="s">
        <v>11</v>
      </c>
      <c r="B24" s="81"/>
      <c r="C24" s="81"/>
      <c r="D24" s="81"/>
      <c r="E24" s="82"/>
      <c r="F24" s="125" t="s">
        <v>129</v>
      </c>
      <c r="G24" s="126"/>
      <c r="H24" s="126"/>
      <c r="I24" s="126"/>
      <c r="J24" s="34"/>
    </row>
    <row r="25" spans="1:10" x14ac:dyDescent="0.25">
      <c r="A25" s="80" t="s">
        <v>28</v>
      </c>
      <c r="B25" s="81"/>
      <c r="C25" s="81"/>
      <c r="D25" s="81"/>
      <c r="E25" s="82"/>
      <c r="F25" s="83" t="s">
        <v>63</v>
      </c>
      <c r="G25" s="84"/>
      <c r="H25" s="84"/>
      <c r="I25" s="84"/>
      <c r="J25" s="85"/>
    </row>
    <row r="26" spans="1:10" x14ac:dyDescent="0.25">
      <c r="A26" s="65" t="s">
        <v>12</v>
      </c>
      <c r="B26" s="65"/>
      <c r="C26" s="86" t="s">
        <v>13</v>
      </c>
      <c r="D26" s="87"/>
      <c r="E26" s="86" t="s">
        <v>14</v>
      </c>
      <c r="F26" s="87"/>
      <c r="G26" s="86" t="s">
        <v>49</v>
      </c>
      <c r="H26" s="87"/>
      <c r="I26" s="86" t="s">
        <v>15</v>
      </c>
      <c r="J26" s="87"/>
    </row>
    <row r="27" spans="1:10" x14ac:dyDescent="0.25">
      <c r="A27" s="65" t="s">
        <v>16</v>
      </c>
      <c r="B27" s="65"/>
      <c r="C27" s="86" t="s">
        <v>48</v>
      </c>
      <c r="D27" s="87"/>
      <c r="E27" s="86" t="s">
        <v>48</v>
      </c>
      <c r="F27" s="87"/>
      <c r="G27" s="86" t="s">
        <v>48</v>
      </c>
      <c r="H27" s="87"/>
      <c r="I27" s="86" t="s">
        <v>48</v>
      </c>
      <c r="J27" s="87"/>
    </row>
    <row r="28" spans="1:10" x14ac:dyDescent="0.25">
      <c r="A28" s="65" t="s">
        <v>17</v>
      </c>
      <c r="B28" s="65"/>
      <c r="C28" s="86" t="s">
        <v>182</v>
      </c>
      <c r="D28" s="87"/>
      <c r="E28" s="86" t="s">
        <v>179</v>
      </c>
      <c r="F28" s="87"/>
      <c r="G28" s="86" t="s">
        <v>180</v>
      </c>
      <c r="H28" s="87"/>
      <c r="I28" s="86" t="s">
        <v>181</v>
      </c>
      <c r="J28" s="87"/>
    </row>
    <row r="29" spans="1:10" x14ac:dyDescent="0.25">
      <c r="A29" s="80" t="s">
        <v>55</v>
      </c>
      <c r="B29" s="81"/>
      <c r="C29" s="81"/>
      <c r="D29" s="81"/>
      <c r="E29" s="81"/>
      <c r="F29" s="81"/>
      <c r="G29" s="81"/>
      <c r="H29" s="81"/>
      <c r="I29" s="81"/>
      <c r="J29" s="82"/>
    </row>
    <row r="30" spans="1:10" x14ac:dyDescent="0.25">
      <c r="A30" s="80" t="s">
        <v>125</v>
      </c>
      <c r="B30" s="81"/>
      <c r="C30" s="81"/>
      <c r="D30" s="81"/>
      <c r="E30" s="81"/>
      <c r="F30" s="81"/>
      <c r="G30" s="81"/>
      <c r="H30" s="81"/>
      <c r="I30" s="81"/>
      <c r="J30" s="82"/>
    </row>
    <row r="31" spans="1:10" x14ac:dyDescent="0.25">
      <c r="A31" s="88" t="s">
        <v>38</v>
      </c>
      <c r="B31" s="88"/>
      <c r="C31" s="86" t="s">
        <v>39</v>
      </c>
      <c r="D31" s="87"/>
      <c r="E31" s="86">
        <v>19.622890999999999</v>
      </c>
      <c r="F31" s="87"/>
      <c r="G31" s="86" t="s">
        <v>40</v>
      </c>
      <c r="H31" s="87"/>
      <c r="I31" s="86">
        <v>72.796995999999993</v>
      </c>
      <c r="J31" s="87"/>
    </row>
    <row r="32" spans="1:10" x14ac:dyDescent="0.25">
      <c r="A32" s="88" t="s">
        <v>265</v>
      </c>
      <c r="B32" s="88"/>
      <c r="C32" s="120" t="s">
        <v>266</v>
      </c>
      <c r="D32" s="121"/>
      <c r="E32" s="121"/>
      <c r="F32" s="121"/>
      <c r="G32" s="121"/>
      <c r="H32" s="121"/>
      <c r="I32" s="121"/>
      <c r="J32" s="87"/>
    </row>
    <row r="33" spans="1:10" x14ac:dyDescent="0.25">
      <c r="A33" s="105" t="s">
        <v>18</v>
      </c>
      <c r="B33" s="106"/>
      <c r="C33" s="106"/>
      <c r="D33" s="106"/>
      <c r="E33" s="106"/>
      <c r="F33" s="106"/>
      <c r="G33" s="106"/>
      <c r="H33" s="106"/>
      <c r="I33" s="106"/>
      <c r="J33" s="107"/>
    </row>
    <row r="34" spans="1:10" ht="15" customHeight="1" x14ac:dyDescent="0.25">
      <c r="A34" s="96" t="s">
        <v>241</v>
      </c>
      <c r="B34" s="97"/>
      <c r="C34" s="97"/>
      <c r="D34" s="97"/>
      <c r="E34" s="98"/>
      <c r="F34" s="125" t="s">
        <v>158</v>
      </c>
      <c r="G34" s="126"/>
      <c r="H34" s="126"/>
      <c r="I34" s="126"/>
      <c r="J34" s="34"/>
    </row>
    <row r="35" spans="1:10" ht="15" customHeight="1" x14ac:dyDescent="0.25">
      <c r="A35" s="93" t="s">
        <v>143</v>
      </c>
      <c r="B35" s="94"/>
      <c r="C35" s="94"/>
      <c r="D35" s="94"/>
      <c r="E35" s="94"/>
      <c r="F35" s="96" t="s">
        <v>147</v>
      </c>
      <c r="G35" s="97"/>
      <c r="H35" s="97"/>
      <c r="I35" s="97"/>
      <c r="J35" s="98"/>
    </row>
    <row r="36" spans="1:10" x14ac:dyDescent="0.25">
      <c r="A36" s="105" t="s">
        <v>148</v>
      </c>
      <c r="B36" s="106"/>
      <c r="C36" s="106"/>
      <c r="D36" s="106"/>
      <c r="E36" s="106"/>
      <c r="F36" s="106"/>
      <c r="G36" s="106"/>
      <c r="H36" s="106"/>
      <c r="I36" s="106"/>
      <c r="J36" s="107"/>
    </row>
    <row r="37" spans="1:10" x14ac:dyDescent="0.25">
      <c r="A37" s="80" t="s">
        <v>64</v>
      </c>
      <c r="B37" s="81"/>
      <c r="C37" s="81"/>
      <c r="D37" s="81"/>
      <c r="E37" s="82"/>
      <c r="F37" s="117">
        <v>10167.73</v>
      </c>
      <c r="G37" s="118"/>
      <c r="H37" s="118"/>
      <c r="I37" s="118"/>
      <c r="J37" s="119"/>
    </row>
    <row r="38" spans="1:10" x14ac:dyDescent="0.25">
      <c r="A38" s="80" t="s">
        <v>19</v>
      </c>
      <c r="B38" s="81"/>
      <c r="C38" s="81"/>
      <c r="D38" s="81"/>
      <c r="E38" s="82"/>
      <c r="F38" s="122">
        <v>0.9</v>
      </c>
      <c r="G38" s="123"/>
      <c r="H38" s="123"/>
      <c r="I38" s="123"/>
      <c r="J38" s="124"/>
    </row>
    <row r="39" spans="1:10" x14ac:dyDescent="0.25">
      <c r="A39" s="80" t="s">
        <v>20</v>
      </c>
      <c r="B39" s="81"/>
      <c r="C39" s="81"/>
      <c r="D39" s="81"/>
      <c r="E39" s="82"/>
      <c r="F39" s="122">
        <f>F41/F37-F38</f>
        <v>0.18000015736059083</v>
      </c>
      <c r="G39" s="123"/>
      <c r="H39" s="123"/>
      <c r="I39" s="123"/>
      <c r="J39" s="124"/>
    </row>
    <row r="40" spans="1:10" x14ac:dyDescent="0.25">
      <c r="A40" s="80" t="s">
        <v>21</v>
      </c>
      <c r="B40" s="81"/>
      <c r="C40" s="81"/>
      <c r="D40" s="81"/>
      <c r="E40" s="82"/>
      <c r="F40" s="122">
        <f>F38+F39</f>
        <v>1.0800001573605909</v>
      </c>
      <c r="G40" s="123"/>
      <c r="H40" s="123"/>
      <c r="I40" s="123"/>
      <c r="J40" s="124"/>
    </row>
    <row r="41" spans="1:10" x14ac:dyDescent="0.25">
      <c r="A41" s="80" t="s">
        <v>65</v>
      </c>
      <c r="B41" s="81"/>
      <c r="C41" s="81"/>
      <c r="D41" s="81"/>
      <c r="E41" s="82"/>
      <c r="F41" s="127">
        <v>10981.15</v>
      </c>
      <c r="G41" s="128"/>
      <c r="H41" s="128"/>
      <c r="I41" s="128"/>
      <c r="J41" s="129"/>
    </row>
    <row r="42" spans="1:10" x14ac:dyDescent="0.25">
      <c r="A42" s="80" t="s">
        <v>22</v>
      </c>
      <c r="B42" s="81"/>
      <c r="C42" s="81"/>
      <c r="D42" s="81"/>
      <c r="E42" s="82"/>
      <c r="F42" s="80" t="s">
        <v>240</v>
      </c>
      <c r="G42" s="81"/>
      <c r="H42" s="81"/>
      <c r="I42" s="81"/>
      <c r="J42" s="82"/>
    </row>
    <row r="43" spans="1:10" x14ac:dyDescent="0.25">
      <c r="A43" s="105" t="s">
        <v>67</v>
      </c>
      <c r="B43" s="106"/>
      <c r="C43" s="106"/>
      <c r="D43" s="106"/>
      <c r="E43" s="106"/>
      <c r="F43" s="106"/>
      <c r="G43" s="106"/>
      <c r="H43" s="106"/>
      <c r="I43" s="106"/>
      <c r="J43" s="107"/>
    </row>
    <row r="44" spans="1:10" ht="16.5" customHeight="1" x14ac:dyDescent="0.25">
      <c r="A44" s="96" t="s">
        <v>66</v>
      </c>
      <c r="B44" s="97"/>
      <c r="C44" s="98"/>
      <c r="D44" s="96" t="s">
        <v>248</v>
      </c>
      <c r="E44" s="97"/>
      <c r="F44" s="97"/>
      <c r="G44" s="98"/>
      <c r="H44" s="26" t="s">
        <v>57</v>
      </c>
      <c r="I44" s="96" t="str">
        <f>I45</f>
        <v>16/02/2018.</v>
      </c>
      <c r="J44" s="98"/>
    </row>
    <row r="45" spans="1:10" ht="48.75" customHeight="1" x14ac:dyDescent="0.25">
      <c r="A45" s="96" t="s">
        <v>249</v>
      </c>
      <c r="B45" s="97"/>
      <c r="C45" s="98"/>
      <c r="D45" s="96" t="s">
        <v>248</v>
      </c>
      <c r="E45" s="97"/>
      <c r="F45" s="97"/>
      <c r="G45" s="98"/>
      <c r="H45" s="26" t="s">
        <v>57</v>
      </c>
      <c r="I45" s="96" t="s">
        <v>159</v>
      </c>
      <c r="J45" s="98"/>
    </row>
    <row r="46" spans="1:10" ht="48.75" customHeight="1" x14ac:dyDescent="0.25">
      <c r="A46" s="96" t="s">
        <v>250</v>
      </c>
      <c r="B46" s="97"/>
      <c r="C46" s="98"/>
      <c r="D46" s="96" t="s">
        <v>264</v>
      </c>
      <c r="E46" s="97"/>
      <c r="F46" s="97"/>
      <c r="G46" s="98"/>
      <c r="H46" s="26" t="s">
        <v>57</v>
      </c>
      <c r="I46" s="130">
        <v>44581</v>
      </c>
      <c r="J46" s="98"/>
    </row>
    <row r="47" spans="1:10" ht="78.75" customHeight="1" x14ac:dyDescent="0.25">
      <c r="A47" s="96" t="s">
        <v>251</v>
      </c>
      <c r="B47" s="97"/>
      <c r="C47" s="98"/>
      <c r="D47" s="96" t="s">
        <v>252</v>
      </c>
      <c r="E47" s="97"/>
      <c r="F47" s="97"/>
      <c r="G47" s="98"/>
      <c r="H47" s="33" t="s">
        <v>57</v>
      </c>
      <c r="I47" s="130">
        <v>44581</v>
      </c>
      <c r="J47" s="131"/>
    </row>
    <row r="48" spans="1:10" ht="15" customHeight="1" x14ac:dyDescent="0.25">
      <c r="A48" s="89" t="s">
        <v>97</v>
      </c>
      <c r="B48" s="89"/>
      <c r="C48" s="80" t="s">
        <v>48</v>
      </c>
      <c r="D48" s="81"/>
      <c r="E48" s="81"/>
      <c r="F48" s="82" t="s">
        <v>98</v>
      </c>
      <c r="G48" s="26" t="s">
        <v>57</v>
      </c>
      <c r="H48" s="96" t="s">
        <v>48</v>
      </c>
      <c r="I48" s="97" t="s">
        <v>48</v>
      </c>
      <c r="J48" s="98"/>
    </row>
    <row r="49" spans="1:12" x14ac:dyDescent="0.25">
      <c r="A49" s="88" t="s">
        <v>70</v>
      </c>
      <c r="B49" s="88"/>
      <c r="C49" s="88"/>
      <c r="D49" s="132">
        <v>43147</v>
      </c>
      <c r="E49" s="65"/>
      <c r="F49" s="80" t="s">
        <v>68</v>
      </c>
      <c r="G49" s="133"/>
      <c r="H49" s="114">
        <v>46387</v>
      </c>
      <c r="I49" s="81"/>
      <c r="J49" s="82"/>
    </row>
    <row r="50" spans="1:12" x14ac:dyDescent="0.25">
      <c r="A50" s="134" t="s">
        <v>23</v>
      </c>
      <c r="B50" s="135"/>
      <c r="C50" s="135"/>
      <c r="D50" s="135"/>
      <c r="E50" s="135"/>
      <c r="F50" s="135"/>
      <c r="G50" s="135"/>
      <c r="H50" s="135"/>
      <c r="I50" s="135"/>
      <c r="J50" s="136"/>
    </row>
    <row r="51" spans="1:12" ht="31.5" customHeight="1" x14ac:dyDescent="0.25">
      <c r="A51" s="80" t="s">
        <v>96</v>
      </c>
      <c r="B51" s="81"/>
      <c r="C51" s="82"/>
      <c r="D51" s="86">
        <f>F41</f>
        <v>10981.15</v>
      </c>
      <c r="E51" s="87"/>
      <c r="F51" s="89" t="s">
        <v>126</v>
      </c>
      <c r="G51" s="89"/>
      <c r="H51" s="89"/>
      <c r="I51" s="137" t="s">
        <v>262</v>
      </c>
      <c r="J51" s="137"/>
    </row>
    <row r="52" spans="1:12" ht="63" customHeight="1" x14ac:dyDescent="0.25">
      <c r="A52" s="86" t="s">
        <v>69</v>
      </c>
      <c r="B52" s="87"/>
      <c r="C52" s="96" t="s">
        <v>263</v>
      </c>
      <c r="D52" s="97"/>
      <c r="E52" s="97"/>
      <c r="F52" s="97"/>
      <c r="G52" s="97"/>
      <c r="H52" s="97"/>
      <c r="I52" s="97"/>
      <c r="J52" s="98"/>
    </row>
    <row r="53" spans="1:12" ht="63" customHeight="1" x14ac:dyDescent="0.25">
      <c r="A53" s="86" t="s">
        <v>245</v>
      </c>
      <c r="B53" s="87"/>
      <c r="C53" s="96" t="s">
        <v>246</v>
      </c>
      <c r="D53" s="97"/>
      <c r="E53" s="97"/>
      <c r="F53" s="97"/>
      <c r="G53" s="97"/>
      <c r="H53" s="97"/>
      <c r="I53" s="97"/>
      <c r="J53" s="98"/>
    </row>
    <row r="54" spans="1:12" x14ac:dyDescent="0.25">
      <c r="A54" s="80" t="s">
        <v>46</v>
      </c>
      <c r="B54" s="81"/>
      <c r="C54" s="81"/>
      <c r="D54" s="96" t="s">
        <v>52</v>
      </c>
      <c r="E54" s="97"/>
      <c r="F54" s="97"/>
      <c r="G54" s="97"/>
      <c r="H54" s="97"/>
      <c r="I54" s="97"/>
      <c r="J54" s="98"/>
    </row>
    <row r="55" spans="1:12" ht="15.75" thickBot="1" x14ac:dyDescent="0.3">
      <c r="A55" s="80" t="s">
        <v>53</v>
      </c>
      <c r="B55" s="81"/>
      <c r="C55" s="81"/>
      <c r="D55" s="81"/>
      <c r="E55" s="81"/>
      <c r="F55" s="81"/>
      <c r="G55" s="81"/>
      <c r="H55" s="81"/>
      <c r="I55" s="81"/>
      <c r="J55" s="82"/>
    </row>
    <row r="56" spans="1:12" ht="15" customHeight="1" x14ac:dyDescent="0.25">
      <c r="A56" s="169" t="s">
        <v>206</v>
      </c>
      <c r="B56" s="170"/>
      <c r="C56" s="144" t="s">
        <v>244</v>
      </c>
      <c r="D56" s="145"/>
      <c r="E56" s="145"/>
      <c r="F56" s="145"/>
      <c r="G56" s="145"/>
      <c r="H56" s="145"/>
      <c r="I56" s="145"/>
      <c r="J56" s="146"/>
      <c r="K56" s="35" t="str">
        <f ca="1">(IF(F60&gt;99%,"All work completed. Please provide OC.",IF(F60&gt;89.8%,"Plinth, RCC, Brick, Plaster, Flooring, Painting work Completed. Finishing work is in process.",IF(F60&lt;94%,(IF(C60=0,"Work not yet Started.",IF(D60=25%,"Piling work in process",IF(D60=50%,"Excavation work in process",IF(D60=100%,"Excavation work Completed. ","0")))&amp;(IF(C61=0%,"",IF(C61=L62,"Footing work is process",IF(C61=L63,"Footing work Completed",IF(C61=L64,"1st Basement Completed",IF(C61=L65,"1st &amp; 2nd Basement Completed",IF(C61=L66,"1st to 3rd Basement Completed",IF(C61=L67,"1st to 4th Basement Completed",IF(C61=L68,"Plinth work is process",IF(C61=L69,"Plinth work completed","0")))))))))))&amp;(IF(C62=(D57+G57+I57),", RCC Slab",IF(C62&gt;0,", RCC upto "&amp;C62&amp;" Slab",""))&amp;(IF(C63=I57,", Brickwork",IF(C63&gt;0,", Brickwork upto "&amp;C63&amp;" Floor",""))&amp;(IF(C64=I57,", Internal Plaster",IF(C64&gt;0,", Internal Plaster upto "&amp;C64&amp;" Floor",""))&amp;(IF(C65=I57,", External Plaster",IF(C65&gt;0,", External Plaster upto "&amp;C65&amp;" Floor",""))&amp;(IF(C66=I57,", Flooring",IF(C66&gt;0,", Flooring upto "&amp;C66&amp;" Floor",""))&amp;(IF(C67=I57,", Painting",IF(C67&gt;0,", Painting upto "&amp;C67&amp;" Floor",""))&amp;(IF(C68&gt;0,", Finishing upto "&amp;C68&amp;" Floor","")&amp;(IF(C62&gt;0.5," Completed",""))))))))))))))</f>
        <v>Excavation work Completed. Plinth work completed, RCC Slab, Brickwork, Internal Plaster upto 4 Floor, External Plaster upto 4 Floor, Flooring upto 4 Floor, Painting upto 4 Floor Completed</v>
      </c>
      <c r="L56" s="43"/>
    </row>
    <row r="57" spans="1:12" ht="15.75" x14ac:dyDescent="0.25">
      <c r="A57" s="29" t="s">
        <v>207</v>
      </c>
      <c r="B57" s="30">
        <v>0</v>
      </c>
      <c r="C57" s="30" t="s">
        <v>208</v>
      </c>
      <c r="D57" s="30">
        <v>1</v>
      </c>
      <c r="E57" s="147" t="s">
        <v>209</v>
      </c>
      <c r="F57" s="148"/>
      <c r="G57" s="30">
        <v>0</v>
      </c>
      <c r="H57" s="30" t="s">
        <v>210</v>
      </c>
      <c r="I57" s="147">
        <f ca="1">--TRIM(RIGHT(SUBSTITUTE(LEFT(C56,_xlfn.AGGREGATE(16,6,FIND({0,1,2,3,4,5,6,7,8,9},C56,ROW(INDIRECT("1:"&amp;LEN(C56)))),1))," ",REPT(" ",LEN(C56))),LEN(C56)))</f>
        <v>5</v>
      </c>
      <c r="J57" s="149"/>
      <c r="K57" s="36"/>
      <c r="L57" s="44"/>
    </row>
    <row r="58" spans="1:12" ht="50.25" customHeight="1" x14ac:dyDescent="0.25">
      <c r="A58" s="150" t="s">
        <v>211</v>
      </c>
      <c r="B58" s="151"/>
      <c r="C58" s="152" t="str">
        <f ca="1">K56</f>
        <v>Excavation work Completed. Plinth work completed, RCC Slab, Brickwork, Internal Plaster upto 4 Floor, External Plaster upto 4 Floor, Flooring upto 4 Floor, Painting upto 4 Floor Completed</v>
      </c>
      <c r="D58" s="153"/>
      <c r="E58" s="153"/>
      <c r="F58" s="153"/>
      <c r="G58" s="153"/>
      <c r="H58" s="153"/>
      <c r="I58" s="153"/>
      <c r="J58" s="154"/>
      <c r="K58" s="36" t="s">
        <v>212</v>
      </c>
      <c r="L58" s="44"/>
    </row>
    <row r="59" spans="1:12" ht="15.75" x14ac:dyDescent="0.25">
      <c r="A59" s="155" t="s">
        <v>33</v>
      </c>
      <c r="B59" s="156"/>
      <c r="C59" s="28" t="s">
        <v>213</v>
      </c>
      <c r="D59" s="139" t="s">
        <v>214</v>
      </c>
      <c r="E59" s="139"/>
      <c r="F59" s="139" t="s">
        <v>215</v>
      </c>
      <c r="G59" s="139"/>
      <c r="H59" s="139" t="s">
        <v>216</v>
      </c>
      <c r="I59" s="139"/>
      <c r="J59" s="157"/>
      <c r="K59" s="37" t="s">
        <v>217</v>
      </c>
      <c r="L59" s="45">
        <f ca="1">I57*25%</f>
        <v>1.25</v>
      </c>
    </row>
    <row r="60" spans="1:12" ht="15.75" x14ac:dyDescent="0.25">
      <c r="A60" s="138" t="s">
        <v>218</v>
      </c>
      <c r="B60" s="139"/>
      <c r="C60" s="46">
        <f ca="1">L61</f>
        <v>5</v>
      </c>
      <c r="D60" s="140">
        <f ca="1">((100/I57)*C60)/100</f>
        <v>1</v>
      </c>
      <c r="E60" s="141"/>
      <c r="F60" s="158">
        <f ca="1">(((C61/I57*10)+(40/(D57+G57+I57)*C62)+(7.5/(I57)*C63)+(7.5/(I57)*C64)+(10/I57*C65)+(10/I57*C66)+(5/I57*C67)+(5/I57*C68)+(5/I57*C69))/100)</f>
        <v>0.83499999999999996</v>
      </c>
      <c r="G60" s="158"/>
      <c r="H60" s="160">
        <f ca="1">((((C60/I57)*20)+((C61/I57)*25)+(30/(I57+G57+D57)*C62)+(5/I57*C63)+(5/I57*C64)+(5/I57*C65)+(5/I57*C66)+(0/I57*C67)+(0/I57*C68)+(5/I57*C69))/100)</f>
        <v>0.92</v>
      </c>
      <c r="I60" s="161"/>
      <c r="J60" s="162"/>
      <c r="K60" s="37" t="s">
        <v>219</v>
      </c>
      <c r="L60" s="47">
        <f ca="1">I57*50%</f>
        <v>2.5</v>
      </c>
    </row>
    <row r="61" spans="1:12" ht="15.75" x14ac:dyDescent="0.25">
      <c r="A61" s="138" t="s">
        <v>34</v>
      </c>
      <c r="B61" s="139"/>
      <c r="C61" s="48">
        <f ca="1">L69</f>
        <v>5</v>
      </c>
      <c r="D61" s="140">
        <f ca="1">((100/I57)*C61)/100</f>
        <v>1</v>
      </c>
      <c r="E61" s="141"/>
      <c r="F61" s="158"/>
      <c r="G61" s="158"/>
      <c r="H61" s="163"/>
      <c r="I61" s="164"/>
      <c r="J61" s="165"/>
      <c r="K61" s="37" t="s">
        <v>220</v>
      </c>
      <c r="L61" s="47">
        <f ca="1">I57</f>
        <v>5</v>
      </c>
    </row>
    <row r="62" spans="1:12" ht="15.75" x14ac:dyDescent="0.25">
      <c r="A62" s="142" t="s">
        <v>221</v>
      </c>
      <c r="B62" s="143"/>
      <c r="C62" s="48">
        <v>6</v>
      </c>
      <c r="D62" s="140">
        <f ca="1">((100/(D57+G57+I57))*C62)/100</f>
        <v>1</v>
      </c>
      <c r="E62" s="141"/>
      <c r="F62" s="158"/>
      <c r="G62" s="158"/>
      <c r="H62" s="163"/>
      <c r="I62" s="164"/>
      <c r="J62" s="165"/>
      <c r="K62" s="37" t="s">
        <v>222</v>
      </c>
      <c r="L62" s="49">
        <f ca="1">(IF(B57&gt;1,(I57/(B57+2)),I57/4))</f>
        <v>1.25</v>
      </c>
    </row>
    <row r="63" spans="1:12" ht="15.75" x14ac:dyDescent="0.25">
      <c r="A63" s="138" t="s">
        <v>223</v>
      </c>
      <c r="B63" s="139" t="s">
        <v>224</v>
      </c>
      <c r="C63" s="46">
        <v>5</v>
      </c>
      <c r="D63" s="140">
        <f ca="1">((100/I57)*C63)/100</f>
        <v>1</v>
      </c>
      <c r="E63" s="141"/>
      <c r="F63" s="158"/>
      <c r="G63" s="158"/>
      <c r="H63" s="163"/>
      <c r="I63" s="164"/>
      <c r="J63" s="165"/>
      <c r="K63" s="37" t="s">
        <v>225</v>
      </c>
      <c r="L63" s="49">
        <f ca="1">(IF(B57&gt;1,(I57/(B57+2)+L62),I57/4+L62))</f>
        <v>2.5</v>
      </c>
    </row>
    <row r="64" spans="1:12" ht="15.75" x14ac:dyDescent="0.25">
      <c r="A64" s="138" t="s">
        <v>226</v>
      </c>
      <c r="B64" s="139" t="s">
        <v>224</v>
      </c>
      <c r="C64" s="46">
        <v>4</v>
      </c>
      <c r="D64" s="140">
        <f ca="1">((100/I57)*C64)/100</f>
        <v>0.8</v>
      </c>
      <c r="E64" s="141"/>
      <c r="F64" s="158"/>
      <c r="G64" s="158"/>
      <c r="H64" s="163"/>
      <c r="I64" s="164"/>
      <c r="J64" s="165"/>
      <c r="K64" s="37" t="s">
        <v>227</v>
      </c>
      <c r="L64" s="49">
        <f>(IF(B57&gt;1,(I57/(B57+2)+L63),0))</f>
        <v>0</v>
      </c>
    </row>
    <row r="65" spans="1:14" ht="15.75" x14ac:dyDescent="0.25">
      <c r="A65" s="138" t="s">
        <v>228</v>
      </c>
      <c r="B65" s="139" t="s">
        <v>229</v>
      </c>
      <c r="C65" s="46">
        <v>4</v>
      </c>
      <c r="D65" s="140">
        <f ca="1">((100/(I57))*C65)/100</f>
        <v>0.8</v>
      </c>
      <c r="E65" s="141"/>
      <c r="F65" s="158"/>
      <c r="G65" s="158"/>
      <c r="H65" s="163"/>
      <c r="I65" s="164"/>
      <c r="J65" s="165"/>
      <c r="K65" s="37" t="s">
        <v>230</v>
      </c>
      <c r="L65" s="49">
        <f>(IF(B57&gt;2,(I57/(B57+2)+L64),0))</f>
        <v>0</v>
      </c>
    </row>
    <row r="66" spans="1:14" ht="15.75" x14ac:dyDescent="0.25">
      <c r="A66" s="138" t="s">
        <v>231</v>
      </c>
      <c r="B66" s="139" t="s">
        <v>231</v>
      </c>
      <c r="C66" s="46">
        <v>4</v>
      </c>
      <c r="D66" s="140">
        <f ca="1">((100/I57)*C66)/100</f>
        <v>0.8</v>
      </c>
      <c r="E66" s="141"/>
      <c r="F66" s="158"/>
      <c r="G66" s="158"/>
      <c r="H66" s="163"/>
      <c r="I66" s="164"/>
      <c r="J66" s="165"/>
      <c r="K66" s="37" t="s">
        <v>232</v>
      </c>
      <c r="L66" s="50">
        <f>(IF(B57&gt;3,(I57/(B57+2)+L65),0))</f>
        <v>0</v>
      </c>
      <c r="N66" s="42" t="s">
        <v>268</v>
      </c>
    </row>
    <row r="67" spans="1:14" ht="15" customHeight="1" x14ac:dyDescent="0.25">
      <c r="A67" s="138" t="s">
        <v>233</v>
      </c>
      <c r="B67" s="139"/>
      <c r="C67" s="46">
        <v>4</v>
      </c>
      <c r="D67" s="140">
        <f ca="1">((100/I57)*C67)/100</f>
        <v>0.8</v>
      </c>
      <c r="E67" s="141"/>
      <c r="F67" s="158"/>
      <c r="G67" s="158"/>
      <c r="H67" s="163"/>
      <c r="I67" s="164"/>
      <c r="J67" s="165"/>
      <c r="K67" s="37" t="s">
        <v>234</v>
      </c>
      <c r="L67" s="49">
        <f>(IF(B57&gt;4,(I57/(B57+2)+L66),0))</f>
        <v>0</v>
      </c>
    </row>
    <row r="68" spans="1:14" ht="15.75" x14ac:dyDescent="0.25">
      <c r="A68" s="138" t="s">
        <v>235</v>
      </c>
      <c r="B68" s="139" t="s">
        <v>235</v>
      </c>
      <c r="C68" s="46">
        <v>0</v>
      </c>
      <c r="D68" s="140">
        <f ca="1">((100/(I57))*C68)/100</f>
        <v>0</v>
      </c>
      <c r="E68" s="141"/>
      <c r="F68" s="158"/>
      <c r="G68" s="158"/>
      <c r="H68" s="163"/>
      <c r="I68" s="164"/>
      <c r="J68" s="165"/>
      <c r="K68" s="37" t="s">
        <v>236</v>
      </c>
      <c r="L68" s="49">
        <f ca="1">(IF(B57=1,(I57/(B57+3)+L63),IF(B57=0,(I57/4+L63),IF(B57&gt;1,0))))</f>
        <v>3.75</v>
      </c>
    </row>
    <row r="69" spans="1:14" ht="16.5" thickBot="1" x14ac:dyDescent="0.3">
      <c r="A69" s="176" t="s">
        <v>237</v>
      </c>
      <c r="B69" s="177"/>
      <c r="C69" s="51">
        <v>0</v>
      </c>
      <c r="D69" s="171">
        <f ca="1">((100/(I57))*C69)/100</f>
        <v>0</v>
      </c>
      <c r="E69" s="172"/>
      <c r="F69" s="159"/>
      <c r="G69" s="159"/>
      <c r="H69" s="166"/>
      <c r="I69" s="167"/>
      <c r="J69" s="168"/>
      <c r="K69" s="38" t="s">
        <v>238</v>
      </c>
      <c r="L69" s="52">
        <f ca="1">(IF(B57&gt;1.5,(I57/(B57+2)+L63+MAX(0,L64-L63)+MAX(0,L65-L64)+MAX(0,L66-L65)+MAX(0,L67-L66)+MAX(0,L68-L67)),IF(B57=1,(I57/(B57+3)+L68),IF(B57=0,I57/4+L68))))</f>
        <v>5</v>
      </c>
    </row>
    <row r="70" spans="1:14" ht="32.25" customHeight="1" x14ac:dyDescent="0.25">
      <c r="A70" s="169" t="s">
        <v>206</v>
      </c>
      <c r="B70" s="170"/>
      <c r="C70" s="144" t="s">
        <v>270</v>
      </c>
      <c r="D70" s="145"/>
      <c r="E70" s="145"/>
      <c r="F70" s="145"/>
      <c r="G70" s="145"/>
      <c r="H70" s="145"/>
      <c r="I70" s="145"/>
      <c r="J70" s="146"/>
      <c r="K70" s="35" t="str">
        <f ca="1">(IF(F74&gt;99%,"All work completed. Please provide OC.",IF(F74&gt;89.8%,"Plinth, RCC, Brick, Plaster, Flooring, Painting work Completed. Finishing work is in process.",IF(F74&lt;94%,(IF(C74=0,"Work not yet Started.",IF(D74=25%,"Piling work in process",IF(D74=50%,"Excavation work in process",IF(D74=100%,"Excavation work Completed. ","0")))&amp;(IF(C75=0%,"",IF(C75=L76,"Footing work is process",IF(C75=L77,"Footing work Completed",IF(C75=L78,"1st Basement Completed",IF(C75=L79,"1st &amp; 2nd Basement Completed",IF(C75=L80,"1st to 3rd Basement Completed",IF(C75=L81,"1st to 4th Basement Completed",IF(C75=L82,"Plinth work is process",IF(C75=L83,"Plinth work completed","0")))))))))))&amp;(IF(C76=(D71+G71+I71),", RCC Slab",IF(C76&gt;0,", RCC upto "&amp;C76&amp;" Slab",""))&amp;(IF(C77=I71,", Brickwork",IF(C77&gt;0,", Brickwork upto "&amp;C77&amp;" Floor",""))&amp;(IF(C78=I71,", Internal Plaster",IF(C78&gt;0,", Internal Plaster upto "&amp;C78&amp;" Floor",""))&amp;(IF(C79=I71,", External Plaster",IF(C79&gt;0,", External Plaster upto "&amp;C79&amp;" Floor",""))&amp;(IF(C80=I71,", Flooring",IF(C80&gt;0,", Flooring upto "&amp;C80&amp;" Floor",""))&amp;(IF(C81=I71,", Painting",IF(C81&gt;0,", Painting upto "&amp;C81&amp;" Floor",""))&amp;(IF(C82&gt;0,", Finishing upto "&amp;C82&amp;" Floor","")&amp;(IF(C76&gt;0.5," Completed",""))))))))))))))</f>
        <v>Plinth, RCC, Brick, Plaster, Flooring, Painting work Completed. Finishing work is in process.</v>
      </c>
      <c r="L70" s="43"/>
    </row>
    <row r="71" spans="1:14" ht="15.75" x14ac:dyDescent="0.25">
      <c r="A71" s="29" t="s">
        <v>207</v>
      </c>
      <c r="B71" s="30">
        <v>0</v>
      </c>
      <c r="C71" s="30" t="s">
        <v>208</v>
      </c>
      <c r="D71" s="30">
        <v>1</v>
      </c>
      <c r="E71" s="147" t="s">
        <v>209</v>
      </c>
      <c r="F71" s="148"/>
      <c r="G71" s="30">
        <v>0</v>
      </c>
      <c r="H71" s="30" t="s">
        <v>210</v>
      </c>
      <c r="I71" s="147">
        <f ca="1">--TRIM(RIGHT(SUBSTITUTE(LEFT(C70,_xlfn.AGGREGATE(16,6,FIND({0,1,2,3,4,5,6,7,8,9},C70,ROW(INDIRECT("1:"&amp;LEN(C70)))),1))," ",REPT(" ",LEN(C70))),LEN(C70)))</f>
        <v>5</v>
      </c>
      <c r="J71" s="149"/>
      <c r="K71" s="36"/>
      <c r="L71" s="44"/>
    </row>
    <row r="72" spans="1:14" ht="36" customHeight="1" x14ac:dyDescent="0.25">
      <c r="A72" s="150" t="s">
        <v>211</v>
      </c>
      <c r="B72" s="151"/>
      <c r="C72" s="152" t="str">
        <f ca="1">K70</f>
        <v>Plinth, RCC, Brick, Plaster, Flooring, Painting work Completed. Finishing work is in process.</v>
      </c>
      <c r="D72" s="153"/>
      <c r="E72" s="153"/>
      <c r="F72" s="153"/>
      <c r="G72" s="153"/>
      <c r="H72" s="153"/>
      <c r="I72" s="153"/>
      <c r="J72" s="154"/>
      <c r="K72" s="36" t="s">
        <v>212</v>
      </c>
      <c r="L72" s="44"/>
    </row>
    <row r="73" spans="1:14" ht="15.75" x14ac:dyDescent="0.25">
      <c r="A73" s="155" t="s">
        <v>33</v>
      </c>
      <c r="B73" s="156"/>
      <c r="C73" s="28" t="s">
        <v>213</v>
      </c>
      <c r="D73" s="139" t="s">
        <v>214</v>
      </c>
      <c r="E73" s="139"/>
      <c r="F73" s="139" t="s">
        <v>215</v>
      </c>
      <c r="G73" s="139"/>
      <c r="H73" s="139" t="s">
        <v>216</v>
      </c>
      <c r="I73" s="139"/>
      <c r="J73" s="157"/>
      <c r="K73" s="37" t="s">
        <v>217</v>
      </c>
      <c r="L73" s="45">
        <f ca="1">I71*25%</f>
        <v>1.25</v>
      </c>
    </row>
    <row r="74" spans="1:14" ht="15.75" x14ac:dyDescent="0.25">
      <c r="A74" s="138" t="s">
        <v>218</v>
      </c>
      <c r="B74" s="139"/>
      <c r="C74" s="46">
        <f ca="1">L75</f>
        <v>5</v>
      </c>
      <c r="D74" s="140">
        <f ca="1">((100/I71)*C74)/100</f>
        <v>1</v>
      </c>
      <c r="E74" s="141"/>
      <c r="F74" s="158">
        <f ca="1">(((C75/I71*10)+(40/(D71+G71+I71)*C76)+(7.5/(I71)*C77)+(7.5/(I71)*C78)+(10/I71*C79)+(10/I71*C80)+(5/I71*C81)+(5/I71*C82)+(5/I71*C83))/100)</f>
        <v>0.93</v>
      </c>
      <c r="G74" s="158"/>
      <c r="H74" s="160">
        <f ca="1">((((C74/I71)*20)+((C75/I71)*25)+(30/(I71+G71+D71)*C76)+(5/I71*C77)+(5/I71*C78)+(5/I71*C79)+(5/I71*C80)+(0/I71*C81)+(0/I71*C82)+(5/I71*C83))/100)</f>
        <v>0.95</v>
      </c>
      <c r="I74" s="161"/>
      <c r="J74" s="162"/>
      <c r="K74" s="37" t="s">
        <v>219</v>
      </c>
      <c r="L74" s="47">
        <f ca="1">I71*50%</f>
        <v>2.5</v>
      </c>
    </row>
    <row r="75" spans="1:14" ht="15.75" x14ac:dyDescent="0.25">
      <c r="A75" s="138" t="s">
        <v>34</v>
      </c>
      <c r="B75" s="139"/>
      <c r="C75" s="48">
        <f ca="1">L83</f>
        <v>5</v>
      </c>
      <c r="D75" s="140">
        <f ca="1">((100/I71)*C75)/100</f>
        <v>1</v>
      </c>
      <c r="E75" s="141"/>
      <c r="F75" s="158"/>
      <c r="G75" s="158"/>
      <c r="H75" s="163"/>
      <c r="I75" s="164"/>
      <c r="J75" s="165"/>
      <c r="K75" s="37" t="s">
        <v>220</v>
      </c>
      <c r="L75" s="47">
        <f ca="1">I71</f>
        <v>5</v>
      </c>
    </row>
    <row r="76" spans="1:14" ht="15.75" x14ac:dyDescent="0.25">
      <c r="A76" s="142" t="s">
        <v>221</v>
      </c>
      <c r="B76" s="143"/>
      <c r="C76" s="48">
        <v>6</v>
      </c>
      <c r="D76" s="140">
        <f ca="1">((100/(D71+G71+I71))*C76)/100</f>
        <v>1</v>
      </c>
      <c r="E76" s="141"/>
      <c r="F76" s="158"/>
      <c r="G76" s="158"/>
      <c r="H76" s="163"/>
      <c r="I76" s="164"/>
      <c r="J76" s="165"/>
      <c r="K76" s="37" t="s">
        <v>222</v>
      </c>
      <c r="L76" s="49">
        <f ca="1">(IF(B71&gt;1,(I71/(B71+2)),I71/4))</f>
        <v>1.25</v>
      </c>
    </row>
    <row r="77" spans="1:14" ht="15.75" x14ac:dyDescent="0.25">
      <c r="A77" s="138" t="s">
        <v>223</v>
      </c>
      <c r="B77" s="139" t="s">
        <v>224</v>
      </c>
      <c r="C77" s="46">
        <v>5</v>
      </c>
      <c r="D77" s="140">
        <f ca="1">((100/I71)*C77)/100</f>
        <v>1</v>
      </c>
      <c r="E77" s="141"/>
      <c r="F77" s="158"/>
      <c r="G77" s="158"/>
      <c r="H77" s="163"/>
      <c r="I77" s="164"/>
      <c r="J77" s="165"/>
      <c r="K77" s="37" t="s">
        <v>225</v>
      </c>
      <c r="L77" s="49">
        <f ca="1">(IF(B71&gt;1,(I71/(B71+2)+L76),I71/4+L76))</f>
        <v>2.5</v>
      </c>
    </row>
    <row r="78" spans="1:14" ht="15.75" x14ac:dyDescent="0.25">
      <c r="A78" s="138" t="s">
        <v>226</v>
      </c>
      <c r="B78" s="139" t="s">
        <v>224</v>
      </c>
      <c r="C78" s="46">
        <v>5</v>
      </c>
      <c r="D78" s="140">
        <f ca="1">((100/I71)*C78)/100</f>
        <v>1</v>
      </c>
      <c r="E78" s="141"/>
      <c r="F78" s="158"/>
      <c r="G78" s="158"/>
      <c r="H78" s="163"/>
      <c r="I78" s="164"/>
      <c r="J78" s="165"/>
      <c r="K78" s="37" t="s">
        <v>227</v>
      </c>
      <c r="L78" s="49">
        <f>(IF(B71&gt;1,(I71/(B71+2)+L77),0))</f>
        <v>0</v>
      </c>
    </row>
    <row r="79" spans="1:14" ht="15.75" x14ac:dyDescent="0.25">
      <c r="A79" s="138" t="s">
        <v>228</v>
      </c>
      <c r="B79" s="139" t="s">
        <v>229</v>
      </c>
      <c r="C79" s="46">
        <v>5</v>
      </c>
      <c r="D79" s="140">
        <f ca="1">((100/(I71))*C79)/100</f>
        <v>1</v>
      </c>
      <c r="E79" s="141"/>
      <c r="F79" s="158"/>
      <c r="G79" s="158"/>
      <c r="H79" s="163"/>
      <c r="I79" s="164"/>
      <c r="J79" s="165"/>
      <c r="K79" s="37" t="s">
        <v>230</v>
      </c>
      <c r="L79" s="49">
        <f>(IF(B71&gt;2,(I71/(B71+2)+L78),0))</f>
        <v>0</v>
      </c>
    </row>
    <row r="80" spans="1:14" ht="15.75" x14ac:dyDescent="0.25">
      <c r="A80" s="138" t="s">
        <v>231</v>
      </c>
      <c r="B80" s="139" t="s">
        <v>231</v>
      </c>
      <c r="C80" s="46">
        <v>5</v>
      </c>
      <c r="D80" s="140">
        <f ca="1">((100/I71)*C80)/100</f>
        <v>1</v>
      </c>
      <c r="E80" s="141"/>
      <c r="F80" s="158"/>
      <c r="G80" s="158"/>
      <c r="H80" s="163"/>
      <c r="I80" s="164"/>
      <c r="J80" s="165"/>
      <c r="K80" s="37" t="s">
        <v>232</v>
      </c>
      <c r="L80" s="50">
        <f>(IF(B71&gt;3,(I71/(B71+2)+L79),0))</f>
        <v>0</v>
      </c>
    </row>
    <row r="81" spans="1:12" ht="15" customHeight="1" x14ac:dyDescent="0.25">
      <c r="A81" s="138" t="s">
        <v>233</v>
      </c>
      <c r="B81" s="139"/>
      <c r="C81" s="46">
        <v>5</v>
      </c>
      <c r="D81" s="140">
        <f ca="1">((100/I71)*C81)/100</f>
        <v>1</v>
      </c>
      <c r="E81" s="141"/>
      <c r="F81" s="158"/>
      <c r="G81" s="158"/>
      <c r="H81" s="163"/>
      <c r="I81" s="164"/>
      <c r="J81" s="165"/>
      <c r="K81" s="37" t="s">
        <v>234</v>
      </c>
      <c r="L81" s="49">
        <f>(IF(B71&gt;4,(I71/(B71+2)+L80),0))</f>
        <v>0</v>
      </c>
    </row>
    <row r="82" spans="1:12" ht="15.75" x14ac:dyDescent="0.25">
      <c r="A82" s="138" t="s">
        <v>235</v>
      </c>
      <c r="B82" s="139" t="s">
        <v>235</v>
      </c>
      <c r="C82" s="46">
        <v>3</v>
      </c>
      <c r="D82" s="140">
        <f ca="1">((100/(I71))*C82)/100</f>
        <v>0.6</v>
      </c>
      <c r="E82" s="141"/>
      <c r="F82" s="158"/>
      <c r="G82" s="158"/>
      <c r="H82" s="163"/>
      <c r="I82" s="164"/>
      <c r="J82" s="165"/>
      <c r="K82" s="37" t="s">
        <v>236</v>
      </c>
      <c r="L82" s="49">
        <f ca="1">(IF(B71=1,(I71/(B71+3)+L77),IF(B71=0,(I71/4+L77),IF(B71&gt;1,0))))</f>
        <v>3.75</v>
      </c>
    </row>
    <row r="83" spans="1:12" ht="16.5" thickBot="1" x14ac:dyDescent="0.3">
      <c r="A83" s="176" t="s">
        <v>237</v>
      </c>
      <c r="B83" s="177"/>
      <c r="C83" s="51">
        <v>0</v>
      </c>
      <c r="D83" s="171">
        <f ca="1">((100/(I71))*C83)/100</f>
        <v>0</v>
      </c>
      <c r="E83" s="172"/>
      <c r="F83" s="159"/>
      <c r="G83" s="159"/>
      <c r="H83" s="166"/>
      <c r="I83" s="167"/>
      <c r="J83" s="168"/>
      <c r="K83" s="38" t="s">
        <v>238</v>
      </c>
      <c r="L83" s="52">
        <f ca="1">(IF(B71&gt;1.5,(I71/(B71+2)+L77+MAX(0,L78-L77)+MAX(0,L79-L78)+MAX(0,L80-L79)+MAX(0,L81-L80)+MAX(0,L82-L81)),IF(B71=1,(I71/(B71+3)+L82),IF(B71=0,I71/4+L82))))</f>
        <v>5</v>
      </c>
    </row>
    <row r="84" spans="1:12" ht="15.75" hidden="1" x14ac:dyDescent="0.25">
      <c r="A84" s="169" t="s">
        <v>206</v>
      </c>
      <c r="B84" s="170"/>
      <c r="C84" s="144" t="s">
        <v>267</v>
      </c>
      <c r="D84" s="145"/>
      <c r="E84" s="145"/>
      <c r="F84" s="145"/>
      <c r="G84" s="145"/>
      <c r="H84" s="145"/>
      <c r="I84" s="145"/>
      <c r="J84" s="146"/>
      <c r="K84" s="35" t="str">
        <f ca="1">(IF(F88&gt;99%,"All work completed. Please provide OC.",IF(F88&gt;89.8%,"Plinth, RCC, Brick, Plaster, Flooring, Painting work Completed. Finishing work is in process.",IF(F88&lt;94%,(IF(C88=0,"Work not yet Started.",IF(D88=25%,"Piling work in process",IF(D88=50%,"Excavation work in process",IF(D88=100%,"Excavation work Completed. ","0")))&amp;(IF(C89=0%,"",IF(C89=L90,"Footing work is process",IF(C89=L91,"Footing work Completed",IF(C89=L92,"1st Basement Completed",IF(C89=L93,"1st &amp; 2nd Basement Completed",IF(C89=L94,"1st to 3rd Basement Completed",IF(C89=L95,"1st to 4th Basement Completed",IF(C89=L96,"Plinth work is process",IF(C89=L97,"Plinth work completed","0")))))))))))&amp;(IF(C90=(D85+G85+I85),", RCC Slab",IF(C90&gt;0,", RCC upto "&amp;C90&amp;" Slab",""))&amp;(IF(C91=I85,", Brickwork",IF(C91&gt;0,", Brickwork upto "&amp;C91&amp;" Floor",""))&amp;(IF(C92=I85,", Internal Plaster",IF(C92&gt;0,", Internal Plaster upto "&amp;C92&amp;" Floor",""))&amp;(IF(C93=I85,", External Plaster",IF(C93&gt;0,", External Plaster upto "&amp;C93&amp;" Floor",""))&amp;(IF(C94=I85,", Flooring",IF(C94&gt;0,", Flooring upto "&amp;C94&amp;" Floor",""))&amp;(IF(C95=I85,", Painting",IF(C95&gt;0,", Painting upto "&amp;C95&amp;" Floor",""))&amp;(IF(C96&gt;0,", Finishing upto "&amp;C96&amp;" Floor","")&amp;(IF(C90&gt;0.5," Completed",""))))))))))))))</f>
        <v>Plinth, RCC, Brick, Plaster, Flooring, Painting work Completed. Finishing work is in process.</v>
      </c>
      <c r="L84" s="43"/>
    </row>
    <row r="85" spans="1:12" ht="15.75" hidden="1" x14ac:dyDescent="0.25">
      <c r="A85" s="29" t="s">
        <v>207</v>
      </c>
      <c r="B85" s="30">
        <v>0</v>
      </c>
      <c r="C85" s="30" t="s">
        <v>208</v>
      </c>
      <c r="D85" s="30">
        <v>1</v>
      </c>
      <c r="E85" s="147" t="s">
        <v>209</v>
      </c>
      <c r="F85" s="148"/>
      <c r="G85" s="30">
        <v>0</v>
      </c>
      <c r="H85" s="30" t="s">
        <v>210</v>
      </c>
      <c r="I85" s="147">
        <f ca="1">--TRIM(RIGHT(SUBSTITUTE(LEFT(C84,_xlfn.AGGREGATE(16,6,FIND({0,1,2,3,4,5,6,7,8,9},C84,ROW(INDIRECT("1:"&amp;LEN(C84)))),1))," ",REPT(" ",LEN(C84))),LEN(C84)))</f>
        <v>5</v>
      </c>
      <c r="J85" s="149"/>
      <c r="K85" s="36"/>
      <c r="L85" s="44"/>
    </row>
    <row r="86" spans="1:12" ht="35.25" hidden="1" customHeight="1" x14ac:dyDescent="0.25">
      <c r="A86" s="150" t="s">
        <v>211</v>
      </c>
      <c r="B86" s="151"/>
      <c r="C86" s="152" t="str">
        <f ca="1">K84</f>
        <v>Plinth, RCC, Brick, Plaster, Flooring, Painting work Completed. Finishing work is in process.</v>
      </c>
      <c r="D86" s="153"/>
      <c r="E86" s="153"/>
      <c r="F86" s="153"/>
      <c r="G86" s="153"/>
      <c r="H86" s="153"/>
      <c r="I86" s="153"/>
      <c r="J86" s="154"/>
      <c r="K86" s="36" t="s">
        <v>212</v>
      </c>
      <c r="L86" s="44"/>
    </row>
    <row r="87" spans="1:12" ht="15.75" hidden="1" x14ac:dyDescent="0.25">
      <c r="A87" s="155" t="s">
        <v>33</v>
      </c>
      <c r="B87" s="156"/>
      <c r="C87" s="28" t="s">
        <v>213</v>
      </c>
      <c r="D87" s="139" t="s">
        <v>214</v>
      </c>
      <c r="E87" s="139"/>
      <c r="F87" s="139" t="s">
        <v>215</v>
      </c>
      <c r="G87" s="139"/>
      <c r="H87" s="139" t="s">
        <v>216</v>
      </c>
      <c r="I87" s="139"/>
      <c r="J87" s="157"/>
      <c r="K87" s="37" t="s">
        <v>217</v>
      </c>
      <c r="L87" s="45">
        <f ca="1">I85*25%</f>
        <v>1.25</v>
      </c>
    </row>
    <row r="88" spans="1:12" ht="15.75" hidden="1" x14ac:dyDescent="0.25">
      <c r="A88" s="138" t="s">
        <v>218</v>
      </c>
      <c r="B88" s="139"/>
      <c r="C88" s="46">
        <f ca="1">L89</f>
        <v>5</v>
      </c>
      <c r="D88" s="140">
        <f ca="1">((100/I85)*C88)/100</f>
        <v>1</v>
      </c>
      <c r="E88" s="141"/>
      <c r="F88" s="158">
        <f ca="1">(((C89/I85*10)+(40/(D85+G85+I85)*C90)+(7.5/(I85)*C91)+(7.5/(I85)*C92)+(10/I85*C93)+(10/I85*C94)+(5/I85*C95)+(5/I85*C96)+(5/I85*C97))/100)</f>
        <v>0.93</v>
      </c>
      <c r="G88" s="158"/>
      <c r="H88" s="160">
        <f ca="1">((((C88/I85)*20)+((C89/I85)*25)+(30/(I85+G85+D85)*C90)+(5/I85*C91)+(5/I85*C92)+(5/I85*C93)+(5/I85*C94)+(0/I85*C95)+(0/I85*C96)+(5/I85*C97))/100)</f>
        <v>0.95</v>
      </c>
      <c r="I88" s="161"/>
      <c r="J88" s="162"/>
      <c r="K88" s="37" t="s">
        <v>219</v>
      </c>
      <c r="L88" s="47">
        <f ca="1">I85*50%</f>
        <v>2.5</v>
      </c>
    </row>
    <row r="89" spans="1:12" ht="15.75" hidden="1" x14ac:dyDescent="0.25">
      <c r="A89" s="138" t="s">
        <v>34</v>
      </c>
      <c r="B89" s="139"/>
      <c r="C89" s="48">
        <f ca="1">L97</f>
        <v>5</v>
      </c>
      <c r="D89" s="140">
        <f ca="1">((100/I85)*C89)/100</f>
        <v>1</v>
      </c>
      <c r="E89" s="141"/>
      <c r="F89" s="158"/>
      <c r="G89" s="158"/>
      <c r="H89" s="163"/>
      <c r="I89" s="164"/>
      <c r="J89" s="165"/>
      <c r="K89" s="37" t="s">
        <v>220</v>
      </c>
      <c r="L89" s="47">
        <f ca="1">I85</f>
        <v>5</v>
      </c>
    </row>
    <row r="90" spans="1:12" ht="15.75" hidden="1" x14ac:dyDescent="0.25">
      <c r="A90" s="142" t="s">
        <v>221</v>
      </c>
      <c r="B90" s="143"/>
      <c r="C90" s="48">
        <v>6</v>
      </c>
      <c r="D90" s="140">
        <f ca="1">((100/(D85+G85+I85))*C90)/100</f>
        <v>1</v>
      </c>
      <c r="E90" s="141"/>
      <c r="F90" s="158"/>
      <c r="G90" s="158"/>
      <c r="H90" s="163"/>
      <c r="I90" s="164"/>
      <c r="J90" s="165"/>
      <c r="K90" s="37" t="s">
        <v>222</v>
      </c>
      <c r="L90" s="49">
        <f ca="1">(IF(B85&gt;1,(I85/(B85+2)),I85/4))</f>
        <v>1.25</v>
      </c>
    </row>
    <row r="91" spans="1:12" ht="15.75" hidden="1" x14ac:dyDescent="0.25">
      <c r="A91" s="138" t="s">
        <v>223</v>
      </c>
      <c r="B91" s="139" t="s">
        <v>224</v>
      </c>
      <c r="C91" s="46">
        <v>5</v>
      </c>
      <c r="D91" s="140">
        <f ca="1">((100/I85)*C91)/100</f>
        <v>1</v>
      </c>
      <c r="E91" s="141"/>
      <c r="F91" s="158"/>
      <c r="G91" s="158"/>
      <c r="H91" s="163"/>
      <c r="I91" s="164"/>
      <c r="J91" s="165"/>
      <c r="K91" s="37" t="s">
        <v>225</v>
      </c>
      <c r="L91" s="49">
        <f ca="1">(IF(B85&gt;1,(I85/(B85+2)+L90),I85/4+L90))</f>
        <v>2.5</v>
      </c>
    </row>
    <row r="92" spans="1:12" ht="15.75" hidden="1" x14ac:dyDescent="0.25">
      <c r="A92" s="138" t="s">
        <v>226</v>
      </c>
      <c r="B92" s="139" t="s">
        <v>224</v>
      </c>
      <c r="C92" s="46">
        <v>5</v>
      </c>
      <c r="D92" s="140">
        <f ca="1">((100/I85)*C92)/100</f>
        <v>1</v>
      </c>
      <c r="E92" s="141"/>
      <c r="F92" s="158"/>
      <c r="G92" s="158"/>
      <c r="H92" s="163"/>
      <c r="I92" s="164"/>
      <c r="J92" s="165"/>
      <c r="K92" s="37" t="s">
        <v>227</v>
      </c>
      <c r="L92" s="49">
        <f>(IF(B85&gt;1,(I85/(B85+2)+L91),0))</f>
        <v>0</v>
      </c>
    </row>
    <row r="93" spans="1:12" ht="15.75" hidden="1" x14ac:dyDescent="0.25">
      <c r="A93" s="138" t="s">
        <v>228</v>
      </c>
      <c r="B93" s="139" t="s">
        <v>229</v>
      </c>
      <c r="C93" s="46">
        <v>5</v>
      </c>
      <c r="D93" s="140">
        <f ca="1">((100/(I85))*C93)/100</f>
        <v>1</v>
      </c>
      <c r="E93" s="141"/>
      <c r="F93" s="158"/>
      <c r="G93" s="158"/>
      <c r="H93" s="163"/>
      <c r="I93" s="164"/>
      <c r="J93" s="165"/>
      <c r="K93" s="37" t="s">
        <v>230</v>
      </c>
      <c r="L93" s="49">
        <f>(IF(B85&gt;2,(I85/(B85+2)+L92),0))</f>
        <v>0</v>
      </c>
    </row>
    <row r="94" spans="1:12" ht="15.75" hidden="1" x14ac:dyDescent="0.25">
      <c r="A94" s="138" t="s">
        <v>231</v>
      </c>
      <c r="B94" s="139" t="s">
        <v>231</v>
      </c>
      <c r="C94" s="46">
        <v>5</v>
      </c>
      <c r="D94" s="140">
        <f ca="1">((100/I85)*C94)/100</f>
        <v>1</v>
      </c>
      <c r="E94" s="141"/>
      <c r="F94" s="158"/>
      <c r="G94" s="158"/>
      <c r="H94" s="163"/>
      <c r="I94" s="164"/>
      <c r="J94" s="165"/>
      <c r="K94" s="37" t="s">
        <v>232</v>
      </c>
      <c r="L94" s="50">
        <f>(IF(B85&gt;3,(I85/(B85+2)+L93),0))</f>
        <v>0</v>
      </c>
    </row>
    <row r="95" spans="1:12" ht="15" hidden="1" customHeight="1" x14ac:dyDescent="0.25">
      <c r="A95" s="138" t="s">
        <v>233</v>
      </c>
      <c r="B95" s="139"/>
      <c r="C95" s="46">
        <v>5</v>
      </c>
      <c r="D95" s="140">
        <f ca="1">((100/I85)*C95)/100</f>
        <v>1</v>
      </c>
      <c r="E95" s="141"/>
      <c r="F95" s="158"/>
      <c r="G95" s="158"/>
      <c r="H95" s="163"/>
      <c r="I95" s="164"/>
      <c r="J95" s="165"/>
      <c r="K95" s="37" t="s">
        <v>234</v>
      </c>
      <c r="L95" s="49">
        <f>(IF(B85&gt;4,(I85/(B85+2)+L94),0))</f>
        <v>0</v>
      </c>
    </row>
    <row r="96" spans="1:12" ht="15.75" hidden="1" x14ac:dyDescent="0.25">
      <c r="A96" s="138" t="s">
        <v>235</v>
      </c>
      <c r="B96" s="139" t="s">
        <v>235</v>
      </c>
      <c r="C96" s="46">
        <v>3</v>
      </c>
      <c r="D96" s="140">
        <f ca="1">((100/(I85))*C96)/100</f>
        <v>0.6</v>
      </c>
      <c r="E96" s="141"/>
      <c r="F96" s="158"/>
      <c r="G96" s="158"/>
      <c r="H96" s="163"/>
      <c r="I96" s="164"/>
      <c r="J96" s="165"/>
      <c r="K96" s="37" t="s">
        <v>236</v>
      </c>
      <c r="L96" s="49">
        <f ca="1">(IF(B85=1,(I85/(B85+3)+L91),IF(B85=0,(I85/4+L91),IF(B85&gt;1,0))))</f>
        <v>3.75</v>
      </c>
    </row>
    <row r="97" spans="1:12" ht="16.5" hidden="1" thickBot="1" x14ac:dyDescent="0.3">
      <c r="A97" s="176" t="s">
        <v>237</v>
      </c>
      <c r="B97" s="177"/>
      <c r="C97" s="51">
        <v>0</v>
      </c>
      <c r="D97" s="171">
        <f ca="1">((100/(I85))*C97)/100</f>
        <v>0</v>
      </c>
      <c r="E97" s="172"/>
      <c r="F97" s="159"/>
      <c r="G97" s="159"/>
      <c r="H97" s="166"/>
      <c r="I97" s="167"/>
      <c r="J97" s="168"/>
      <c r="K97" s="38" t="s">
        <v>238</v>
      </c>
      <c r="L97" s="52">
        <f ca="1">(IF(B85&gt;1.5,(I85/(B85+2)+L91+MAX(0,L92-L91)+MAX(0,L93-L92)+MAX(0,L94-L93)+MAX(0,L95-L94)+MAX(0,L96-L95)),IF(B85=1,(I85/(B85+3)+L96),IF(B85=0,I85/4+L96))))</f>
        <v>5</v>
      </c>
    </row>
    <row r="98" spans="1:12" ht="15" customHeight="1" x14ac:dyDescent="0.25">
      <c r="A98" s="169" t="s">
        <v>206</v>
      </c>
      <c r="B98" s="170"/>
      <c r="C98" s="144" t="s">
        <v>247</v>
      </c>
      <c r="D98" s="145"/>
      <c r="E98" s="145"/>
      <c r="F98" s="145"/>
      <c r="G98" s="145"/>
      <c r="H98" s="145"/>
      <c r="I98" s="145"/>
      <c r="J98" s="146"/>
      <c r="K98" s="35" t="str">
        <f ca="1">(IF(F102&gt;99%,"All work completed. Please provide OC.",IF(F102&gt;89.8%,"Plinth, RCC, Brick, Plaster, Flooring, Painting work Completed. Finishing work is in process.",IF(F102&lt;94%,(IF(C102=0,"Work not yet Started.",IF(D102=25%,"Piling work in process",IF(D102=50%,"Excavation work in process",IF(D102=100%,"Excavation work Completed. ","0")))&amp;(IF(C103=0%,"",IF(C103=L104,"Footing work is process",IF(C103=L105,"Footing work Completed",IF(C103=L106,"1st Basement Completed",IF(C103=L107,"1st &amp; 2nd Basement Completed",IF(C103=L108,"1st to 3rd Basement Completed",IF(C103=L109,"1st to 4th Basement Completed",IF(C103=L110,"Plinth work is process",IF(C103=L111,"Plinth work completed","0")))))))))))&amp;(IF(C104=(D99+G99+I99),", RCC Slab",IF(C104&gt;0,", RCC upto "&amp;C104&amp;" Slab",""))&amp;(IF(C105=I99,", Brickwork",IF(C105&gt;0,", Brickwork upto "&amp;C105&amp;" Floor",""))&amp;(IF(C106=I99,", Internal Plaster",IF(C106&gt;0,", Internal Plaster upto "&amp;C106&amp;" Floor",""))&amp;(IF(C107=I99,", External Plaster",IF(C107&gt;0,", External Plaster upto "&amp;C107&amp;" Floor",""))&amp;(IF(C108=I99,", Flooring",IF(C108&gt;0,", Flooring upto "&amp;C108&amp;" Floor",""))&amp;(IF(C109=I99,", Painting",IF(C109&gt;0,", Painting upto "&amp;C109&amp;" Floor",""))&amp;(IF(C110&gt;0,", Finishing upto "&amp;C110&amp;" Floor","")&amp;(IF(C104&gt;0.5," Completed",""))))))))))))))</f>
        <v>Work not yet Started.</v>
      </c>
      <c r="L98" s="43"/>
    </row>
    <row r="99" spans="1:12" ht="15.75" x14ac:dyDescent="0.25">
      <c r="A99" s="29" t="s">
        <v>207</v>
      </c>
      <c r="B99" s="30">
        <v>0</v>
      </c>
      <c r="C99" s="30" t="s">
        <v>208</v>
      </c>
      <c r="D99" s="30">
        <v>1</v>
      </c>
      <c r="E99" s="147" t="s">
        <v>209</v>
      </c>
      <c r="F99" s="148"/>
      <c r="G99" s="30">
        <v>0</v>
      </c>
      <c r="H99" s="30" t="s">
        <v>210</v>
      </c>
      <c r="I99" s="147">
        <f ca="1">--TRIM(RIGHT(SUBSTITUTE(LEFT(C98,_xlfn.AGGREGATE(16,6,FIND({0,1,2,3,4,5,6,7,8,9},C98,ROW(INDIRECT("1:"&amp;LEN(C98)))),1))," ",REPT(" ",LEN(C98))),LEN(C98)))</f>
        <v>5</v>
      </c>
      <c r="J99" s="149"/>
      <c r="K99" s="36"/>
      <c r="L99" s="44"/>
    </row>
    <row r="100" spans="1:12" ht="15.75" x14ac:dyDescent="0.25">
      <c r="A100" s="150" t="s">
        <v>211</v>
      </c>
      <c r="B100" s="151"/>
      <c r="C100" s="152" t="str">
        <f ca="1">K98</f>
        <v>Work not yet Started.</v>
      </c>
      <c r="D100" s="153"/>
      <c r="E100" s="153"/>
      <c r="F100" s="153"/>
      <c r="G100" s="153"/>
      <c r="H100" s="153"/>
      <c r="I100" s="153"/>
      <c r="J100" s="154"/>
      <c r="K100" s="36" t="s">
        <v>212</v>
      </c>
      <c r="L100" s="44"/>
    </row>
    <row r="101" spans="1:12" ht="15.75" x14ac:dyDescent="0.25">
      <c r="A101" s="155" t="s">
        <v>33</v>
      </c>
      <c r="B101" s="156"/>
      <c r="C101" s="28" t="s">
        <v>213</v>
      </c>
      <c r="D101" s="139" t="s">
        <v>214</v>
      </c>
      <c r="E101" s="139"/>
      <c r="F101" s="139" t="s">
        <v>215</v>
      </c>
      <c r="G101" s="139"/>
      <c r="H101" s="139" t="s">
        <v>216</v>
      </c>
      <c r="I101" s="139"/>
      <c r="J101" s="157"/>
      <c r="K101" s="37" t="s">
        <v>217</v>
      </c>
      <c r="L101" s="45">
        <f ca="1">I99*25%</f>
        <v>1.25</v>
      </c>
    </row>
    <row r="102" spans="1:12" ht="15.75" x14ac:dyDescent="0.25">
      <c r="A102" s="138" t="s">
        <v>218</v>
      </c>
      <c r="B102" s="139"/>
      <c r="C102" s="46">
        <v>0</v>
      </c>
      <c r="D102" s="140">
        <f ca="1">((100/I99)*C102)/100</f>
        <v>0</v>
      </c>
      <c r="E102" s="141"/>
      <c r="F102" s="158">
        <f ca="1">(((C103/I99*10)+(40/(D99+G99+I99)*C104)+(7.5/(I99)*C105)+(7.5/(I99)*C106)+(10/I99*C107)+(10/I99*C108)+(5/I99*C109)+(5/I99*C110)+(5/I99*C111))/100)</f>
        <v>0</v>
      </c>
      <c r="G102" s="158"/>
      <c r="H102" s="160">
        <f ca="1">((((C102/I99)*20)+((C103/I99)*25)+(30/(I99+G99+D99)*C104)+(5/I99*C105)+(5/I99*C106)+(5/I99*C107)+(5/I99*C108)+(0/I99*C109)+(0/I99*C110)+(5/I99*C111))/100)</f>
        <v>0</v>
      </c>
      <c r="I102" s="161"/>
      <c r="J102" s="162"/>
      <c r="K102" s="37" t="s">
        <v>219</v>
      </c>
      <c r="L102" s="47">
        <f ca="1">I99*50%</f>
        <v>2.5</v>
      </c>
    </row>
    <row r="103" spans="1:12" ht="15.75" x14ac:dyDescent="0.25">
      <c r="A103" s="138" t="s">
        <v>34</v>
      </c>
      <c r="B103" s="139"/>
      <c r="C103" s="48">
        <v>0</v>
      </c>
      <c r="D103" s="140">
        <f ca="1">((100/I99)*C103)/100</f>
        <v>0</v>
      </c>
      <c r="E103" s="141"/>
      <c r="F103" s="158"/>
      <c r="G103" s="158"/>
      <c r="H103" s="163"/>
      <c r="I103" s="164"/>
      <c r="J103" s="165"/>
      <c r="K103" s="37" t="s">
        <v>220</v>
      </c>
      <c r="L103" s="47">
        <f ca="1">I99</f>
        <v>5</v>
      </c>
    </row>
    <row r="104" spans="1:12" ht="15.75" x14ac:dyDescent="0.25">
      <c r="A104" s="142" t="s">
        <v>221</v>
      </c>
      <c r="B104" s="143"/>
      <c r="C104" s="48">
        <v>0</v>
      </c>
      <c r="D104" s="140">
        <f ca="1">((100/(D99+G99+I99))*C104)/100</f>
        <v>0</v>
      </c>
      <c r="E104" s="141"/>
      <c r="F104" s="158"/>
      <c r="G104" s="158"/>
      <c r="H104" s="163"/>
      <c r="I104" s="164"/>
      <c r="J104" s="165"/>
      <c r="K104" s="37" t="s">
        <v>222</v>
      </c>
      <c r="L104" s="49">
        <f ca="1">(IF(B99&gt;1,(I99/(B99+2)),I99/4))</f>
        <v>1.25</v>
      </c>
    </row>
    <row r="105" spans="1:12" ht="15.75" x14ac:dyDescent="0.25">
      <c r="A105" s="138" t="s">
        <v>223</v>
      </c>
      <c r="B105" s="139" t="s">
        <v>224</v>
      </c>
      <c r="C105" s="46">
        <v>0</v>
      </c>
      <c r="D105" s="140">
        <f ca="1">((100/I99)*C105)/100</f>
        <v>0</v>
      </c>
      <c r="E105" s="141"/>
      <c r="F105" s="158"/>
      <c r="G105" s="158"/>
      <c r="H105" s="163"/>
      <c r="I105" s="164"/>
      <c r="J105" s="165"/>
      <c r="K105" s="37" t="s">
        <v>225</v>
      </c>
      <c r="L105" s="49">
        <f ca="1">(IF(B99&gt;1,(I99/(B99+2)+L104),I99/4+L104))</f>
        <v>2.5</v>
      </c>
    </row>
    <row r="106" spans="1:12" ht="15.75" x14ac:dyDescent="0.25">
      <c r="A106" s="138" t="s">
        <v>226</v>
      </c>
      <c r="B106" s="139" t="s">
        <v>224</v>
      </c>
      <c r="C106" s="46">
        <v>0</v>
      </c>
      <c r="D106" s="140">
        <f ca="1">((100/I99)*C106)/100</f>
        <v>0</v>
      </c>
      <c r="E106" s="141"/>
      <c r="F106" s="158"/>
      <c r="G106" s="158"/>
      <c r="H106" s="163"/>
      <c r="I106" s="164"/>
      <c r="J106" s="165"/>
      <c r="K106" s="37" t="s">
        <v>227</v>
      </c>
      <c r="L106" s="49">
        <f>(IF(B99&gt;1,(I99/(B99+2)+L105),0))</f>
        <v>0</v>
      </c>
    </row>
    <row r="107" spans="1:12" ht="15.75" x14ac:dyDescent="0.25">
      <c r="A107" s="138" t="s">
        <v>228</v>
      </c>
      <c r="B107" s="139" t="s">
        <v>229</v>
      </c>
      <c r="C107" s="46">
        <v>0</v>
      </c>
      <c r="D107" s="140">
        <f ca="1">((100/(I99))*C107)/100</f>
        <v>0</v>
      </c>
      <c r="E107" s="141"/>
      <c r="F107" s="158"/>
      <c r="G107" s="158"/>
      <c r="H107" s="163"/>
      <c r="I107" s="164"/>
      <c r="J107" s="165"/>
      <c r="K107" s="37" t="s">
        <v>230</v>
      </c>
      <c r="L107" s="49">
        <f>(IF(B99&gt;2,(I99/(B99+2)+L106),0))</f>
        <v>0</v>
      </c>
    </row>
    <row r="108" spans="1:12" ht="15.75" x14ac:dyDescent="0.25">
      <c r="A108" s="138" t="s">
        <v>231</v>
      </c>
      <c r="B108" s="139" t="s">
        <v>231</v>
      </c>
      <c r="C108" s="46">
        <v>0</v>
      </c>
      <c r="D108" s="140">
        <f ca="1">((100/I99)*C108)/100</f>
        <v>0</v>
      </c>
      <c r="E108" s="141"/>
      <c r="F108" s="158"/>
      <c r="G108" s="158"/>
      <c r="H108" s="163"/>
      <c r="I108" s="164"/>
      <c r="J108" s="165"/>
      <c r="K108" s="37" t="s">
        <v>232</v>
      </c>
      <c r="L108" s="50">
        <f>(IF(B99&gt;3,(I99/(B99+2)+L107),0))</f>
        <v>0</v>
      </c>
    </row>
    <row r="109" spans="1:12" ht="15" customHeight="1" x14ac:dyDescent="0.25">
      <c r="A109" s="138" t="s">
        <v>233</v>
      </c>
      <c r="B109" s="139"/>
      <c r="C109" s="46">
        <v>0</v>
      </c>
      <c r="D109" s="140">
        <f ca="1">((100/I99)*C109)/100</f>
        <v>0</v>
      </c>
      <c r="E109" s="141"/>
      <c r="F109" s="158"/>
      <c r="G109" s="158"/>
      <c r="H109" s="163"/>
      <c r="I109" s="164"/>
      <c r="J109" s="165"/>
      <c r="K109" s="37" t="s">
        <v>234</v>
      </c>
      <c r="L109" s="49">
        <f>(IF(B99&gt;4,(I99/(B99+2)+L108),0))</f>
        <v>0</v>
      </c>
    </row>
    <row r="110" spans="1:12" ht="15.75" x14ac:dyDescent="0.25">
      <c r="A110" s="138" t="s">
        <v>235</v>
      </c>
      <c r="B110" s="139" t="s">
        <v>235</v>
      </c>
      <c r="C110" s="46">
        <v>0</v>
      </c>
      <c r="D110" s="140">
        <f ca="1">((100/(I99))*C110)/100</f>
        <v>0</v>
      </c>
      <c r="E110" s="141"/>
      <c r="F110" s="158"/>
      <c r="G110" s="158"/>
      <c r="H110" s="163"/>
      <c r="I110" s="164"/>
      <c r="J110" s="165"/>
      <c r="K110" s="37" t="s">
        <v>236</v>
      </c>
      <c r="L110" s="49">
        <f ca="1">(IF(B99=1,(I99/(B99+3)+L105),IF(B99=0,(I99/4+L105),IF(B99&gt;1,0))))</f>
        <v>3.75</v>
      </c>
    </row>
    <row r="111" spans="1:12" ht="16.5" thickBot="1" x14ac:dyDescent="0.3">
      <c r="A111" s="176" t="s">
        <v>237</v>
      </c>
      <c r="B111" s="177"/>
      <c r="C111" s="51">
        <v>0</v>
      </c>
      <c r="D111" s="171">
        <f ca="1">((100/(I99))*C111)/100</f>
        <v>0</v>
      </c>
      <c r="E111" s="172"/>
      <c r="F111" s="159"/>
      <c r="G111" s="159"/>
      <c r="H111" s="166"/>
      <c r="I111" s="167"/>
      <c r="J111" s="168"/>
      <c r="K111" s="38" t="s">
        <v>238</v>
      </c>
      <c r="L111" s="52">
        <f ca="1">(IF(B99&gt;1.5,(I99/(B99+2)+L105+MAX(0,L106-L105)+MAX(0,L107-L106)+MAX(0,L108-L107)+MAX(0,L109-L108)+MAX(0,L110-L109)),IF(B99=1,(I99/(B99+3)+L110),IF(B99=0,I99/4+L110))))</f>
        <v>5</v>
      </c>
    </row>
    <row r="112" spans="1:12" x14ac:dyDescent="0.25">
      <c r="A112" s="80" t="s">
        <v>54</v>
      </c>
      <c r="B112" s="81"/>
      <c r="C112" s="81"/>
      <c r="D112" s="81"/>
      <c r="E112" s="81"/>
      <c r="F112" s="81"/>
      <c r="G112" s="81"/>
      <c r="H112" s="81"/>
      <c r="I112" s="81"/>
      <c r="J112" s="82"/>
    </row>
    <row r="113" spans="1:10" x14ac:dyDescent="0.25">
      <c r="A113" s="80" t="s">
        <v>47</v>
      </c>
      <c r="B113" s="81"/>
      <c r="C113" s="81"/>
      <c r="D113" s="81"/>
      <c r="E113" s="81"/>
      <c r="F113" s="81"/>
      <c r="G113" s="81"/>
      <c r="H113" s="81"/>
      <c r="I113" s="81"/>
      <c r="J113" s="82"/>
    </row>
    <row r="114" spans="1:10" ht="15" customHeight="1" x14ac:dyDescent="0.25">
      <c r="A114" s="173" t="s">
        <v>136</v>
      </c>
      <c r="B114" s="174"/>
      <c r="C114" s="174"/>
      <c r="D114" s="174"/>
      <c r="E114" s="174"/>
      <c r="F114" s="174"/>
      <c r="G114" s="174"/>
      <c r="H114" s="174"/>
      <c r="I114" s="174"/>
      <c r="J114" s="175"/>
    </row>
    <row r="115" spans="1:10" x14ac:dyDescent="0.25">
      <c r="A115" s="105" t="s">
        <v>24</v>
      </c>
      <c r="B115" s="106"/>
      <c r="C115" s="106"/>
      <c r="D115" s="106"/>
      <c r="E115" s="106"/>
      <c r="F115" s="106"/>
      <c r="G115" s="106"/>
      <c r="H115" s="106"/>
      <c r="I115" s="106"/>
      <c r="J115" s="107"/>
    </row>
    <row r="116" spans="1:10" x14ac:dyDescent="0.25">
      <c r="A116" s="80" t="s">
        <v>131</v>
      </c>
      <c r="B116" s="81"/>
      <c r="C116" s="81"/>
      <c r="D116" s="81"/>
      <c r="E116" s="81"/>
      <c r="F116" s="82"/>
      <c r="G116" s="80">
        <v>3500</v>
      </c>
      <c r="H116" s="81"/>
      <c r="I116" s="81"/>
      <c r="J116" s="82"/>
    </row>
    <row r="117" spans="1:10" x14ac:dyDescent="0.25">
      <c r="A117" s="80" t="s">
        <v>175</v>
      </c>
      <c r="B117" s="81"/>
      <c r="C117" s="81"/>
      <c r="D117" s="81"/>
      <c r="E117" s="81"/>
      <c r="F117" s="82"/>
      <c r="G117" s="80" t="s">
        <v>176</v>
      </c>
      <c r="H117" s="81"/>
      <c r="I117" s="81"/>
      <c r="J117" s="82"/>
    </row>
    <row r="118" spans="1:10" x14ac:dyDescent="0.25">
      <c r="A118" s="80" t="s">
        <v>189</v>
      </c>
      <c r="B118" s="81"/>
      <c r="C118" s="81"/>
      <c r="D118" s="81"/>
      <c r="E118" s="81"/>
      <c r="F118" s="82"/>
      <c r="G118" s="96" t="s">
        <v>190</v>
      </c>
      <c r="H118" s="97"/>
      <c r="I118" s="97"/>
      <c r="J118" s="98"/>
    </row>
    <row r="119" spans="1:10" x14ac:dyDescent="0.25">
      <c r="A119" s="80" t="s">
        <v>92</v>
      </c>
      <c r="B119" s="81"/>
      <c r="C119" s="81"/>
      <c r="D119" s="81"/>
      <c r="E119" s="81"/>
      <c r="F119" s="82"/>
      <c r="G119" s="96" t="s">
        <v>191</v>
      </c>
      <c r="H119" s="97"/>
      <c r="I119" s="97"/>
      <c r="J119" s="98"/>
    </row>
    <row r="120" spans="1:10" s="53" customFormat="1" ht="14.45" customHeight="1" x14ac:dyDescent="0.25">
      <c r="A120" s="105" t="s">
        <v>101</v>
      </c>
      <c r="B120" s="106"/>
      <c r="C120" s="106"/>
      <c r="D120" s="106"/>
      <c r="E120" s="106"/>
      <c r="F120" s="107"/>
      <c r="G120" s="80">
        <f>G116*0.8</f>
        <v>2800</v>
      </c>
      <c r="H120" s="81"/>
      <c r="I120" s="81"/>
      <c r="J120" s="82"/>
    </row>
    <row r="121" spans="1:10" s="53" customFormat="1" ht="14.45" customHeight="1" x14ac:dyDescent="0.25">
      <c r="A121" s="62" t="s">
        <v>255</v>
      </c>
      <c r="B121" s="62"/>
      <c r="C121" s="62"/>
      <c r="D121" s="62"/>
      <c r="E121" s="62"/>
      <c r="F121" s="62"/>
      <c r="G121" s="62"/>
      <c r="H121" s="62"/>
      <c r="I121" s="62"/>
      <c r="J121" s="62"/>
    </row>
    <row r="122" spans="1:10" s="60" customFormat="1" ht="14.45" customHeight="1" x14ac:dyDescent="0.25">
      <c r="A122" s="62" t="s">
        <v>257</v>
      </c>
      <c r="B122" s="62"/>
      <c r="C122" s="62" t="s">
        <v>258</v>
      </c>
      <c r="D122" s="62"/>
      <c r="E122" s="62" t="s">
        <v>259</v>
      </c>
      <c r="F122" s="62"/>
      <c r="G122" s="62"/>
      <c r="H122" s="62" t="s">
        <v>260</v>
      </c>
      <c r="I122" s="62"/>
      <c r="J122" s="62"/>
    </row>
    <row r="123" spans="1:10" s="53" customFormat="1" ht="14.45" customHeight="1" x14ac:dyDescent="0.25">
      <c r="A123" s="66" t="s">
        <v>160</v>
      </c>
      <c r="B123" s="58" t="s">
        <v>161</v>
      </c>
      <c r="C123" s="64">
        <f>COUNT(D141:E147)</f>
        <v>7</v>
      </c>
      <c r="D123" s="65"/>
      <c r="E123" s="64">
        <f>SUM(D141:E147)</f>
        <v>601.27704000000006</v>
      </c>
      <c r="F123" s="65"/>
      <c r="G123" s="65"/>
      <c r="H123" s="64">
        <f>SUM(G141:H147)</f>
        <v>901.91555999999991</v>
      </c>
      <c r="I123" s="65"/>
      <c r="J123" s="65"/>
    </row>
    <row r="124" spans="1:10" s="53" customFormat="1" ht="14.45" customHeight="1" x14ac:dyDescent="0.25">
      <c r="A124" s="67"/>
      <c r="B124" s="58" t="s">
        <v>169</v>
      </c>
      <c r="C124" s="64">
        <f>COUNT(D157:E169)</f>
        <v>13</v>
      </c>
      <c r="D124" s="65"/>
      <c r="E124" s="64">
        <f>SUM(D157:E169)</f>
        <v>1198.5714</v>
      </c>
      <c r="F124" s="65"/>
      <c r="G124" s="65"/>
      <c r="H124" s="64">
        <f>SUM(G157:H169)</f>
        <v>1797.8570999999999</v>
      </c>
      <c r="I124" s="65"/>
      <c r="J124" s="65"/>
    </row>
    <row r="125" spans="1:10" s="53" customFormat="1" ht="14.45" customHeight="1" x14ac:dyDescent="0.25">
      <c r="A125" s="68"/>
      <c r="B125" s="58" t="s">
        <v>172</v>
      </c>
      <c r="C125" s="64">
        <f>COUNT(D189:E195)</f>
        <v>7</v>
      </c>
      <c r="D125" s="65"/>
      <c r="E125" s="64">
        <f>SUM(D189:E195)</f>
        <v>635.72183999999993</v>
      </c>
      <c r="F125" s="65"/>
      <c r="G125" s="65"/>
      <c r="H125" s="64">
        <f>SUM(G189:H195)</f>
        <v>953.58276000000001</v>
      </c>
      <c r="I125" s="65"/>
      <c r="J125" s="65"/>
    </row>
    <row r="126" spans="1:10" s="53" customFormat="1" ht="14.45" customHeight="1" x14ac:dyDescent="0.25">
      <c r="A126" s="62" t="s">
        <v>89</v>
      </c>
      <c r="B126" s="62"/>
      <c r="C126" s="63">
        <f>SUM(C123:C125)</f>
        <v>27</v>
      </c>
      <c r="D126" s="62"/>
      <c r="E126" s="63">
        <f>SUM(E123:E125)</f>
        <v>2435.5702799999999</v>
      </c>
      <c r="F126" s="62"/>
      <c r="G126" s="62"/>
      <c r="H126" s="64">
        <f>SUM(H123:H125)</f>
        <v>3653.3554199999999</v>
      </c>
      <c r="I126" s="65"/>
      <c r="J126" s="65"/>
    </row>
    <row r="127" spans="1:10" s="53" customFormat="1" ht="14.45" customHeight="1" x14ac:dyDescent="0.25">
      <c r="A127" s="62" t="s">
        <v>256</v>
      </c>
      <c r="B127" s="62"/>
      <c r="C127" s="62"/>
      <c r="D127" s="62"/>
      <c r="E127" s="62"/>
      <c r="F127" s="62"/>
      <c r="G127" s="62"/>
      <c r="H127" s="62"/>
      <c r="I127" s="62"/>
      <c r="J127" s="62"/>
    </row>
    <row r="128" spans="1:10" s="53" customFormat="1" ht="14.45" customHeight="1" x14ac:dyDescent="0.25">
      <c r="A128" s="62" t="s">
        <v>257</v>
      </c>
      <c r="B128" s="62"/>
      <c r="C128" s="62" t="s">
        <v>258</v>
      </c>
      <c r="D128" s="62"/>
      <c r="E128" s="62" t="s">
        <v>259</v>
      </c>
      <c r="F128" s="62"/>
      <c r="G128" s="62"/>
      <c r="H128" s="62" t="s">
        <v>260</v>
      </c>
      <c r="I128" s="62"/>
      <c r="J128" s="62"/>
    </row>
    <row r="129" spans="1:12" s="53" customFormat="1" ht="14.45" customHeight="1" x14ac:dyDescent="0.25">
      <c r="A129" s="66" t="s">
        <v>160</v>
      </c>
      <c r="B129" s="58" t="s">
        <v>161</v>
      </c>
      <c r="C129" s="65">
        <f>COUNT(D149:E152)*4</f>
        <v>16</v>
      </c>
      <c r="D129" s="65"/>
      <c r="E129" s="64">
        <f>SUM(D149:E152)*4</f>
        <v>5055.6355199999998</v>
      </c>
      <c r="F129" s="64"/>
      <c r="G129" s="64"/>
      <c r="H129" s="64">
        <f>SUM(G149:H152)*4</f>
        <v>8872</v>
      </c>
      <c r="I129" s="64"/>
      <c r="J129" s="64"/>
    </row>
    <row r="130" spans="1:12" s="53" customFormat="1" ht="14.45" customHeight="1" x14ac:dyDescent="0.25">
      <c r="A130" s="67"/>
      <c r="B130" s="58" t="s">
        <v>169</v>
      </c>
      <c r="C130" s="65">
        <f>COUNT(D170)+COUNT(D172:E177)*4+COUNT(D179:E184)</f>
        <v>31</v>
      </c>
      <c r="D130" s="65"/>
      <c r="E130" s="64">
        <f>SUM(D170)+SUM(D172:E177)*4+SUM(D179:E184)</f>
        <v>11893.412700000001</v>
      </c>
      <c r="F130" s="64"/>
      <c r="G130" s="64"/>
      <c r="H130" s="64">
        <f>SUM(G170)+SUM(G172:H177)*4+SUM(G179:H184)</f>
        <v>17659.588799999998</v>
      </c>
      <c r="I130" s="64"/>
      <c r="J130" s="64"/>
    </row>
    <row r="131" spans="1:12" s="53" customFormat="1" ht="14.45" customHeight="1" x14ac:dyDescent="0.25">
      <c r="A131" s="68"/>
      <c r="B131" s="58" t="s">
        <v>172</v>
      </c>
      <c r="C131" s="65">
        <f>COUNT(D196)+COUNT(D198:E201)*4+COUNT(D203:E206)</f>
        <v>21</v>
      </c>
      <c r="D131" s="65"/>
      <c r="E131" s="64">
        <f>SUM(D196)+SUM(D198:E201)*4+SUM(D203:E206)</f>
        <v>7917.7831199999982</v>
      </c>
      <c r="F131" s="64"/>
      <c r="G131" s="64"/>
      <c r="H131" s="64">
        <f>SUM(G196)+SUM(G198:H201)*4+SUM(G203:H206)</f>
        <v>11993.27448</v>
      </c>
      <c r="I131" s="64"/>
      <c r="J131" s="64"/>
    </row>
    <row r="132" spans="1:12" s="53" customFormat="1" ht="14.45" customHeight="1" x14ac:dyDescent="0.25">
      <c r="A132" s="65" t="s">
        <v>261</v>
      </c>
      <c r="B132" s="65"/>
      <c r="C132" s="65">
        <f>COUNT(D211:E212)+COUNT(D214:E217)*4</f>
        <v>18</v>
      </c>
      <c r="D132" s="65"/>
      <c r="E132" s="64">
        <f>SUM(D211:E212)+SUM(D214:E217)*4</f>
        <v>5904.5922</v>
      </c>
      <c r="F132" s="64"/>
      <c r="G132" s="64"/>
      <c r="H132" s="64">
        <f>SUM(G211:H212)+SUM(G214:H217)*4</f>
        <v>8561.6586900000002</v>
      </c>
      <c r="I132" s="64"/>
      <c r="J132" s="64"/>
    </row>
    <row r="133" spans="1:12" s="53" customFormat="1" ht="14.45" customHeight="1" x14ac:dyDescent="0.25">
      <c r="A133" s="62" t="s">
        <v>89</v>
      </c>
      <c r="B133" s="62"/>
      <c r="C133" s="62">
        <f>SUM(C129:C132)</f>
        <v>86</v>
      </c>
      <c r="D133" s="62"/>
      <c r="E133" s="63">
        <f>SUM(E129:E132)</f>
        <v>30771.423539999996</v>
      </c>
      <c r="F133" s="62"/>
      <c r="G133" s="62"/>
      <c r="H133" s="64">
        <f>SUM(H129:H132)</f>
        <v>47086.521970000002</v>
      </c>
      <c r="I133" s="65"/>
      <c r="J133" s="65"/>
      <c r="L133" s="61">
        <f>SUM(E126,E133)</f>
        <v>33206.993819999996</v>
      </c>
    </row>
    <row r="134" spans="1:12" s="53" customFormat="1" ht="18.75" x14ac:dyDescent="0.25">
      <c r="A134" s="178" t="s">
        <v>102</v>
      </c>
      <c r="B134" s="179"/>
      <c r="C134" s="179"/>
      <c r="D134" s="179"/>
      <c r="E134" s="179"/>
      <c r="F134" s="179"/>
      <c r="G134" s="179"/>
      <c r="H134" s="179"/>
      <c r="I134" s="179"/>
      <c r="J134" s="180"/>
    </row>
    <row r="135" spans="1:12" x14ac:dyDescent="0.25">
      <c r="A135" s="111" t="s">
        <v>44</v>
      </c>
      <c r="B135" s="112"/>
      <c r="C135" s="112"/>
      <c r="D135" s="112"/>
      <c r="E135" s="112"/>
      <c r="F135" s="112"/>
      <c r="G135" s="112"/>
      <c r="H135" s="112"/>
      <c r="I135" s="112"/>
      <c r="J135" s="113"/>
    </row>
    <row r="136" spans="1:12" ht="56.25" customHeight="1" x14ac:dyDescent="0.25">
      <c r="A136" s="39" t="s">
        <v>242</v>
      </c>
      <c r="B136" s="39" t="s">
        <v>243</v>
      </c>
      <c r="C136" s="40" t="s">
        <v>29</v>
      </c>
      <c r="D136" s="181" t="s">
        <v>132</v>
      </c>
      <c r="E136" s="182"/>
      <c r="F136" s="41" t="s">
        <v>30</v>
      </c>
      <c r="G136" s="39" t="s">
        <v>137</v>
      </c>
      <c r="H136" s="39" t="s">
        <v>31</v>
      </c>
      <c r="I136" s="183" t="s">
        <v>103</v>
      </c>
      <c r="J136" s="184"/>
    </row>
    <row r="137" spans="1:12" ht="15.75" x14ac:dyDescent="0.25">
      <c r="A137" s="71" t="s">
        <v>160</v>
      </c>
      <c r="B137" s="72"/>
      <c r="C137" s="72"/>
      <c r="D137" s="72"/>
      <c r="E137" s="72"/>
      <c r="F137" s="72"/>
      <c r="G137" s="72"/>
      <c r="H137" s="72"/>
      <c r="I137" s="72"/>
      <c r="J137" s="73"/>
    </row>
    <row r="138" spans="1:12" ht="15.75" x14ac:dyDescent="0.25">
      <c r="A138" s="71" t="s">
        <v>170</v>
      </c>
      <c r="B138" s="72"/>
      <c r="C138" s="72"/>
      <c r="D138" s="72"/>
      <c r="E138" s="72"/>
      <c r="F138" s="72"/>
      <c r="G138" s="72"/>
      <c r="H138" s="72"/>
      <c r="I138" s="72"/>
      <c r="J138" s="73"/>
    </row>
    <row r="139" spans="1:12" ht="15.75" x14ac:dyDescent="0.25">
      <c r="A139" s="71" t="s">
        <v>161</v>
      </c>
      <c r="B139" s="72"/>
      <c r="C139" s="72"/>
      <c r="D139" s="72"/>
      <c r="E139" s="72"/>
      <c r="F139" s="72"/>
      <c r="G139" s="72"/>
      <c r="H139" s="72"/>
      <c r="I139" s="72"/>
      <c r="J139" s="73"/>
    </row>
    <row r="140" spans="1:12" ht="15.75" x14ac:dyDescent="0.25">
      <c r="A140" s="71" t="s">
        <v>163</v>
      </c>
      <c r="B140" s="72"/>
      <c r="C140" s="72"/>
      <c r="D140" s="72"/>
      <c r="E140" s="72"/>
      <c r="F140" s="72"/>
      <c r="G140" s="72"/>
      <c r="H140" s="72"/>
      <c r="I140" s="72"/>
      <c r="J140" s="73"/>
    </row>
    <row r="141" spans="1:12" ht="15.75" x14ac:dyDescent="0.25">
      <c r="A141" s="11">
        <v>1</v>
      </c>
      <c r="B141" s="11">
        <v>1</v>
      </c>
      <c r="C141" s="31" t="s">
        <v>164</v>
      </c>
      <c r="D141" s="69">
        <f>8.8*10.764</f>
        <v>94.723200000000006</v>
      </c>
      <c r="E141" s="70"/>
      <c r="F141" s="11">
        <v>0</v>
      </c>
      <c r="G141" s="11">
        <f t="shared" ref="G141:G147" si="0">D141*1.5</f>
        <v>142.0848</v>
      </c>
      <c r="H141" s="11" t="s">
        <v>165</v>
      </c>
      <c r="I141" s="74" t="s">
        <v>162</v>
      </c>
      <c r="J141" s="75"/>
    </row>
    <row r="142" spans="1:12" ht="15.75" x14ac:dyDescent="0.25">
      <c r="A142" s="11">
        <v>2</v>
      </c>
      <c r="B142" s="11">
        <v>2</v>
      </c>
      <c r="C142" s="31" t="s">
        <v>164</v>
      </c>
      <c r="D142" s="69">
        <f>9.19*10.764</f>
        <v>98.921159999999986</v>
      </c>
      <c r="E142" s="70"/>
      <c r="F142" s="11">
        <v>0</v>
      </c>
      <c r="G142" s="11">
        <f>D142*1.5</f>
        <v>148.38173999999998</v>
      </c>
      <c r="H142" s="11" t="s">
        <v>165</v>
      </c>
      <c r="I142" s="76"/>
      <c r="J142" s="77"/>
    </row>
    <row r="143" spans="1:12" ht="15.75" x14ac:dyDescent="0.25">
      <c r="A143" s="11">
        <v>3</v>
      </c>
      <c r="B143" s="11">
        <v>3</v>
      </c>
      <c r="C143" s="31" t="s">
        <v>164</v>
      </c>
      <c r="D143" s="69">
        <f>9.08*10.764</f>
        <v>97.73711999999999</v>
      </c>
      <c r="E143" s="70"/>
      <c r="F143" s="11">
        <v>0</v>
      </c>
      <c r="G143" s="11">
        <f t="shared" si="0"/>
        <v>146.60567999999998</v>
      </c>
      <c r="H143" s="11" t="s">
        <v>165</v>
      </c>
      <c r="I143" s="76"/>
      <c r="J143" s="77"/>
    </row>
    <row r="144" spans="1:12" ht="15.75" x14ac:dyDescent="0.25">
      <c r="A144" s="11">
        <v>4</v>
      </c>
      <c r="B144" s="11">
        <v>4</v>
      </c>
      <c r="C144" s="31" t="s">
        <v>164</v>
      </c>
      <c r="D144" s="69">
        <f>3.96*10.764</f>
        <v>42.625439999999998</v>
      </c>
      <c r="E144" s="70"/>
      <c r="F144" s="11">
        <v>0</v>
      </c>
      <c r="G144" s="11">
        <f t="shared" si="0"/>
        <v>63.938159999999996</v>
      </c>
      <c r="H144" s="11" t="s">
        <v>165</v>
      </c>
      <c r="I144" s="76"/>
      <c r="J144" s="77"/>
    </row>
    <row r="145" spans="1:12" ht="15.75" x14ac:dyDescent="0.25">
      <c r="A145" s="11">
        <v>5</v>
      </c>
      <c r="B145" s="11">
        <v>5</v>
      </c>
      <c r="C145" s="31" t="s">
        <v>164</v>
      </c>
      <c r="D145" s="69">
        <f>9.08*10.764</f>
        <v>97.73711999999999</v>
      </c>
      <c r="E145" s="70"/>
      <c r="F145" s="11">
        <v>0</v>
      </c>
      <c r="G145" s="11">
        <f t="shared" si="0"/>
        <v>146.60567999999998</v>
      </c>
      <c r="H145" s="11" t="s">
        <v>165</v>
      </c>
      <c r="I145" s="76"/>
      <c r="J145" s="77"/>
    </row>
    <row r="146" spans="1:12" ht="15.75" x14ac:dyDescent="0.25">
      <c r="A146" s="11">
        <v>6</v>
      </c>
      <c r="B146" s="11">
        <v>6</v>
      </c>
      <c r="C146" s="31" t="s">
        <v>164</v>
      </c>
      <c r="D146" s="69">
        <f>9.01*10.764</f>
        <v>96.983639999999994</v>
      </c>
      <c r="E146" s="70"/>
      <c r="F146" s="11">
        <v>0</v>
      </c>
      <c r="G146" s="11">
        <f t="shared" si="0"/>
        <v>145.47546</v>
      </c>
      <c r="H146" s="11" t="s">
        <v>165</v>
      </c>
      <c r="I146" s="76"/>
      <c r="J146" s="77"/>
    </row>
    <row r="147" spans="1:12" ht="15.75" x14ac:dyDescent="0.25">
      <c r="A147" s="11">
        <v>7</v>
      </c>
      <c r="B147" s="11">
        <v>7</v>
      </c>
      <c r="C147" s="31" t="s">
        <v>164</v>
      </c>
      <c r="D147" s="69">
        <f>6.74*10.764</f>
        <v>72.549359999999993</v>
      </c>
      <c r="E147" s="70"/>
      <c r="F147" s="11">
        <v>0</v>
      </c>
      <c r="G147" s="11">
        <f t="shared" si="0"/>
        <v>108.82404</v>
      </c>
      <c r="H147" s="11" t="s">
        <v>165</v>
      </c>
      <c r="I147" s="78"/>
      <c r="J147" s="79"/>
    </row>
    <row r="148" spans="1:12" ht="15.75" x14ac:dyDescent="0.25">
      <c r="A148" s="71" t="s">
        <v>166</v>
      </c>
      <c r="B148" s="72"/>
      <c r="C148" s="72"/>
      <c r="D148" s="72"/>
      <c r="E148" s="72"/>
      <c r="F148" s="72"/>
      <c r="G148" s="72"/>
      <c r="H148" s="72"/>
      <c r="I148" s="72"/>
      <c r="J148" s="73"/>
    </row>
    <row r="149" spans="1:12" ht="15.75" x14ac:dyDescent="0.25">
      <c r="A149" s="11">
        <v>1</v>
      </c>
      <c r="B149" s="11">
        <v>1</v>
      </c>
      <c r="C149" s="31" t="s">
        <v>167</v>
      </c>
      <c r="D149" s="69">
        <f>(28.68+(1.5*0.45))*10.764</f>
        <v>315.97721999999999</v>
      </c>
      <c r="E149" s="70"/>
      <c r="F149" s="11">
        <v>0</v>
      </c>
      <c r="G149" s="11">
        <v>552</v>
      </c>
      <c r="H149" s="11" t="s">
        <v>165</v>
      </c>
      <c r="I149" s="74" t="str">
        <f>A148</f>
        <v xml:space="preserve">1st to 4th floor </v>
      </c>
      <c r="J149" s="75"/>
      <c r="L149" s="42">
        <f>G149/D149</f>
        <v>1.7469613790513128</v>
      </c>
    </row>
    <row r="150" spans="1:12" ht="15.75" x14ac:dyDescent="0.25">
      <c r="A150" s="11">
        <v>2</v>
      </c>
      <c r="B150" s="11">
        <v>2</v>
      </c>
      <c r="C150" s="31" t="s">
        <v>167</v>
      </c>
      <c r="D150" s="69">
        <f>(28.68+(1.5*0.45))*10.764</f>
        <v>315.97721999999999</v>
      </c>
      <c r="E150" s="70"/>
      <c r="F150" s="11">
        <v>0</v>
      </c>
      <c r="G150" s="11">
        <v>557</v>
      </c>
      <c r="H150" s="11" t="s">
        <v>165</v>
      </c>
      <c r="I150" s="76"/>
      <c r="J150" s="77"/>
    </row>
    <row r="151" spans="1:12" ht="15.75" x14ac:dyDescent="0.25">
      <c r="A151" s="11">
        <v>3</v>
      </c>
      <c r="B151" s="11">
        <v>3</v>
      </c>
      <c r="C151" s="31" t="s">
        <v>167</v>
      </c>
      <c r="D151" s="69">
        <f>(28.68+(1.5*0.45))*10.764</f>
        <v>315.97721999999999</v>
      </c>
      <c r="E151" s="70"/>
      <c r="F151" s="11">
        <v>0</v>
      </c>
      <c r="G151" s="11">
        <v>557</v>
      </c>
      <c r="H151" s="11" t="s">
        <v>165</v>
      </c>
      <c r="I151" s="76"/>
      <c r="J151" s="77"/>
    </row>
    <row r="152" spans="1:12" ht="15.75" x14ac:dyDescent="0.25">
      <c r="A152" s="11">
        <v>4</v>
      </c>
      <c r="B152" s="11">
        <v>4</v>
      </c>
      <c r="C152" s="31" t="s">
        <v>167</v>
      </c>
      <c r="D152" s="69">
        <f>(28.68+(1.5*0.45))*10.764</f>
        <v>315.97721999999999</v>
      </c>
      <c r="E152" s="70"/>
      <c r="F152" s="11">
        <v>0</v>
      </c>
      <c r="G152" s="11">
        <v>552</v>
      </c>
      <c r="H152" s="11" t="s">
        <v>165</v>
      </c>
      <c r="I152" s="76"/>
      <c r="J152" s="77"/>
    </row>
    <row r="153" spans="1:12" ht="15.75" x14ac:dyDescent="0.25">
      <c r="A153" s="71" t="s">
        <v>160</v>
      </c>
      <c r="B153" s="72"/>
      <c r="C153" s="72"/>
      <c r="D153" s="72"/>
      <c r="E153" s="72"/>
      <c r="F153" s="72"/>
      <c r="G153" s="72"/>
      <c r="H153" s="72"/>
      <c r="I153" s="72"/>
      <c r="J153" s="73"/>
    </row>
    <row r="154" spans="1:12" ht="15.75" x14ac:dyDescent="0.25">
      <c r="A154" s="71" t="s">
        <v>168</v>
      </c>
      <c r="B154" s="72"/>
      <c r="C154" s="72"/>
      <c r="D154" s="72"/>
      <c r="E154" s="72"/>
      <c r="F154" s="72"/>
      <c r="G154" s="72"/>
      <c r="H154" s="72"/>
      <c r="I154" s="72"/>
      <c r="J154" s="73"/>
    </row>
    <row r="155" spans="1:12" ht="15.75" x14ac:dyDescent="0.25">
      <c r="A155" s="71" t="s">
        <v>169</v>
      </c>
      <c r="B155" s="72"/>
      <c r="C155" s="72"/>
      <c r="D155" s="72"/>
      <c r="E155" s="72"/>
      <c r="F155" s="72"/>
      <c r="G155" s="72"/>
      <c r="H155" s="72"/>
      <c r="I155" s="72"/>
      <c r="J155" s="73"/>
    </row>
    <row r="156" spans="1:12" ht="15.75" x14ac:dyDescent="0.25">
      <c r="A156" s="71" t="s">
        <v>254</v>
      </c>
      <c r="B156" s="72"/>
      <c r="C156" s="72"/>
      <c r="D156" s="72"/>
      <c r="E156" s="72"/>
      <c r="F156" s="72"/>
      <c r="G156" s="72"/>
      <c r="H156" s="72"/>
      <c r="I156" s="72"/>
      <c r="J156" s="73"/>
    </row>
    <row r="157" spans="1:12" ht="15.75" x14ac:dyDescent="0.25">
      <c r="A157" s="69">
        <v>8</v>
      </c>
      <c r="B157" s="70"/>
      <c r="C157" s="31" t="s">
        <v>164</v>
      </c>
      <c r="D157" s="69">
        <f>9.21*10.764</f>
        <v>99.136440000000007</v>
      </c>
      <c r="E157" s="70"/>
      <c r="F157" s="11">
        <v>0</v>
      </c>
      <c r="G157" s="11">
        <f>D157*1.5</f>
        <v>148.70466000000002</v>
      </c>
      <c r="H157" s="11" t="s">
        <v>165</v>
      </c>
      <c r="I157" s="185" t="s">
        <v>162</v>
      </c>
      <c r="J157" s="185"/>
    </row>
    <row r="158" spans="1:12" ht="15.75" x14ac:dyDescent="0.25">
      <c r="A158" s="69">
        <v>9</v>
      </c>
      <c r="B158" s="70">
        <v>2</v>
      </c>
      <c r="C158" s="31" t="s">
        <v>164</v>
      </c>
      <c r="D158" s="69">
        <f>7.2*10.764</f>
        <v>77.500799999999998</v>
      </c>
      <c r="E158" s="70"/>
      <c r="F158" s="11">
        <v>0</v>
      </c>
      <c r="G158" s="11">
        <f>D158*1.5</f>
        <v>116.2512</v>
      </c>
      <c r="H158" s="11" t="s">
        <v>165</v>
      </c>
      <c r="I158" s="185"/>
      <c r="J158" s="185"/>
    </row>
    <row r="159" spans="1:12" ht="15.75" x14ac:dyDescent="0.25">
      <c r="A159" s="69">
        <v>10</v>
      </c>
      <c r="B159" s="70">
        <v>3</v>
      </c>
      <c r="C159" s="31" t="s">
        <v>164</v>
      </c>
      <c r="D159" s="69">
        <f>9.21*10.764</f>
        <v>99.136440000000007</v>
      </c>
      <c r="E159" s="70"/>
      <c r="F159" s="11">
        <v>0</v>
      </c>
      <c r="G159" s="11">
        <f>D159*1.5</f>
        <v>148.70466000000002</v>
      </c>
      <c r="H159" s="11" t="s">
        <v>165</v>
      </c>
      <c r="I159" s="185"/>
      <c r="J159" s="185"/>
    </row>
    <row r="160" spans="1:12" ht="15.75" x14ac:dyDescent="0.25">
      <c r="A160" s="69">
        <v>11</v>
      </c>
      <c r="B160" s="70">
        <v>4</v>
      </c>
      <c r="C160" s="31" t="s">
        <v>164</v>
      </c>
      <c r="D160" s="69">
        <f>9.21*10.764</f>
        <v>99.136440000000007</v>
      </c>
      <c r="E160" s="70"/>
      <c r="F160" s="11">
        <v>0</v>
      </c>
      <c r="G160" s="11">
        <f t="shared" ref="G160:G167" si="1">D160*1.5</f>
        <v>148.70466000000002</v>
      </c>
      <c r="H160" s="11" t="s">
        <v>165</v>
      </c>
      <c r="I160" s="185"/>
      <c r="J160" s="185"/>
    </row>
    <row r="161" spans="1:13" ht="15.75" x14ac:dyDescent="0.25">
      <c r="A161" s="69">
        <v>12</v>
      </c>
      <c r="B161" s="70">
        <v>5</v>
      </c>
      <c r="C161" s="31" t="s">
        <v>164</v>
      </c>
      <c r="D161" s="69">
        <f>9.19*10.764</f>
        <v>98.921159999999986</v>
      </c>
      <c r="E161" s="70"/>
      <c r="F161" s="11">
        <v>0</v>
      </c>
      <c r="G161" s="11">
        <f t="shared" si="1"/>
        <v>148.38173999999998</v>
      </c>
      <c r="H161" s="11" t="s">
        <v>165</v>
      </c>
      <c r="I161" s="185"/>
      <c r="J161" s="185"/>
    </row>
    <row r="162" spans="1:13" ht="15.75" x14ac:dyDescent="0.25">
      <c r="A162" s="69">
        <v>13</v>
      </c>
      <c r="B162" s="70">
        <v>6</v>
      </c>
      <c r="C162" s="31" t="s">
        <v>164</v>
      </c>
      <c r="D162" s="69">
        <f>8.8*10.764</f>
        <v>94.723200000000006</v>
      </c>
      <c r="E162" s="70"/>
      <c r="F162" s="11">
        <v>0</v>
      </c>
      <c r="G162" s="11">
        <f t="shared" si="1"/>
        <v>142.0848</v>
      </c>
      <c r="H162" s="11" t="s">
        <v>165</v>
      </c>
      <c r="I162" s="185"/>
      <c r="J162" s="185"/>
    </row>
    <row r="163" spans="1:13" ht="15.75" x14ac:dyDescent="0.25">
      <c r="A163" s="69">
        <v>14</v>
      </c>
      <c r="B163" s="70">
        <v>7</v>
      </c>
      <c r="C163" s="31" t="s">
        <v>164</v>
      </c>
      <c r="D163" s="69">
        <f>5.91*10.764</f>
        <v>63.61524</v>
      </c>
      <c r="E163" s="70"/>
      <c r="F163" s="11">
        <v>0</v>
      </c>
      <c r="G163" s="11">
        <f t="shared" si="1"/>
        <v>95.42286</v>
      </c>
      <c r="H163" s="11" t="s">
        <v>165</v>
      </c>
      <c r="I163" s="185"/>
      <c r="J163" s="185"/>
    </row>
    <row r="164" spans="1:13" ht="15.75" x14ac:dyDescent="0.25">
      <c r="A164" s="69">
        <v>15</v>
      </c>
      <c r="B164" s="70">
        <v>8</v>
      </c>
      <c r="C164" s="31" t="s">
        <v>164</v>
      </c>
      <c r="D164" s="69">
        <f>7.07*10.764</f>
        <v>76.101479999999995</v>
      </c>
      <c r="E164" s="70"/>
      <c r="F164" s="11">
        <v>0</v>
      </c>
      <c r="G164" s="11">
        <f t="shared" si="1"/>
        <v>114.15222</v>
      </c>
      <c r="H164" s="11" t="s">
        <v>165</v>
      </c>
      <c r="I164" s="185"/>
      <c r="J164" s="185"/>
    </row>
    <row r="165" spans="1:13" ht="15.75" x14ac:dyDescent="0.25">
      <c r="A165" s="69">
        <v>16</v>
      </c>
      <c r="B165" s="70">
        <v>9</v>
      </c>
      <c r="C165" s="31" t="s">
        <v>164</v>
      </c>
      <c r="D165" s="69">
        <f>9.01*10.764</f>
        <v>96.983639999999994</v>
      </c>
      <c r="E165" s="70"/>
      <c r="F165" s="11">
        <v>0</v>
      </c>
      <c r="G165" s="11">
        <f t="shared" si="1"/>
        <v>145.47546</v>
      </c>
      <c r="H165" s="11" t="s">
        <v>165</v>
      </c>
      <c r="I165" s="185"/>
      <c r="J165" s="185"/>
    </row>
    <row r="166" spans="1:13" ht="15.75" x14ac:dyDescent="0.25">
      <c r="A166" s="69">
        <v>17</v>
      </c>
      <c r="B166" s="70">
        <v>10</v>
      </c>
      <c r="C166" s="31" t="s">
        <v>164</v>
      </c>
      <c r="D166" s="69">
        <f>8.94*10.764</f>
        <v>96.230159999999984</v>
      </c>
      <c r="E166" s="70"/>
      <c r="F166" s="11">
        <v>0</v>
      </c>
      <c r="G166" s="11">
        <f t="shared" si="1"/>
        <v>144.34523999999999</v>
      </c>
      <c r="H166" s="11" t="s">
        <v>165</v>
      </c>
      <c r="I166" s="185"/>
      <c r="J166" s="185"/>
    </row>
    <row r="167" spans="1:13" ht="15.75" x14ac:dyDescent="0.25">
      <c r="A167" s="69">
        <v>18</v>
      </c>
      <c r="B167" s="70">
        <v>11</v>
      </c>
      <c r="C167" s="31" t="s">
        <v>164</v>
      </c>
      <c r="D167" s="69">
        <f>8.94*10.764</f>
        <v>96.230159999999984</v>
      </c>
      <c r="E167" s="70"/>
      <c r="F167" s="11">
        <v>0</v>
      </c>
      <c r="G167" s="11">
        <f t="shared" si="1"/>
        <v>144.34523999999999</v>
      </c>
      <c r="H167" s="11" t="s">
        <v>165</v>
      </c>
      <c r="I167" s="185"/>
      <c r="J167" s="185"/>
    </row>
    <row r="168" spans="1:13" ht="15.75" x14ac:dyDescent="0.25">
      <c r="A168" s="69">
        <v>19</v>
      </c>
      <c r="B168" s="70">
        <v>12</v>
      </c>
      <c r="C168" s="31" t="s">
        <v>164</v>
      </c>
      <c r="D168" s="69">
        <f>6.99*10.764</f>
        <v>75.240359999999995</v>
      </c>
      <c r="E168" s="70"/>
      <c r="F168" s="11">
        <v>0</v>
      </c>
      <c r="G168" s="11">
        <f>D168*1.5</f>
        <v>112.86053999999999</v>
      </c>
      <c r="H168" s="11" t="s">
        <v>165</v>
      </c>
      <c r="I168" s="185"/>
      <c r="J168" s="185"/>
    </row>
    <row r="169" spans="1:13" ht="15.75" x14ac:dyDescent="0.25">
      <c r="A169" s="69">
        <v>20</v>
      </c>
      <c r="B169" s="70">
        <v>13</v>
      </c>
      <c r="C169" s="31" t="s">
        <v>164</v>
      </c>
      <c r="D169" s="69">
        <f>11.67*10.764</f>
        <v>125.61587999999999</v>
      </c>
      <c r="E169" s="70"/>
      <c r="F169" s="11">
        <v>0</v>
      </c>
      <c r="G169" s="11">
        <f>D169*1.5</f>
        <v>188.42381999999998</v>
      </c>
      <c r="H169" s="11" t="s">
        <v>165</v>
      </c>
      <c r="I169" s="185"/>
      <c r="J169" s="185"/>
    </row>
    <row r="170" spans="1:13" ht="15.75" x14ac:dyDescent="0.25">
      <c r="A170" s="69">
        <v>1</v>
      </c>
      <c r="B170" s="70">
        <v>13</v>
      </c>
      <c r="C170" s="31" t="s">
        <v>167</v>
      </c>
      <c r="D170" s="69">
        <f>32.8*10.764</f>
        <v>353.05919999999998</v>
      </c>
      <c r="E170" s="70"/>
      <c r="F170" s="11">
        <v>0</v>
      </c>
      <c r="G170" s="11">
        <f>D170*1.5</f>
        <v>529.58879999999999</v>
      </c>
      <c r="H170" s="11" t="s">
        <v>165</v>
      </c>
      <c r="I170" s="59"/>
      <c r="J170" s="31"/>
    </row>
    <row r="171" spans="1:13" ht="15.75" x14ac:dyDescent="0.25">
      <c r="A171" s="71" t="s">
        <v>166</v>
      </c>
      <c r="B171" s="72"/>
      <c r="C171" s="72"/>
      <c r="D171" s="72"/>
      <c r="E171" s="72"/>
      <c r="F171" s="72"/>
      <c r="G171" s="72"/>
      <c r="H171" s="72"/>
      <c r="I171" s="72"/>
      <c r="J171" s="73"/>
    </row>
    <row r="172" spans="1:13" ht="15.75" x14ac:dyDescent="0.25">
      <c r="A172" s="69">
        <v>1</v>
      </c>
      <c r="B172" s="70"/>
      <c r="C172" s="31" t="s">
        <v>167</v>
      </c>
      <c r="D172" s="69">
        <f>(30.94+(2.75+2.15+3.59)*0.75)*10.764</f>
        <v>401.57793000000004</v>
      </c>
      <c r="E172" s="70"/>
      <c r="F172" s="11">
        <v>0</v>
      </c>
      <c r="G172" s="11">
        <v>571</v>
      </c>
      <c r="H172" s="11" t="s">
        <v>165</v>
      </c>
      <c r="I172" s="74" t="str">
        <f>A171</f>
        <v xml:space="preserve">1st to 4th floor </v>
      </c>
      <c r="J172" s="75"/>
      <c r="M172" s="42">
        <f>G172/D172</f>
        <v>1.4218908892727247</v>
      </c>
    </row>
    <row r="173" spans="1:13" ht="15.75" x14ac:dyDescent="0.25">
      <c r="A173" s="69">
        <v>2</v>
      </c>
      <c r="B173" s="70"/>
      <c r="C173" s="31" t="s">
        <v>167</v>
      </c>
      <c r="D173" s="69">
        <f>(30.94+(2.75+2.15+3.59)*0.75)*10.764</f>
        <v>401.57793000000004</v>
      </c>
      <c r="E173" s="70"/>
      <c r="F173" s="11">
        <v>0</v>
      </c>
      <c r="G173" s="11">
        <v>571</v>
      </c>
      <c r="H173" s="11" t="s">
        <v>165</v>
      </c>
      <c r="I173" s="76"/>
      <c r="J173" s="77"/>
      <c r="M173" s="42">
        <f t="shared" ref="M173:M184" si="2">G173/D173</f>
        <v>1.4218908892727247</v>
      </c>
    </row>
    <row r="174" spans="1:13" ht="15.75" x14ac:dyDescent="0.25">
      <c r="A174" s="69">
        <v>3</v>
      </c>
      <c r="B174" s="70"/>
      <c r="C174" s="31" t="s">
        <v>167</v>
      </c>
      <c r="D174" s="69">
        <f>(29.66+(2.75+2.15+2.75)*0.75)*10.764</f>
        <v>381.01868999999999</v>
      </c>
      <c r="E174" s="70"/>
      <c r="F174" s="11">
        <v>0</v>
      </c>
      <c r="G174" s="11">
        <v>572</v>
      </c>
      <c r="H174" s="11" t="s">
        <v>165</v>
      </c>
      <c r="I174" s="76"/>
      <c r="J174" s="77"/>
      <c r="M174" s="42">
        <f t="shared" si="2"/>
        <v>1.5012386925166321</v>
      </c>
    </row>
    <row r="175" spans="1:13" ht="15.75" x14ac:dyDescent="0.25">
      <c r="A175" s="69">
        <v>4</v>
      </c>
      <c r="B175" s="70"/>
      <c r="C175" s="31" t="s">
        <v>167</v>
      </c>
      <c r="D175" s="69">
        <f>(28.94+(2.75+2.15+2.75)*0.75)*10.764</f>
        <v>373.26861000000002</v>
      </c>
      <c r="E175" s="70"/>
      <c r="F175" s="11">
        <v>0</v>
      </c>
      <c r="G175" s="11">
        <v>572</v>
      </c>
      <c r="H175" s="11" t="s">
        <v>165</v>
      </c>
      <c r="I175" s="76"/>
      <c r="J175" s="77"/>
      <c r="M175" s="42">
        <f t="shared" si="2"/>
        <v>1.5324085247886232</v>
      </c>
    </row>
    <row r="176" spans="1:13" ht="15.75" x14ac:dyDescent="0.25">
      <c r="A176" s="69">
        <v>5</v>
      </c>
      <c r="B176" s="70"/>
      <c r="C176" s="31" t="s">
        <v>167</v>
      </c>
      <c r="D176" s="69">
        <f>(29.13+(2.75+2.15+2.75)*0.75)*10.764</f>
        <v>375.31376999999998</v>
      </c>
      <c r="E176" s="70"/>
      <c r="F176" s="11">
        <v>0</v>
      </c>
      <c r="G176" s="11">
        <v>570</v>
      </c>
      <c r="H176" s="11" t="s">
        <v>165</v>
      </c>
      <c r="I176" s="76"/>
      <c r="J176" s="77"/>
      <c r="L176" s="42">
        <f>4.4*2.75+1.85*2.15+2.9*2.75+1.6*1.2+0.9*1.2+0.9*2.25</f>
        <v>29.077500000000001</v>
      </c>
      <c r="M176" s="42">
        <f t="shared" si="2"/>
        <v>1.5187292488628916</v>
      </c>
    </row>
    <row r="177" spans="1:13" ht="15.75" x14ac:dyDescent="0.25">
      <c r="A177" s="69">
        <v>6</v>
      </c>
      <c r="B177" s="70"/>
      <c r="C177" s="31" t="s">
        <v>167</v>
      </c>
      <c r="D177" s="69">
        <f>(29.13+(2.75+2.15+2.75)*0.75)*10.764</f>
        <v>375.31376999999998</v>
      </c>
      <c r="E177" s="70"/>
      <c r="F177" s="11">
        <v>0</v>
      </c>
      <c r="G177" s="11">
        <v>570</v>
      </c>
      <c r="H177" s="11" t="s">
        <v>165</v>
      </c>
      <c r="I177" s="78"/>
      <c r="J177" s="79"/>
      <c r="M177" s="42">
        <f t="shared" si="2"/>
        <v>1.5187292488628916</v>
      </c>
    </row>
    <row r="178" spans="1:13" ht="15.75" x14ac:dyDescent="0.25">
      <c r="A178" s="71" t="s">
        <v>253</v>
      </c>
      <c r="B178" s="72"/>
      <c r="C178" s="72"/>
      <c r="D178" s="72"/>
      <c r="E178" s="72"/>
      <c r="F178" s="72"/>
      <c r="G178" s="72"/>
      <c r="H178" s="72"/>
      <c r="I178" s="72"/>
      <c r="J178" s="73"/>
      <c r="M178" s="42" t="e">
        <f t="shared" si="2"/>
        <v>#DIV/0!</v>
      </c>
    </row>
    <row r="179" spans="1:13" ht="15.75" x14ac:dyDescent="0.25">
      <c r="A179" s="69">
        <v>1</v>
      </c>
      <c r="B179" s="70"/>
      <c r="C179" s="31" t="s">
        <v>167</v>
      </c>
      <c r="D179" s="69">
        <f>(30.94+(2.75+2.15+3.59)*0.75)*10.764</f>
        <v>401.57793000000004</v>
      </c>
      <c r="E179" s="70"/>
      <c r="F179" s="11">
        <v>0</v>
      </c>
      <c r="G179" s="11">
        <v>571</v>
      </c>
      <c r="H179" s="11" t="s">
        <v>165</v>
      </c>
      <c r="I179" s="74" t="str">
        <f>A178</f>
        <v xml:space="preserve">5th floor </v>
      </c>
      <c r="J179" s="75"/>
      <c r="M179" s="42">
        <f t="shared" si="2"/>
        <v>1.4218908892727247</v>
      </c>
    </row>
    <row r="180" spans="1:13" ht="15.75" x14ac:dyDescent="0.25">
      <c r="A180" s="69">
        <v>2</v>
      </c>
      <c r="B180" s="70"/>
      <c r="C180" s="31" t="s">
        <v>167</v>
      </c>
      <c r="D180" s="69">
        <f>(30.94+(2.75+2.15+3.59)*0.75)*10.764</f>
        <v>401.57793000000004</v>
      </c>
      <c r="E180" s="70"/>
      <c r="F180" s="11">
        <v>0</v>
      </c>
      <c r="G180" s="11">
        <v>571</v>
      </c>
      <c r="H180" s="11" t="s">
        <v>165</v>
      </c>
      <c r="I180" s="76"/>
      <c r="J180" s="77"/>
      <c r="M180" s="42">
        <f t="shared" si="2"/>
        <v>1.4218908892727247</v>
      </c>
    </row>
    <row r="181" spans="1:13" ht="15.75" x14ac:dyDescent="0.25">
      <c r="A181" s="69">
        <v>3</v>
      </c>
      <c r="B181" s="70"/>
      <c r="C181" s="31" t="s">
        <v>167</v>
      </c>
      <c r="D181" s="69">
        <f>(29.66+(2.75+2.15+2.75)*0.75)*10.764</f>
        <v>381.01868999999999</v>
      </c>
      <c r="E181" s="70"/>
      <c r="F181" s="11">
        <v>0</v>
      </c>
      <c r="G181" s="11">
        <v>572</v>
      </c>
      <c r="H181" s="11" t="s">
        <v>165</v>
      </c>
      <c r="I181" s="76"/>
      <c r="J181" s="77"/>
      <c r="M181" s="42">
        <f t="shared" si="2"/>
        <v>1.5012386925166321</v>
      </c>
    </row>
    <row r="182" spans="1:13" ht="15.75" x14ac:dyDescent="0.25">
      <c r="A182" s="69">
        <v>4</v>
      </c>
      <c r="B182" s="70"/>
      <c r="C182" s="31" t="s">
        <v>167</v>
      </c>
      <c r="D182" s="69">
        <f>(28.94+(2.75+2.15+2.75)*0.75)*10.764</f>
        <v>373.26861000000002</v>
      </c>
      <c r="E182" s="70"/>
      <c r="F182" s="11">
        <v>0</v>
      </c>
      <c r="G182" s="11">
        <v>572</v>
      </c>
      <c r="H182" s="11" t="s">
        <v>165</v>
      </c>
      <c r="I182" s="76"/>
      <c r="J182" s="77"/>
      <c r="M182" s="42">
        <f t="shared" si="2"/>
        <v>1.5324085247886232</v>
      </c>
    </row>
    <row r="183" spans="1:13" ht="15.75" x14ac:dyDescent="0.25">
      <c r="A183" s="69">
        <v>5</v>
      </c>
      <c r="B183" s="70"/>
      <c r="C183" s="31" t="s">
        <v>167</v>
      </c>
      <c r="D183" s="69">
        <f>(29.13+(2.75+2.15+2.75)*0.75)*10.764</f>
        <v>375.31376999999998</v>
      </c>
      <c r="E183" s="70"/>
      <c r="F183" s="11">
        <v>0</v>
      </c>
      <c r="G183" s="11">
        <v>570</v>
      </c>
      <c r="H183" s="11" t="s">
        <v>165</v>
      </c>
      <c r="I183" s="76"/>
      <c r="J183" s="77"/>
      <c r="L183" s="42">
        <f>4.4*2.75+1.85*2.15+2.9*2.75+1.6*1.2+0.9*1.2+0.9*2.25</f>
        <v>29.077500000000001</v>
      </c>
      <c r="M183" s="42">
        <f t="shared" si="2"/>
        <v>1.5187292488628916</v>
      </c>
    </row>
    <row r="184" spans="1:13" ht="15.75" x14ac:dyDescent="0.25">
      <c r="A184" s="69">
        <v>6</v>
      </c>
      <c r="B184" s="70"/>
      <c r="C184" s="31" t="s">
        <v>167</v>
      </c>
      <c r="D184" s="69">
        <f>(29.13+(2.75+2.15+2.75)*0.75)*10.764</f>
        <v>375.31376999999998</v>
      </c>
      <c r="E184" s="70"/>
      <c r="F184" s="11">
        <v>0</v>
      </c>
      <c r="G184" s="11">
        <v>570</v>
      </c>
      <c r="H184" s="11" t="s">
        <v>165</v>
      </c>
      <c r="I184" s="78"/>
      <c r="J184" s="79"/>
      <c r="M184" s="42">
        <f t="shared" si="2"/>
        <v>1.5187292488628916</v>
      </c>
    </row>
    <row r="185" spans="1:13" ht="15.75" x14ac:dyDescent="0.25">
      <c r="A185" s="71" t="s">
        <v>160</v>
      </c>
      <c r="B185" s="72"/>
      <c r="C185" s="72"/>
      <c r="D185" s="72"/>
      <c r="E185" s="72"/>
      <c r="F185" s="72"/>
      <c r="G185" s="72"/>
      <c r="H185" s="72"/>
      <c r="I185" s="72"/>
      <c r="J185" s="73"/>
    </row>
    <row r="186" spans="1:13" ht="15.75" x14ac:dyDescent="0.25">
      <c r="A186" s="71" t="s">
        <v>171</v>
      </c>
      <c r="B186" s="72"/>
      <c r="C186" s="72"/>
      <c r="D186" s="72"/>
      <c r="E186" s="72"/>
      <c r="F186" s="72"/>
      <c r="G186" s="72"/>
      <c r="H186" s="72"/>
      <c r="I186" s="72"/>
      <c r="J186" s="73"/>
    </row>
    <row r="187" spans="1:13" ht="15.75" x14ac:dyDescent="0.25">
      <c r="A187" s="71" t="s">
        <v>172</v>
      </c>
      <c r="B187" s="72"/>
      <c r="C187" s="72"/>
      <c r="D187" s="72"/>
      <c r="E187" s="72"/>
      <c r="F187" s="72"/>
      <c r="G187" s="72"/>
      <c r="H187" s="72"/>
      <c r="I187" s="72"/>
      <c r="J187" s="73"/>
    </row>
    <row r="188" spans="1:13" ht="15.75" x14ac:dyDescent="0.25">
      <c r="A188" s="71" t="s">
        <v>173</v>
      </c>
      <c r="B188" s="72"/>
      <c r="C188" s="72"/>
      <c r="D188" s="72"/>
      <c r="E188" s="72"/>
      <c r="F188" s="72"/>
      <c r="G188" s="72"/>
      <c r="H188" s="72"/>
      <c r="I188" s="72"/>
      <c r="J188" s="73"/>
    </row>
    <row r="189" spans="1:13" ht="15.75" customHeight="1" x14ac:dyDescent="0.25">
      <c r="A189" s="69">
        <v>21</v>
      </c>
      <c r="B189" s="70"/>
      <c r="C189" s="31" t="s">
        <v>164</v>
      </c>
      <c r="D189" s="69">
        <f>9.91*10.764</f>
        <v>106.67124</v>
      </c>
      <c r="E189" s="70"/>
      <c r="F189" s="11">
        <v>0</v>
      </c>
      <c r="G189" s="11">
        <f t="shared" ref="G189:G195" si="3">D189*1.5</f>
        <v>160.00685999999999</v>
      </c>
      <c r="H189" s="11" t="s">
        <v>165</v>
      </c>
      <c r="I189" s="74" t="s">
        <v>162</v>
      </c>
      <c r="J189" s="75"/>
    </row>
    <row r="190" spans="1:13" ht="15.75" x14ac:dyDescent="0.25">
      <c r="A190" s="69">
        <v>22</v>
      </c>
      <c r="B190" s="70"/>
      <c r="C190" s="31" t="s">
        <v>164</v>
      </c>
      <c r="D190" s="69">
        <f>6.99*10.764</f>
        <v>75.240359999999995</v>
      </c>
      <c r="E190" s="70"/>
      <c r="F190" s="11">
        <v>0</v>
      </c>
      <c r="G190" s="11">
        <f t="shared" si="3"/>
        <v>112.86053999999999</v>
      </c>
      <c r="H190" s="11" t="s">
        <v>165</v>
      </c>
      <c r="I190" s="76"/>
      <c r="J190" s="77"/>
    </row>
    <row r="191" spans="1:13" ht="15.75" x14ac:dyDescent="0.25">
      <c r="A191" s="69">
        <v>23</v>
      </c>
      <c r="B191" s="70"/>
      <c r="C191" s="31" t="s">
        <v>164</v>
      </c>
      <c r="D191" s="69">
        <f>8.94*10.764</f>
        <v>96.230159999999984</v>
      </c>
      <c r="E191" s="70"/>
      <c r="F191" s="11">
        <v>0</v>
      </c>
      <c r="G191" s="11">
        <f t="shared" si="3"/>
        <v>144.34523999999999</v>
      </c>
      <c r="H191" s="11" t="s">
        <v>165</v>
      </c>
      <c r="I191" s="76"/>
      <c r="J191" s="77"/>
    </row>
    <row r="192" spans="1:13" ht="15.75" x14ac:dyDescent="0.25">
      <c r="A192" s="69">
        <v>24</v>
      </c>
      <c r="B192" s="70"/>
      <c r="C192" s="31" t="s">
        <v>164</v>
      </c>
      <c r="D192" s="69">
        <f>8.94*10.764</f>
        <v>96.230159999999984</v>
      </c>
      <c r="E192" s="70"/>
      <c r="F192" s="11">
        <v>0</v>
      </c>
      <c r="G192" s="11">
        <f t="shared" si="3"/>
        <v>144.34523999999999</v>
      </c>
      <c r="H192" s="11" t="s">
        <v>165</v>
      </c>
      <c r="I192" s="76"/>
      <c r="J192" s="77"/>
    </row>
    <row r="193" spans="1:13" ht="15.6" customHeight="1" x14ac:dyDescent="0.25">
      <c r="A193" s="69">
        <v>25</v>
      </c>
      <c r="B193" s="70"/>
      <c r="C193" s="31" t="s">
        <v>164</v>
      </c>
      <c r="D193" s="69">
        <f>9.01*10.764</f>
        <v>96.983639999999994</v>
      </c>
      <c r="E193" s="70"/>
      <c r="F193" s="11">
        <v>0</v>
      </c>
      <c r="G193" s="11">
        <f t="shared" si="3"/>
        <v>145.47546</v>
      </c>
      <c r="H193" s="11" t="s">
        <v>165</v>
      </c>
      <c r="I193" s="76"/>
      <c r="J193" s="77"/>
    </row>
    <row r="194" spans="1:13" ht="15.75" x14ac:dyDescent="0.25">
      <c r="A194" s="69">
        <v>26</v>
      </c>
      <c r="B194" s="70"/>
      <c r="C194" s="31" t="s">
        <v>164</v>
      </c>
      <c r="D194" s="69">
        <f>8.71*10.764</f>
        <v>93.754440000000002</v>
      </c>
      <c r="E194" s="70"/>
      <c r="F194" s="11">
        <v>0</v>
      </c>
      <c r="G194" s="11">
        <f t="shared" si="3"/>
        <v>140.63166000000001</v>
      </c>
      <c r="H194" s="11" t="s">
        <v>165</v>
      </c>
      <c r="I194" s="76"/>
      <c r="J194" s="77"/>
    </row>
    <row r="195" spans="1:13" ht="15.75" x14ac:dyDescent="0.25">
      <c r="A195" s="69">
        <v>27</v>
      </c>
      <c r="B195" s="70"/>
      <c r="C195" s="31" t="s">
        <v>164</v>
      </c>
      <c r="D195" s="69">
        <f>6.56*10.764</f>
        <v>70.611839999999987</v>
      </c>
      <c r="E195" s="70"/>
      <c r="F195" s="11">
        <v>0</v>
      </c>
      <c r="G195" s="11">
        <f t="shared" si="3"/>
        <v>105.91775999999999</v>
      </c>
      <c r="H195" s="11" t="s">
        <v>165</v>
      </c>
      <c r="I195" s="76"/>
      <c r="J195" s="77"/>
    </row>
    <row r="196" spans="1:13" ht="15.75" x14ac:dyDescent="0.25">
      <c r="A196" s="69">
        <v>1</v>
      </c>
      <c r="B196" s="70"/>
      <c r="C196" s="31" t="s">
        <v>174</v>
      </c>
      <c r="D196" s="69">
        <f>21.88*10.764</f>
        <v>235.51631999999998</v>
      </c>
      <c r="E196" s="70"/>
      <c r="F196" s="11">
        <v>0</v>
      </c>
      <c r="G196" s="11">
        <f>D196*1.5</f>
        <v>353.27447999999998</v>
      </c>
      <c r="H196" s="11" t="s">
        <v>165</v>
      </c>
      <c r="I196" s="78"/>
      <c r="J196" s="79"/>
    </row>
    <row r="197" spans="1:13" ht="15.75" x14ac:dyDescent="0.25">
      <c r="A197" s="71" t="s">
        <v>166</v>
      </c>
      <c r="B197" s="72"/>
      <c r="C197" s="72"/>
      <c r="D197" s="72"/>
      <c r="E197" s="72"/>
      <c r="F197" s="72"/>
      <c r="G197" s="72"/>
      <c r="H197" s="72"/>
      <c r="I197" s="72"/>
      <c r="J197" s="73"/>
    </row>
    <row r="198" spans="1:13" ht="15.75" x14ac:dyDescent="0.25">
      <c r="A198" s="69">
        <v>1</v>
      </c>
      <c r="B198" s="70"/>
      <c r="C198" s="31" t="s">
        <v>167</v>
      </c>
      <c r="D198" s="69">
        <f>(29.68+(2.75+2.15+2.75)*0.75)*10.764</f>
        <v>381.23397</v>
      </c>
      <c r="E198" s="70"/>
      <c r="F198" s="11">
        <v>0</v>
      </c>
      <c r="G198" s="11">
        <v>588</v>
      </c>
      <c r="H198" s="11" t="s">
        <v>165</v>
      </c>
      <c r="I198" s="74" t="str">
        <f>A197</f>
        <v xml:space="preserve">1st to 4th floor </v>
      </c>
      <c r="J198" s="75"/>
      <c r="M198" s="42">
        <f>G198/D198</f>
        <v>1.5423599318812014</v>
      </c>
    </row>
    <row r="199" spans="1:13" ht="15.75" x14ac:dyDescent="0.25">
      <c r="A199" s="69">
        <v>2</v>
      </c>
      <c r="B199" s="70"/>
      <c r="C199" s="31" t="s">
        <v>167</v>
      </c>
      <c r="D199" s="69">
        <f>(29.66+(2.75+2.15+2.75)*0.75)*10.764</f>
        <v>381.01868999999999</v>
      </c>
      <c r="E199" s="70"/>
      <c r="F199" s="11">
        <v>0</v>
      </c>
      <c r="G199" s="11">
        <v>588</v>
      </c>
      <c r="H199" s="11" t="s">
        <v>165</v>
      </c>
      <c r="I199" s="76"/>
      <c r="J199" s="77"/>
      <c r="M199" s="42">
        <f t="shared" ref="M199:M206" si="4">G199/D199</f>
        <v>1.5432313832163982</v>
      </c>
    </row>
    <row r="200" spans="1:13" ht="15.75" x14ac:dyDescent="0.25">
      <c r="A200" s="69">
        <v>3</v>
      </c>
      <c r="B200" s="70"/>
      <c r="C200" s="31" t="s">
        <v>167</v>
      </c>
      <c r="D200" s="69">
        <f>(30+(2.75+2.15+3.05)*0.75)*10.764</f>
        <v>387.10034999999993</v>
      </c>
      <c r="E200" s="70"/>
      <c r="F200" s="11">
        <v>0</v>
      </c>
      <c r="G200" s="11">
        <v>576</v>
      </c>
      <c r="H200" s="11" t="s">
        <v>165</v>
      </c>
      <c r="I200" s="76"/>
      <c r="J200" s="77"/>
      <c r="M200" s="42">
        <f t="shared" si="4"/>
        <v>1.4879862547269722</v>
      </c>
    </row>
    <row r="201" spans="1:13" ht="15.75" x14ac:dyDescent="0.25">
      <c r="A201" s="69">
        <v>4</v>
      </c>
      <c r="B201" s="70"/>
      <c r="C201" s="31" t="s">
        <v>167</v>
      </c>
      <c r="D201" s="69">
        <f>(30+(2.75+2.15+3.05)*0.75)*10.764</f>
        <v>387.10034999999993</v>
      </c>
      <c r="E201" s="70"/>
      <c r="F201" s="11">
        <v>0</v>
      </c>
      <c r="G201" s="11">
        <v>576</v>
      </c>
      <c r="H201" s="11" t="s">
        <v>165</v>
      </c>
      <c r="I201" s="76"/>
      <c r="J201" s="77"/>
      <c r="M201" s="42">
        <f t="shared" si="4"/>
        <v>1.4879862547269722</v>
      </c>
    </row>
    <row r="202" spans="1:13" ht="15.75" x14ac:dyDescent="0.25">
      <c r="A202" s="71" t="s">
        <v>253</v>
      </c>
      <c r="B202" s="72"/>
      <c r="C202" s="72"/>
      <c r="D202" s="72"/>
      <c r="E202" s="72"/>
      <c r="F202" s="72"/>
      <c r="G202" s="72"/>
      <c r="H202" s="72"/>
      <c r="I202" s="72"/>
      <c r="J202" s="73"/>
    </row>
    <row r="203" spans="1:13" ht="15.75" x14ac:dyDescent="0.25">
      <c r="A203" s="69">
        <v>1</v>
      </c>
      <c r="B203" s="70"/>
      <c r="C203" s="31" t="s">
        <v>167</v>
      </c>
      <c r="D203" s="69">
        <f>(29.68+(2.75+2.15+2.75)*0.75)*10.764</f>
        <v>381.23397</v>
      </c>
      <c r="E203" s="70"/>
      <c r="F203" s="11">
        <v>0</v>
      </c>
      <c r="G203" s="11">
        <v>588</v>
      </c>
      <c r="H203" s="11" t="s">
        <v>165</v>
      </c>
      <c r="I203" s="74" t="str">
        <f>A202</f>
        <v xml:space="preserve">5th floor </v>
      </c>
      <c r="J203" s="75"/>
      <c r="M203" s="42">
        <f t="shared" si="4"/>
        <v>1.5423599318812014</v>
      </c>
    </row>
    <row r="204" spans="1:13" ht="15.75" x14ac:dyDescent="0.25">
      <c r="A204" s="69">
        <v>2</v>
      </c>
      <c r="B204" s="70"/>
      <c r="C204" s="31" t="s">
        <v>167</v>
      </c>
      <c r="D204" s="69">
        <f>(29.66+(2.75+2.15+2.75)*0.75)*10.764</f>
        <v>381.01868999999999</v>
      </c>
      <c r="E204" s="70"/>
      <c r="F204" s="11">
        <v>0</v>
      </c>
      <c r="G204" s="11">
        <v>588</v>
      </c>
      <c r="H204" s="11" t="s">
        <v>165</v>
      </c>
      <c r="I204" s="76"/>
      <c r="J204" s="77"/>
      <c r="M204" s="42">
        <f t="shared" si="4"/>
        <v>1.5432313832163982</v>
      </c>
    </row>
    <row r="205" spans="1:13" ht="15.75" x14ac:dyDescent="0.25">
      <c r="A205" s="69">
        <v>3</v>
      </c>
      <c r="B205" s="70"/>
      <c r="C205" s="31" t="s">
        <v>167</v>
      </c>
      <c r="D205" s="69">
        <f>(30+(2.75+2.15+3.05)*0.75)*10.764</f>
        <v>387.10034999999993</v>
      </c>
      <c r="E205" s="70"/>
      <c r="F205" s="11">
        <v>0</v>
      </c>
      <c r="G205" s="11">
        <v>576</v>
      </c>
      <c r="H205" s="11" t="s">
        <v>165</v>
      </c>
      <c r="I205" s="76"/>
      <c r="J205" s="77"/>
      <c r="M205" s="42">
        <f t="shared" si="4"/>
        <v>1.4879862547269722</v>
      </c>
    </row>
    <row r="206" spans="1:13" ht="15.75" x14ac:dyDescent="0.25">
      <c r="A206" s="69">
        <v>4</v>
      </c>
      <c r="B206" s="70"/>
      <c r="C206" s="31" t="s">
        <v>167</v>
      </c>
      <c r="D206" s="69">
        <f>(30+(2.75+2.15+3.05)*0.75)*10.764</f>
        <v>387.10034999999993</v>
      </c>
      <c r="E206" s="70"/>
      <c r="F206" s="11">
        <v>0</v>
      </c>
      <c r="G206" s="11">
        <v>576</v>
      </c>
      <c r="H206" s="11" t="s">
        <v>165</v>
      </c>
      <c r="I206" s="76"/>
      <c r="J206" s="77"/>
      <c r="M206" s="42">
        <f t="shared" si="4"/>
        <v>1.4879862547269722</v>
      </c>
    </row>
    <row r="207" spans="1:13" ht="15.75" x14ac:dyDescent="0.25">
      <c r="A207" s="71" t="s">
        <v>183</v>
      </c>
      <c r="B207" s="72"/>
      <c r="C207" s="72"/>
      <c r="D207" s="72"/>
      <c r="E207" s="72"/>
      <c r="F207" s="72"/>
      <c r="G207" s="72"/>
      <c r="H207" s="72"/>
      <c r="I207" s="72"/>
      <c r="J207" s="73"/>
    </row>
    <row r="208" spans="1:13" ht="15.75" x14ac:dyDescent="0.25">
      <c r="A208" s="71" t="s">
        <v>184</v>
      </c>
      <c r="B208" s="72"/>
      <c r="C208" s="72"/>
      <c r="D208" s="72"/>
      <c r="E208" s="72"/>
      <c r="F208" s="72"/>
      <c r="G208" s="72"/>
      <c r="H208" s="72"/>
      <c r="I208" s="72"/>
      <c r="J208" s="73"/>
    </row>
    <row r="209" spans="1:13" ht="15.75" x14ac:dyDescent="0.25">
      <c r="A209" s="71" t="s">
        <v>161</v>
      </c>
      <c r="B209" s="72"/>
      <c r="C209" s="72"/>
      <c r="D209" s="72"/>
      <c r="E209" s="72"/>
      <c r="F209" s="72"/>
      <c r="G209" s="72"/>
      <c r="H209" s="72"/>
      <c r="I209" s="72"/>
      <c r="J209" s="73"/>
    </row>
    <row r="210" spans="1:13" ht="15.75" x14ac:dyDescent="0.25">
      <c r="A210" s="71" t="s">
        <v>185</v>
      </c>
      <c r="B210" s="72"/>
      <c r="C210" s="72"/>
      <c r="D210" s="72"/>
      <c r="E210" s="72"/>
      <c r="F210" s="72"/>
      <c r="G210" s="72"/>
      <c r="H210" s="72"/>
      <c r="I210" s="72"/>
      <c r="J210" s="73"/>
    </row>
    <row r="211" spans="1:13" ht="15.75" x14ac:dyDescent="0.25">
      <c r="A211" s="11">
        <v>1</v>
      </c>
      <c r="B211" s="11">
        <v>1</v>
      </c>
      <c r="C211" s="31" t="s">
        <v>167</v>
      </c>
      <c r="D211" s="69">
        <f>(29.8+(1.5*0.45))*10.764</f>
        <v>328.03289999999998</v>
      </c>
      <c r="E211" s="70"/>
      <c r="F211" s="11">
        <v>0</v>
      </c>
      <c r="G211" s="11">
        <f>D211*1.45</f>
        <v>475.64770499999997</v>
      </c>
      <c r="H211" s="11" t="s">
        <v>165</v>
      </c>
      <c r="I211" s="74" t="s">
        <v>162</v>
      </c>
      <c r="J211" s="75"/>
    </row>
    <row r="212" spans="1:13" ht="15.75" x14ac:dyDescent="0.25">
      <c r="A212" s="11">
        <v>2</v>
      </c>
      <c r="B212" s="11">
        <v>2</v>
      </c>
      <c r="C212" s="31" t="s">
        <v>167</v>
      </c>
      <c r="D212" s="69">
        <f>(29.8+(1.5*0.45))*10.764</f>
        <v>328.03289999999998</v>
      </c>
      <c r="E212" s="70"/>
      <c r="F212" s="11">
        <v>0</v>
      </c>
      <c r="G212" s="11">
        <f>D212*1.45</f>
        <v>475.64770499999997</v>
      </c>
      <c r="H212" s="11" t="s">
        <v>165</v>
      </c>
      <c r="I212" s="76"/>
      <c r="J212" s="77"/>
    </row>
    <row r="213" spans="1:13" ht="15.75" x14ac:dyDescent="0.25">
      <c r="A213" s="71" t="s">
        <v>166</v>
      </c>
      <c r="B213" s="72"/>
      <c r="C213" s="72"/>
      <c r="D213" s="72"/>
      <c r="E213" s="72"/>
      <c r="F213" s="72"/>
      <c r="G213" s="72"/>
      <c r="H213" s="72"/>
      <c r="I213" s="72"/>
      <c r="J213" s="73"/>
    </row>
    <row r="214" spans="1:13" ht="15.75" x14ac:dyDescent="0.25">
      <c r="A214" s="11">
        <v>1</v>
      </c>
      <c r="B214" s="11">
        <v>1</v>
      </c>
      <c r="C214" s="31" t="s">
        <v>167</v>
      </c>
      <c r="D214" s="69">
        <f>(29.8+(1.5*0.45))*10.764</f>
        <v>328.03289999999998</v>
      </c>
      <c r="E214" s="70"/>
      <c r="F214" s="11">
        <v>0</v>
      </c>
      <c r="G214" s="11">
        <f>D214*1.45</f>
        <v>475.64770499999997</v>
      </c>
      <c r="H214" s="11" t="s">
        <v>165</v>
      </c>
      <c r="I214" s="185" t="str">
        <f>A213</f>
        <v xml:space="preserve">1st to 4th floor </v>
      </c>
      <c r="J214" s="185"/>
    </row>
    <row r="215" spans="1:13" ht="15.75" x14ac:dyDescent="0.25">
      <c r="A215" s="11">
        <v>2</v>
      </c>
      <c r="B215" s="11">
        <v>2</v>
      </c>
      <c r="C215" s="31" t="s">
        <v>167</v>
      </c>
      <c r="D215" s="69">
        <f>(29.8+(1.5*0.45))*10.764</f>
        <v>328.03289999999998</v>
      </c>
      <c r="E215" s="70"/>
      <c r="F215" s="11">
        <v>0</v>
      </c>
      <c r="G215" s="11">
        <f>D215*1.45</f>
        <v>475.64770499999997</v>
      </c>
      <c r="H215" s="11" t="s">
        <v>165</v>
      </c>
      <c r="I215" s="185"/>
      <c r="J215" s="185"/>
    </row>
    <row r="216" spans="1:13" ht="15.75" x14ac:dyDescent="0.25">
      <c r="A216" s="11">
        <v>3</v>
      </c>
      <c r="B216" s="11">
        <v>3</v>
      </c>
      <c r="C216" s="31" t="s">
        <v>167</v>
      </c>
      <c r="D216" s="69">
        <f>(29.8+(1.5*0.45))*10.764</f>
        <v>328.03289999999998</v>
      </c>
      <c r="E216" s="70"/>
      <c r="F216" s="11">
        <v>0</v>
      </c>
      <c r="G216" s="11">
        <f>D216*1.45</f>
        <v>475.64770499999997</v>
      </c>
      <c r="H216" s="11" t="s">
        <v>165</v>
      </c>
      <c r="I216" s="185"/>
      <c r="J216" s="185"/>
    </row>
    <row r="217" spans="1:13" ht="15.75" x14ac:dyDescent="0.25">
      <c r="A217" s="11">
        <v>4</v>
      </c>
      <c r="B217" s="11">
        <v>4</v>
      </c>
      <c r="C217" s="31" t="s">
        <v>167</v>
      </c>
      <c r="D217" s="69">
        <f>(29.8+(1.5*0.45))*10.764</f>
        <v>328.03289999999998</v>
      </c>
      <c r="E217" s="70"/>
      <c r="F217" s="11">
        <v>0</v>
      </c>
      <c r="G217" s="11">
        <f>D217*1.45</f>
        <v>475.64770499999997</v>
      </c>
      <c r="H217" s="11" t="s">
        <v>165</v>
      </c>
      <c r="I217" s="185"/>
      <c r="J217" s="185"/>
    </row>
    <row r="218" spans="1:13" ht="306" customHeight="1" x14ac:dyDescent="0.25">
      <c r="A218" s="195" t="s">
        <v>272</v>
      </c>
      <c r="B218" s="196"/>
      <c r="C218" s="196"/>
      <c r="D218" s="196"/>
      <c r="E218" s="196"/>
      <c r="F218" s="196"/>
      <c r="G218" s="196"/>
      <c r="H218" s="196"/>
      <c r="I218" s="196"/>
      <c r="J218" s="197"/>
      <c r="M218" s="201" t="s">
        <v>271</v>
      </c>
    </row>
    <row r="219" spans="1:13" x14ac:dyDescent="0.25">
      <c r="A219" s="83" t="s">
        <v>25</v>
      </c>
      <c r="B219" s="84"/>
      <c r="C219" s="84"/>
      <c r="D219" s="84"/>
      <c r="E219" s="84"/>
      <c r="F219" s="84"/>
      <c r="G219" s="84"/>
      <c r="H219" s="84"/>
      <c r="I219" s="84"/>
      <c r="J219" s="85"/>
    </row>
    <row r="220" spans="1:13" x14ac:dyDescent="0.25">
      <c r="A220" s="80" t="s">
        <v>32</v>
      </c>
      <c r="B220" s="81"/>
      <c r="C220" s="81"/>
      <c r="D220" s="81"/>
      <c r="E220" s="81"/>
      <c r="F220" s="81"/>
      <c r="G220" s="81"/>
      <c r="H220" s="81"/>
      <c r="I220" s="81"/>
      <c r="J220" s="82"/>
    </row>
    <row r="221" spans="1:13" x14ac:dyDescent="0.25">
      <c r="A221" s="83" t="s">
        <v>27</v>
      </c>
      <c r="B221" s="84"/>
      <c r="C221" s="84"/>
      <c r="D221" s="84"/>
      <c r="E221" s="84"/>
      <c r="F221" s="84"/>
      <c r="G221" s="84"/>
      <c r="H221" s="84"/>
      <c r="I221" s="84"/>
      <c r="J221" s="85"/>
    </row>
    <row r="222" spans="1:13" x14ac:dyDescent="0.25">
      <c r="A222" s="80" t="s">
        <v>37</v>
      </c>
      <c r="B222" s="81"/>
      <c r="C222" s="81"/>
      <c r="D222" s="81"/>
      <c r="E222" s="81"/>
      <c r="F222" s="81"/>
      <c r="G222" s="81"/>
      <c r="H222" s="81"/>
      <c r="I222" s="81"/>
      <c r="J222" s="82"/>
    </row>
    <row r="223" spans="1:13" x14ac:dyDescent="0.25">
      <c r="A223" s="80" t="s">
        <v>149</v>
      </c>
      <c r="B223" s="81"/>
      <c r="C223" s="81"/>
      <c r="D223" s="81"/>
      <c r="E223" s="81"/>
      <c r="F223" s="81"/>
      <c r="G223" s="81"/>
      <c r="H223" s="81"/>
      <c r="I223" s="81"/>
      <c r="J223" s="82"/>
    </row>
    <row r="224" spans="1:13" x14ac:dyDescent="0.25">
      <c r="A224" s="80" t="s">
        <v>150</v>
      </c>
      <c r="B224" s="81"/>
      <c r="C224" s="81"/>
      <c r="D224" s="81"/>
      <c r="E224" s="81"/>
      <c r="F224" s="81"/>
      <c r="G224" s="81"/>
      <c r="H224" s="81"/>
      <c r="I224" s="81"/>
      <c r="J224" s="82"/>
    </row>
    <row r="225" spans="1:10" x14ac:dyDescent="0.25">
      <c r="A225" s="96" t="s">
        <v>151</v>
      </c>
      <c r="B225" s="97"/>
      <c r="C225" s="97"/>
      <c r="D225" s="97"/>
      <c r="E225" s="97"/>
      <c r="F225" s="97"/>
      <c r="G225" s="97"/>
      <c r="H225" s="97"/>
      <c r="I225" s="97"/>
      <c r="J225" s="98"/>
    </row>
    <row r="226" spans="1:10" ht="15" customHeight="1" x14ac:dyDescent="0.25">
      <c r="A226" s="186" t="s">
        <v>26</v>
      </c>
      <c r="B226" s="187"/>
      <c r="C226" s="187"/>
      <c r="D226" s="187"/>
      <c r="E226" s="187"/>
      <c r="F226" s="187"/>
      <c r="G226" s="187"/>
      <c r="H226" s="187"/>
      <c r="I226" s="187"/>
      <c r="J226" s="188"/>
    </row>
    <row r="227" spans="1:10" x14ac:dyDescent="0.25">
      <c r="A227" s="189"/>
      <c r="B227" s="190"/>
      <c r="C227" s="190"/>
      <c r="D227" s="190"/>
      <c r="E227" s="190"/>
      <c r="F227" s="190"/>
      <c r="G227" s="190"/>
      <c r="H227" s="190"/>
      <c r="I227" s="190"/>
      <c r="J227" s="191"/>
    </row>
    <row r="228" spans="1:10" x14ac:dyDescent="0.25">
      <c r="A228" s="189"/>
      <c r="B228" s="190"/>
      <c r="C228" s="190"/>
      <c r="D228" s="190"/>
      <c r="E228" s="190"/>
      <c r="F228" s="190"/>
      <c r="G228" s="190"/>
      <c r="H228" s="190"/>
      <c r="I228" s="190"/>
      <c r="J228" s="191"/>
    </row>
    <row r="229" spans="1:10" ht="8.25" customHeight="1" x14ac:dyDescent="0.25">
      <c r="A229" s="192"/>
      <c r="B229" s="193"/>
      <c r="C229" s="193"/>
      <c r="D229" s="193"/>
      <c r="E229" s="193"/>
      <c r="F229" s="193"/>
      <c r="G229" s="193"/>
      <c r="H229" s="193"/>
      <c r="I229" s="193"/>
      <c r="J229" s="194"/>
    </row>
    <row r="230" spans="1:10" x14ac:dyDescent="0.25">
      <c r="A230" s="54" t="s">
        <v>135</v>
      </c>
      <c r="B230" s="55"/>
      <c r="C230" s="55"/>
      <c r="D230" s="56" t="str">
        <f>F8</f>
        <v>Savera Complex</v>
      </c>
      <c r="G230" s="55"/>
      <c r="H230" s="55"/>
      <c r="I230" s="55"/>
      <c r="J230" s="55"/>
    </row>
    <row r="231" spans="1:10" x14ac:dyDescent="0.25">
      <c r="A231" s="55"/>
      <c r="B231" s="55"/>
      <c r="C231" s="55"/>
      <c r="D231" s="55"/>
      <c r="E231" s="55"/>
      <c r="F231" s="55"/>
      <c r="G231" s="55"/>
      <c r="H231" s="55"/>
      <c r="I231" s="55"/>
      <c r="J231" s="55"/>
    </row>
    <row r="232" spans="1:10" x14ac:dyDescent="0.25">
      <c r="A232" s="55"/>
      <c r="B232" s="55"/>
      <c r="C232" s="55"/>
      <c r="D232" s="55"/>
      <c r="E232" s="55"/>
      <c r="F232" s="55"/>
      <c r="G232" s="55"/>
      <c r="H232" s="55"/>
      <c r="I232" s="55"/>
      <c r="J232" s="55"/>
    </row>
    <row r="276" spans="1:1" x14ac:dyDescent="0.25">
      <c r="A276" s="57" t="s">
        <v>127</v>
      </c>
    </row>
  </sheetData>
  <mergeCells count="451">
    <mergeCell ref="A94:B94"/>
    <mergeCell ref="D94:E94"/>
    <mergeCell ref="A95:B95"/>
    <mergeCell ref="D95:E95"/>
    <mergeCell ref="A96:B96"/>
    <mergeCell ref="D96:E96"/>
    <mergeCell ref="A97:B97"/>
    <mergeCell ref="D97:E97"/>
    <mergeCell ref="A89:B89"/>
    <mergeCell ref="D89:E89"/>
    <mergeCell ref="A90:B90"/>
    <mergeCell ref="D90:E90"/>
    <mergeCell ref="A91:B91"/>
    <mergeCell ref="D91:E91"/>
    <mergeCell ref="A92:B92"/>
    <mergeCell ref="D92:E92"/>
    <mergeCell ref="A93:B93"/>
    <mergeCell ref="D93:E93"/>
    <mergeCell ref="F101:G101"/>
    <mergeCell ref="H101:J101"/>
    <mergeCell ref="A102:B102"/>
    <mergeCell ref="D102:E102"/>
    <mergeCell ref="F102:G111"/>
    <mergeCell ref="H102:J111"/>
    <mergeCell ref="A103:B103"/>
    <mergeCell ref="D103:E103"/>
    <mergeCell ref="A104:B104"/>
    <mergeCell ref="D104:E104"/>
    <mergeCell ref="A105:B105"/>
    <mergeCell ref="D105:E105"/>
    <mergeCell ref="A106:B106"/>
    <mergeCell ref="D106:E106"/>
    <mergeCell ref="A107:B107"/>
    <mergeCell ref="D107:E107"/>
    <mergeCell ref="A108:B108"/>
    <mergeCell ref="D108:E108"/>
    <mergeCell ref="A109:B109"/>
    <mergeCell ref="D109:E109"/>
    <mergeCell ref="A68:B68"/>
    <mergeCell ref="D68:E68"/>
    <mergeCell ref="A69:B69"/>
    <mergeCell ref="D69:E69"/>
    <mergeCell ref="A98:B98"/>
    <mergeCell ref="C98:J98"/>
    <mergeCell ref="E99:F99"/>
    <mergeCell ref="I99:J99"/>
    <mergeCell ref="A100:B100"/>
    <mergeCell ref="C100:J100"/>
    <mergeCell ref="A84:B84"/>
    <mergeCell ref="C84:J84"/>
    <mergeCell ref="E85:F85"/>
    <mergeCell ref="I85:J85"/>
    <mergeCell ref="A86:B86"/>
    <mergeCell ref="C86:J86"/>
    <mergeCell ref="A87:B87"/>
    <mergeCell ref="D87:E87"/>
    <mergeCell ref="F87:G87"/>
    <mergeCell ref="H87:J87"/>
    <mergeCell ref="A88:B88"/>
    <mergeCell ref="D88:E88"/>
    <mergeCell ref="F88:G97"/>
    <mergeCell ref="H88:J97"/>
    <mergeCell ref="A63:B63"/>
    <mergeCell ref="D63:E63"/>
    <mergeCell ref="A64:B64"/>
    <mergeCell ref="D64:E64"/>
    <mergeCell ref="A65:B65"/>
    <mergeCell ref="D65:E65"/>
    <mergeCell ref="A66:B66"/>
    <mergeCell ref="D66:E66"/>
    <mergeCell ref="A67:B67"/>
    <mergeCell ref="D67:E67"/>
    <mergeCell ref="D81:E81"/>
    <mergeCell ref="A82:B82"/>
    <mergeCell ref="D82:E82"/>
    <mergeCell ref="A83:B83"/>
    <mergeCell ref="A224:J224"/>
    <mergeCell ref="A225:J225"/>
    <mergeCell ref="A226:J229"/>
    <mergeCell ref="F22:I22"/>
    <mergeCell ref="F24:I24"/>
    <mergeCell ref="C48:F48"/>
    <mergeCell ref="H48:J48"/>
    <mergeCell ref="A218:J218"/>
    <mergeCell ref="A207:J207"/>
    <mergeCell ref="A208:J208"/>
    <mergeCell ref="D212:E212"/>
    <mergeCell ref="A213:J213"/>
    <mergeCell ref="D214:E214"/>
    <mergeCell ref="I214:J217"/>
    <mergeCell ref="D215:E215"/>
    <mergeCell ref="A219:J219"/>
    <mergeCell ref="A220:J220"/>
    <mergeCell ref="A221:J221"/>
    <mergeCell ref="A222:J222"/>
    <mergeCell ref="A74:B74"/>
    <mergeCell ref="A169:B169"/>
    <mergeCell ref="A172:B172"/>
    <mergeCell ref="A173:B173"/>
    <mergeCell ref="A174:B174"/>
    <mergeCell ref="F4:I4"/>
    <mergeCell ref="A223:J223"/>
    <mergeCell ref="A209:J209"/>
    <mergeCell ref="A210:J210"/>
    <mergeCell ref="D211:E211"/>
    <mergeCell ref="I211:J212"/>
    <mergeCell ref="D216:E216"/>
    <mergeCell ref="D217:E217"/>
    <mergeCell ref="D198:E198"/>
    <mergeCell ref="D199:E199"/>
    <mergeCell ref="D159:E159"/>
    <mergeCell ref="D168:E168"/>
    <mergeCell ref="D200:E200"/>
    <mergeCell ref="D201:E201"/>
    <mergeCell ref="D169:E169"/>
    <mergeCell ref="A187:J187"/>
    <mergeCell ref="A188:J188"/>
    <mergeCell ref="A197:J197"/>
    <mergeCell ref="I198:J201"/>
    <mergeCell ref="D172:E172"/>
    <mergeCell ref="D160:E160"/>
    <mergeCell ref="D161:E161"/>
    <mergeCell ref="D147:E147"/>
    <mergeCell ref="D150:E150"/>
    <mergeCell ref="A156:J156"/>
    <mergeCell ref="I157:J169"/>
    <mergeCell ref="I141:J147"/>
    <mergeCell ref="D145:E145"/>
    <mergeCell ref="D146:E146"/>
    <mergeCell ref="D162:E162"/>
    <mergeCell ref="D163:E163"/>
    <mergeCell ref="D164:E164"/>
    <mergeCell ref="D143:E143"/>
    <mergeCell ref="D144:E144"/>
    <mergeCell ref="D149:E149"/>
    <mergeCell ref="A148:J148"/>
    <mergeCell ref="A154:J154"/>
    <mergeCell ref="A155:J155"/>
    <mergeCell ref="D157:E157"/>
    <mergeCell ref="D158:E158"/>
    <mergeCell ref="A153:J153"/>
    <mergeCell ref="A157:B157"/>
    <mergeCell ref="A158:B158"/>
    <mergeCell ref="A159:B159"/>
    <mergeCell ref="A134:J134"/>
    <mergeCell ref="A135:J135"/>
    <mergeCell ref="A139:J139"/>
    <mergeCell ref="A140:J140"/>
    <mergeCell ref="A138:J138"/>
    <mergeCell ref="D151:E151"/>
    <mergeCell ref="D136:E136"/>
    <mergeCell ref="I136:J136"/>
    <mergeCell ref="A137:J137"/>
    <mergeCell ref="I149:J152"/>
    <mergeCell ref="D152:E152"/>
    <mergeCell ref="D141:E141"/>
    <mergeCell ref="D142:E142"/>
    <mergeCell ref="A116:F116"/>
    <mergeCell ref="G116:J116"/>
    <mergeCell ref="A120:F120"/>
    <mergeCell ref="D83:E83"/>
    <mergeCell ref="A118:F118"/>
    <mergeCell ref="G118:J118"/>
    <mergeCell ref="A119:F119"/>
    <mergeCell ref="G119:J119"/>
    <mergeCell ref="G120:J120"/>
    <mergeCell ref="A112:J112"/>
    <mergeCell ref="A113:J113"/>
    <mergeCell ref="A114:J114"/>
    <mergeCell ref="A115:J115"/>
    <mergeCell ref="A117:F117"/>
    <mergeCell ref="G117:J117"/>
    <mergeCell ref="F74:G83"/>
    <mergeCell ref="H74:J83"/>
    <mergeCell ref="A75:B75"/>
    <mergeCell ref="A110:B110"/>
    <mergeCell ref="D110:E110"/>
    <mergeCell ref="A111:B111"/>
    <mergeCell ref="D111:E111"/>
    <mergeCell ref="A101:B101"/>
    <mergeCell ref="D101:E101"/>
    <mergeCell ref="D78:E78"/>
    <mergeCell ref="A79:B79"/>
    <mergeCell ref="D79:E79"/>
    <mergeCell ref="A60:B60"/>
    <mergeCell ref="D60:E60"/>
    <mergeCell ref="F60:G69"/>
    <mergeCell ref="H60:J69"/>
    <mergeCell ref="A61:B61"/>
    <mergeCell ref="A52:B52"/>
    <mergeCell ref="A70:B70"/>
    <mergeCell ref="C52:J52"/>
    <mergeCell ref="A53:B53"/>
    <mergeCell ref="C53:J53"/>
    <mergeCell ref="A56:B56"/>
    <mergeCell ref="C56:J56"/>
    <mergeCell ref="E57:F57"/>
    <mergeCell ref="I57:J57"/>
    <mergeCell ref="A58:B58"/>
    <mergeCell ref="C58:J58"/>
    <mergeCell ref="A59:B59"/>
    <mergeCell ref="D59:E59"/>
    <mergeCell ref="F59:G59"/>
    <mergeCell ref="H59:J59"/>
    <mergeCell ref="D74:E74"/>
    <mergeCell ref="A80:B80"/>
    <mergeCell ref="D80:E80"/>
    <mergeCell ref="A81:B81"/>
    <mergeCell ref="D61:E61"/>
    <mergeCell ref="A62:B62"/>
    <mergeCell ref="D62:E62"/>
    <mergeCell ref="A54:C54"/>
    <mergeCell ref="D54:J54"/>
    <mergeCell ref="A55:J55"/>
    <mergeCell ref="F73:G73"/>
    <mergeCell ref="C70:J70"/>
    <mergeCell ref="E71:F71"/>
    <mergeCell ref="I71:J71"/>
    <mergeCell ref="A72:B72"/>
    <mergeCell ref="C72:J72"/>
    <mergeCell ref="A73:B73"/>
    <mergeCell ref="D73:E73"/>
    <mergeCell ref="H73:J73"/>
    <mergeCell ref="D75:E75"/>
    <mergeCell ref="A76:B76"/>
    <mergeCell ref="D76:E76"/>
    <mergeCell ref="A77:B77"/>
    <mergeCell ref="D77:E77"/>
    <mergeCell ref="A78:B78"/>
    <mergeCell ref="A48:B48"/>
    <mergeCell ref="A49:C49"/>
    <mergeCell ref="D49:E49"/>
    <mergeCell ref="F49:G49"/>
    <mergeCell ref="H49:J49"/>
    <mergeCell ref="A46:C46"/>
    <mergeCell ref="A47:C47"/>
    <mergeCell ref="A50:J50"/>
    <mergeCell ref="A51:C51"/>
    <mergeCell ref="D51:E51"/>
    <mergeCell ref="F51:H51"/>
    <mergeCell ref="I51:J51"/>
    <mergeCell ref="A40:E40"/>
    <mergeCell ref="F40:J40"/>
    <mergeCell ref="A41:E41"/>
    <mergeCell ref="F41:J41"/>
    <mergeCell ref="I47:J47"/>
    <mergeCell ref="A42:E42"/>
    <mergeCell ref="F42:J42"/>
    <mergeCell ref="A43:J43"/>
    <mergeCell ref="I44:J44"/>
    <mergeCell ref="I45:J45"/>
    <mergeCell ref="I46:J46"/>
    <mergeCell ref="D44:G44"/>
    <mergeCell ref="D45:G45"/>
    <mergeCell ref="D46:G46"/>
    <mergeCell ref="D47:G47"/>
    <mergeCell ref="A44:C44"/>
    <mergeCell ref="A45:C45"/>
    <mergeCell ref="A38:E38"/>
    <mergeCell ref="F38:J38"/>
    <mergeCell ref="F34:I34"/>
    <mergeCell ref="A34:E34"/>
    <mergeCell ref="A35:E35"/>
    <mergeCell ref="F35:J35"/>
    <mergeCell ref="A36:J36"/>
    <mergeCell ref="A39:E39"/>
    <mergeCell ref="F39:J39"/>
    <mergeCell ref="A29:J29"/>
    <mergeCell ref="A30:J30"/>
    <mergeCell ref="A31:B31"/>
    <mergeCell ref="C31:D31"/>
    <mergeCell ref="E31:F31"/>
    <mergeCell ref="G31:H31"/>
    <mergeCell ref="I31:J31"/>
    <mergeCell ref="A33:J33"/>
    <mergeCell ref="A37:E37"/>
    <mergeCell ref="F37:J37"/>
    <mergeCell ref="A32:B32"/>
    <mergeCell ref="C32:J32"/>
    <mergeCell ref="E26:F26"/>
    <mergeCell ref="G26:H26"/>
    <mergeCell ref="I26:J26"/>
    <mergeCell ref="A27:B27"/>
    <mergeCell ref="C27:D27"/>
    <mergeCell ref="E27:F27"/>
    <mergeCell ref="G27:H27"/>
    <mergeCell ref="I27:J27"/>
    <mergeCell ref="A28:B28"/>
    <mergeCell ref="C28:D28"/>
    <mergeCell ref="E28:F28"/>
    <mergeCell ref="G28:H28"/>
    <mergeCell ref="I28:J28"/>
    <mergeCell ref="A8:E8"/>
    <mergeCell ref="F8:J8"/>
    <mergeCell ref="C14:G14"/>
    <mergeCell ref="A1:J1"/>
    <mergeCell ref="A2:J2"/>
    <mergeCell ref="A3:E3"/>
    <mergeCell ref="F3:J3"/>
    <mergeCell ref="A4:E4"/>
    <mergeCell ref="A9:E9"/>
    <mergeCell ref="F9:J9"/>
    <mergeCell ref="A5:E5"/>
    <mergeCell ref="F5:J5"/>
    <mergeCell ref="A6:E6"/>
    <mergeCell ref="F6:J6"/>
    <mergeCell ref="A7:E7"/>
    <mergeCell ref="F7:J7"/>
    <mergeCell ref="A12:E12"/>
    <mergeCell ref="F12:J12"/>
    <mergeCell ref="A13:B13"/>
    <mergeCell ref="C13:J13"/>
    <mergeCell ref="I14:J14"/>
    <mergeCell ref="A14:B14"/>
    <mergeCell ref="A10:E10"/>
    <mergeCell ref="F10:J10"/>
    <mergeCell ref="A11:E11"/>
    <mergeCell ref="F11:J11"/>
    <mergeCell ref="F18:J19"/>
    <mergeCell ref="B15:E15"/>
    <mergeCell ref="G15:J15"/>
    <mergeCell ref="B16:E16"/>
    <mergeCell ref="G16:J16"/>
    <mergeCell ref="A20:E21"/>
    <mergeCell ref="F20:J21"/>
    <mergeCell ref="A22:E22"/>
    <mergeCell ref="A23:E23"/>
    <mergeCell ref="F23:J23"/>
    <mergeCell ref="A17:B17"/>
    <mergeCell ref="C17:E17"/>
    <mergeCell ref="F17:G17"/>
    <mergeCell ref="H17:J17"/>
    <mergeCell ref="A18:E19"/>
    <mergeCell ref="A24:E24"/>
    <mergeCell ref="A25:E25"/>
    <mergeCell ref="F25:J25"/>
    <mergeCell ref="A26:B26"/>
    <mergeCell ref="C26:D26"/>
    <mergeCell ref="A160:B160"/>
    <mergeCell ref="A161:B161"/>
    <mergeCell ref="A162:B162"/>
    <mergeCell ref="A163:B163"/>
    <mergeCell ref="A164:B164"/>
    <mergeCell ref="A121:J121"/>
    <mergeCell ref="A122:B122"/>
    <mergeCell ref="C122:D122"/>
    <mergeCell ref="E122:G122"/>
    <mergeCell ref="H122:J122"/>
    <mergeCell ref="C123:D123"/>
    <mergeCell ref="E123:G123"/>
    <mergeCell ref="H123:J123"/>
    <mergeCell ref="E130:G130"/>
    <mergeCell ref="H130:J130"/>
    <mergeCell ref="C124:D124"/>
    <mergeCell ref="E124:G124"/>
    <mergeCell ref="H124:J124"/>
    <mergeCell ref="A126:B126"/>
    <mergeCell ref="C126:D126"/>
    <mergeCell ref="A196:B196"/>
    <mergeCell ref="A198:B198"/>
    <mergeCell ref="A199:B199"/>
    <mergeCell ref="A200:B200"/>
    <mergeCell ref="A201:B201"/>
    <mergeCell ref="A202:J202"/>
    <mergeCell ref="A203:B203"/>
    <mergeCell ref="D203:E203"/>
    <mergeCell ref="I203:J206"/>
    <mergeCell ref="A204:B204"/>
    <mergeCell ref="D204:E204"/>
    <mergeCell ref="A205:B205"/>
    <mergeCell ref="D205:E205"/>
    <mergeCell ref="A206:B206"/>
    <mergeCell ref="D206:E206"/>
    <mergeCell ref="I189:J196"/>
    <mergeCell ref="D195:E195"/>
    <mergeCell ref="D196:E196"/>
    <mergeCell ref="D189:E189"/>
    <mergeCell ref="D190:E190"/>
    <mergeCell ref="A195:B195"/>
    <mergeCell ref="A192:B192"/>
    <mergeCell ref="A193:B193"/>
    <mergeCell ref="A194:B194"/>
    <mergeCell ref="A175:B175"/>
    <mergeCell ref="A176:B176"/>
    <mergeCell ref="A177:B177"/>
    <mergeCell ref="A178:J178"/>
    <mergeCell ref="A179:B179"/>
    <mergeCell ref="D179:E179"/>
    <mergeCell ref="D192:E192"/>
    <mergeCell ref="D193:E193"/>
    <mergeCell ref="D194:E194"/>
    <mergeCell ref="D191:E191"/>
    <mergeCell ref="A186:J186"/>
    <mergeCell ref="D177:E177"/>
    <mergeCell ref="I179:J184"/>
    <mergeCell ref="A180:B180"/>
    <mergeCell ref="D180:E180"/>
    <mergeCell ref="A181:B181"/>
    <mergeCell ref="D181:E181"/>
    <mergeCell ref="A182:B182"/>
    <mergeCell ref="D182:E182"/>
    <mergeCell ref="A183:B183"/>
    <mergeCell ref="D183:E183"/>
    <mergeCell ref="E126:G126"/>
    <mergeCell ref="H126:J126"/>
    <mergeCell ref="A127:J127"/>
    <mergeCell ref="A170:B170"/>
    <mergeCell ref="D170:E170"/>
    <mergeCell ref="A185:J185"/>
    <mergeCell ref="A189:B189"/>
    <mergeCell ref="A190:B190"/>
    <mergeCell ref="A191:B191"/>
    <mergeCell ref="A165:B165"/>
    <mergeCell ref="A166:B166"/>
    <mergeCell ref="A167:B167"/>
    <mergeCell ref="A168:B168"/>
    <mergeCell ref="A184:B184"/>
    <mergeCell ref="D184:E184"/>
    <mergeCell ref="D165:E165"/>
    <mergeCell ref="A171:J171"/>
    <mergeCell ref="D167:E167"/>
    <mergeCell ref="I172:J177"/>
    <mergeCell ref="D166:E166"/>
    <mergeCell ref="D173:E173"/>
    <mergeCell ref="D174:E174"/>
    <mergeCell ref="D175:E175"/>
    <mergeCell ref="D176:E176"/>
    <mergeCell ref="A133:B133"/>
    <mergeCell ref="C133:D133"/>
    <mergeCell ref="E133:G133"/>
    <mergeCell ref="H133:J133"/>
    <mergeCell ref="A123:A125"/>
    <mergeCell ref="A129:A131"/>
    <mergeCell ref="C131:D131"/>
    <mergeCell ref="E131:G131"/>
    <mergeCell ref="H131:J131"/>
    <mergeCell ref="C125:D125"/>
    <mergeCell ref="E125:G125"/>
    <mergeCell ref="H125:J125"/>
    <mergeCell ref="A132:B132"/>
    <mergeCell ref="C132:D132"/>
    <mergeCell ref="E132:G132"/>
    <mergeCell ref="H132:J132"/>
    <mergeCell ref="A128:B128"/>
    <mergeCell ref="C128:D128"/>
    <mergeCell ref="E128:G128"/>
    <mergeCell ref="H128:J128"/>
    <mergeCell ref="C129:D129"/>
    <mergeCell ref="E129:G129"/>
    <mergeCell ref="H129:J129"/>
    <mergeCell ref="C130:D130"/>
  </mergeCells>
  <hyperlinks>
    <hyperlink ref="C32" r:id="rId1"/>
  </hyperlinks>
  <pageMargins left="0.35433070866141736" right="0.35433070866141736" top="0.78740157480314965" bottom="0.78740157480314965" header="0.19685039370078741" footer="0.19685039370078741"/>
  <pageSetup paperSize="9" scale="90" fitToHeight="0" orientation="portrait" r:id="rId2"/>
  <headerFooter>
    <oddHeader>&amp;C&amp;G</oddHeader>
    <oddFooter>&amp;L&amp;"Times New Roman,Bold"Ref No: &amp;F&amp;C&amp;G&amp;R&amp;P</oddFooter>
  </headerFooter>
  <rowBreaks count="4" manualBreakCount="4">
    <brk id="42" max="16383" man="1"/>
    <brk id="69" max="16383" man="1"/>
    <brk id="229" max="16383" man="1"/>
    <brk id="275" max="9" man="1"/>
  </rowBreaks>
  <drawing r:id="rId3"/>
  <legacy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4" workbookViewId="0">
      <selection activeCell="E26" sqref="E26"/>
    </sheetView>
  </sheetViews>
  <sheetFormatPr defaultRowHeight="15" x14ac:dyDescent="0.25"/>
  <sheetData>
    <row r="3" spans="3:14" x14ac:dyDescent="0.25">
      <c r="D3" s="4" t="s">
        <v>90</v>
      </c>
      <c r="E3" s="199"/>
      <c r="F3" s="199"/>
    </row>
    <row r="4" spans="3:14" x14ac:dyDescent="0.25">
      <c r="F4" s="3"/>
      <c r="G4" s="3"/>
      <c r="H4" s="3"/>
      <c r="I4" s="3"/>
      <c r="J4" s="3"/>
      <c r="K4" s="3"/>
    </row>
    <row r="5" spans="3:14" x14ac:dyDescent="0.25">
      <c r="C5" s="4" t="s">
        <v>91</v>
      </c>
      <c r="D5" s="2" t="s">
        <v>71</v>
      </c>
      <c r="E5" s="200" t="s">
        <v>72</v>
      </c>
      <c r="F5" s="200"/>
      <c r="G5" s="200"/>
      <c r="H5" s="5"/>
      <c r="I5" s="200" t="s">
        <v>73</v>
      </c>
      <c r="J5" s="200"/>
      <c r="K5" s="200"/>
      <c r="L5" s="200" t="s">
        <v>74</v>
      </c>
      <c r="M5" s="200"/>
      <c r="N5" s="200"/>
    </row>
    <row r="6" spans="3:14" x14ac:dyDescent="0.25">
      <c r="C6" s="4">
        <v>1</v>
      </c>
      <c r="D6" s="2"/>
      <c r="E6" s="2" t="s">
        <v>75</v>
      </c>
      <c r="F6" s="2" t="s">
        <v>76</v>
      </c>
      <c r="G6" s="2" t="s">
        <v>77</v>
      </c>
      <c r="H6" s="2"/>
      <c r="I6" s="2" t="s">
        <v>75</v>
      </c>
      <c r="J6" s="2" t="s">
        <v>76</v>
      </c>
      <c r="K6" s="2" t="s">
        <v>77</v>
      </c>
      <c r="L6" s="2" t="s">
        <v>75</v>
      </c>
      <c r="M6" s="2" t="s">
        <v>76</v>
      </c>
      <c r="N6" s="2" t="s">
        <v>77</v>
      </c>
    </row>
    <row r="7" spans="3:14" x14ac:dyDescent="0.25">
      <c r="D7" s="1" t="s">
        <v>78</v>
      </c>
      <c r="E7" s="1">
        <v>2.75</v>
      </c>
      <c r="F7" s="1">
        <v>3.7</v>
      </c>
      <c r="G7" s="1">
        <f>E7*F7</f>
        <v>10.175000000000001</v>
      </c>
      <c r="H7" s="1" t="s">
        <v>93</v>
      </c>
      <c r="I7" s="1"/>
      <c r="J7" s="1"/>
      <c r="K7" s="1">
        <f>I7*J7</f>
        <v>0</v>
      </c>
      <c r="L7" s="1"/>
      <c r="M7" s="1"/>
      <c r="N7" s="1">
        <f>L7*M7</f>
        <v>0</v>
      </c>
    </row>
    <row r="8" spans="3:14" x14ac:dyDescent="0.25">
      <c r="D8" s="1"/>
      <c r="E8" s="1">
        <v>1.4</v>
      </c>
      <c r="F8" s="1">
        <v>1.2</v>
      </c>
      <c r="G8" s="1">
        <f t="shared" ref="G8:G34" si="0">E8*F8</f>
        <v>1.68</v>
      </c>
      <c r="H8" s="1" t="s">
        <v>94</v>
      </c>
      <c r="I8" s="1"/>
      <c r="J8" s="1"/>
      <c r="K8" s="1">
        <f t="shared" ref="K8:K34" si="1">I8*J8</f>
        <v>0</v>
      </c>
      <c r="L8" s="1"/>
      <c r="M8" s="1"/>
      <c r="N8" s="1">
        <f t="shared" ref="N8:N34" si="2">L8*M8</f>
        <v>0</v>
      </c>
    </row>
    <row r="9" spans="3:14" x14ac:dyDescent="0.25">
      <c r="D9" s="1"/>
      <c r="E9" s="1"/>
      <c r="F9" s="1"/>
      <c r="G9" s="1">
        <f t="shared" si="0"/>
        <v>0</v>
      </c>
      <c r="H9" s="1"/>
      <c r="I9" s="1"/>
      <c r="J9" s="1"/>
      <c r="K9" s="1">
        <f t="shared" si="1"/>
        <v>0</v>
      </c>
      <c r="L9" s="1"/>
      <c r="M9" s="1"/>
      <c r="N9" s="1">
        <f t="shared" si="2"/>
        <v>0</v>
      </c>
    </row>
    <row r="10" spans="3:14" x14ac:dyDescent="0.25">
      <c r="D10" s="1" t="s">
        <v>81</v>
      </c>
      <c r="E10" s="1">
        <v>2.15</v>
      </c>
      <c r="F10" s="1">
        <v>2.1</v>
      </c>
      <c r="G10" s="1">
        <f t="shared" si="0"/>
        <v>4.5149999999999997</v>
      </c>
      <c r="H10" s="1" t="s">
        <v>93</v>
      </c>
      <c r="I10" s="1"/>
      <c r="J10" s="1"/>
      <c r="K10" s="1">
        <f t="shared" si="1"/>
        <v>0</v>
      </c>
      <c r="L10" s="1"/>
      <c r="M10" s="1"/>
      <c r="N10" s="1">
        <f t="shared" si="2"/>
        <v>0</v>
      </c>
    </row>
    <row r="11" spans="3:14" x14ac:dyDescent="0.25">
      <c r="D11" s="1"/>
      <c r="E11" s="1"/>
      <c r="F11" s="1"/>
      <c r="G11" s="1">
        <f t="shared" si="0"/>
        <v>0</v>
      </c>
      <c r="H11" s="1" t="s">
        <v>94</v>
      </c>
      <c r="I11" s="1"/>
      <c r="J11" s="1"/>
      <c r="K11" s="1">
        <f t="shared" si="1"/>
        <v>0</v>
      </c>
      <c r="L11" s="1"/>
      <c r="M11" s="1"/>
      <c r="N11" s="1">
        <f t="shared" si="2"/>
        <v>0</v>
      </c>
    </row>
    <row r="12" spans="3:14" x14ac:dyDescent="0.25">
      <c r="D12" s="1"/>
      <c r="E12" s="1"/>
      <c r="F12" s="1"/>
      <c r="G12" s="1">
        <f t="shared" si="0"/>
        <v>0</v>
      </c>
      <c r="H12" s="1"/>
      <c r="I12" s="1"/>
      <c r="J12" s="1"/>
      <c r="K12" s="1">
        <f t="shared" si="1"/>
        <v>0</v>
      </c>
      <c r="L12" s="1"/>
      <c r="M12" s="1"/>
      <c r="N12" s="1">
        <f t="shared" si="2"/>
        <v>0</v>
      </c>
    </row>
    <row r="13" spans="3:14" x14ac:dyDescent="0.25">
      <c r="D13" s="1"/>
      <c r="E13" s="1"/>
      <c r="F13" s="1"/>
      <c r="G13" s="1">
        <f t="shared" si="0"/>
        <v>0</v>
      </c>
      <c r="H13" s="1"/>
      <c r="I13" s="1"/>
      <c r="J13" s="1"/>
      <c r="K13" s="1">
        <f t="shared" si="1"/>
        <v>0</v>
      </c>
      <c r="L13" s="1"/>
      <c r="M13" s="1"/>
      <c r="N13" s="1">
        <f t="shared" si="2"/>
        <v>0</v>
      </c>
    </row>
    <row r="14" spans="3:14" x14ac:dyDescent="0.25">
      <c r="D14" s="1" t="s">
        <v>79</v>
      </c>
      <c r="E14" s="1"/>
      <c r="F14" s="1"/>
      <c r="G14" s="1">
        <f t="shared" si="0"/>
        <v>0</v>
      </c>
      <c r="H14" s="1" t="s">
        <v>93</v>
      </c>
      <c r="I14" s="1"/>
      <c r="J14" s="1"/>
      <c r="K14" s="1">
        <f t="shared" si="1"/>
        <v>0</v>
      </c>
      <c r="L14" s="1"/>
      <c r="M14" s="1"/>
      <c r="N14" s="1">
        <f t="shared" si="2"/>
        <v>0</v>
      </c>
    </row>
    <row r="15" spans="3:14" x14ac:dyDescent="0.25">
      <c r="D15" s="1"/>
      <c r="E15" s="1"/>
      <c r="F15" s="1"/>
      <c r="G15" s="1">
        <f t="shared" si="0"/>
        <v>0</v>
      </c>
      <c r="H15" s="1" t="s">
        <v>94</v>
      </c>
      <c r="I15" s="1"/>
      <c r="J15" s="1"/>
      <c r="K15" s="1">
        <f t="shared" si="1"/>
        <v>0</v>
      </c>
      <c r="L15" s="1"/>
      <c r="M15" s="1"/>
      <c r="N15" s="1">
        <f t="shared" si="2"/>
        <v>0</v>
      </c>
    </row>
    <row r="16" spans="3:14" x14ac:dyDescent="0.25">
      <c r="D16" s="1"/>
      <c r="E16" s="1"/>
      <c r="F16" s="1"/>
      <c r="G16" s="1">
        <f t="shared" si="0"/>
        <v>0</v>
      </c>
      <c r="H16" s="1"/>
      <c r="I16" s="1"/>
      <c r="J16" s="1"/>
      <c r="K16" s="1">
        <f t="shared" si="1"/>
        <v>0</v>
      </c>
      <c r="L16" s="1"/>
      <c r="M16" s="1"/>
      <c r="N16" s="1">
        <f t="shared" si="2"/>
        <v>0</v>
      </c>
    </row>
    <row r="17" spans="4:14" x14ac:dyDescent="0.25">
      <c r="D17" s="1"/>
      <c r="E17" s="1"/>
      <c r="F17" s="1"/>
      <c r="G17" s="1">
        <f t="shared" si="0"/>
        <v>0</v>
      </c>
      <c r="H17" s="1"/>
      <c r="I17" s="1"/>
      <c r="J17" s="1"/>
      <c r="K17" s="1">
        <f t="shared" si="1"/>
        <v>0</v>
      </c>
      <c r="L17" s="1"/>
      <c r="M17" s="1"/>
      <c r="N17" s="1">
        <f t="shared" si="2"/>
        <v>0</v>
      </c>
    </row>
    <row r="18" spans="4:14" x14ac:dyDescent="0.25">
      <c r="D18" s="1" t="s">
        <v>80</v>
      </c>
      <c r="E18" s="1"/>
      <c r="F18" s="1"/>
      <c r="G18" s="1">
        <f t="shared" si="0"/>
        <v>0</v>
      </c>
      <c r="H18" s="1" t="s">
        <v>93</v>
      </c>
      <c r="I18" s="1"/>
      <c r="J18" s="1"/>
      <c r="K18" s="1">
        <f t="shared" si="1"/>
        <v>0</v>
      </c>
      <c r="L18" s="1"/>
      <c r="M18" s="1"/>
      <c r="N18" s="1">
        <f t="shared" si="2"/>
        <v>0</v>
      </c>
    </row>
    <row r="19" spans="4:14" x14ac:dyDescent="0.25">
      <c r="D19" s="1"/>
      <c r="E19" s="1"/>
      <c r="F19" s="1"/>
      <c r="G19" s="1">
        <f t="shared" si="0"/>
        <v>0</v>
      </c>
      <c r="H19" s="1" t="s">
        <v>94</v>
      </c>
      <c r="I19" s="1"/>
      <c r="J19" s="1"/>
      <c r="K19" s="1">
        <f t="shared" si="1"/>
        <v>0</v>
      </c>
      <c r="L19" s="1"/>
      <c r="M19" s="1"/>
      <c r="N19" s="1">
        <f t="shared" si="2"/>
        <v>0</v>
      </c>
    </row>
    <row r="20" spans="4:14" x14ac:dyDescent="0.25">
      <c r="D20" s="1"/>
      <c r="E20" s="1"/>
      <c r="F20" s="1"/>
      <c r="G20" s="1">
        <f t="shared" si="0"/>
        <v>0</v>
      </c>
      <c r="H20" s="1"/>
      <c r="I20" s="1"/>
      <c r="J20" s="1"/>
      <c r="K20" s="1">
        <f t="shared" si="1"/>
        <v>0</v>
      </c>
      <c r="L20" s="1"/>
      <c r="M20" s="1"/>
      <c r="N20" s="1">
        <f t="shared" si="2"/>
        <v>0</v>
      </c>
    </row>
    <row r="21" spans="4:14" x14ac:dyDescent="0.25">
      <c r="D21" s="1" t="s">
        <v>80</v>
      </c>
      <c r="E21" s="1"/>
      <c r="F21" s="1"/>
      <c r="G21" s="1">
        <f t="shared" si="0"/>
        <v>0</v>
      </c>
      <c r="H21" s="1" t="s">
        <v>93</v>
      </c>
      <c r="I21" s="1"/>
      <c r="J21" s="1"/>
      <c r="K21" s="1">
        <f t="shared" si="1"/>
        <v>0</v>
      </c>
      <c r="L21" s="1"/>
      <c r="M21" s="1"/>
      <c r="N21" s="1">
        <f t="shared" si="2"/>
        <v>0</v>
      </c>
    </row>
    <row r="22" spans="4:14" x14ac:dyDescent="0.25">
      <c r="D22" s="1"/>
      <c r="E22" s="1"/>
      <c r="F22" s="1"/>
      <c r="G22" s="1">
        <f t="shared" si="0"/>
        <v>0</v>
      </c>
      <c r="H22" s="1" t="s">
        <v>94</v>
      </c>
      <c r="I22" s="1"/>
      <c r="J22" s="1"/>
      <c r="K22" s="1">
        <f t="shared" si="1"/>
        <v>0</v>
      </c>
      <c r="L22" s="1"/>
      <c r="M22" s="1"/>
      <c r="N22" s="1">
        <f t="shared" si="2"/>
        <v>0</v>
      </c>
    </row>
    <row r="23" spans="4:14" x14ac:dyDescent="0.25">
      <c r="D23" s="1"/>
      <c r="E23" s="1"/>
      <c r="F23" s="1"/>
      <c r="G23" s="1">
        <f t="shared" si="0"/>
        <v>0</v>
      </c>
      <c r="H23" s="1"/>
      <c r="I23" s="1"/>
      <c r="J23" s="1"/>
      <c r="K23" s="1">
        <f t="shared" si="1"/>
        <v>0</v>
      </c>
      <c r="L23" s="1"/>
      <c r="M23" s="1"/>
      <c r="N23" s="1">
        <f t="shared" si="2"/>
        <v>0</v>
      </c>
    </row>
    <row r="24" spans="4:14" x14ac:dyDescent="0.25">
      <c r="D24" s="1" t="s">
        <v>86</v>
      </c>
      <c r="E24" s="1">
        <v>1.2</v>
      </c>
      <c r="F24" s="1">
        <v>1.6</v>
      </c>
      <c r="G24" s="1">
        <f t="shared" si="0"/>
        <v>1.92</v>
      </c>
      <c r="H24" s="1" t="s">
        <v>95</v>
      </c>
      <c r="I24" s="1"/>
      <c r="J24" s="1"/>
      <c r="K24" s="1">
        <f t="shared" si="1"/>
        <v>0</v>
      </c>
      <c r="L24" s="1"/>
      <c r="M24" s="1"/>
      <c r="N24" s="1">
        <f t="shared" si="2"/>
        <v>0</v>
      </c>
    </row>
    <row r="25" spans="4:14" x14ac:dyDescent="0.25">
      <c r="D25" s="1" t="s">
        <v>87</v>
      </c>
      <c r="E25" s="1">
        <v>1</v>
      </c>
      <c r="F25" s="1">
        <v>1.2</v>
      </c>
      <c r="G25" s="1">
        <f t="shared" si="0"/>
        <v>1.2</v>
      </c>
      <c r="H25" s="1" t="s">
        <v>95</v>
      </c>
      <c r="I25" s="1"/>
      <c r="J25" s="1"/>
      <c r="K25" s="1">
        <f t="shared" si="1"/>
        <v>0</v>
      </c>
      <c r="L25" s="1"/>
      <c r="M25" s="1"/>
      <c r="N25" s="1">
        <f t="shared" si="2"/>
        <v>0</v>
      </c>
    </row>
    <row r="26" spans="4:14" x14ac:dyDescent="0.25">
      <c r="D26" s="1" t="s">
        <v>88</v>
      </c>
      <c r="E26" s="1"/>
      <c r="F26" s="1"/>
      <c r="G26" s="1">
        <f t="shared" si="0"/>
        <v>0</v>
      </c>
      <c r="H26" s="1" t="s">
        <v>95</v>
      </c>
      <c r="I26" s="1"/>
      <c r="J26" s="1"/>
      <c r="K26" s="1">
        <f t="shared" si="1"/>
        <v>0</v>
      </c>
      <c r="L26" s="1"/>
      <c r="M26" s="1"/>
      <c r="N26" s="1">
        <f t="shared" si="2"/>
        <v>0</v>
      </c>
    </row>
    <row r="27" spans="4:14" x14ac:dyDescent="0.25">
      <c r="D27" s="1"/>
      <c r="E27" s="1"/>
      <c r="F27" s="1"/>
      <c r="G27" s="1">
        <f t="shared" si="0"/>
        <v>0</v>
      </c>
      <c r="H27" s="1"/>
      <c r="I27" s="1"/>
      <c r="J27" s="1"/>
      <c r="K27" s="1">
        <f t="shared" si="1"/>
        <v>0</v>
      </c>
      <c r="L27" s="1"/>
      <c r="M27" s="1"/>
      <c r="N27" s="1">
        <f t="shared" si="2"/>
        <v>0</v>
      </c>
    </row>
    <row r="28" spans="4:14" x14ac:dyDescent="0.25">
      <c r="D28" s="1" t="s">
        <v>82</v>
      </c>
      <c r="E28" s="1"/>
      <c r="F28" s="1"/>
      <c r="G28" s="1">
        <f t="shared" si="0"/>
        <v>0</v>
      </c>
      <c r="H28" s="1"/>
      <c r="I28" s="1"/>
      <c r="J28" s="1"/>
      <c r="K28" s="1">
        <f t="shared" si="1"/>
        <v>0</v>
      </c>
      <c r="L28" s="1"/>
      <c r="M28" s="1"/>
      <c r="N28" s="1">
        <f t="shared" si="2"/>
        <v>0</v>
      </c>
    </row>
    <row r="29" spans="4:14" x14ac:dyDescent="0.25">
      <c r="D29" s="1" t="s">
        <v>83</v>
      </c>
      <c r="E29" s="1"/>
      <c r="F29" s="1"/>
      <c r="G29" s="1">
        <f t="shared" si="0"/>
        <v>0</v>
      </c>
      <c r="H29" s="1"/>
      <c r="I29" s="1"/>
      <c r="J29" s="1"/>
      <c r="K29" s="1">
        <f t="shared" si="1"/>
        <v>0</v>
      </c>
      <c r="L29" s="1"/>
      <c r="M29" s="1"/>
      <c r="N29" s="1">
        <f t="shared" si="2"/>
        <v>0</v>
      </c>
    </row>
    <row r="30" spans="4:14" x14ac:dyDescent="0.25">
      <c r="D30" s="1" t="s">
        <v>84</v>
      </c>
      <c r="E30" s="1"/>
      <c r="F30" s="1"/>
      <c r="G30" s="1">
        <f t="shared" si="0"/>
        <v>0</v>
      </c>
      <c r="H30" s="1"/>
      <c r="I30" s="1"/>
      <c r="J30" s="1"/>
      <c r="K30" s="1">
        <f t="shared" si="1"/>
        <v>0</v>
      </c>
      <c r="L30" s="1"/>
      <c r="M30" s="1"/>
      <c r="N30" s="1">
        <f t="shared" si="2"/>
        <v>0</v>
      </c>
    </row>
    <row r="31" spans="4:14" x14ac:dyDescent="0.25">
      <c r="D31" s="1" t="s">
        <v>85</v>
      </c>
      <c r="E31" s="1"/>
      <c r="F31" s="1"/>
      <c r="G31" s="1">
        <f t="shared" si="0"/>
        <v>0</v>
      </c>
      <c r="H31" s="1"/>
      <c r="I31" s="1"/>
      <c r="J31" s="1"/>
      <c r="K31" s="1">
        <f t="shared" si="1"/>
        <v>0</v>
      </c>
      <c r="L31" s="1"/>
      <c r="M31" s="1"/>
      <c r="N31" s="1">
        <f t="shared" si="2"/>
        <v>0</v>
      </c>
    </row>
    <row r="32" spans="4:14" x14ac:dyDescent="0.25">
      <c r="D32" s="1"/>
      <c r="E32" s="1"/>
      <c r="F32" s="1"/>
      <c r="G32" s="1">
        <f t="shared" si="0"/>
        <v>0</v>
      </c>
      <c r="H32" s="1"/>
      <c r="I32" s="1"/>
      <c r="J32" s="1"/>
      <c r="K32" s="1">
        <f t="shared" si="1"/>
        <v>0</v>
      </c>
      <c r="L32" s="1"/>
      <c r="M32" s="1"/>
      <c r="N32" s="1">
        <f t="shared" si="2"/>
        <v>0</v>
      </c>
    </row>
    <row r="33" spans="4:14" x14ac:dyDescent="0.25">
      <c r="D33" s="1"/>
      <c r="E33" s="1"/>
      <c r="F33" s="1"/>
      <c r="G33" s="1">
        <f t="shared" si="0"/>
        <v>0</v>
      </c>
      <c r="H33" s="1"/>
      <c r="I33" s="1"/>
      <c r="J33" s="1"/>
      <c r="K33" s="1">
        <f t="shared" si="1"/>
        <v>0</v>
      </c>
      <c r="L33" s="1"/>
      <c r="M33" s="1"/>
      <c r="N33" s="1">
        <f t="shared" si="2"/>
        <v>0</v>
      </c>
    </row>
    <row r="34" spans="4:14" x14ac:dyDescent="0.25">
      <c r="D34" s="1"/>
      <c r="E34" s="1"/>
      <c r="F34" s="1"/>
      <c r="G34" s="1">
        <f t="shared" si="0"/>
        <v>0</v>
      </c>
      <c r="H34" s="1"/>
      <c r="I34" s="1"/>
      <c r="J34" s="1"/>
      <c r="K34" s="1">
        <f t="shared" si="1"/>
        <v>0</v>
      </c>
      <c r="L34" s="1"/>
      <c r="M34" s="1"/>
      <c r="N34" s="1">
        <f t="shared" si="2"/>
        <v>0</v>
      </c>
    </row>
    <row r="35" spans="4:14" x14ac:dyDescent="0.25">
      <c r="D35" s="1" t="s">
        <v>89</v>
      </c>
      <c r="E35" s="1"/>
      <c r="F35" s="1">
        <f>G35*10.764</f>
        <v>209.79035999999996</v>
      </c>
      <c r="G35" s="1">
        <f>SUM(G7:G34)</f>
        <v>19.489999999999998</v>
      </c>
      <c r="H35" s="1"/>
      <c r="I35" s="1"/>
      <c r="J35" s="1">
        <f>K35*10.764</f>
        <v>0</v>
      </c>
      <c r="K35" s="1">
        <f>SUM(K7:K34)</f>
        <v>0</v>
      </c>
      <c r="L35" s="1"/>
      <c r="M35" s="1">
        <f>N35*10.764</f>
        <v>0</v>
      </c>
      <c r="N35" s="1">
        <f>SUM(N7:N34)</f>
        <v>0</v>
      </c>
    </row>
  </sheetData>
  <mergeCells count="4">
    <mergeCell ref="E3:F3"/>
    <mergeCell ref="E5:G5"/>
    <mergeCell ref="I5:K5"/>
    <mergeCell ref="L5:N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4"/>
  <sheetViews>
    <sheetView workbookViewId="0">
      <selection activeCell="M13" sqref="M13"/>
    </sheetView>
  </sheetViews>
  <sheetFormatPr defaultColWidth="9.140625" defaultRowHeight="15" x14ac:dyDescent="0.25"/>
  <cols>
    <col min="1" max="16384" width="9.140625" style="10"/>
  </cols>
  <sheetData>
    <row r="2" spans="2:2" x14ac:dyDescent="0.25">
      <c r="B2" s="10" t="s">
        <v>138</v>
      </c>
    </row>
    <row r="3" spans="2:2" x14ac:dyDescent="0.25">
      <c r="B3" s="10" t="s">
        <v>139</v>
      </c>
    </row>
    <row r="4" spans="2:2" x14ac:dyDescent="0.25">
      <c r="B4" s="10" t="s">
        <v>140</v>
      </c>
    </row>
    <row r="6" spans="2:2" x14ac:dyDescent="0.25">
      <c r="B6" s="10" t="s">
        <v>128</v>
      </c>
    </row>
    <row r="7" spans="2:2" x14ac:dyDescent="0.25">
      <c r="B7" s="10" t="s">
        <v>141</v>
      </c>
    </row>
    <row r="9" spans="2:2" x14ac:dyDescent="0.25">
      <c r="B9" s="10" t="s">
        <v>129</v>
      </c>
    </row>
    <row r="10" spans="2:2" x14ac:dyDescent="0.25">
      <c r="B10" s="10" t="s">
        <v>142</v>
      </c>
    </row>
    <row r="12" spans="2:2" x14ac:dyDescent="0.25">
      <c r="B12" s="10" t="s">
        <v>144</v>
      </c>
    </row>
    <row r="13" spans="2:2" x14ac:dyDescent="0.25">
      <c r="B13" s="10" t="s">
        <v>145</v>
      </c>
    </row>
    <row r="14" spans="2:2" x14ac:dyDescent="0.25">
      <c r="B14" s="10" t="s">
        <v>146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1" sqref="C11"/>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customWidth="1"/>
    <col min="9" max="9" width="12.7109375" customWidth="1"/>
    <col min="10" max="10" width="15.140625" customWidth="1"/>
    <col min="13" max="13" width="16.5703125" customWidth="1"/>
  </cols>
  <sheetData>
    <row r="2" spans="1:15" x14ac:dyDescent="0.25">
      <c r="A2" t="s">
        <v>104</v>
      </c>
      <c r="B2" s="6" t="s">
        <v>124</v>
      </c>
      <c r="C2" s="6">
        <v>4</v>
      </c>
    </row>
    <row r="3" spans="1:15" x14ac:dyDescent="0.25">
      <c r="B3" t="s">
        <v>105</v>
      </c>
      <c r="C3" t="s">
        <v>106</v>
      </c>
    </row>
    <row r="4" spans="1:15" x14ac:dyDescent="0.25">
      <c r="A4" t="s">
        <v>107</v>
      </c>
      <c r="B4" s="1">
        <v>10</v>
      </c>
      <c r="C4" s="1">
        <v>10</v>
      </c>
      <c r="E4">
        <f>(100/B4)*C4</f>
        <v>100</v>
      </c>
    </row>
    <row r="5" spans="1:15" x14ac:dyDescent="0.25">
      <c r="A5" t="s">
        <v>108</v>
      </c>
      <c r="B5" t="s">
        <v>109</v>
      </c>
      <c r="C5" t="s">
        <v>110</v>
      </c>
      <c r="E5">
        <f>(100/B6)*C6</f>
        <v>100</v>
      </c>
      <c r="I5" s="1" t="s">
        <v>111</v>
      </c>
      <c r="J5" s="1" t="s">
        <v>112</v>
      </c>
      <c r="K5" s="1" t="s">
        <v>113</v>
      </c>
      <c r="L5" s="1" t="s">
        <v>36</v>
      </c>
      <c r="M5" s="1" t="s">
        <v>41</v>
      </c>
      <c r="N5" s="1" t="s">
        <v>114</v>
      </c>
      <c r="O5" s="1" t="s">
        <v>42</v>
      </c>
    </row>
    <row r="6" spans="1:15" x14ac:dyDescent="0.25">
      <c r="B6" s="1">
        <f>C2+1</f>
        <v>5</v>
      </c>
      <c r="C6" s="1">
        <v>5</v>
      </c>
      <c r="E6">
        <f>(100/B8)*C8</f>
        <v>100</v>
      </c>
      <c r="F6" s="7" t="s">
        <v>115</v>
      </c>
      <c r="I6" s="7">
        <f>C4</f>
        <v>10</v>
      </c>
      <c r="J6" s="7">
        <f>40/B6*C6</f>
        <v>40</v>
      </c>
      <c r="K6" s="7">
        <f>15/B8*C8</f>
        <v>15</v>
      </c>
      <c r="L6" s="7">
        <f>10/B10*C10</f>
        <v>5</v>
      </c>
      <c r="M6" s="7">
        <f>10/B12*C12</f>
        <v>0</v>
      </c>
      <c r="N6" s="7">
        <f>5/B14*C14</f>
        <v>0</v>
      </c>
      <c r="O6" s="7">
        <f>5/B16*C16</f>
        <v>0</v>
      </c>
    </row>
    <row r="7" spans="1:15" x14ac:dyDescent="0.25">
      <c r="A7" t="s">
        <v>116</v>
      </c>
      <c r="B7" t="s">
        <v>117</v>
      </c>
      <c r="C7" t="s">
        <v>118</v>
      </c>
      <c r="E7">
        <f>(100/B10)*C10</f>
        <v>50</v>
      </c>
      <c r="F7" s="1" t="s">
        <v>119</v>
      </c>
      <c r="G7" s="1"/>
      <c r="H7" s="1"/>
      <c r="I7" s="1">
        <f>I6+20</f>
        <v>30</v>
      </c>
      <c r="J7" s="1">
        <f>30/B6*C6</f>
        <v>30</v>
      </c>
      <c r="K7" s="1">
        <f>15/B8*C8</f>
        <v>15</v>
      </c>
      <c r="L7" s="1">
        <f>10/B10*C10</f>
        <v>5</v>
      </c>
      <c r="M7" s="1">
        <f>5/B12*C12</f>
        <v>0</v>
      </c>
      <c r="N7" s="1">
        <f>5/B14*C14</f>
        <v>0</v>
      </c>
      <c r="O7" s="1">
        <f>5/B16*C16</f>
        <v>0</v>
      </c>
    </row>
    <row r="8" spans="1:15" x14ac:dyDescent="0.25">
      <c r="B8" s="1">
        <f>C2+1</f>
        <v>5</v>
      </c>
      <c r="C8" s="1">
        <v>5</v>
      </c>
      <c r="E8">
        <f>(100/B12)*C12</f>
        <v>0</v>
      </c>
    </row>
    <row r="9" spans="1:15" x14ac:dyDescent="0.25">
      <c r="A9" t="s">
        <v>120</v>
      </c>
      <c r="B9" t="s">
        <v>117</v>
      </c>
      <c r="C9" t="s">
        <v>118</v>
      </c>
      <c r="E9">
        <f>(100/B14)*C14</f>
        <v>0</v>
      </c>
    </row>
    <row r="10" spans="1:15" x14ac:dyDescent="0.25">
      <c r="B10" s="1">
        <f>C2+1</f>
        <v>5</v>
      </c>
      <c r="C10" s="1">
        <v>2.5</v>
      </c>
      <c r="E10">
        <f>(100/B16)*C16</f>
        <v>0</v>
      </c>
    </row>
    <row r="11" spans="1:15" x14ac:dyDescent="0.25">
      <c r="A11" t="s">
        <v>41</v>
      </c>
      <c r="B11" t="s">
        <v>117</v>
      </c>
      <c r="C11" t="s">
        <v>118</v>
      </c>
    </row>
    <row r="12" spans="1:15" x14ac:dyDescent="0.25">
      <c r="B12" s="1">
        <f>C2+1</f>
        <v>5</v>
      </c>
      <c r="C12" s="1">
        <v>0</v>
      </c>
      <c r="F12" s="1"/>
      <c r="G12" s="1" t="s">
        <v>115</v>
      </c>
      <c r="H12" s="1" t="s">
        <v>121</v>
      </c>
      <c r="L12" t="s">
        <v>122</v>
      </c>
    </row>
    <row r="13" spans="1:15" ht="31.5" customHeight="1" x14ac:dyDescent="0.25">
      <c r="A13" s="8" t="s">
        <v>114</v>
      </c>
      <c r="B13" t="s">
        <v>117</v>
      </c>
      <c r="C13" t="s">
        <v>118</v>
      </c>
      <c r="F13" s="1" t="s">
        <v>34</v>
      </c>
      <c r="G13" s="1">
        <f>I6</f>
        <v>10</v>
      </c>
      <c r="H13" s="1">
        <f>I7</f>
        <v>30</v>
      </c>
      <c r="L13" t="s">
        <v>122</v>
      </c>
    </row>
    <row r="14" spans="1:15" x14ac:dyDescent="0.25">
      <c r="B14" s="1">
        <f>C2+1</f>
        <v>5</v>
      </c>
      <c r="C14" s="1">
        <v>0</v>
      </c>
      <c r="F14" s="1" t="s">
        <v>35</v>
      </c>
      <c r="G14" s="1">
        <f>J6</f>
        <v>40</v>
      </c>
      <c r="H14" s="1">
        <f>J7</f>
        <v>30</v>
      </c>
    </row>
    <row r="15" spans="1:15" x14ac:dyDescent="0.25">
      <c r="A15" t="s">
        <v>42</v>
      </c>
      <c r="B15" t="s">
        <v>117</v>
      </c>
      <c r="C15" t="s">
        <v>118</v>
      </c>
      <c r="F15" s="1" t="s">
        <v>113</v>
      </c>
      <c r="G15" s="1">
        <f>K6</f>
        <v>15</v>
      </c>
      <c r="H15" s="1">
        <f>K7</f>
        <v>15</v>
      </c>
    </row>
    <row r="16" spans="1:15" x14ac:dyDescent="0.25">
      <c r="B16" s="1">
        <f>C2+1</f>
        <v>5</v>
      </c>
      <c r="C16" s="1">
        <v>0</v>
      </c>
      <c r="F16" s="1" t="s">
        <v>36</v>
      </c>
      <c r="G16" s="1">
        <f>L6</f>
        <v>5</v>
      </c>
      <c r="H16" s="1">
        <f>L7</f>
        <v>5</v>
      </c>
    </row>
    <row r="17" spans="6:8" x14ac:dyDescent="0.25">
      <c r="F17" s="1" t="s">
        <v>41</v>
      </c>
      <c r="G17" s="1">
        <f>M6</f>
        <v>0</v>
      </c>
      <c r="H17" s="1">
        <f>M7</f>
        <v>0</v>
      </c>
    </row>
    <row r="18" spans="6:8" ht="29.25" customHeight="1" x14ac:dyDescent="0.25">
      <c r="F18" s="9" t="s">
        <v>114</v>
      </c>
      <c r="G18" s="1">
        <f>N6</f>
        <v>0</v>
      </c>
      <c r="H18" s="1">
        <f>N7</f>
        <v>0</v>
      </c>
    </row>
    <row r="19" spans="6:8" x14ac:dyDescent="0.25">
      <c r="F19" s="1" t="s">
        <v>42</v>
      </c>
      <c r="G19" s="1">
        <f>O6</f>
        <v>0</v>
      </c>
      <c r="H19" s="1">
        <f>O7</f>
        <v>0</v>
      </c>
    </row>
    <row r="20" spans="6:8" x14ac:dyDescent="0.25">
      <c r="F20" s="1" t="s">
        <v>123</v>
      </c>
      <c r="G20" s="1">
        <f>G13+G14+G15+G16+G17+G18+G19</f>
        <v>70</v>
      </c>
      <c r="H20" s="1">
        <f>H13+H14+H15+H16+H17+H18+H19</f>
        <v>80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13" workbookViewId="0">
      <selection activeCell="C9" sqref="C9"/>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customWidth="1"/>
    <col min="9" max="9" width="12.7109375" customWidth="1"/>
    <col min="10" max="10" width="15.140625" customWidth="1"/>
    <col min="13" max="13" width="16.5703125" customWidth="1"/>
  </cols>
  <sheetData>
    <row r="2" spans="1:15" x14ac:dyDescent="0.25">
      <c r="A2" t="s">
        <v>104</v>
      </c>
      <c r="B2" s="6" t="s">
        <v>124</v>
      </c>
      <c r="C2" s="6">
        <v>4</v>
      </c>
    </row>
    <row r="3" spans="1:15" x14ac:dyDescent="0.25">
      <c r="B3" t="s">
        <v>105</v>
      </c>
      <c r="C3" t="s">
        <v>106</v>
      </c>
    </row>
    <row r="4" spans="1:15" x14ac:dyDescent="0.25">
      <c r="A4" t="s">
        <v>107</v>
      </c>
      <c r="B4" s="1">
        <v>10</v>
      </c>
      <c r="C4" s="1">
        <v>10</v>
      </c>
      <c r="E4">
        <f>(100/B4)*C4</f>
        <v>100</v>
      </c>
    </row>
    <row r="5" spans="1:15" x14ac:dyDescent="0.25">
      <c r="A5" t="s">
        <v>108</v>
      </c>
      <c r="B5" t="s">
        <v>109</v>
      </c>
      <c r="C5" t="s">
        <v>110</v>
      </c>
      <c r="E5">
        <f>(100/B6)*C6</f>
        <v>100</v>
      </c>
      <c r="I5" s="1" t="s">
        <v>111</v>
      </c>
      <c r="J5" s="1" t="s">
        <v>112</v>
      </c>
      <c r="K5" s="1" t="s">
        <v>113</v>
      </c>
      <c r="L5" s="1" t="s">
        <v>36</v>
      </c>
      <c r="M5" s="1" t="s">
        <v>41</v>
      </c>
      <c r="N5" s="1" t="s">
        <v>114</v>
      </c>
      <c r="O5" s="1" t="s">
        <v>42</v>
      </c>
    </row>
    <row r="6" spans="1:15" x14ac:dyDescent="0.25">
      <c r="B6" s="1">
        <f>C2+1</f>
        <v>5</v>
      </c>
      <c r="C6" s="1">
        <v>5</v>
      </c>
      <c r="E6">
        <f>(100/B8)*C8</f>
        <v>60</v>
      </c>
      <c r="F6" s="7" t="s">
        <v>115</v>
      </c>
      <c r="I6" s="7">
        <f>C4</f>
        <v>10</v>
      </c>
      <c r="J6" s="7">
        <f>40/B6*C6</f>
        <v>40</v>
      </c>
      <c r="K6" s="7">
        <f>15/B8*C8</f>
        <v>9</v>
      </c>
      <c r="L6" s="7">
        <f>10/B10*C10</f>
        <v>0</v>
      </c>
      <c r="M6" s="7">
        <f>10/B12*C12</f>
        <v>0</v>
      </c>
      <c r="N6" s="7">
        <f>5/B14*C14</f>
        <v>0</v>
      </c>
      <c r="O6" s="7">
        <f>5/B16*C16</f>
        <v>0</v>
      </c>
    </row>
    <row r="7" spans="1:15" x14ac:dyDescent="0.25">
      <c r="A7" t="s">
        <v>116</v>
      </c>
      <c r="B7" t="s">
        <v>117</v>
      </c>
      <c r="C7" t="s">
        <v>118</v>
      </c>
      <c r="E7">
        <f>(100/B10)*C10</f>
        <v>0</v>
      </c>
      <c r="F7" s="1" t="s">
        <v>119</v>
      </c>
      <c r="G7" s="1"/>
      <c r="H7" s="1"/>
      <c r="I7" s="1">
        <f>I6+20</f>
        <v>30</v>
      </c>
      <c r="J7" s="1">
        <f>30/B6*C6</f>
        <v>30</v>
      </c>
      <c r="K7" s="1">
        <f>15/B8*C8</f>
        <v>9</v>
      </c>
      <c r="L7" s="1">
        <f>10/B10*C10</f>
        <v>0</v>
      </c>
      <c r="M7" s="1">
        <f>5/B12*C12</f>
        <v>0</v>
      </c>
      <c r="N7" s="1">
        <f>5/B14*C14</f>
        <v>0</v>
      </c>
      <c r="O7" s="1">
        <f>5/B16*C16</f>
        <v>0</v>
      </c>
    </row>
    <row r="8" spans="1:15" x14ac:dyDescent="0.25">
      <c r="B8" s="1">
        <f>C2+1</f>
        <v>5</v>
      </c>
      <c r="C8" s="1">
        <v>3</v>
      </c>
      <c r="E8">
        <f>(100/B12)*C12</f>
        <v>0</v>
      </c>
    </row>
    <row r="9" spans="1:15" x14ac:dyDescent="0.25">
      <c r="A9" t="s">
        <v>120</v>
      </c>
      <c r="B9" t="s">
        <v>117</v>
      </c>
      <c r="C9" t="s">
        <v>118</v>
      </c>
      <c r="E9">
        <f>(100/B14)*C14</f>
        <v>0</v>
      </c>
    </row>
    <row r="10" spans="1:15" x14ac:dyDescent="0.25">
      <c r="B10" s="1">
        <f>C2+1</f>
        <v>5</v>
      </c>
      <c r="C10" s="1">
        <v>0</v>
      </c>
      <c r="E10">
        <f>(100/B16)*C16</f>
        <v>0</v>
      </c>
    </row>
    <row r="11" spans="1:15" x14ac:dyDescent="0.25">
      <c r="A11" t="s">
        <v>41</v>
      </c>
      <c r="B11" t="s">
        <v>117</v>
      </c>
      <c r="C11" t="s">
        <v>118</v>
      </c>
    </row>
    <row r="12" spans="1:15" x14ac:dyDescent="0.25">
      <c r="B12" s="1">
        <f>C2+1</f>
        <v>5</v>
      </c>
      <c r="C12" s="1">
        <v>0</v>
      </c>
      <c r="F12" s="1"/>
      <c r="G12" s="1" t="s">
        <v>115</v>
      </c>
      <c r="H12" s="1" t="s">
        <v>121</v>
      </c>
      <c r="L12" t="s">
        <v>122</v>
      </c>
    </row>
    <row r="13" spans="1:15" ht="31.5" customHeight="1" x14ac:dyDescent="0.25">
      <c r="A13" s="8" t="s">
        <v>114</v>
      </c>
      <c r="B13" t="s">
        <v>117</v>
      </c>
      <c r="C13" t="s">
        <v>118</v>
      </c>
      <c r="F13" s="1" t="s">
        <v>34</v>
      </c>
      <c r="G13" s="1">
        <f>I6</f>
        <v>10</v>
      </c>
      <c r="H13" s="1">
        <f>I7</f>
        <v>30</v>
      </c>
      <c r="L13" t="s">
        <v>122</v>
      </c>
    </row>
    <row r="14" spans="1:15" x14ac:dyDescent="0.25">
      <c r="B14" s="1">
        <f>C2+1</f>
        <v>5</v>
      </c>
      <c r="C14" s="1">
        <v>0</v>
      </c>
      <c r="F14" s="1" t="s">
        <v>35</v>
      </c>
      <c r="G14" s="1">
        <f>J6</f>
        <v>40</v>
      </c>
      <c r="H14" s="1">
        <f>J7</f>
        <v>30</v>
      </c>
    </row>
    <row r="15" spans="1:15" x14ac:dyDescent="0.25">
      <c r="A15" t="s">
        <v>42</v>
      </c>
      <c r="B15" t="s">
        <v>117</v>
      </c>
      <c r="C15" t="s">
        <v>118</v>
      </c>
      <c r="F15" s="1" t="s">
        <v>113</v>
      </c>
      <c r="G15" s="1">
        <f>K6</f>
        <v>9</v>
      </c>
      <c r="H15" s="1">
        <f>K7</f>
        <v>9</v>
      </c>
    </row>
    <row r="16" spans="1:15" x14ac:dyDescent="0.25">
      <c r="B16" s="1">
        <f>C2+1</f>
        <v>5</v>
      </c>
      <c r="C16" s="1">
        <v>0</v>
      </c>
      <c r="F16" s="1" t="s">
        <v>36</v>
      </c>
      <c r="G16" s="1">
        <f>L6</f>
        <v>0</v>
      </c>
      <c r="H16" s="1">
        <f>L7</f>
        <v>0</v>
      </c>
    </row>
    <row r="17" spans="6:8" x14ac:dyDescent="0.25">
      <c r="F17" s="1" t="s">
        <v>41</v>
      </c>
      <c r="G17" s="1">
        <f>M6</f>
        <v>0</v>
      </c>
      <c r="H17" s="1">
        <f>M7</f>
        <v>0</v>
      </c>
    </row>
    <row r="18" spans="6:8" ht="29.25" customHeight="1" x14ac:dyDescent="0.25">
      <c r="F18" s="9" t="s">
        <v>114</v>
      </c>
      <c r="G18" s="1">
        <f>N6</f>
        <v>0</v>
      </c>
      <c r="H18" s="1">
        <f>N7</f>
        <v>0</v>
      </c>
    </row>
    <row r="19" spans="6:8" x14ac:dyDescent="0.25">
      <c r="F19" s="1" t="s">
        <v>42</v>
      </c>
      <c r="G19" s="1">
        <f>O6</f>
        <v>0</v>
      </c>
      <c r="H19" s="1">
        <f>O7</f>
        <v>0</v>
      </c>
    </row>
    <row r="20" spans="6:8" x14ac:dyDescent="0.25">
      <c r="F20" s="1" t="s">
        <v>123</v>
      </c>
      <c r="G20" s="1">
        <f>G13+G14+G15+G16+G17+G18+G19</f>
        <v>59</v>
      </c>
      <c r="H20" s="1">
        <f>H13+H14+H15+H16+H17+H18+H19</f>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0" sqref="C10"/>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customWidth="1"/>
    <col min="9" max="9" width="12.7109375" customWidth="1"/>
    <col min="10" max="10" width="15.140625" customWidth="1"/>
    <col min="13" max="13" width="16.5703125" customWidth="1"/>
  </cols>
  <sheetData>
    <row r="2" spans="1:15" x14ac:dyDescent="0.25">
      <c r="A2" t="s">
        <v>104</v>
      </c>
      <c r="B2" s="6" t="s">
        <v>124</v>
      </c>
      <c r="C2" s="6">
        <v>4</v>
      </c>
    </row>
    <row r="3" spans="1:15" x14ac:dyDescent="0.25">
      <c r="B3" t="s">
        <v>105</v>
      </c>
      <c r="C3" t="s">
        <v>106</v>
      </c>
    </row>
    <row r="4" spans="1:15" x14ac:dyDescent="0.25">
      <c r="A4" t="s">
        <v>107</v>
      </c>
      <c r="B4" s="1">
        <v>10</v>
      </c>
      <c r="C4" s="1">
        <v>10</v>
      </c>
      <c r="E4">
        <f>(100/B4)*C4</f>
        <v>100</v>
      </c>
    </row>
    <row r="5" spans="1:15" x14ac:dyDescent="0.25">
      <c r="A5" t="s">
        <v>108</v>
      </c>
      <c r="B5" t="s">
        <v>109</v>
      </c>
      <c r="C5" t="s">
        <v>110</v>
      </c>
      <c r="E5">
        <f>(100/B6)*C6</f>
        <v>100</v>
      </c>
      <c r="I5" s="1" t="s">
        <v>111</v>
      </c>
      <c r="J5" s="1" t="s">
        <v>112</v>
      </c>
      <c r="K5" s="1" t="s">
        <v>113</v>
      </c>
      <c r="L5" s="1" t="s">
        <v>36</v>
      </c>
      <c r="M5" s="1" t="s">
        <v>41</v>
      </c>
      <c r="N5" s="1" t="s">
        <v>114</v>
      </c>
      <c r="O5" s="1" t="s">
        <v>42</v>
      </c>
    </row>
    <row r="6" spans="1:15" x14ac:dyDescent="0.25">
      <c r="B6" s="1">
        <f>C2+1</f>
        <v>5</v>
      </c>
      <c r="C6" s="1">
        <v>5</v>
      </c>
      <c r="E6">
        <f>(100/B8)*C8</f>
        <v>100</v>
      </c>
      <c r="F6" s="7" t="s">
        <v>115</v>
      </c>
      <c r="I6" s="7">
        <f>C4</f>
        <v>10</v>
      </c>
      <c r="J6" s="7">
        <f>40/B6*C6</f>
        <v>40</v>
      </c>
      <c r="K6" s="7">
        <f>15/B8*C8</f>
        <v>15</v>
      </c>
      <c r="L6" s="7">
        <f>10/B10*C10</f>
        <v>4</v>
      </c>
      <c r="M6" s="7">
        <f>10/B12*C12</f>
        <v>0</v>
      </c>
      <c r="N6" s="7">
        <f>5/B14*C14</f>
        <v>0</v>
      </c>
      <c r="O6" s="7">
        <f>5/B16*C16</f>
        <v>0</v>
      </c>
    </row>
    <row r="7" spans="1:15" x14ac:dyDescent="0.25">
      <c r="A7" t="s">
        <v>116</v>
      </c>
      <c r="B7" t="s">
        <v>117</v>
      </c>
      <c r="C7" t="s">
        <v>118</v>
      </c>
      <c r="E7">
        <f>(100/B10)*C10</f>
        <v>40</v>
      </c>
      <c r="F7" s="1" t="s">
        <v>119</v>
      </c>
      <c r="G7" s="1"/>
      <c r="H7" s="1"/>
      <c r="I7" s="1">
        <f>I6+20</f>
        <v>30</v>
      </c>
      <c r="J7" s="1">
        <f>30/B6*C6</f>
        <v>30</v>
      </c>
      <c r="K7" s="1">
        <f>15/B8*C8</f>
        <v>15</v>
      </c>
      <c r="L7" s="1">
        <f>10/B10*C10</f>
        <v>4</v>
      </c>
      <c r="M7" s="1">
        <f>5/B12*C12</f>
        <v>0</v>
      </c>
      <c r="N7" s="1">
        <f>5/B14*C14</f>
        <v>0</v>
      </c>
      <c r="O7" s="1">
        <f>5/B16*C16</f>
        <v>0</v>
      </c>
    </row>
    <row r="8" spans="1:15" x14ac:dyDescent="0.25">
      <c r="B8" s="1">
        <f>C2+1</f>
        <v>5</v>
      </c>
      <c r="C8" s="1">
        <v>5</v>
      </c>
      <c r="E8">
        <f>(100/B12)*C12</f>
        <v>0</v>
      </c>
    </row>
    <row r="9" spans="1:15" x14ac:dyDescent="0.25">
      <c r="A9" t="s">
        <v>120</v>
      </c>
      <c r="B9" t="s">
        <v>117</v>
      </c>
      <c r="C9" t="s">
        <v>118</v>
      </c>
      <c r="E9">
        <f>(100/B14)*C14</f>
        <v>0</v>
      </c>
    </row>
    <row r="10" spans="1:15" x14ac:dyDescent="0.25">
      <c r="B10" s="1">
        <f>C2+1</f>
        <v>5</v>
      </c>
      <c r="C10" s="1">
        <v>2</v>
      </c>
      <c r="E10">
        <f>(100/B16)*C16</f>
        <v>0</v>
      </c>
    </row>
    <row r="11" spans="1:15" x14ac:dyDescent="0.25">
      <c r="A11" t="s">
        <v>41</v>
      </c>
      <c r="B11" t="s">
        <v>117</v>
      </c>
      <c r="C11" t="s">
        <v>118</v>
      </c>
    </row>
    <row r="12" spans="1:15" x14ac:dyDescent="0.25">
      <c r="B12" s="1">
        <f>C2+1</f>
        <v>5</v>
      </c>
      <c r="C12" s="1">
        <v>0</v>
      </c>
      <c r="F12" s="1"/>
      <c r="G12" s="1" t="s">
        <v>115</v>
      </c>
      <c r="H12" s="1" t="s">
        <v>121</v>
      </c>
      <c r="L12" t="s">
        <v>122</v>
      </c>
    </row>
    <row r="13" spans="1:15" ht="31.5" customHeight="1" x14ac:dyDescent="0.25">
      <c r="A13" s="8" t="s">
        <v>114</v>
      </c>
      <c r="B13" t="s">
        <v>117</v>
      </c>
      <c r="C13" t="s">
        <v>118</v>
      </c>
      <c r="F13" s="1" t="s">
        <v>34</v>
      </c>
      <c r="G13" s="1">
        <f>I6</f>
        <v>10</v>
      </c>
      <c r="H13" s="1">
        <f>I7</f>
        <v>30</v>
      </c>
      <c r="L13" t="s">
        <v>122</v>
      </c>
    </row>
    <row r="14" spans="1:15" x14ac:dyDescent="0.25">
      <c r="B14" s="1">
        <f>C2+1</f>
        <v>5</v>
      </c>
      <c r="C14" s="1">
        <v>0</v>
      </c>
      <c r="F14" s="1" t="s">
        <v>35</v>
      </c>
      <c r="G14" s="1">
        <f>J6</f>
        <v>40</v>
      </c>
      <c r="H14" s="1">
        <f>J7</f>
        <v>30</v>
      </c>
    </row>
    <row r="15" spans="1:15" x14ac:dyDescent="0.25">
      <c r="A15" t="s">
        <v>42</v>
      </c>
      <c r="B15" t="s">
        <v>117</v>
      </c>
      <c r="C15" t="s">
        <v>118</v>
      </c>
      <c r="F15" s="1" t="s">
        <v>113</v>
      </c>
      <c r="G15" s="1">
        <f>K6</f>
        <v>15</v>
      </c>
      <c r="H15" s="1">
        <f>K7</f>
        <v>15</v>
      </c>
    </row>
    <row r="16" spans="1:15" x14ac:dyDescent="0.25">
      <c r="B16" s="1">
        <f>C2+1</f>
        <v>5</v>
      </c>
      <c r="C16" s="1">
        <v>0</v>
      </c>
      <c r="F16" s="1" t="s">
        <v>36</v>
      </c>
      <c r="G16" s="1">
        <f>L6</f>
        <v>4</v>
      </c>
      <c r="H16" s="1">
        <f>L7</f>
        <v>4</v>
      </c>
    </row>
    <row r="17" spans="6:8" x14ac:dyDescent="0.25">
      <c r="F17" s="1" t="s">
        <v>41</v>
      </c>
      <c r="G17" s="1">
        <f>M6</f>
        <v>0</v>
      </c>
      <c r="H17" s="1">
        <f>M7</f>
        <v>0</v>
      </c>
    </row>
    <row r="18" spans="6:8" ht="29.25" customHeight="1" x14ac:dyDescent="0.25">
      <c r="F18" s="9" t="s">
        <v>114</v>
      </c>
      <c r="G18" s="1">
        <f>N6</f>
        <v>0</v>
      </c>
      <c r="H18" s="1">
        <f>N7</f>
        <v>0</v>
      </c>
    </row>
    <row r="19" spans="6:8" x14ac:dyDescent="0.25">
      <c r="F19" s="1" t="s">
        <v>42</v>
      </c>
      <c r="G19" s="1">
        <f>O6</f>
        <v>0</v>
      </c>
      <c r="H19" s="1">
        <f>O7</f>
        <v>0</v>
      </c>
    </row>
    <row r="20" spans="6:8" x14ac:dyDescent="0.25">
      <c r="F20" s="1" t="s">
        <v>123</v>
      </c>
      <c r="G20" s="1">
        <f>G13+G14+G15+G16+G17+G18+G19</f>
        <v>69</v>
      </c>
      <c r="H20" s="1">
        <f>H13+H14+H15+H16+H17+H18+H19</f>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0" sqref="C10"/>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customWidth="1"/>
    <col min="9" max="9" width="12.7109375" customWidth="1"/>
    <col min="10" max="10" width="15.140625" customWidth="1"/>
    <col min="13" max="13" width="16.5703125" customWidth="1"/>
  </cols>
  <sheetData>
    <row r="2" spans="1:15" x14ac:dyDescent="0.25">
      <c r="A2" t="s">
        <v>104</v>
      </c>
      <c r="B2" s="6" t="s">
        <v>124</v>
      </c>
      <c r="C2" s="6">
        <v>4</v>
      </c>
    </row>
    <row r="3" spans="1:15" x14ac:dyDescent="0.25">
      <c r="B3" t="s">
        <v>105</v>
      </c>
      <c r="C3" t="s">
        <v>106</v>
      </c>
    </row>
    <row r="4" spans="1:15" x14ac:dyDescent="0.25">
      <c r="A4" t="s">
        <v>107</v>
      </c>
      <c r="B4" s="1">
        <v>10</v>
      </c>
      <c r="C4" s="1">
        <v>0</v>
      </c>
      <c r="E4">
        <f>(100/B4)*C4</f>
        <v>0</v>
      </c>
    </row>
    <row r="5" spans="1:15" x14ac:dyDescent="0.25">
      <c r="A5" t="s">
        <v>108</v>
      </c>
      <c r="B5" t="s">
        <v>109</v>
      </c>
      <c r="C5" t="s">
        <v>110</v>
      </c>
      <c r="E5">
        <f>(100/B6)*C6</f>
        <v>0</v>
      </c>
      <c r="I5" s="1" t="s">
        <v>111</v>
      </c>
      <c r="J5" s="1" t="s">
        <v>112</v>
      </c>
      <c r="K5" s="1" t="s">
        <v>113</v>
      </c>
      <c r="L5" s="1" t="s">
        <v>36</v>
      </c>
      <c r="M5" s="1" t="s">
        <v>41</v>
      </c>
      <c r="N5" s="1" t="s">
        <v>114</v>
      </c>
      <c r="O5" s="1" t="s">
        <v>42</v>
      </c>
    </row>
    <row r="6" spans="1:15" x14ac:dyDescent="0.25">
      <c r="B6" s="1">
        <f>C2+1</f>
        <v>5</v>
      </c>
      <c r="C6" s="1">
        <v>0</v>
      </c>
      <c r="E6">
        <f>(100/B8)*C8</f>
        <v>0</v>
      </c>
      <c r="F6" s="7" t="s">
        <v>115</v>
      </c>
      <c r="I6" s="7">
        <f>C4</f>
        <v>0</v>
      </c>
      <c r="J6" s="7">
        <f>40/B6*C6</f>
        <v>0</v>
      </c>
      <c r="K6" s="7">
        <f>15/B8*C8</f>
        <v>0</v>
      </c>
      <c r="L6" s="7">
        <f>10/B10*C10</f>
        <v>0</v>
      </c>
      <c r="M6" s="7">
        <f>10/B12*C12</f>
        <v>0</v>
      </c>
      <c r="N6" s="7">
        <f>5/B14*C14</f>
        <v>0</v>
      </c>
      <c r="O6" s="7">
        <f>5/B16*C16</f>
        <v>0</v>
      </c>
    </row>
    <row r="7" spans="1:15" x14ac:dyDescent="0.25">
      <c r="A7" t="s">
        <v>116</v>
      </c>
      <c r="B7" t="s">
        <v>117</v>
      </c>
      <c r="C7" t="s">
        <v>118</v>
      </c>
      <c r="E7">
        <f>(100/B10)*C10</f>
        <v>0</v>
      </c>
      <c r="F7" s="1" t="s">
        <v>119</v>
      </c>
      <c r="G7" s="1"/>
      <c r="H7" s="1"/>
      <c r="I7" s="1">
        <f>I6+20</f>
        <v>20</v>
      </c>
      <c r="J7" s="1">
        <f>30/B6*C6</f>
        <v>0</v>
      </c>
      <c r="K7" s="1">
        <f>15/B8*C8</f>
        <v>0</v>
      </c>
      <c r="L7" s="1">
        <f>10/B10*C10</f>
        <v>0</v>
      </c>
      <c r="M7" s="1">
        <f>5/B12*C12</f>
        <v>0</v>
      </c>
      <c r="N7" s="1">
        <f>5/B14*C14</f>
        <v>0</v>
      </c>
      <c r="O7" s="1">
        <f>5/B16*C16</f>
        <v>0</v>
      </c>
    </row>
    <row r="8" spans="1:15" x14ac:dyDescent="0.25">
      <c r="B8" s="1">
        <f>C2+1</f>
        <v>5</v>
      </c>
      <c r="C8" s="1">
        <v>0</v>
      </c>
      <c r="E8">
        <f>(100/B12)*C12</f>
        <v>0</v>
      </c>
    </row>
    <row r="9" spans="1:15" x14ac:dyDescent="0.25">
      <c r="A9" t="s">
        <v>120</v>
      </c>
      <c r="B9" t="s">
        <v>117</v>
      </c>
      <c r="C9" t="s">
        <v>118</v>
      </c>
      <c r="E9">
        <f>(100/B14)*C14</f>
        <v>0</v>
      </c>
    </row>
    <row r="10" spans="1:15" x14ac:dyDescent="0.25">
      <c r="B10" s="1">
        <f>C2+1</f>
        <v>5</v>
      </c>
      <c r="C10" s="1">
        <v>0</v>
      </c>
      <c r="E10">
        <f>(100/B16)*C16</f>
        <v>0</v>
      </c>
    </row>
    <row r="11" spans="1:15" x14ac:dyDescent="0.25">
      <c r="A11" t="s">
        <v>41</v>
      </c>
      <c r="B11" t="s">
        <v>117</v>
      </c>
      <c r="C11" t="s">
        <v>118</v>
      </c>
    </row>
    <row r="12" spans="1:15" x14ac:dyDescent="0.25">
      <c r="B12" s="1">
        <f>C2+1</f>
        <v>5</v>
      </c>
      <c r="C12" s="1">
        <v>0</v>
      </c>
      <c r="F12" s="1"/>
      <c r="G12" s="1" t="s">
        <v>115</v>
      </c>
      <c r="H12" s="1" t="s">
        <v>121</v>
      </c>
      <c r="L12" t="s">
        <v>122</v>
      </c>
    </row>
    <row r="13" spans="1:15" ht="31.5" customHeight="1" x14ac:dyDescent="0.25">
      <c r="A13" s="8" t="s">
        <v>114</v>
      </c>
      <c r="B13" t="s">
        <v>117</v>
      </c>
      <c r="C13" t="s">
        <v>118</v>
      </c>
      <c r="F13" s="1" t="s">
        <v>34</v>
      </c>
      <c r="G13" s="1">
        <f>I6</f>
        <v>0</v>
      </c>
      <c r="H13" s="1">
        <f>I7</f>
        <v>20</v>
      </c>
      <c r="L13" t="s">
        <v>122</v>
      </c>
    </row>
    <row r="14" spans="1:15" x14ac:dyDescent="0.25">
      <c r="B14" s="1">
        <f>C2+1</f>
        <v>5</v>
      </c>
      <c r="C14" s="1">
        <v>0</v>
      </c>
      <c r="F14" s="1" t="s">
        <v>35</v>
      </c>
      <c r="G14" s="1">
        <f>J6</f>
        <v>0</v>
      </c>
      <c r="H14" s="1">
        <f>J7</f>
        <v>0</v>
      </c>
    </row>
    <row r="15" spans="1:15" x14ac:dyDescent="0.25">
      <c r="A15" t="s">
        <v>42</v>
      </c>
      <c r="B15" t="s">
        <v>117</v>
      </c>
      <c r="C15" t="s">
        <v>118</v>
      </c>
      <c r="F15" s="1" t="s">
        <v>113</v>
      </c>
      <c r="G15" s="1">
        <f>K6</f>
        <v>0</v>
      </c>
      <c r="H15" s="1">
        <f>K7</f>
        <v>0</v>
      </c>
    </row>
    <row r="16" spans="1:15" x14ac:dyDescent="0.25">
      <c r="B16" s="1">
        <f>C2+1</f>
        <v>5</v>
      </c>
      <c r="C16" s="1">
        <v>0</v>
      </c>
      <c r="F16" s="1" t="s">
        <v>36</v>
      </c>
      <c r="G16" s="1">
        <f>L6</f>
        <v>0</v>
      </c>
      <c r="H16" s="1">
        <f>L7</f>
        <v>0</v>
      </c>
    </row>
    <row r="17" spans="6:8" x14ac:dyDescent="0.25">
      <c r="F17" s="1" t="s">
        <v>41</v>
      </c>
      <c r="G17" s="1">
        <f>M6</f>
        <v>0</v>
      </c>
      <c r="H17" s="1">
        <f>M7</f>
        <v>0</v>
      </c>
    </row>
    <row r="18" spans="6:8" ht="29.25" customHeight="1" x14ac:dyDescent="0.25">
      <c r="F18" s="9" t="s">
        <v>114</v>
      </c>
      <c r="G18" s="1">
        <f>N6</f>
        <v>0</v>
      </c>
      <c r="H18" s="1">
        <f>N7</f>
        <v>0</v>
      </c>
    </row>
    <row r="19" spans="6:8" x14ac:dyDescent="0.25">
      <c r="F19" s="1" t="s">
        <v>42</v>
      </c>
      <c r="G19" s="1">
        <f>O6</f>
        <v>0</v>
      </c>
      <c r="H19" s="1">
        <f>O7</f>
        <v>0</v>
      </c>
    </row>
    <row r="20" spans="6:8" x14ac:dyDescent="0.25">
      <c r="F20" s="1" t="s">
        <v>123</v>
      </c>
      <c r="G20" s="1">
        <f>G13+G14+G15+G16+G17+G18+G19</f>
        <v>0</v>
      </c>
      <c r="H20" s="1">
        <f>H13+H14+H15+H16+H17+H18+H19</f>
        <v>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R15" sqref="R15"/>
    </sheetView>
  </sheetViews>
  <sheetFormatPr defaultRowHeight="15" x14ac:dyDescent="0.25"/>
  <cols>
    <col min="1" max="1" width="10.28515625" bestFit="1" customWidth="1"/>
  </cols>
  <sheetData>
    <row r="2" spans="1:2" x14ac:dyDescent="0.25">
      <c r="A2" s="12">
        <v>44202</v>
      </c>
      <c r="B2" s="13" t="s">
        <v>192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sqref="A1:B1"/>
    </sheetView>
  </sheetViews>
  <sheetFormatPr defaultColWidth="8.7109375" defaultRowHeight="15" x14ac:dyDescent="0.25"/>
  <cols>
    <col min="1" max="1" width="10.5703125" style="13" bestFit="1" customWidth="1"/>
    <col min="2" max="2" width="22.140625" style="13" customWidth="1"/>
    <col min="3" max="3" width="37" style="13" customWidth="1"/>
    <col min="4" max="5" width="11.42578125" style="13" customWidth="1"/>
    <col min="6" max="6" width="14" style="13" customWidth="1"/>
    <col min="7" max="7" width="20" style="13" customWidth="1"/>
    <col min="8" max="8" width="16.42578125" style="13" customWidth="1"/>
    <col min="9" max="16384" width="8.7109375" style="13"/>
  </cols>
  <sheetData>
    <row r="1" spans="1:9" ht="15" customHeight="1" x14ac:dyDescent="0.25">
      <c r="A1" s="12">
        <v>44202</v>
      </c>
      <c r="B1" s="13" t="s">
        <v>192</v>
      </c>
    </row>
    <row r="2" spans="1:9" ht="15" customHeight="1" x14ac:dyDescent="0.25">
      <c r="A2" s="14"/>
      <c r="B2" s="14"/>
      <c r="C2" s="14"/>
      <c r="D2" s="14"/>
      <c r="E2" s="14"/>
      <c r="F2" s="14"/>
      <c r="G2" s="14"/>
      <c r="H2" s="14"/>
    </row>
    <row r="3" spans="1:9" ht="15.75" customHeight="1" x14ac:dyDescent="0.25">
      <c r="A3" s="14"/>
      <c r="B3" s="198" t="s">
        <v>193</v>
      </c>
      <c r="C3" s="198"/>
      <c r="D3" s="198"/>
      <c r="E3" s="198"/>
      <c r="F3" s="198"/>
      <c r="G3" s="198"/>
      <c r="H3" s="198"/>
    </row>
    <row r="4" spans="1:9" x14ac:dyDescent="0.25">
      <c r="A4" s="14"/>
      <c r="B4" s="15" t="s">
        <v>194</v>
      </c>
      <c r="C4" s="15" t="s">
        <v>195</v>
      </c>
      <c r="D4" s="15" t="s">
        <v>91</v>
      </c>
      <c r="E4" s="15" t="s">
        <v>196</v>
      </c>
      <c r="F4" s="15" t="s">
        <v>197</v>
      </c>
      <c r="G4" s="15" t="s">
        <v>198</v>
      </c>
      <c r="H4" s="15" t="s">
        <v>199</v>
      </c>
    </row>
    <row r="5" spans="1:9" ht="15" customHeight="1" x14ac:dyDescent="0.25">
      <c r="A5" s="14"/>
      <c r="B5" s="16" t="s">
        <v>200</v>
      </c>
      <c r="C5" s="17"/>
      <c r="D5" s="16"/>
      <c r="E5" s="16"/>
      <c r="F5" s="18"/>
      <c r="G5" s="18" t="e">
        <f>H5/F5</f>
        <v>#DIV/0!</v>
      </c>
      <c r="H5" s="19"/>
    </row>
    <row r="6" spans="1:9" x14ac:dyDescent="0.25">
      <c r="A6" s="14"/>
      <c r="B6" s="16" t="s">
        <v>201</v>
      </c>
      <c r="C6" s="20"/>
      <c r="D6" s="16"/>
      <c r="E6" s="16"/>
      <c r="F6" s="18"/>
      <c r="G6" s="18" t="e">
        <f t="shared" ref="G6:G11" si="0">H6/F6</f>
        <v>#DIV/0!</v>
      </c>
      <c r="H6" s="19"/>
    </row>
    <row r="7" spans="1:9" ht="15" customHeight="1" x14ac:dyDescent="0.25">
      <c r="A7" s="14"/>
      <c r="B7" s="16" t="s">
        <v>202</v>
      </c>
      <c r="C7" s="17"/>
      <c r="D7" s="16"/>
      <c r="E7" s="16"/>
      <c r="F7" s="18"/>
      <c r="G7" s="18" t="e">
        <f t="shared" si="0"/>
        <v>#DIV/0!</v>
      </c>
      <c r="H7" s="19"/>
    </row>
    <row r="8" spans="1:9" x14ac:dyDescent="0.25">
      <c r="A8" s="14"/>
      <c r="B8" s="16" t="s">
        <v>202</v>
      </c>
      <c r="C8" s="20"/>
      <c r="D8" s="16"/>
      <c r="E8" s="16"/>
      <c r="F8" s="18"/>
      <c r="G8" s="18" t="e">
        <f t="shared" si="0"/>
        <v>#DIV/0!</v>
      </c>
      <c r="H8" s="19"/>
    </row>
    <row r="9" spans="1:9" ht="15" customHeight="1" x14ac:dyDescent="0.25">
      <c r="A9" s="14"/>
      <c r="B9" s="16" t="s">
        <v>202</v>
      </c>
      <c r="C9" s="20"/>
      <c r="D9" s="16"/>
      <c r="E9" s="16"/>
      <c r="F9" s="18"/>
      <c r="G9" s="18" t="e">
        <f t="shared" si="0"/>
        <v>#DIV/0!</v>
      </c>
      <c r="H9" s="19"/>
    </row>
    <row r="10" spans="1:9" ht="15" customHeight="1" x14ac:dyDescent="0.25">
      <c r="A10" s="14"/>
      <c r="B10" s="16" t="s">
        <v>203</v>
      </c>
      <c r="C10" s="17"/>
      <c r="D10" s="16"/>
      <c r="E10" s="16"/>
      <c r="F10" s="18"/>
      <c r="G10" s="18" t="e">
        <f t="shared" si="0"/>
        <v>#DIV/0!</v>
      </c>
      <c r="H10" s="19"/>
    </row>
    <row r="11" spans="1:9" ht="15" customHeight="1" x14ac:dyDescent="0.25">
      <c r="A11" s="14"/>
      <c r="B11" s="16" t="s">
        <v>203</v>
      </c>
      <c r="C11" s="17"/>
      <c r="D11" s="16"/>
      <c r="E11" s="16"/>
      <c r="F11" s="18"/>
      <c r="G11" s="18" t="e">
        <f t="shared" si="0"/>
        <v>#DIV/0!</v>
      </c>
      <c r="H11" s="19"/>
    </row>
    <row r="12" spans="1:9" ht="15" customHeight="1" x14ac:dyDescent="0.25">
      <c r="A12" s="14"/>
      <c r="B12" s="21" t="s">
        <v>204</v>
      </c>
      <c r="C12" s="16"/>
      <c r="D12" s="16"/>
      <c r="E12" s="16"/>
      <c r="F12" s="16"/>
      <c r="G12" s="22" t="e">
        <f>AVERAGE(G5:G11)</f>
        <v>#DIV/0!</v>
      </c>
      <c r="H12" s="16"/>
    </row>
    <row r="13" spans="1:9" ht="15" customHeight="1" x14ac:dyDescent="0.25">
      <c r="B13" s="21" t="s">
        <v>205</v>
      </c>
      <c r="C13" s="16"/>
      <c r="D13" s="16"/>
      <c r="E13" s="16"/>
      <c r="F13" s="23"/>
      <c r="G13" s="21">
        <v>32000</v>
      </c>
      <c r="H13" s="21"/>
      <c r="I13" s="24"/>
    </row>
    <row r="14" spans="1:9" ht="15" customHeight="1" x14ac:dyDescent="0.25"/>
    <row r="15" spans="1:9" x14ac:dyDescent="0.25">
      <c r="C15" s="25"/>
    </row>
    <row r="16" spans="1:9" ht="15" customHeight="1" x14ac:dyDescent="0.25"/>
  </sheetData>
  <mergeCells count="1">
    <mergeCell ref="B3: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D12" sqref="D12"/>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customWidth="1"/>
    <col min="9" max="9" width="12.7109375" customWidth="1"/>
    <col min="10" max="10" width="15.140625" customWidth="1"/>
    <col min="13" max="13" width="16.5703125" customWidth="1"/>
  </cols>
  <sheetData>
    <row r="2" spans="1:15" x14ac:dyDescent="0.25">
      <c r="A2" t="s">
        <v>104</v>
      </c>
      <c r="B2" s="6" t="s">
        <v>124</v>
      </c>
      <c r="C2" s="6">
        <v>4</v>
      </c>
    </row>
    <row r="3" spans="1:15" x14ac:dyDescent="0.25">
      <c r="B3" t="s">
        <v>105</v>
      </c>
      <c r="C3" t="s">
        <v>106</v>
      </c>
    </row>
    <row r="4" spans="1:15" x14ac:dyDescent="0.25">
      <c r="A4" t="s">
        <v>107</v>
      </c>
      <c r="B4" s="1">
        <v>10</v>
      </c>
      <c r="C4" s="1">
        <v>10</v>
      </c>
      <c r="E4">
        <f>(100/B4)*C4</f>
        <v>100</v>
      </c>
    </row>
    <row r="5" spans="1:15" x14ac:dyDescent="0.25">
      <c r="A5" t="s">
        <v>108</v>
      </c>
      <c r="B5" t="s">
        <v>109</v>
      </c>
      <c r="C5" t="s">
        <v>110</v>
      </c>
      <c r="E5">
        <f>(100/B6)*C6</f>
        <v>100</v>
      </c>
      <c r="I5" s="1" t="s">
        <v>111</v>
      </c>
      <c r="J5" s="1" t="s">
        <v>112</v>
      </c>
      <c r="K5" s="1" t="s">
        <v>113</v>
      </c>
      <c r="L5" s="1" t="s">
        <v>36</v>
      </c>
      <c r="M5" s="1" t="s">
        <v>41</v>
      </c>
      <c r="N5" s="1" t="s">
        <v>114</v>
      </c>
      <c r="O5" s="1" t="s">
        <v>42</v>
      </c>
    </row>
    <row r="6" spans="1:15" x14ac:dyDescent="0.25">
      <c r="B6" s="1">
        <f>C2+1</f>
        <v>5</v>
      </c>
      <c r="C6" s="1">
        <v>5</v>
      </c>
      <c r="E6">
        <f>(100/B8)*C8</f>
        <v>100</v>
      </c>
      <c r="F6" s="7" t="s">
        <v>115</v>
      </c>
      <c r="I6" s="7">
        <f>C4</f>
        <v>10</v>
      </c>
      <c r="J6" s="7">
        <f>40/B6*C6</f>
        <v>40</v>
      </c>
      <c r="K6" s="7">
        <f>15/B8*C8</f>
        <v>15</v>
      </c>
      <c r="L6" s="7">
        <f>10/B10*C10</f>
        <v>0</v>
      </c>
      <c r="M6" s="7">
        <f>10/B12*C12</f>
        <v>0</v>
      </c>
      <c r="N6" s="7">
        <f>5/B14*C14</f>
        <v>0</v>
      </c>
      <c r="O6" s="7">
        <f>5/B16*C16</f>
        <v>0</v>
      </c>
    </row>
    <row r="7" spans="1:15" x14ac:dyDescent="0.25">
      <c r="A7" t="s">
        <v>116</v>
      </c>
      <c r="B7" t="s">
        <v>117</v>
      </c>
      <c r="C7" t="s">
        <v>118</v>
      </c>
      <c r="E7">
        <f>(100/B10)*C10</f>
        <v>0</v>
      </c>
      <c r="F7" s="1" t="s">
        <v>119</v>
      </c>
      <c r="G7" s="1"/>
      <c r="H7" s="1"/>
      <c r="I7" s="1">
        <f>I6+20</f>
        <v>30</v>
      </c>
      <c r="J7" s="1">
        <f>30/B6*C6</f>
        <v>30</v>
      </c>
      <c r="K7" s="1">
        <f>15/B8*C8</f>
        <v>15</v>
      </c>
      <c r="L7" s="1">
        <f>10/B10*C10</f>
        <v>0</v>
      </c>
      <c r="M7" s="1">
        <f>5/B12*C12</f>
        <v>0</v>
      </c>
      <c r="N7" s="1">
        <f>5/B14*C14</f>
        <v>0</v>
      </c>
      <c r="O7" s="1">
        <f>5/B16*C16</f>
        <v>0</v>
      </c>
    </row>
    <row r="8" spans="1:15" x14ac:dyDescent="0.25">
      <c r="B8" s="1">
        <f>C2+1</f>
        <v>5</v>
      </c>
      <c r="C8" s="1">
        <v>5</v>
      </c>
      <c r="E8">
        <f>(100/B12)*C12</f>
        <v>0</v>
      </c>
    </row>
    <row r="9" spans="1:15" x14ac:dyDescent="0.25">
      <c r="A9" t="s">
        <v>120</v>
      </c>
      <c r="B9" t="s">
        <v>117</v>
      </c>
      <c r="C9" t="s">
        <v>118</v>
      </c>
      <c r="E9">
        <f>(100/B14)*C14</f>
        <v>0</v>
      </c>
    </row>
    <row r="10" spans="1:15" x14ac:dyDescent="0.25">
      <c r="B10" s="1">
        <f>C2+1</f>
        <v>5</v>
      </c>
      <c r="C10" s="1">
        <v>0</v>
      </c>
      <c r="E10">
        <f>(100/B16)*C16</f>
        <v>0</v>
      </c>
    </row>
    <row r="11" spans="1:15" x14ac:dyDescent="0.25">
      <c r="A11" t="s">
        <v>41</v>
      </c>
      <c r="B11" t="s">
        <v>117</v>
      </c>
      <c r="C11" t="s">
        <v>118</v>
      </c>
    </row>
    <row r="12" spans="1:15" x14ac:dyDescent="0.25">
      <c r="B12" s="1">
        <f>C2+1</f>
        <v>5</v>
      </c>
      <c r="C12" s="1">
        <v>0</v>
      </c>
      <c r="F12" s="1"/>
      <c r="G12" s="1" t="s">
        <v>115</v>
      </c>
      <c r="H12" s="1" t="s">
        <v>121</v>
      </c>
      <c r="L12" t="s">
        <v>122</v>
      </c>
    </row>
    <row r="13" spans="1:15" ht="31.5" customHeight="1" x14ac:dyDescent="0.25">
      <c r="A13" s="8" t="s">
        <v>114</v>
      </c>
      <c r="B13" t="s">
        <v>117</v>
      </c>
      <c r="C13" t="s">
        <v>118</v>
      </c>
      <c r="F13" s="1" t="s">
        <v>34</v>
      </c>
      <c r="G13" s="1">
        <f>I6</f>
        <v>10</v>
      </c>
      <c r="H13" s="1">
        <f>I7</f>
        <v>30</v>
      </c>
      <c r="L13" t="s">
        <v>122</v>
      </c>
    </row>
    <row r="14" spans="1:15" x14ac:dyDescent="0.25">
      <c r="B14" s="1">
        <f>C2+1</f>
        <v>5</v>
      </c>
      <c r="C14" s="1">
        <v>0</v>
      </c>
      <c r="F14" s="1" t="s">
        <v>35</v>
      </c>
      <c r="G14" s="1">
        <f>J6</f>
        <v>40</v>
      </c>
      <c r="H14" s="1">
        <f>J7</f>
        <v>30</v>
      </c>
    </row>
    <row r="15" spans="1:15" x14ac:dyDescent="0.25">
      <c r="A15" t="s">
        <v>42</v>
      </c>
      <c r="B15" t="s">
        <v>117</v>
      </c>
      <c r="C15" t="s">
        <v>118</v>
      </c>
      <c r="F15" s="1" t="s">
        <v>113</v>
      </c>
      <c r="G15" s="1">
        <f>K6</f>
        <v>15</v>
      </c>
      <c r="H15" s="1">
        <f>K7</f>
        <v>15</v>
      </c>
    </row>
    <row r="16" spans="1:15" x14ac:dyDescent="0.25">
      <c r="B16" s="1">
        <f>C2+1</f>
        <v>5</v>
      </c>
      <c r="C16" s="1">
        <v>0</v>
      </c>
      <c r="F16" s="1" t="s">
        <v>36</v>
      </c>
      <c r="G16" s="1">
        <f>L6</f>
        <v>0</v>
      </c>
      <c r="H16" s="1">
        <f>L7</f>
        <v>0</v>
      </c>
    </row>
    <row r="17" spans="6:8" x14ac:dyDescent="0.25">
      <c r="F17" s="1" t="s">
        <v>41</v>
      </c>
      <c r="G17" s="1">
        <f>M6</f>
        <v>0</v>
      </c>
      <c r="H17" s="1">
        <f>M7</f>
        <v>0</v>
      </c>
    </row>
    <row r="18" spans="6:8" ht="29.25" customHeight="1" x14ac:dyDescent="0.25">
      <c r="F18" s="9" t="s">
        <v>114</v>
      </c>
      <c r="G18" s="1">
        <f>N6</f>
        <v>0</v>
      </c>
      <c r="H18" s="1">
        <f>N7</f>
        <v>0</v>
      </c>
    </row>
    <row r="19" spans="6:8" x14ac:dyDescent="0.25">
      <c r="F19" s="1" t="s">
        <v>42</v>
      </c>
      <c r="G19" s="1">
        <f>O6</f>
        <v>0</v>
      </c>
      <c r="H19" s="1">
        <f>O7</f>
        <v>0</v>
      </c>
    </row>
    <row r="20" spans="6:8" x14ac:dyDescent="0.25">
      <c r="F20" s="1" t="s">
        <v>123</v>
      </c>
      <c r="G20" s="1">
        <f>G13+G14+G15+G16+G17+G18+G19</f>
        <v>65</v>
      </c>
      <c r="H20" s="1">
        <f>H13+H14+H15+H16+H17+H18+H19</f>
        <v>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7"/>
  <sheetViews>
    <sheetView topLeftCell="A36" workbookViewId="0">
      <selection activeCell="E44" sqref="E44:E48"/>
    </sheetView>
  </sheetViews>
  <sheetFormatPr defaultRowHeight="15" x14ac:dyDescent="0.25"/>
  <sheetData>
    <row r="3" spans="2:13" x14ac:dyDescent="0.25">
      <c r="C3" s="4" t="s">
        <v>90</v>
      </c>
      <c r="D3" s="199"/>
      <c r="E3" s="199"/>
    </row>
    <row r="4" spans="2:13" x14ac:dyDescent="0.25">
      <c r="E4" s="3"/>
      <c r="F4" s="3"/>
      <c r="G4" s="3"/>
      <c r="H4" s="3"/>
      <c r="I4" s="3"/>
      <c r="J4" s="3"/>
    </row>
    <row r="5" spans="2:13" x14ac:dyDescent="0.25">
      <c r="B5" s="4" t="s">
        <v>91</v>
      </c>
      <c r="C5" s="2" t="s">
        <v>71</v>
      </c>
      <c r="D5" s="200" t="s">
        <v>72</v>
      </c>
      <c r="E5" s="200"/>
      <c r="F5" s="200"/>
      <c r="G5" s="5"/>
      <c r="H5" s="200" t="s">
        <v>73</v>
      </c>
      <c r="I5" s="200"/>
      <c r="J5" s="200"/>
      <c r="K5" s="200" t="s">
        <v>74</v>
      </c>
      <c r="L5" s="200"/>
      <c r="M5" s="200"/>
    </row>
    <row r="6" spans="2:13" x14ac:dyDescent="0.25">
      <c r="B6" s="4">
        <v>1</v>
      </c>
      <c r="C6" s="2"/>
      <c r="D6" s="2" t="s">
        <v>75</v>
      </c>
      <c r="E6" s="2" t="s">
        <v>76</v>
      </c>
      <c r="F6" s="2" t="s">
        <v>77</v>
      </c>
      <c r="G6" s="2"/>
      <c r="H6" s="2" t="s">
        <v>75</v>
      </c>
      <c r="I6" s="2" t="s">
        <v>76</v>
      </c>
      <c r="J6" s="2" t="s">
        <v>77</v>
      </c>
      <c r="K6" s="2" t="s">
        <v>75</v>
      </c>
      <c r="L6" s="2" t="s">
        <v>76</v>
      </c>
      <c r="M6" s="2" t="s">
        <v>77</v>
      </c>
    </row>
    <row r="7" spans="2:13" x14ac:dyDescent="0.25">
      <c r="C7" s="1" t="s">
        <v>78</v>
      </c>
      <c r="D7" s="1"/>
      <c r="E7" s="1"/>
      <c r="F7" s="1">
        <f>D7*E7</f>
        <v>0</v>
      </c>
      <c r="G7" s="1" t="s">
        <v>93</v>
      </c>
      <c r="H7" s="1"/>
      <c r="I7" s="1"/>
      <c r="J7" s="1">
        <f>H7*I7</f>
        <v>0</v>
      </c>
      <c r="K7" s="1"/>
      <c r="L7" s="1"/>
      <c r="M7" s="1">
        <f>K7*L7</f>
        <v>0</v>
      </c>
    </row>
    <row r="8" spans="2:13" x14ac:dyDescent="0.25">
      <c r="C8" s="1"/>
      <c r="D8" s="1"/>
      <c r="E8" s="1"/>
      <c r="F8" s="1">
        <f t="shared" ref="F8:F34" si="0">D8*E8</f>
        <v>0</v>
      </c>
      <c r="G8" s="1" t="s">
        <v>94</v>
      </c>
      <c r="H8" s="1"/>
      <c r="I8" s="1"/>
      <c r="J8" s="1">
        <f t="shared" ref="J8:J34" si="1">H8*I8</f>
        <v>0</v>
      </c>
      <c r="K8" s="1"/>
      <c r="L8" s="1"/>
      <c r="M8" s="1">
        <f t="shared" ref="M8:M34" si="2">K8*L8</f>
        <v>0</v>
      </c>
    </row>
    <row r="9" spans="2:13" x14ac:dyDescent="0.25">
      <c r="C9" s="1"/>
      <c r="D9" s="1"/>
      <c r="E9" s="1"/>
      <c r="F9" s="1">
        <f t="shared" si="0"/>
        <v>0</v>
      </c>
      <c r="G9" s="1"/>
      <c r="H9" s="1"/>
      <c r="I9" s="1"/>
      <c r="J9" s="1">
        <f t="shared" si="1"/>
        <v>0</v>
      </c>
      <c r="K9" s="1"/>
      <c r="L9" s="1"/>
      <c r="M9" s="1">
        <f t="shared" si="2"/>
        <v>0</v>
      </c>
    </row>
    <row r="10" spans="2:13" x14ac:dyDescent="0.25">
      <c r="C10" s="1" t="s">
        <v>81</v>
      </c>
      <c r="D10" s="1"/>
      <c r="E10" s="1"/>
      <c r="F10" s="1">
        <f t="shared" si="0"/>
        <v>0</v>
      </c>
      <c r="G10" s="1" t="s">
        <v>93</v>
      </c>
      <c r="H10" s="1"/>
      <c r="I10" s="1"/>
      <c r="J10" s="1">
        <f t="shared" si="1"/>
        <v>0</v>
      </c>
      <c r="K10" s="1"/>
      <c r="L10" s="1"/>
      <c r="M10" s="1">
        <f t="shared" si="2"/>
        <v>0</v>
      </c>
    </row>
    <row r="11" spans="2:13" x14ac:dyDescent="0.25">
      <c r="C11" s="1"/>
      <c r="D11" s="1"/>
      <c r="E11" s="1"/>
      <c r="F11" s="1">
        <f t="shared" si="0"/>
        <v>0</v>
      </c>
      <c r="G11" s="1" t="s">
        <v>94</v>
      </c>
      <c r="H11" s="1"/>
      <c r="I11" s="1"/>
      <c r="J11" s="1">
        <f t="shared" si="1"/>
        <v>0</v>
      </c>
      <c r="K11" s="1"/>
      <c r="L11" s="1"/>
      <c r="M11" s="1">
        <f t="shared" si="2"/>
        <v>0</v>
      </c>
    </row>
    <row r="12" spans="2:13" x14ac:dyDescent="0.25">
      <c r="C12" s="1"/>
      <c r="D12" s="1"/>
      <c r="E12" s="1"/>
      <c r="F12" s="1">
        <f t="shared" si="0"/>
        <v>0</v>
      </c>
      <c r="G12" s="1"/>
      <c r="H12" s="1"/>
      <c r="I12" s="1"/>
      <c r="J12" s="1">
        <f t="shared" si="1"/>
        <v>0</v>
      </c>
      <c r="K12" s="1"/>
      <c r="L12" s="1"/>
      <c r="M12" s="1">
        <f t="shared" si="2"/>
        <v>0</v>
      </c>
    </row>
    <row r="13" spans="2:13" x14ac:dyDescent="0.25">
      <c r="C13" s="1"/>
      <c r="D13" s="1"/>
      <c r="E13" s="1"/>
      <c r="F13" s="1">
        <f t="shared" si="0"/>
        <v>0</v>
      </c>
      <c r="G13" s="1"/>
      <c r="H13" s="1"/>
      <c r="I13" s="1"/>
      <c r="J13" s="1">
        <f t="shared" si="1"/>
        <v>0</v>
      </c>
      <c r="K13" s="1"/>
      <c r="L13" s="1"/>
      <c r="M13" s="1">
        <f t="shared" si="2"/>
        <v>0</v>
      </c>
    </row>
    <row r="14" spans="2:13" x14ac:dyDescent="0.25">
      <c r="C14" s="1" t="s">
        <v>79</v>
      </c>
      <c r="D14" s="1"/>
      <c r="E14" s="1"/>
      <c r="F14" s="1">
        <f t="shared" si="0"/>
        <v>0</v>
      </c>
      <c r="G14" s="1" t="s">
        <v>93</v>
      </c>
      <c r="H14" s="1"/>
      <c r="I14" s="1"/>
      <c r="J14" s="1">
        <f t="shared" si="1"/>
        <v>0</v>
      </c>
      <c r="K14" s="1"/>
      <c r="L14" s="1"/>
      <c r="M14" s="1">
        <f t="shared" si="2"/>
        <v>0</v>
      </c>
    </row>
    <row r="15" spans="2:13" x14ac:dyDescent="0.25">
      <c r="C15" s="1"/>
      <c r="D15" s="1"/>
      <c r="E15" s="1"/>
      <c r="F15" s="1">
        <f t="shared" si="0"/>
        <v>0</v>
      </c>
      <c r="G15" s="1" t="s">
        <v>94</v>
      </c>
      <c r="H15" s="1"/>
      <c r="I15" s="1"/>
      <c r="J15" s="1">
        <f t="shared" si="1"/>
        <v>0</v>
      </c>
      <c r="K15" s="1"/>
      <c r="L15" s="1"/>
      <c r="M15" s="1">
        <f t="shared" si="2"/>
        <v>0</v>
      </c>
    </row>
    <row r="16" spans="2:13" x14ac:dyDescent="0.25">
      <c r="C16" s="1"/>
      <c r="D16" s="1"/>
      <c r="E16" s="1"/>
      <c r="F16" s="1">
        <f t="shared" si="0"/>
        <v>0</v>
      </c>
      <c r="G16" s="1"/>
      <c r="H16" s="1"/>
      <c r="I16" s="1"/>
      <c r="J16" s="1">
        <f t="shared" si="1"/>
        <v>0</v>
      </c>
      <c r="K16" s="1"/>
      <c r="L16" s="1"/>
      <c r="M16" s="1">
        <f t="shared" si="2"/>
        <v>0</v>
      </c>
    </row>
    <row r="17" spans="3:13" x14ac:dyDescent="0.25">
      <c r="C17" s="1"/>
      <c r="D17" s="1"/>
      <c r="E17" s="1"/>
      <c r="F17" s="1">
        <f t="shared" si="0"/>
        <v>0</v>
      </c>
      <c r="G17" s="1"/>
      <c r="H17" s="1"/>
      <c r="I17" s="1"/>
      <c r="J17" s="1">
        <f t="shared" si="1"/>
        <v>0</v>
      </c>
      <c r="K17" s="1"/>
      <c r="L17" s="1"/>
      <c r="M17" s="1">
        <f t="shared" si="2"/>
        <v>0</v>
      </c>
    </row>
    <row r="18" spans="3:13" x14ac:dyDescent="0.25">
      <c r="C18" s="1" t="s">
        <v>80</v>
      </c>
      <c r="D18" s="1"/>
      <c r="E18" s="1"/>
      <c r="F18" s="1">
        <f t="shared" si="0"/>
        <v>0</v>
      </c>
      <c r="G18" s="1" t="s">
        <v>93</v>
      </c>
      <c r="H18" s="1"/>
      <c r="I18" s="1"/>
      <c r="J18" s="1">
        <f t="shared" si="1"/>
        <v>0</v>
      </c>
      <c r="K18" s="1"/>
      <c r="L18" s="1"/>
      <c r="M18" s="1">
        <f t="shared" si="2"/>
        <v>0</v>
      </c>
    </row>
    <row r="19" spans="3:13" x14ac:dyDescent="0.25">
      <c r="C19" s="1"/>
      <c r="D19" s="1"/>
      <c r="E19" s="1"/>
      <c r="F19" s="1">
        <f t="shared" si="0"/>
        <v>0</v>
      </c>
      <c r="G19" s="1" t="s">
        <v>94</v>
      </c>
      <c r="H19" s="1"/>
      <c r="I19" s="1"/>
      <c r="J19" s="1">
        <f t="shared" si="1"/>
        <v>0</v>
      </c>
      <c r="K19" s="1"/>
      <c r="L19" s="1"/>
      <c r="M19" s="1">
        <f t="shared" si="2"/>
        <v>0</v>
      </c>
    </row>
    <row r="20" spans="3:13" x14ac:dyDescent="0.25">
      <c r="C20" s="1"/>
      <c r="D20" s="1"/>
      <c r="E20" s="1"/>
      <c r="F20" s="1">
        <f t="shared" si="0"/>
        <v>0</v>
      </c>
      <c r="G20" s="1"/>
      <c r="H20" s="1"/>
      <c r="I20" s="1"/>
      <c r="J20" s="1">
        <f t="shared" si="1"/>
        <v>0</v>
      </c>
      <c r="K20" s="1"/>
      <c r="L20" s="1"/>
      <c r="M20" s="1">
        <f t="shared" si="2"/>
        <v>0</v>
      </c>
    </row>
    <row r="21" spans="3:13" x14ac:dyDescent="0.25">
      <c r="C21" s="1" t="s">
        <v>80</v>
      </c>
      <c r="D21" s="1"/>
      <c r="E21" s="1"/>
      <c r="F21" s="1">
        <f t="shared" si="0"/>
        <v>0</v>
      </c>
      <c r="G21" s="1" t="s">
        <v>93</v>
      </c>
      <c r="H21" s="1"/>
      <c r="I21" s="1"/>
      <c r="J21" s="1">
        <f t="shared" si="1"/>
        <v>0</v>
      </c>
      <c r="K21" s="1"/>
      <c r="L21" s="1"/>
      <c r="M21" s="1">
        <f t="shared" si="2"/>
        <v>0</v>
      </c>
    </row>
    <row r="22" spans="3:13" x14ac:dyDescent="0.25">
      <c r="C22" s="1"/>
      <c r="D22" s="1"/>
      <c r="E22" s="1"/>
      <c r="F22" s="1">
        <f t="shared" si="0"/>
        <v>0</v>
      </c>
      <c r="G22" s="1" t="s">
        <v>94</v>
      </c>
      <c r="H22" s="1"/>
      <c r="I22" s="1"/>
      <c r="J22" s="1">
        <f t="shared" si="1"/>
        <v>0</v>
      </c>
      <c r="K22" s="1"/>
      <c r="L22" s="1"/>
      <c r="M22" s="1">
        <f t="shared" si="2"/>
        <v>0</v>
      </c>
    </row>
    <row r="23" spans="3:13" x14ac:dyDescent="0.25">
      <c r="C23" s="1"/>
      <c r="D23" s="1"/>
      <c r="E23" s="1"/>
      <c r="F23" s="1">
        <f t="shared" si="0"/>
        <v>0</v>
      </c>
      <c r="G23" s="1"/>
      <c r="H23" s="1"/>
      <c r="I23" s="1"/>
      <c r="J23" s="1">
        <f t="shared" si="1"/>
        <v>0</v>
      </c>
      <c r="K23" s="1"/>
      <c r="L23" s="1"/>
      <c r="M23" s="1">
        <f t="shared" si="2"/>
        <v>0</v>
      </c>
    </row>
    <row r="24" spans="3:13" x14ac:dyDescent="0.25">
      <c r="C24" s="1" t="s">
        <v>86</v>
      </c>
      <c r="D24" s="1"/>
      <c r="E24" s="1"/>
      <c r="F24" s="1">
        <f t="shared" si="0"/>
        <v>0</v>
      </c>
      <c r="G24" s="1" t="s">
        <v>95</v>
      </c>
      <c r="H24" s="1"/>
      <c r="I24" s="1"/>
      <c r="J24" s="1">
        <f t="shared" si="1"/>
        <v>0</v>
      </c>
      <c r="K24" s="1"/>
      <c r="L24" s="1"/>
      <c r="M24" s="1">
        <f t="shared" si="2"/>
        <v>0</v>
      </c>
    </row>
    <row r="25" spans="3:13" x14ac:dyDescent="0.25">
      <c r="C25" s="1" t="s">
        <v>87</v>
      </c>
      <c r="D25" s="1"/>
      <c r="E25" s="1"/>
      <c r="F25" s="1">
        <f t="shared" si="0"/>
        <v>0</v>
      </c>
      <c r="G25" s="1" t="s">
        <v>95</v>
      </c>
      <c r="H25" s="1"/>
      <c r="I25" s="1"/>
      <c r="J25" s="1">
        <f t="shared" si="1"/>
        <v>0</v>
      </c>
      <c r="K25" s="1"/>
      <c r="L25" s="1"/>
      <c r="M25" s="1">
        <f t="shared" si="2"/>
        <v>0</v>
      </c>
    </row>
    <row r="26" spans="3:13" x14ac:dyDescent="0.25">
      <c r="C26" s="1" t="s">
        <v>88</v>
      </c>
      <c r="D26" s="1"/>
      <c r="E26" s="1"/>
      <c r="F26" s="1">
        <f t="shared" si="0"/>
        <v>0</v>
      </c>
      <c r="G26" s="1" t="s">
        <v>95</v>
      </c>
      <c r="H26" s="1"/>
      <c r="I26" s="1"/>
      <c r="J26" s="1">
        <f t="shared" si="1"/>
        <v>0</v>
      </c>
      <c r="K26" s="1"/>
      <c r="L26" s="1"/>
      <c r="M26" s="1">
        <f t="shared" si="2"/>
        <v>0</v>
      </c>
    </row>
    <row r="27" spans="3:13" x14ac:dyDescent="0.25">
      <c r="C27" s="1"/>
      <c r="D27" s="1"/>
      <c r="E27" s="1"/>
      <c r="F27" s="1">
        <f t="shared" si="0"/>
        <v>0</v>
      </c>
      <c r="G27" s="1"/>
      <c r="H27" s="1"/>
      <c r="I27" s="1"/>
      <c r="J27" s="1">
        <f t="shared" si="1"/>
        <v>0</v>
      </c>
      <c r="K27" s="1"/>
      <c r="L27" s="1"/>
      <c r="M27" s="1">
        <f t="shared" si="2"/>
        <v>0</v>
      </c>
    </row>
    <row r="28" spans="3:13" x14ac:dyDescent="0.25">
      <c r="C28" s="1" t="s">
        <v>82</v>
      </c>
      <c r="D28" s="1"/>
      <c r="E28" s="1"/>
      <c r="F28" s="1">
        <f t="shared" si="0"/>
        <v>0</v>
      </c>
      <c r="G28" s="1"/>
      <c r="H28" s="1"/>
      <c r="I28" s="1"/>
      <c r="J28" s="1">
        <f t="shared" si="1"/>
        <v>0</v>
      </c>
      <c r="K28" s="1"/>
      <c r="L28" s="1"/>
      <c r="M28" s="1">
        <f t="shared" si="2"/>
        <v>0</v>
      </c>
    </row>
    <row r="29" spans="3:13" x14ac:dyDescent="0.25">
      <c r="C29" s="1" t="s">
        <v>83</v>
      </c>
      <c r="D29" s="1"/>
      <c r="E29" s="1"/>
      <c r="F29" s="1">
        <f t="shared" si="0"/>
        <v>0</v>
      </c>
      <c r="G29" s="1"/>
      <c r="H29" s="1"/>
      <c r="I29" s="1"/>
      <c r="J29" s="1">
        <f t="shared" si="1"/>
        <v>0</v>
      </c>
      <c r="K29" s="1"/>
      <c r="L29" s="1"/>
      <c r="M29" s="1">
        <f t="shared" si="2"/>
        <v>0</v>
      </c>
    </row>
    <row r="30" spans="3:13" x14ac:dyDescent="0.25">
      <c r="C30" s="1" t="s">
        <v>84</v>
      </c>
      <c r="D30" s="1"/>
      <c r="E30" s="1"/>
      <c r="F30" s="1">
        <f t="shared" si="0"/>
        <v>0</v>
      </c>
      <c r="G30" s="1"/>
      <c r="H30" s="1"/>
      <c r="I30" s="1"/>
      <c r="J30" s="1">
        <f t="shared" si="1"/>
        <v>0</v>
      </c>
      <c r="K30" s="1"/>
      <c r="L30" s="1"/>
      <c r="M30" s="1">
        <f t="shared" si="2"/>
        <v>0</v>
      </c>
    </row>
    <row r="31" spans="3:13" x14ac:dyDescent="0.25">
      <c r="C31" s="1" t="s">
        <v>85</v>
      </c>
      <c r="D31" s="1"/>
      <c r="E31" s="1"/>
      <c r="F31" s="1">
        <f t="shared" si="0"/>
        <v>0</v>
      </c>
      <c r="G31" s="1"/>
      <c r="H31" s="1"/>
      <c r="I31" s="1"/>
      <c r="J31" s="1">
        <f t="shared" si="1"/>
        <v>0</v>
      </c>
      <c r="K31" s="1"/>
      <c r="L31" s="1"/>
      <c r="M31" s="1">
        <f t="shared" si="2"/>
        <v>0</v>
      </c>
    </row>
    <row r="32" spans="3:13" x14ac:dyDescent="0.25">
      <c r="C32" s="1"/>
      <c r="D32" s="1"/>
      <c r="E32" s="1"/>
      <c r="F32" s="1">
        <f t="shared" si="0"/>
        <v>0</v>
      </c>
      <c r="G32" s="1"/>
      <c r="H32" s="1"/>
      <c r="I32" s="1"/>
      <c r="J32" s="1">
        <f t="shared" si="1"/>
        <v>0</v>
      </c>
      <c r="K32" s="1"/>
      <c r="L32" s="1"/>
      <c r="M32" s="1">
        <f t="shared" si="2"/>
        <v>0</v>
      </c>
    </row>
    <row r="33" spans="3:13" x14ac:dyDescent="0.25">
      <c r="C33" s="1"/>
      <c r="D33" s="1"/>
      <c r="E33" s="1"/>
      <c r="F33" s="1">
        <f t="shared" si="0"/>
        <v>0</v>
      </c>
      <c r="G33" s="1"/>
      <c r="H33" s="1"/>
      <c r="I33" s="1"/>
      <c r="J33" s="1">
        <f t="shared" si="1"/>
        <v>0</v>
      </c>
      <c r="K33" s="1"/>
      <c r="L33" s="1"/>
      <c r="M33" s="1">
        <f t="shared" si="2"/>
        <v>0</v>
      </c>
    </row>
    <row r="34" spans="3:13" x14ac:dyDescent="0.25">
      <c r="C34" s="1"/>
      <c r="D34" s="1"/>
      <c r="E34" s="1"/>
      <c r="F34" s="1">
        <f t="shared" si="0"/>
        <v>0</v>
      </c>
      <c r="G34" s="1"/>
      <c r="H34" s="1"/>
      <c r="I34" s="1"/>
      <c r="J34" s="1">
        <f t="shared" si="1"/>
        <v>0</v>
      </c>
      <c r="K34" s="1"/>
      <c r="L34" s="1"/>
      <c r="M34" s="1">
        <f t="shared" si="2"/>
        <v>0</v>
      </c>
    </row>
    <row r="35" spans="3:13" x14ac:dyDescent="0.25">
      <c r="C35" s="1" t="s">
        <v>89</v>
      </c>
      <c r="D35" s="1"/>
      <c r="E35" s="1">
        <f>F35*10.764</f>
        <v>0</v>
      </c>
      <c r="F35" s="1">
        <f>SUM(F7:F34)</f>
        <v>0</v>
      </c>
      <c r="G35" s="1"/>
      <c r="H35" s="1"/>
      <c r="I35" s="1">
        <f>J35*10.764</f>
        <v>0</v>
      </c>
      <c r="J35" s="1">
        <f>SUM(J7:J34)</f>
        <v>0</v>
      </c>
      <c r="K35" s="1"/>
      <c r="L35" s="1">
        <f>M35*10.764</f>
        <v>0</v>
      </c>
      <c r="M35" s="1">
        <f>SUM(M7:M34)</f>
        <v>0</v>
      </c>
    </row>
    <row r="37" spans="3:13" x14ac:dyDescent="0.25">
      <c r="G37">
        <f>F35+J35</f>
        <v>0</v>
      </c>
    </row>
  </sheetData>
  <mergeCells count="4">
    <mergeCell ref="D3:E3"/>
    <mergeCell ref="D5:F5"/>
    <mergeCell ref="H5:J5"/>
    <mergeCell ref="K5:M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Report</vt:lpstr>
      <vt:lpstr>2A%</vt:lpstr>
      <vt:lpstr>2B%</vt:lpstr>
      <vt:lpstr>2C%</vt:lpstr>
      <vt:lpstr>4A%</vt:lpstr>
      <vt:lpstr>Note</vt:lpstr>
      <vt:lpstr>Valuation</vt:lpstr>
      <vt:lpstr>Wing A</vt:lpstr>
      <vt:lpstr>Wing B</vt:lpstr>
      <vt:lpstr>Wing C</vt:lpstr>
      <vt:lpstr>Sheet3</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cp:lastModifiedBy>
  <cp:lastPrinted>2025-08-14T07:58:29Z</cp:lastPrinted>
  <dcterms:created xsi:type="dcterms:W3CDTF">2013-11-23T05:32:33Z</dcterms:created>
  <dcterms:modified xsi:type="dcterms:W3CDTF">2025-08-14T07:58:38Z</dcterms:modified>
</cp:coreProperties>
</file>