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455" tabRatio="670"/>
  </bookViews>
  <sheets>
    <sheet name="Report" sheetId="1" r:id="rId1"/>
    <sheet name="Note" sheetId="7" r:id="rId2"/>
    <sheet name="valuation" sheetId="5" r:id="rId3"/>
    <sheet name="Research" sheetId="4" r:id="rId4"/>
    <sheet name="Remarks" sheetId="6" r:id="rId5"/>
  </sheets>
  <definedNames>
    <definedName name="_xlnm.Print_Area" localSheetId="0">Report!$A$1:$H$569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1" i="1" l="1"/>
  <c r="C82" i="1" l="1"/>
  <c r="C95" i="1" l="1"/>
  <c r="C96" i="1" s="1"/>
  <c r="C83" i="1"/>
  <c r="C97" i="1" l="1"/>
  <c r="C74" i="1"/>
  <c r="D265" i="1" l="1"/>
  <c r="F265" i="1" s="1"/>
  <c r="H265" i="1" s="1"/>
  <c r="D264" i="1"/>
  <c r="F264" i="1" s="1"/>
  <c r="H264" i="1" s="1"/>
  <c r="D263" i="1"/>
  <c r="F263" i="1" s="1"/>
  <c r="H263" i="1" s="1"/>
  <c r="D262" i="1"/>
  <c r="F262" i="1" s="1"/>
  <c r="H262" i="1" s="1"/>
  <c r="D261" i="1"/>
  <c r="F261" i="1" s="1"/>
  <c r="H261" i="1" s="1"/>
  <c r="A261" i="1"/>
  <c r="A262" i="1" s="1"/>
  <c r="A263" i="1" s="1"/>
  <c r="A264" i="1" s="1"/>
  <c r="D260" i="1"/>
  <c r="F260" i="1" s="1"/>
  <c r="H260" i="1" s="1"/>
  <c r="D409" i="1" l="1"/>
  <c r="F409" i="1" s="1"/>
  <c r="H409" i="1" s="1"/>
  <c r="D408" i="1"/>
  <c r="F408" i="1" s="1"/>
  <c r="H408" i="1" s="1"/>
  <c r="D407" i="1"/>
  <c r="D406" i="1"/>
  <c r="F406" i="1" s="1"/>
  <c r="H406" i="1" s="1"/>
  <c r="D404" i="1"/>
  <c r="F404" i="1" s="1"/>
  <c r="H404" i="1" s="1"/>
  <c r="D402" i="1"/>
  <c r="F402" i="1" s="1"/>
  <c r="H402" i="1" s="1"/>
  <c r="D401" i="1"/>
  <c r="F401" i="1" s="1"/>
  <c r="H401" i="1" s="1"/>
  <c r="D400" i="1"/>
  <c r="F400" i="1" s="1"/>
  <c r="H400" i="1" s="1"/>
  <c r="D399" i="1"/>
  <c r="F399" i="1" s="1"/>
  <c r="H399" i="1" s="1"/>
  <c r="D398" i="1"/>
  <c r="F398" i="1" s="1"/>
  <c r="H398" i="1" s="1"/>
  <c r="D397" i="1"/>
  <c r="F397" i="1" s="1"/>
  <c r="H397" i="1" s="1"/>
  <c r="F407" i="1"/>
  <c r="H407" i="1" s="1"/>
  <c r="A405" i="1"/>
  <c r="A406" i="1" s="1"/>
  <c r="A407" i="1" s="1"/>
  <c r="A408" i="1" s="1"/>
  <c r="A398" i="1"/>
  <c r="A399" i="1" s="1"/>
  <c r="A400" i="1" s="1"/>
  <c r="A401" i="1" s="1"/>
  <c r="D395" i="1"/>
  <c r="F395" i="1" s="1"/>
  <c r="H395" i="1" s="1"/>
  <c r="D394" i="1"/>
  <c r="F394" i="1" s="1"/>
  <c r="H394" i="1" s="1"/>
  <c r="D393" i="1"/>
  <c r="F393" i="1" s="1"/>
  <c r="H393" i="1" s="1"/>
  <c r="D392" i="1"/>
  <c r="F392" i="1" s="1"/>
  <c r="H392" i="1" s="1"/>
  <c r="D391" i="1"/>
  <c r="F391" i="1" s="1"/>
  <c r="H391" i="1" s="1"/>
  <c r="D390" i="1"/>
  <c r="F390" i="1" s="1"/>
  <c r="H390" i="1" s="1"/>
  <c r="A391" i="1"/>
  <c r="A392" i="1" s="1"/>
  <c r="A393" i="1" s="1"/>
  <c r="A394" i="1" s="1"/>
  <c r="D388" i="1"/>
  <c r="F388" i="1" s="1"/>
  <c r="H388" i="1" s="1"/>
  <c r="D387" i="1"/>
  <c r="F387" i="1" s="1"/>
  <c r="H387" i="1" s="1"/>
  <c r="D386" i="1"/>
  <c r="F386" i="1" s="1"/>
  <c r="H386" i="1" s="1"/>
  <c r="D385" i="1"/>
  <c r="F385" i="1" s="1"/>
  <c r="H385" i="1" s="1"/>
  <c r="D384" i="1"/>
  <c r="F384" i="1" s="1"/>
  <c r="H384" i="1" s="1"/>
  <c r="D383" i="1"/>
  <c r="F383" i="1" s="1"/>
  <c r="H383" i="1" s="1"/>
  <c r="A384" i="1"/>
  <c r="A385" i="1" s="1"/>
  <c r="A386" i="1" s="1"/>
  <c r="A387" i="1" s="1"/>
  <c r="D381" i="1"/>
  <c r="F381" i="1" s="1"/>
  <c r="H381" i="1" s="1"/>
  <c r="D380" i="1"/>
  <c r="F380" i="1" s="1"/>
  <c r="H380" i="1" s="1"/>
  <c r="D379" i="1"/>
  <c r="F379" i="1" s="1"/>
  <c r="H379" i="1" s="1"/>
  <c r="D378" i="1"/>
  <c r="F378" i="1" s="1"/>
  <c r="H378" i="1" s="1"/>
  <c r="D376" i="1"/>
  <c r="F376" i="1" s="1"/>
  <c r="H376" i="1" s="1"/>
  <c r="D374" i="1"/>
  <c r="F374" i="1" s="1"/>
  <c r="H374" i="1" s="1"/>
  <c r="D373" i="1"/>
  <c r="F373" i="1" s="1"/>
  <c r="H373" i="1" s="1"/>
  <c r="D372" i="1"/>
  <c r="F372" i="1" s="1"/>
  <c r="H372" i="1" s="1"/>
  <c r="D371" i="1"/>
  <c r="F371" i="1" s="1"/>
  <c r="H371" i="1" s="1"/>
  <c r="D370" i="1"/>
  <c r="F370" i="1" s="1"/>
  <c r="H370" i="1" s="1"/>
  <c r="D369" i="1"/>
  <c r="F369" i="1" s="1"/>
  <c r="H369" i="1" s="1"/>
  <c r="A377" i="1"/>
  <c r="A378" i="1" s="1"/>
  <c r="A379" i="1" s="1"/>
  <c r="A380" i="1" s="1"/>
  <c r="A370" i="1"/>
  <c r="A371" i="1" s="1"/>
  <c r="A372" i="1" s="1"/>
  <c r="A373" i="1" s="1"/>
  <c r="D367" i="1"/>
  <c r="F367" i="1" s="1"/>
  <c r="H367" i="1" s="1"/>
  <c r="D366" i="1"/>
  <c r="F366" i="1" s="1"/>
  <c r="H366" i="1" s="1"/>
  <c r="D365" i="1"/>
  <c r="D364" i="1"/>
  <c r="F364" i="1" s="1"/>
  <c r="H364" i="1" s="1"/>
  <c r="D363" i="1"/>
  <c r="F363" i="1" s="1"/>
  <c r="H363" i="1" s="1"/>
  <c r="D362" i="1"/>
  <c r="F362" i="1" s="1"/>
  <c r="H362" i="1" s="1"/>
  <c r="F365" i="1"/>
  <c r="H365" i="1" s="1"/>
  <c r="A363" i="1"/>
  <c r="A364" i="1" s="1"/>
  <c r="A365" i="1" s="1"/>
  <c r="A366" i="1" s="1"/>
  <c r="D360" i="1"/>
  <c r="F360" i="1" s="1"/>
  <c r="H360" i="1" s="1"/>
  <c r="D359" i="1"/>
  <c r="D358" i="1"/>
  <c r="F358" i="1" s="1"/>
  <c r="H358" i="1" s="1"/>
  <c r="D357" i="1"/>
  <c r="F357" i="1" s="1"/>
  <c r="H357" i="1" s="1"/>
  <c r="D356" i="1"/>
  <c r="F356" i="1" s="1"/>
  <c r="H356" i="1" s="1"/>
  <c r="D355" i="1"/>
  <c r="F355" i="1" s="1"/>
  <c r="H355" i="1" s="1"/>
  <c r="D353" i="1"/>
  <c r="F353" i="1" s="1"/>
  <c r="H353" i="1" s="1"/>
  <c r="D352" i="1"/>
  <c r="F352" i="1" s="1"/>
  <c r="H352" i="1" s="1"/>
  <c r="D351" i="1"/>
  <c r="F351" i="1" s="1"/>
  <c r="H351" i="1" s="1"/>
  <c r="D350" i="1"/>
  <c r="F350" i="1" s="1"/>
  <c r="H350" i="1" s="1"/>
  <c r="D349" i="1"/>
  <c r="F349" i="1" s="1"/>
  <c r="H349" i="1" s="1"/>
  <c r="D348" i="1"/>
  <c r="F348" i="1" s="1"/>
  <c r="H348" i="1" s="1"/>
  <c r="F359" i="1"/>
  <c r="H359" i="1" s="1"/>
  <c r="A356" i="1"/>
  <c r="A357" i="1" s="1"/>
  <c r="A358" i="1" s="1"/>
  <c r="A359" i="1" s="1"/>
  <c r="A349" i="1"/>
  <c r="A350" i="1" s="1"/>
  <c r="A351" i="1" s="1"/>
  <c r="A352" i="1" s="1"/>
  <c r="D346" i="1"/>
  <c r="F346" i="1" s="1"/>
  <c r="H346" i="1" s="1"/>
  <c r="D345" i="1"/>
  <c r="F345" i="1" s="1"/>
  <c r="H345" i="1" s="1"/>
  <c r="D344" i="1"/>
  <c r="F344" i="1" s="1"/>
  <c r="H344" i="1" s="1"/>
  <c r="D343" i="1"/>
  <c r="F343" i="1" s="1"/>
  <c r="H343" i="1" s="1"/>
  <c r="D341" i="1"/>
  <c r="F341" i="1" s="1"/>
  <c r="H341" i="1" s="1"/>
  <c r="A342" i="1"/>
  <c r="A343" i="1" s="1"/>
  <c r="A344" i="1" s="1"/>
  <c r="A345" i="1" s="1"/>
  <c r="D339" i="1"/>
  <c r="F339" i="1" s="1"/>
  <c r="H339" i="1" s="1"/>
  <c r="D338" i="1"/>
  <c r="F338" i="1" s="1"/>
  <c r="H338" i="1" s="1"/>
  <c r="D337" i="1"/>
  <c r="F337" i="1" s="1"/>
  <c r="H337" i="1" s="1"/>
  <c r="D336" i="1"/>
  <c r="F336" i="1" s="1"/>
  <c r="H336" i="1" s="1"/>
  <c r="D335" i="1"/>
  <c r="F335" i="1" s="1"/>
  <c r="H335" i="1" s="1"/>
  <c r="D334" i="1"/>
  <c r="F334" i="1" s="1"/>
  <c r="H334" i="1" s="1"/>
  <c r="A335" i="1"/>
  <c r="A336" i="1" s="1"/>
  <c r="A337" i="1" s="1"/>
  <c r="A338" i="1" s="1"/>
  <c r="D332" i="1"/>
  <c r="F332" i="1" s="1"/>
  <c r="H332" i="1" s="1"/>
  <c r="D331" i="1"/>
  <c r="F331" i="1" s="1"/>
  <c r="H331" i="1" s="1"/>
  <c r="D330" i="1"/>
  <c r="F330" i="1" s="1"/>
  <c r="H330" i="1" s="1"/>
  <c r="D329" i="1"/>
  <c r="F329" i="1" s="1"/>
  <c r="H329" i="1" s="1"/>
  <c r="D328" i="1"/>
  <c r="F328" i="1" s="1"/>
  <c r="H328" i="1" s="1"/>
  <c r="D327" i="1"/>
  <c r="F327" i="1" s="1"/>
  <c r="H327" i="1" s="1"/>
  <c r="A328" i="1"/>
  <c r="A329" i="1" s="1"/>
  <c r="A330" i="1" s="1"/>
  <c r="A331" i="1" s="1"/>
  <c r="D325" i="1"/>
  <c r="F325" i="1" s="1"/>
  <c r="H325" i="1" s="1"/>
  <c r="D324" i="1"/>
  <c r="F324" i="1" s="1"/>
  <c r="H324" i="1" s="1"/>
  <c r="D323" i="1"/>
  <c r="F323" i="1" s="1"/>
  <c r="H323" i="1" s="1"/>
  <c r="D322" i="1"/>
  <c r="F322" i="1" s="1"/>
  <c r="H322" i="1" s="1"/>
  <c r="D321" i="1"/>
  <c r="F321" i="1" s="1"/>
  <c r="H321" i="1" s="1"/>
  <c r="D320" i="1"/>
  <c r="F320" i="1" s="1"/>
  <c r="H320" i="1" s="1"/>
  <c r="D318" i="1"/>
  <c r="F318" i="1" s="1"/>
  <c r="H318" i="1" s="1"/>
  <c r="D317" i="1"/>
  <c r="F317" i="1" s="1"/>
  <c r="H317" i="1" s="1"/>
  <c r="D316" i="1"/>
  <c r="F316" i="1" s="1"/>
  <c r="H316" i="1" s="1"/>
  <c r="D315" i="1"/>
  <c r="F315" i="1" s="1"/>
  <c r="H315" i="1" s="1"/>
  <c r="D314" i="1"/>
  <c r="F314" i="1" s="1"/>
  <c r="H314" i="1" s="1"/>
  <c r="D313" i="1"/>
  <c r="F313" i="1" s="1"/>
  <c r="H313" i="1" s="1"/>
  <c r="D311" i="1"/>
  <c r="F311" i="1" s="1"/>
  <c r="H311" i="1" s="1"/>
  <c r="D310" i="1"/>
  <c r="F310" i="1" s="1"/>
  <c r="H310" i="1" s="1"/>
  <c r="D309" i="1"/>
  <c r="F309" i="1" s="1"/>
  <c r="H309" i="1" s="1"/>
  <c r="D308" i="1"/>
  <c r="F308" i="1" s="1"/>
  <c r="H308" i="1" s="1"/>
  <c r="D306" i="1"/>
  <c r="F306" i="1" s="1"/>
  <c r="H306" i="1" s="1"/>
  <c r="A321" i="1"/>
  <c r="A322" i="1" s="1"/>
  <c r="A323" i="1" s="1"/>
  <c r="A324" i="1" s="1"/>
  <c r="A314" i="1"/>
  <c r="A315" i="1" s="1"/>
  <c r="A316" i="1" s="1"/>
  <c r="A317" i="1" s="1"/>
  <c r="A307" i="1"/>
  <c r="A308" i="1" s="1"/>
  <c r="A309" i="1" s="1"/>
  <c r="A310" i="1" s="1"/>
  <c r="D304" i="1"/>
  <c r="F304" i="1" s="1"/>
  <c r="H304" i="1" s="1"/>
  <c r="D303" i="1"/>
  <c r="F303" i="1" s="1"/>
  <c r="H303" i="1" s="1"/>
  <c r="D302" i="1"/>
  <c r="F302" i="1" s="1"/>
  <c r="H302" i="1" s="1"/>
  <c r="D301" i="1"/>
  <c r="F301" i="1" s="1"/>
  <c r="H301" i="1" s="1"/>
  <c r="D300" i="1"/>
  <c r="F300" i="1" s="1"/>
  <c r="H300" i="1" s="1"/>
  <c r="D299" i="1"/>
  <c r="F299" i="1" s="1"/>
  <c r="H299" i="1" s="1"/>
  <c r="A300" i="1"/>
  <c r="A301" i="1" s="1"/>
  <c r="A302" i="1" s="1"/>
  <c r="A303" i="1" s="1"/>
  <c r="D297" i="1"/>
  <c r="F297" i="1" s="1"/>
  <c r="H297" i="1" s="1"/>
  <c r="D296" i="1"/>
  <c r="F296" i="1" s="1"/>
  <c r="H296" i="1" s="1"/>
  <c r="D295" i="1"/>
  <c r="F295" i="1" s="1"/>
  <c r="H295" i="1" s="1"/>
  <c r="D294" i="1"/>
  <c r="F294" i="1" s="1"/>
  <c r="H294" i="1" s="1"/>
  <c r="D293" i="1"/>
  <c r="F293" i="1" s="1"/>
  <c r="H293" i="1" s="1"/>
  <c r="D292" i="1"/>
  <c r="F292" i="1" s="1"/>
  <c r="H292" i="1" s="1"/>
  <c r="A293" i="1"/>
  <c r="A294" i="1" s="1"/>
  <c r="A295" i="1" s="1"/>
  <c r="A296" i="1" s="1"/>
  <c r="D290" i="1"/>
  <c r="F290" i="1" s="1"/>
  <c r="H290" i="1" s="1"/>
  <c r="D289" i="1"/>
  <c r="F289" i="1" s="1"/>
  <c r="H289" i="1" s="1"/>
  <c r="D288" i="1"/>
  <c r="F288" i="1" s="1"/>
  <c r="H288" i="1" s="1"/>
  <c r="D287" i="1"/>
  <c r="F287" i="1" s="1"/>
  <c r="H287" i="1" s="1"/>
  <c r="D286" i="1"/>
  <c r="F286" i="1" s="1"/>
  <c r="H286" i="1" s="1"/>
  <c r="D285" i="1"/>
  <c r="F285" i="1" s="1"/>
  <c r="H285" i="1" s="1"/>
  <c r="A286" i="1"/>
  <c r="A287" i="1" s="1"/>
  <c r="A288" i="1" s="1"/>
  <c r="A289" i="1" s="1"/>
  <c r="D279" i="1"/>
  <c r="F279" i="1" s="1"/>
  <c r="H279" i="1" s="1"/>
  <c r="D276" i="1"/>
  <c r="F276" i="1" s="1"/>
  <c r="H276" i="1" s="1"/>
  <c r="D275" i="1"/>
  <c r="F275" i="1" s="1"/>
  <c r="H275" i="1" s="1"/>
  <c r="D274" i="1"/>
  <c r="F274" i="1" s="1"/>
  <c r="H274" i="1" s="1"/>
  <c r="A275" i="1"/>
  <c r="A276" i="1" s="1"/>
  <c r="A277" i="1" s="1"/>
  <c r="A278" i="1" s="1"/>
  <c r="D272" i="1"/>
  <c r="F272" i="1" s="1"/>
  <c r="H272" i="1" s="1"/>
  <c r="D271" i="1"/>
  <c r="F271" i="1" s="1"/>
  <c r="H271" i="1" s="1"/>
  <c r="D270" i="1"/>
  <c r="F270" i="1" s="1"/>
  <c r="H270" i="1" s="1"/>
  <c r="D269" i="1"/>
  <c r="F269" i="1" s="1"/>
  <c r="H269" i="1" s="1"/>
  <c r="D267" i="1"/>
  <c r="F267" i="1" s="1"/>
  <c r="H267" i="1" s="1"/>
  <c r="D258" i="1"/>
  <c r="F258" i="1" s="1"/>
  <c r="H258" i="1" s="1"/>
  <c r="D257" i="1"/>
  <c r="F257" i="1" s="1"/>
  <c r="H257" i="1" s="1"/>
  <c r="D256" i="1"/>
  <c r="F256" i="1" s="1"/>
  <c r="H256" i="1" s="1"/>
  <c r="D255" i="1"/>
  <c r="F255" i="1" s="1"/>
  <c r="H255" i="1" s="1"/>
  <c r="D254" i="1"/>
  <c r="F254" i="1" s="1"/>
  <c r="H254" i="1" s="1"/>
  <c r="D253" i="1"/>
  <c r="F253" i="1" s="1"/>
  <c r="H253" i="1" s="1"/>
  <c r="A268" i="1"/>
  <c r="A269" i="1" s="1"/>
  <c r="A270" i="1" s="1"/>
  <c r="A271" i="1" s="1"/>
  <c r="A254" i="1"/>
  <c r="A255" i="1" s="1"/>
  <c r="A256" i="1" s="1"/>
  <c r="A257" i="1" s="1"/>
  <c r="D251" i="1"/>
  <c r="F251" i="1" s="1"/>
  <c r="H251" i="1" s="1"/>
  <c r="D250" i="1"/>
  <c r="F250" i="1" s="1"/>
  <c r="H250" i="1" s="1"/>
  <c r="D249" i="1"/>
  <c r="F249" i="1" s="1"/>
  <c r="H249" i="1" s="1"/>
  <c r="D248" i="1"/>
  <c r="F248" i="1" s="1"/>
  <c r="H248" i="1" s="1"/>
  <c r="D247" i="1"/>
  <c r="F247" i="1" s="1"/>
  <c r="H247" i="1" s="1"/>
  <c r="D246" i="1"/>
  <c r="F246" i="1" s="1"/>
  <c r="H246" i="1" s="1"/>
  <c r="A247" i="1"/>
  <c r="A248" i="1" s="1"/>
  <c r="A249" i="1" s="1"/>
  <c r="A250" i="1" s="1"/>
  <c r="D244" i="1"/>
  <c r="F244" i="1" s="1"/>
  <c r="H244" i="1" s="1"/>
  <c r="D243" i="1"/>
  <c r="F243" i="1" s="1"/>
  <c r="H243" i="1" s="1"/>
  <c r="D242" i="1"/>
  <c r="F242" i="1" s="1"/>
  <c r="H242" i="1" s="1"/>
  <c r="D241" i="1"/>
  <c r="F241" i="1" s="1"/>
  <c r="H241" i="1" s="1"/>
  <c r="D239" i="1"/>
  <c r="F239" i="1" s="1"/>
  <c r="H239" i="1" s="1"/>
  <c r="D237" i="1"/>
  <c r="F237" i="1" s="1"/>
  <c r="H237" i="1" s="1"/>
  <c r="D236" i="1"/>
  <c r="F236" i="1" s="1"/>
  <c r="H236" i="1" s="1"/>
  <c r="D235" i="1"/>
  <c r="F235" i="1" s="1"/>
  <c r="H235" i="1" s="1"/>
  <c r="D234" i="1"/>
  <c r="F234" i="1" s="1"/>
  <c r="H234" i="1" s="1"/>
  <c r="D233" i="1"/>
  <c r="F233" i="1" s="1"/>
  <c r="H233" i="1" s="1"/>
  <c r="D232" i="1"/>
  <c r="F232" i="1" s="1"/>
  <c r="H232" i="1" s="1"/>
  <c r="A240" i="1"/>
  <c r="A241" i="1" s="1"/>
  <c r="A242" i="1" s="1"/>
  <c r="A243" i="1" s="1"/>
  <c r="A233" i="1"/>
  <c r="A234" i="1" s="1"/>
  <c r="A235" i="1" s="1"/>
  <c r="A236" i="1" s="1"/>
  <c r="D230" i="1"/>
  <c r="F230" i="1" s="1"/>
  <c r="H230" i="1" s="1"/>
  <c r="D229" i="1"/>
  <c r="F229" i="1" s="1"/>
  <c r="H229" i="1" s="1"/>
  <c r="D228" i="1"/>
  <c r="F228" i="1" s="1"/>
  <c r="H228" i="1" s="1"/>
  <c r="D227" i="1"/>
  <c r="F227" i="1" s="1"/>
  <c r="H227" i="1" s="1"/>
  <c r="D226" i="1"/>
  <c r="F226" i="1" s="1"/>
  <c r="H226" i="1" s="1"/>
  <c r="D225" i="1"/>
  <c r="F225" i="1" s="1"/>
  <c r="H225" i="1" s="1"/>
  <c r="A226" i="1"/>
  <c r="A227" i="1" s="1"/>
  <c r="A228" i="1" s="1"/>
  <c r="A229" i="1" s="1"/>
  <c r="D223" i="1"/>
  <c r="F223" i="1" s="1"/>
  <c r="H223" i="1" s="1"/>
  <c r="D222" i="1"/>
  <c r="F222" i="1" s="1"/>
  <c r="H222" i="1" s="1"/>
  <c r="D221" i="1"/>
  <c r="F221" i="1" s="1"/>
  <c r="H221" i="1" s="1"/>
  <c r="D220" i="1"/>
  <c r="F220" i="1" s="1"/>
  <c r="H220" i="1" s="1"/>
  <c r="D219" i="1"/>
  <c r="F219" i="1" s="1"/>
  <c r="H219" i="1" s="1"/>
  <c r="D218" i="1"/>
  <c r="F218" i="1" s="1"/>
  <c r="H218" i="1" s="1"/>
  <c r="A219" i="1"/>
  <c r="A220" i="1" s="1"/>
  <c r="A221" i="1" s="1"/>
  <c r="A222" i="1" s="1"/>
  <c r="D216" i="1"/>
  <c r="F216" i="1" s="1"/>
  <c r="H216" i="1" s="1"/>
  <c r="D215" i="1"/>
  <c r="F215" i="1" s="1"/>
  <c r="H215" i="1" s="1"/>
  <c r="D214" i="1"/>
  <c r="F214" i="1" s="1"/>
  <c r="H214" i="1" s="1"/>
  <c r="D213" i="1"/>
  <c r="F213" i="1" s="1"/>
  <c r="H213" i="1" s="1"/>
  <c r="D211" i="1"/>
  <c r="F211" i="1" s="1"/>
  <c r="H211" i="1" s="1"/>
  <c r="A212" i="1"/>
  <c r="A213" i="1" s="1"/>
  <c r="A214" i="1" s="1"/>
  <c r="A215" i="1" s="1"/>
  <c r="D209" i="1"/>
  <c r="F209" i="1" s="1"/>
  <c r="H209" i="1" s="1"/>
  <c r="D208" i="1"/>
  <c r="F208" i="1" s="1"/>
  <c r="H208" i="1" s="1"/>
  <c r="D207" i="1"/>
  <c r="F207" i="1" s="1"/>
  <c r="H207" i="1" s="1"/>
  <c r="D206" i="1"/>
  <c r="F206" i="1" s="1"/>
  <c r="H206" i="1" s="1"/>
  <c r="D205" i="1"/>
  <c r="F205" i="1" s="1"/>
  <c r="H205" i="1" s="1"/>
  <c r="D204" i="1"/>
  <c r="F204" i="1" s="1"/>
  <c r="H204" i="1" s="1"/>
  <c r="A205" i="1"/>
  <c r="A206" i="1" s="1"/>
  <c r="A207" i="1" s="1"/>
  <c r="A208" i="1" s="1"/>
  <c r="D202" i="1"/>
  <c r="F202" i="1" s="1"/>
  <c r="H202" i="1" s="1"/>
  <c r="D201" i="1"/>
  <c r="F201" i="1" s="1"/>
  <c r="H201" i="1" s="1"/>
  <c r="D200" i="1"/>
  <c r="F200" i="1" s="1"/>
  <c r="H200" i="1" s="1"/>
  <c r="D199" i="1"/>
  <c r="F199" i="1" s="1"/>
  <c r="H199" i="1" s="1"/>
  <c r="D198" i="1"/>
  <c r="F198" i="1" s="1"/>
  <c r="H198" i="1" s="1"/>
  <c r="D197" i="1"/>
  <c r="F197" i="1" s="1"/>
  <c r="H197" i="1" s="1"/>
  <c r="A198" i="1"/>
  <c r="A199" i="1" s="1"/>
  <c r="A200" i="1" s="1"/>
  <c r="A201" i="1" s="1"/>
  <c r="D195" i="1"/>
  <c r="F195" i="1" s="1"/>
  <c r="H195" i="1" s="1"/>
  <c r="D194" i="1"/>
  <c r="F194" i="1" s="1"/>
  <c r="H194" i="1" s="1"/>
  <c r="D193" i="1"/>
  <c r="F193" i="1" s="1"/>
  <c r="H193" i="1" s="1"/>
  <c r="D192" i="1"/>
  <c r="F192" i="1" s="1"/>
  <c r="H192" i="1" s="1"/>
  <c r="D191" i="1"/>
  <c r="F191" i="1" s="1"/>
  <c r="H191" i="1" s="1"/>
  <c r="D190" i="1"/>
  <c r="F190" i="1" s="1"/>
  <c r="H190" i="1" s="1"/>
  <c r="A191" i="1"/>
  <c r="A192" i="1" s="1"/>
  <c r="A193" i="1" s="1"/>
  <c r="A194" i="1" s="1"/>
  <c r="D188" i="1"/>
  <c r="F188" i="1" s="1"/>
  <c r="H188" i="1" s="1"/>
  <c r="D187" i="1"/>
  <c r="F187" i="1" s="1"/>
  <c r="H187" i="1" s="1"/>
  <c r="D186" i="1"/>
  <c r="F186" i="1" s="1"/>
  <c r="H186" i="1" s="1"/>
  <c r="D185" i="1"/>
  <c r="F185" i="1" s="1"/>
  <c r="H185" i="1" s="1"/>
  <c r="D184" i="1"/>
  <c r="F184" i="1" s="1"/>
  <c r="H184" i="1" s="1"/>
  <c r="D183" i="1"/>
  <c r="F183" i="1" s="1"/>
  <c r="H183" i="1" s="1"/>
  <c r="A184" i="1"/>
  <c r="A185" i="1" s="1"/>
  <c r="A186" i="1" s="1"/>
  <c r="A187" i="1" s="1"/>
  <c r="D181" i="1"/>
  <c r="F181" i="1" s="1"/>
  <c r="H181" i="1" s="1"/>
  <c r="D180" i="1"/>
  <c r="F180" i="1" s="1"/>
  <c r="H180" i="1" s="1"/>
  <c r="D179" i="1"/>
  <c r="F179" i="1" s="1"/>
  <c r="H179" i="1" s="1"/>
  <c r="D178" i="1"/>
  <c r="F178" i="1" s="1"/>
  <c r="H178" i="1" s="1"/>
  <c r="D177" i="1"/>
  <c r="F177" i="1" s="1"/>
  <c r="H177" i="1" s="1"/>
  <c r="D176" i="1"/>
  <c r="F176" i="1" s="1"/>
  <c r="H176" i="1" s="1"/>
  <c r="A177" i="1"/>
  <c r="A178" i="1" s="1"/>
  <c r="A179" i="1" s="1"/>
  <c r="A180" i="1" s="1"/>
  <c r="D174" i="1"/>
  <c r="F174" i="1" s="1"/>
  <c r="H174" i="1" s="1"/>
  <c r="D173" i="1"/>
  <c r="F173" i="1" s="1"/>
  <c r="H173" i="1" s="1"/>
  <c r="D172" i="1"/>
  <c r="F172" i="1" s="1"/>
  <c r="H172" i="1" s="1"/>
  <c r="D171" i="1"/>
  <c r="F171" i="1" s="1"/>
  <c r="H171" i="1" s="1"/>
  <c r="D169" i="1"/>
  <c r="F169" i="1" s="1"/>
  <c r="H169" i="1" s="1"/>
  <c r="A170" i="1"/>
  <c r="A171" i="1" s="1"/>
  <c r="A172" i="1" s="1"/>
  <c r="A173" i="1" s="1"/>
  <c r="D167" i="1"/>
  <c r="D166" i="1"/>
  <c r="D165" i="1"/>
  <c r="D164" i="1"/>
  <c r="F164" i="1" s="1"/>
  <c r="H164" i="1" s="1"/>
  <c r="D163" i="1"/>
  <c r="D162" i="1"/>
  <c r="A163" i="1"/>
  <c r="A164" i="1" s="1"/>
  <c r="A165" i="1" s="1"/>
  <c r="A166" i="1" s="1"/>
  <c r="A156" i="1"/>
  <c r="A157" i="1" s="1"/>
  <c r="A158" i="1" s="1"/>
  <c r="A159" i="1" s="1"/>
  <c r="D160" i="1"/>
  <c r="D159" i="1"/>
  <c r="D158" i="1"/>
  <c r="F158" i="1" s="1"/>
  <c r="H158" i="1" s="1"/>
  <c r="D157" i="1"/>
  <c r="D156" i="1"/>
  <c r="D155" i="1"/>
  <c r="D153" i="1"/>
  <c r="D152" i="1"/>
  <c r="F152" i="1" s="1"/>
  <c r="H152" i="1" s="1"/>
  <c r="D151" i="1"/>
  <c r="D150" i="1"/>
  <c r="D149" i="1"/>
  <c r="D148" i="1"/>
  <c r="G51" i="1"/>
  <c r="E43" i="1"/>
  <c r="E44" i="1" s="1"/>
  <c r="E26" i="1"/>
  <c r="E128" i="1" l="1"/>
  <c r="C122" i="1"/>
  <c r="E122" i="1"/>
  <c r="C128" i="1"/>
  <c r="G123" i="1"/>
  <c r="E123" i="1"/>
  <c r="C123" i="1"/>
  <c r="C124" i="1" s="1"/>
  <c r="G128" i="1"/>
  <c r="G122" i="1"/>
  <c r="G124" i="1" s="1"/>
  <c r="E124" i="1" l="1"/>
  <c r="F137" i="1"/>
  <c r="H137" i="1" s="1"/>
  <c r="F138" i="1"/>
  <c r="H138" i="1" s="1"/>
  <c r="F139" i="1"/>
  <c r="H139" i="1" s="1"/>
  <c r="F136" i="1"/>
  <c r="H136" i="1" s="1"/>
  <c r="B412" i="1" l="1"/>
  <c r="G58" i="1" l="1"/>
  <c r="C58" i="1"/>
  <c r="C54" i="1"/>
  <c r="S33" i="1" l="1"/>
  <c r="F11" i="5" l="1"/>
  <c r="G11" i="5" s="1"/>
  <c r="F10" i="5"/>
  <c r="G10" i="5" s="1"/>
  <c r="F9" i="5"/>
  <c r="G9" i="5" s="1"/>
  <c r="F8" i="5"/>
  <c r="G8" i="5" s="1"/>
  <c r="F7" i="5"/>
  <c r="G7" i="5" s="1"/>
  <c r="F6" i="5"/>
  <c r="G6" i="5" s="1"/>
  <c r="F5" i="5"/>
  <c r="G5" i="5" s="1"/>
  <c r="G12" i="5" s="1"/>
  <c r="D438" i="1"/>
  <c r="B413" i="1"/>
  <c r="F167" i="1"/>
  <c r="H167" i="1" s="1"/>
  <c r="F166" i="1"/>
  <c r="H166" i="1" s="1"/>
  <c r="F165" i="1"/>
  <c r="H165" i="1" s="1"/>
  <c r="F163" i="1"/>
  <c r="H163" i="1" s="1"/>
  <c r="F162" i="1"/>
  <c r="H162" i="1" s="1"/>
  <c r="F160" i="1"/>
  <c r="H160" i="1" s="1"/>
  <c r="F159" i="1"/>
  <c r="H159" i="1" s="1"/>
  <c r="F157" i="1"/>
  <c r="H157" i="1" s="1"/>
  <c r="F156" i="1"/>
  <c r="H156" i="1" s="1"/>
  <c r="F155" i="1"/>
  <c r="H155" i="1" s="1"/>
  <c r="F153" i="1"/>
  <c r="H153" i="1" s="1"/>
  <c r="F151" i="1"/>
  <c r="H151" i="1" s="1"/>
  <c r="F150" i="1"/>
  <c r="H150" i="1" s="1"/>
  <c r="F149" i="1"/>
  <c r="H149" i="1" s="1"/>
  <c r="A149" i="1"/>
  <c r="A150" i="1" s="1"/>
  <c r="A151" i="1" s="1"/>
  <c r="A152" i="1" s="1"/>
  <c r="F148" i="1"/>
  <c r="A137" i="1"/>
  <c r="A138" i="1" s="1"/>
  <c r="A139" i="1" s="1"/>
  <c r="F114" i="1"/>
  <c r="C88" i="1"/>
  <c r="D68" i="1"/>
  <c r="D62" i="1"/>
  <c r="C51" i="1"/>
  <c r="E45" i="1"/>
  <c r="E31" i="1"/>
  <c r="E28" i="1"/>
  <c r="C16" i="1"/>
  <c r="I15" i="1"/>
  <c r="Z13" i="1"/>
  <c r="E8" i="1"/>
  <c r="E3" i="1"/>
  <c r="H75" i="1"/>
  <c r="H89" i="1"/>
  <c r="C127" i="1" l="1"/>
  <c r="C129" i="1" s="1"/>
  <c r="C130" i="1" s="1"/>
  <c r="H148" i="1"/>
  <c r="G127" i="1" s="1"/>
  <c r="G129" i="1" s="1"/>
  <c r="G130" i="1" s="1"/>
  <c r="E127" i="1"/>
  <c r="E129" i="1" s="1"/>
  <c r="E130" i="1" s="1"/>
  <c r="J74" i="1"/>
  <c r="J76" i="1" s="1"/>
  <c r="J77" i="1"/>
  <c r="J78" i="1"/>
  <c r="J79" i="1"/>
  <c r="C78" i="1" s="1"/>
  <c r="J93" i="1"/>
  <c r="D97" i="1"/>
  <c r="D99" i="1"/>
  <c r="J92" i="1"/>
  <c r="D98" i="1"/>
  <c r="J88" i="1"/>
  <c r="J90" i="1" s="1"/>
  <c r="D96" i="1"/>
  <c r="J91" i="1"/>
  <c r="D95" i="1"/>
  <c r="D101" i="1"/>
  <c r="D100" i="1"/>
  <c r="D94" i="1"/>
  <c r="D82" i="1"/>
  <c r="D84" i="1"/>
  <c r="D83" i="1"/>
  <c r="D87" i="1"/>
  <c r="D81" i="1"/>
  <c r="D86" i="1"/>
  <c r="D80" i="1"/>
  <c r="D85" i="1"/>
  <c r="B89" i="1"/>
  <c r="B75" i="1"/>
  <c r="J80" i="1" s="1"/>
  <c r="C92" i="1" l="1"/>
  <c r="D92" i="1" s="1"/>
  <c r="D78" i="1"/>
  <c r="J99" i="1"/>
  <c r="J96" i="1"/>
  <c r="J98" i="1"/>
  <c r="J97" i="1"/>
  <c r="J94" i="1"/>
  <c r="J84" i="1"/>
  <c r="J82" i="1"/>
  <c r="J83" i="1"/>
  <c r="J81" i="1"/>
  <c r="J86" i="1" s="1"/>
  <c r="J85" i="1"/>
  <c r="J87" i="1" l="1"/>
  <c r="C79" i="1" s="1"/>
  <c r="J75" i="1" s="1"/>
  <c r="J95" i="1"/>
  <c r="J100" i="1" s="1"/>
  <c r="J101" i="1" s="1"/>
  <c r="C93" i="1" s="1"/>
  <c r="D93" i="1" s="1"/>
  <c r="I89" i="1" s="1"/>
  <c r="I90" i="1" s="1"/>
  <c r="G78" i="1" l="1"/>
  <c r="D72" i="1" s="1"/>
  <c r="D73" i="1" s="1"/>
  <c r="D79" i="1"/>
  <c r="I75" i="1" s="1"/>
  <c r="I76" i="1" s="1"/>
  <c r="I74" i="1" s="1"/>
  <c r="C76" i="1" s="1"/>
  <c r="E78" i="1"/>
  <c r="G92" i="1"/>
  <c r="J89" i="1"/>
  <c r="I88" i="1" s="1"/>
  <c r="C90" i="1" s="1"/>
  <c r="E92" i="1"/>
  <c r="F73" i="1" l="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                       Proposed Builtup Area
Approved No. of Floors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2"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<sst xmlns="http://schemas.openxmlformats.org/spreadsheetml/2006/main" count="1061" uniqueCount="399">
  <si>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</si>
  <si>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</si>
  <si>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</si>
  <si>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</si>
  <si>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</si>
  <si>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</si>
  <si>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</si>
  <si>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</si>
  <si>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</si>
  <si>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</si>
  <si>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</si>
  <si>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</si>
  <si>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</si>
  <si>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</si>
  <si>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</si>
  <si>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</si>
  <si>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</si>
  <si>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</si>
  <si>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</si>
  <si>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</si>
  <si>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</si>
  <si>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</si>
  <si>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</si>
  <si>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</si>
  <si>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</si>
  <si>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</si>
  <si>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</si>
  <si>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</si>
  <si>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</si>
  <si>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</si>
  <si>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</si>
  <si>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</si>
  <si>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</si>
  <si>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</si>
  <si>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</si>
  <si>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</si>
  <si>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</si>
  <si>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</si>
  <si>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</si>
  <si>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</si>
  <si>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</si>
  <si>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</si>
  <si>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</si>
  <si>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</si>
  <si>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</si>
  <si>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</si>
  <si>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</si>
  <si>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</si>
  <si>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</si>
  <si>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</si>
  <si>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</si>
  <si>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</si>
  <si>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</si>
  <si>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</si>
  <si>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</si>
  <si>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</si>
  <si>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</si>
  <si>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</si>
  <si>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</si>
  <si>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</si>
  <si>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</si>
  <si>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</si>
  <si>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</si>
  <si>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</si>
  <si>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</si>
  <si>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</si>
  <si>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</si>
  <si>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</si>
  <si>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</si>
  <si>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</si>
  <si>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</si>
  <si>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</si>
  <si>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</si>
  <si>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</si>
  <si>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</si>
  <si>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</si>
  <si>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</si>
  <si>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</si>
  <si>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</si>
  <si>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</si>
  <si>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</si>
  <si>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</si>
  <si>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</si>
  <si>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</si>
  <si>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</si>
  <si>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</si>
  <si>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</si>
  <si>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</si>
  <si>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</si>
  <si>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</si>
  <si>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</si>
  <si>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</si>
  <si>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</si>
  <si>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</si>
  <si>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</si>
  <si>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</si>
  <si>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</si>
  <si>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</si>
  <si>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</si>
  <si>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</si>
  <si>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</si>
  <si>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</si>
  <si>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</si>
  <si>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</si>
  <si>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</si>
  <si>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</si>
  <si>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</si>
  <si>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</si>
  <si>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</si>
  <si>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</si>
  <si>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</si>
  <si>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</si>
  <si>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</si>
  <si>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</si>
  <si>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</si>
  <si>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</si>
  <si>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</si>
  <si>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</si>
  <si>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</si>
  <si>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</si>
  <si>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</si>
  <si>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</si>
  <si>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</si>
  <si>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</si>
  <si>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</si>
  <si>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</si>
  <si>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</si>
  <si>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</si>
  <si>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</si>
  <si>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</si>
  <si>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</si>
  <si>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</si>
  <si>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</si>
  <si>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</si>
  <si>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</si>
  <si>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</si>
  <si>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</si>
  <si>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</si>
  <si>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</si>
  <si>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</si>
  <si>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</si>
  <si>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</si>
  <si>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</si>
  <si>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</si>
  <si>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</si>
  <si>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</si>
  <si>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</si>
  <si>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</si>
  <si>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</si>
  <si>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</si>
  <si>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</si>
  <si>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</si>
  <si>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</si>
  <si>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</si>
  <si>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</si>
  <si>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</si>
  <si>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</si>
  <si>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</si>
  <si>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</si>
  <si>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</si>
  <si>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</si>
  <si>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</si>
  <si>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</si>
  <si>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</si>
  <si>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</si>
  <si>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</si>
  <si>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</si>
  <si>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</si>
  <si>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</si>
  <si>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</si>
  <si>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</si>
  <si>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</si>
  <si>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</si>
  <si>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</si>
  <si>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</si>
  <si>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</si>
  <si>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</si>
  <si>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</si>
  <si>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</si>
  <si>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</si>
  <si>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</si>
  <si>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</si>
  <si>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</si>
  <si>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</si>
  <si>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</si>
  <si>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</si>
  <si>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</si>
  <si>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</si>
  <si>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</si>
  <si>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</si>
  <si>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</si>
  <si>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</si>
  <si>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</si>
  <si>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</si>
  <si>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</si>
  <si>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</si>
  <si>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</si>
  <si>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</si>
  <si>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</si>
  <si>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</si>
  <si>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</si>
  <si>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</si>
  <si>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</si>
  <si>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</si>
  <si>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</si>
  <si>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</si>
  <si>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</si>
  <si>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</si>
  <si>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</si>
  <si>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</si>
  <si>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</si>
  <si>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</si>
  <si>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</si>
  <si>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</si>
  <si>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</si>
  <si>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</si>
  <si>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</si>
  <si>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</si>
  <si>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</si>
  <si>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</si>
  <si>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</si>
  <si>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</si>
  <si>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</si>
  <si>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</si>
  <si>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</si>
  <si>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</si>
  <si>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</si>
  <si>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</si>
  <si>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</si>
  <si>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</si>
  <si>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</si>
  <si>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</si>
  <si>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</si>
  <si>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</si>
  <si>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</si>
  <si>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</si>
  <si>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</si>
  <si>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</si>
  <si>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</si>
  <si>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</si>
  <si>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</si>
  <si>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</si>
  <si>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</si>
  <si>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</si>
  <si>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</si>
  <si>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</si>
  <si>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</si>
  <si>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</si>
  <si>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</si>
  <si>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</si>
  <si>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</si>
  <si>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</si>
  <si>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</si>
  <si>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</si>
  <si>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</si>
  <si>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</si>
  <si>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</si>
  <si>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</si>
  <si>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</si>
  <si>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</si>
  <si>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</si>
  <si>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</si>
  <si>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</si>
  <si>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</si>
  <si>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</si>
  <si>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</si>
  <si>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</si>
  <si>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</si>
  <si>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</si>
  <si>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</si>
  <si>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</si>
  <si>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</si>
  <si>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</si>
  <si>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</si>
  <si>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</si>
  <si>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</si>
  <si>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</si>
  <si>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</si>
  <si>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</si>
  <si>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</si>
  <si>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</si>
  <si>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</si>
  <si>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</si>
  <si>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</si>
  <si>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</si>
  <si>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</si>
  <si>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</si>
  <si>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</si>
  <si>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</si>
  <si>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</si>
  <si>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</si>
  <si>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</si>
  <si>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</si>
  <si>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</si>
  <si>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</si>
  <si>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Thane Municipal Corporation (TMC)</t>
  </si>
  <si>
    <t>Khopoli Municipal Council</t>
  </si>
  <si>
    <t>P51800052244</t>
  </si>
  <si>
    <t>Shraddha Prime Projects Limited</t>
  </si>
  <si>
    <t>Shraddha Paradise</t>
  </si>
  <si>
    <t>Mr. Shubham 8652568817</t>
  </si>
  <si>
    <t>Mr. Vighnesh 7710946878</t>
  </si>
  <si>
    <t>Wing A &amp; B</t>
  </si>
  <si>
    <t>19.220361,72.854333</t>
  </si>
  <si>
    <t>https://maps.app.goo.gl/rmzyJn2fZ2o2tD3M7</t>
  </si>
  <si>
    <t>Kosamgo Nagar</t>
  </si>
  <si>
    <t>Sumer Nagar Housing Society</t>
  </si>
  <si>
    <t>Magathane</t>
  </si>
  <si>
    <t>Internal Road</t>
  </si>
  <si>
    <t>Borivali West</t>
  </si>
  <si>
    <t>1.1 KM from Borivali Railway Station</t>
  </si>
  <si>
    <t>Railway Track</t>
  </si>
  <si>
    <t>Internal Road/Sumer Nagar Housing Society</t>
  </si>
  <si>
    <t>Building</t>
  </si>
  <si>
    <t>Other Plot</t>
  </si>
  <si>
    <t>Nalla/18.30 M. Wide Existing D.P Road</t>
  </si>
  <si>
    <t>02 Wings</t>
  </si>
  <si>
    <t>We have taken further approved CC from MCGM Site.</t>
  </si>
  <si>
    <t>Brihanmumbai Municipal Corporation</t>
  </si>
  <si>
    <t>P-10955/2022/(63/2 AND OTHER ) R/C WARD/MAGATHANE R/C</t>
  </si>
  <si>
    <t>Sale Flats - 208, Rehab Flat - 148</t>
  </si>
  <si>
    <t>Wing B = Gr + P1 to P3 + 1st to 34th Floor</t>
  </si>
  <si>
    <r>
      <t xml:space="preserve">Proposed Amenities :                                                                                                                                                                                                                         </t>
    </r>
    <r>
      <rPr>
        <b/>
        <sz val="12"/>
        <rFont val="Times New Roman"/>
        <family val="1"/>
      </rPr>
      <t xml:space="preserve">                                               </t>
    </r>
  </si>
  <si>
    <t xml:space="preserve">Details of Residential in Building   </t>
  </si>
  <si>
    <t>Wing A</t>
  </si>
  <si>
    <t>Ground Floor For Entrance Lobby &amp; Parking</t>
  </si>
  <si>
    <t>1st &amp; 2nd Podium Floor For Parking</t>
  </si>
  <si>
    <t>3rd Podium Floor For Fitness Center, Society Office &amp; Parking</t>
  </si>
  <si>
    <t>1st Floor For Residential</t>
  </si>
  <si>
    <t>Sale / Rehab</t>
  </si>
  <si>
    <t>Rehab</t>
  </si>
  <si>
    <t>3BHK</t>
  </si>
  <si>
    <t>2BHK</t>
  </si>
  <si>
    <t>3rd Floor</t>
  </si>
  <si>
    <t>4th Floor For (Part Refuge Area)</t>
  </si>
  <si>
    <t>Refuge Area</t>
  </si>
  <si>
    <t>Sale</t>
  </si>
  <si>
    <t>1BHK</t>
  </si>
  <si>
    <t>5th Floor</t>
  </si>
  <si>
    <t>6th Floor</t>
  </si>
  <si>
    <t>7th &amp; 8th Floor</t>
  </si>
  <si>
    <t>9th Floor</t>
  </si>
  <si>
    <t>10th Floor</t>
  </si>
  <si>
    <t>11th Floor (Part Refuge Area)</t>
  </si>
  <si>
    <t>12th Floor</t>
  </si>
  <si>
    <t>13th to 16th Floor</t>
  </si>
  <si>
    <t>17th Floor</t>
  </si>
  <si>
    <t>18th Floor (Part Refuge Area)</t>
  </si>
  <si>
    <t>19th to 22nd Floor</t>
  </si>
  <si>
    <t>25th Floor (Part Refuge Area)</t>
  </si>
  <si>
    <t>31st Floor (Part Terrace Area)</t>
  </si>
  <si>
    <t>Wing B</t>
  </si>
  <si>
    <t>6th &amp; 7th Floor</t>
  </si>
  <si>
    <t>8th Floor</t>
  </si>
  <si>
    <t>9th &amp; 10th Floor</t>
  </si>
  <si>
    <t>13th to 15th Floor</t>
  </si>
  <si>
    <t>16th Floor</t>
  </si>
  <si>
    <t>19th &amp; 20th Floor</t>
  </si>
  <si>
    <t>21st Floor</t>
  </si>
  <si>
    <t>22nd to 24th &amp; 26th to 30th Floor</t>
  </si>
  <si>
    <t>We considered Gross carpet area = Net carpet</t>
  </si>
  <si>
    <t>Residential Area Details :Sale Flat</t>
  </si>
  <si>
    <t>Residential Area Details :Rehab Flat</t>
  </si>
  <si>
    <t>Wing A = Gr + P1 to P3 + 1st to 31th Floor
Wing B = Gr + P1 to P3 + 1st to 30th Floor</t>
  </si>
  <si>
    <t>Wing A = Gr + P1 to P3 + 1st to 34th Floor</t>
  </si>
  <si>
    <t>Terrace Area</t>
  </si>
  <si>
    <t>Please check for Environment Clearance Certificate.</t>
  </si>
  <si>
    <t>13.40 M. Wide Sanctioned RL by AE Survey Road</t>
  </si>
  <si>
    <t>New Gajant CHSL
Prajakta CHSL
Shwet Deep Mala CHSL
Smitanjali CHSL</t>
  </si>
  <si>
    <t>63/2, 63/4, 63/5, 63/7, 63/3(Pt) &amp; 63/10(Pt), Redevelopement of " New Gajant CHSL, Prajakta CHSL, Shwet Deep Mala CHSL &amp; Smitanjali CHSL"</t>
  </si>
  <si>
    <t>1.5BHK</t>
  </si>
  <si>
    <t>SIA/MH/INFRA2/422371/2023</t>
  </si>
  <si>
    <t>Approved Plans, CC, EC</t>
  </si>
  <si>
    <t>10 to 12L</t>
  </si>
  <si>
    <t>Development Charges &amp; Infra</t>
  </si>
  <si>
    <t>Gym Charges</t>
  </si>
  <si>
    <t>18500 to 19000</t>
  </si>
  <si>
    <t>costsheet</t>
  </si>
  <si>
    <t>trupti</t>
  </si>
  <si>
    <t>27th Floor</t>
  </si>
  <si>
    <t>Flat no. 2704 &amp; 2705 salable area is changed</t>
  </si>
  <si>
    <t>23rd, 24th, 26th, 28th to 30th Floor</t>
  </si>
  <si>
    <t>Recommended Rates/Other Charges of the Property have been revised on 08/05/2024.</t>
  </si>
  <si>
    <t>Change by trupti</t>
  </si>
  <si>
    <t>Entrance Lobby, Children's Play Area, Yoga/Meditation Area, Reading Lounge, Mini Theatre, Gymnasium, Swimming Pool, Power Backup, Open Parking, Lift(s), 24x7 Security, Meter Room, Sewage Treatment Plant, 24X7 Water Supply, Landscaping &amp; Tree Planting, Water Conservation, Rain water Harvesting, Storm Water Drains, Solid Waste Management And Disposal, Closed Car, Parking, Fire Sprinklers etc.</t>
  </si>
  <si>
    <t>P-10955/2022/(63/2 And Other)/R/C
Ward/MAGATHANE R/C/FCC/1/New</t>
  </si>
  <si>
    <t>This C.C. is extended further for work of residential building comprising of Stilt Floor (for parking spaces) + 1st &amp; 2nd podium floors (for parking spaces) + 3rd podium floor (for parking spaces, Fitness centre, Society office &amp; Additional garden area) + Wing A having 1st to 27th upper residential floors &amp; Wing B having 1st to 26th upper residential floors by restricting C.C. from 28th to 31st (pt.) floors of Wing A and 27th to 30th floors of Wing B as per approved amended plans dtd. 18.09.2023.</t>
  </si>
  <si>
    <t>We have updated latest CC from MCGM site (On 23/11/2024).</t>
  </si>
  <si>
    <t xml:space="preserve">As per RERA - 31/12/2028 </t>
  </si>
  <si>
    <t>Mr. Akshay Vaid CRM 9769309090</t>
  </si>
  <si>
    <t>Office No. 1031, Wing J, Akshar Business Park, Plot No. 03 Sector 25, Near APMC Market, Vashi, 
Navi Mumbai, Maharashtra 400703 TEL: 022-46090378/79/80
E mail : vsjcapf@gmail.com. Web site : www.vsjadon.com</t>
  </si>
  <si>
    <t>Sanket Salvi</t>
  </si>
  <si>
    <t>09/08/2025.</t>
  </si>
  <si>
    <t>18/09/2023.</t>
  </si>
  <si>
    <t>15/07/2024.</t>
  </si>
  <si>
    <t>05/06/2025.</t>
  </si>
  <si>
    <t>Shruti Tathare</t>
  </si>
  <si>
    <t>Construction work is in process at the time of Visit. Internal visit was not allowed.</t>
  </si>
  <si>
    <t>Validity of CC is expired on 05/06/2025. Please provide revised CC.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</si>
</sst>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theme="1"/>
      <name val="Calibri Light"/>
      <family val="2"/>
      <scheme val="major"/>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5" fillId="0" borderId="0"/>
    <xf numFmtId="0" fontId="7" fillId="0" borderId="0"/>
    <xf numFmtId="0" fontId="4" fillId="0" borderId="0"/>
    <xf numFmtId="0" fontId="7" fillId="0" borderId="0"/>
    <xf numFmtId="0" fontId="3" fillId="0" borderId="0"/>
    <xf numFmtId="165" fontId="7" fillId="0" borderId="0" applyFont="0" applyFill="0" applyBorder="0" applyAlignment="0" applyProtection="0"/>
    <xf numFmtId="0" fontId="23" fillId="0" borderId="0"/>
    <xf numFmtId="9" fontId="24" fillId="0" borderId="0" applyFont="0" applyFill="0" applyBorder="0" applyAlignment="0" applyProtection="0"/>
    <xf numFmtId="43" fontId="24" fillId="0" borderId="0" applyFont="0" applyFill="0" applyBorder="0" applyAlignment="0" applyProtection="0"/>
    <xf numFmtId="0" fontId="29" fillId="0" borderId="0" applyNumberFormat="0" applyFill="0" applyBorder="0" applyAlignment="0" applyProtection="0"/>
  </cellStyleXfs>
  <cellXfs count="227">
    <xf numFmtId="0" fontId="0" fillId="0" borderId="0" xfId="0"/>
    <xf numFmtId="0" fontId="7" fillId="0" borderId="0" xfId="4"/>
    <xf numFmtId="0" fontId="3" fillId="0" borderId="0" xfId="5"/>
    <xf numFmtId="0" fontId="11" fillId="0" borderId="1" xfId="5" applyFont="1" applyBorder="1" applyAlignment="1">
      <alignment horizontal="center" vertical="top" wrapText="1"/>
    </xf>
    <xf numFmtId="0" fontId="22" fillId="0" borderId="0" xfId="4" applyFont="1"/>
    <xf numFmtId="0" fontId="3" fillId="0" borderId="1" xfId="5" applyBorder="1" applyAlignment="1">
      <alignment horizontal="center" vertical="center"/>
    </xf>
    <xf numFmtId="0" fontId="3" fillId="0" borderId="1" xfId="5" applyBorder="1" applyAlignment="1">
      <alignment horizontal="left" vertical="center"/>
    </xf>
    <xf numFmtId="1" fontId="3" fillId="0" borderId="1" xfId="5" applyNumberFormat="1" applyBorder="1" applyAlignment="1">
      <alignment horizontal="center" vertical="center"/>
    </xf>
    <xf numFmtId="166" fontId="3" fillId="0" borderId="1" xfId="6" applyNumberFormat="1" applyFont="1" applyBorder="1" applyAlignment="1">
      <alignment horizontal="right" vertical="center"/>
    </xf>
    <xf numFmtId="0" fontId="3" fillId="0" borderId="1" xfId="5" applyBorder="1" applyAlignment="1">
      <alignment horizontal="left" vertical="center" wrapText="1"/>
    </xf>
    <xf numFmtId="0" fontId="11" fillId="0" borderId="1" xfId="5" applyFont="1" applyBorder="1" applyAlignment="1">
      <alignment horizontal="center" vertical="center"/>
    </xf>
    <xf numFmtId="1" fontId="21" fillId="0" borderId="1" xfId="5" applyNumberFormat="1" applyFont="1" applyBorder="1" applyAlignment="1">
      <alignment horizontal="center" vertical="center"/>
    </xf>
    <xf numFmtId="0" fontId="7" fillId="0" borderId="1" xfId="4" applyBorder="1" applyAlignment="1">
      <alignment horizontal="center" vertical="center"/>
    </xf>
    <xf numFmtId="0" fontId="20" fillId="0" borderId="0" xfId="0" applyFont="1" applyProtection="1">
      <protection hidden="1"/>
    </xf>
    <xf numFmtId="0" fontId="20" fillId="0" borderId="11" xfId="0" applyFont="1" applyBorder="1" applyProtection="1">
      <protection hidden="1"/>
    </xf>
    <xf numFmtId="0" fontId="14" fillId="0" borderId="4" xfId="1" applyFont="1" applyBorder="1" applyAlignment="1" applyProtection="1">
      <alignment horizontal="center" vertical="top"/>
      <protection locked="0"/>
    </xf>
    <xf numFmtId="0" fontId="14" fillId="0" borderId="5" xfId="1" applyFont="1" applyBorder="1" applyAlignment="1" applyProtection="1">
      <alignment horizontal="center" vertical="top"/>
      <protection locked="0"/>
    </xf>
    <xf numFmtId="0" fontId="8" fillId="0" borderId="1" xfId="1" applyFont="1" applyBorder="1" applyAlignment="1" applyProtection="1">
      <alignment vertical="top" wrapText="1"/>
      <protection locked="0"/>
    </xf>
    <xf numFmtId="0" fontId="9" fillId="0" borderId="0" xfId="1" applyFont="1"/>
    <xf numFmtId="0" fontId="17" fillId="0" borderId="0" xfId="1" applyFont="1"/>
    <xf numFmtId="0" fontId="14" fillId="0" borderId="0" xfId="1" applyFont="1"/>
    <xf numFmtId="1" fontId="9" fillId="0" borderId="0" xfId="1" applyNumberFormat="1" applyFont="1"/>
    <xf numFmtId="14" fontId="9" fillId="0" borderId="0" xfId="1" applyNumberFormat="1" applyFont="1"/>
    <xf numFmtId="0" fontId="9" fillId="0" borderId="0" xfId="1" applyFont="1" applyProtection="1">
      <protection hidden="1"/>
    </xf>
    <xf numFmtId="0" fontId="26" fillId="0" borderId="0" xfId="1" applyFont="1"/>
    <xf numFmtId="0" fontId="9" fillId="0" borderId="10" xfId="1" applyFont="1" applyBorder="1"/>
    <xf numFmtId="0" fontId="20"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8" fillId="0" borderId="0" xfId="1" applyFont="1"/>
    <xf numFmtId="0" fontId="8" fillId="0" borderId="0" xfId="2" applyFont="1"/>
    <xf numFmtId="0" fontId="9" fillId="0" borderId="0" xfId="0" applyFont="1" applyAlignment="1">
      <alignment horizontal="center" vertical="center"/>
    </xf>
    <xf numFmtId="1" fontId="9" fillId="0" borderId="0" xfId="1" applyNumberFormat="1" applyFont="1" applyAlignment="1">
      <alignment horizontal="center" vertical="center"/>
    </xf>
    <xf numFmtId="0" fontId="9" fillId="0" borderId="0" xfId="1" applyFont="1" applyAlignment="1">
      <alignment horizontal="center" vertical="center"/>
    </xf>
    <xf numFmtId="0" fontId="10" fillId="0" borderId="0" xfId="1" applyFont="1" applyAlignment="1" applyProtection="1">
      <alignment vertical="top"/>
      <protection locked="0"/>
    </xf>
    <xf numFmtId="0" fontId="10" fillId="0" borderId="0" xfId="1" applyFont="1" applyAlignment="1" applyProtection="1">
      <alignment vertical="top" wrapText="1"/>
      <protection locked="0"/>
    </xf>
    <xf numFmtId="0" fontId="9" fillId="0" borderId="0" xfId="1" applyFont="1" applyProtection="1">
      <protection locked="0"/>
    </xf>
    <xf numFmtId="0" fontId="12" fillId="0" borderId="0" xfId="1" applyFont="1" applyProtection="1">
      <protection locked="0"/>
    </xf>
    <xf numFmtId="1" fontId="8"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center" wrapText="1"/>
      <protection locked="0"/>
    </xf>
    <xf numFmtId="0" fontId="27" fillId="2" borderId="30" xfId="0" applyFont="1" applyFill="1" applyBorder="1"/>
    <xf numFmtId="0" fontId="28" fillId="0" borderId="31" xfId="0" applyFont="1" applyBorder="1"/>
    <xf numFmtId="0" fontId="28" fillId="0" borderId="1" xfId="0" applyFont="1" applyBorder="1"/>
    <xf numFmtId="0" fontId="28" fillId="0" borderId="5" xfId="0" applyFont="1" applyBorder="1"/>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1" xfId="1"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9" fontId="19"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8" fillId="0" borderId="1" xfId="1" applyNumberFormat="1" applyFont="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0" fontId="33" fillId="0" borderId="0" xfId="1" applyFont="1"/>
    <xf numFmtId="0" fontId="2" fillId="0" borderId="0" xfId="1" applyFont="1"/>
    <xf numFmtId="0" fontId="34" fillId="0" borderId="0" xfId="0" applyFont="1"/>
    <xf numFmtId="1" fontId="8" fillId="0" borderId="1" xfId="1"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0" xfId="0" applyFont="1" applyAlignment="1">
      <alignment horizontal="center" vertical="center"/>
    </xf>
    <xf numFmtId="0" fontId="1" fillId="0" borderId="0" xfId="1" applyFont="1"/>
    <xf numFmtId="0" fontId="14" fillId="0" borderId="1" xfId="1" applyFont="1" applyBorder="1" applyAlignment="1" applyProtection="1">
      <alignment horizontal="center" vertical="top" wrapText="1"/>
      <protection locked="0"/>
    </xf>
    <xf numFmtId="9" fontId="14" fillId="0" borderId="1" xfId="8" applyFont="1" applyFill="1" applyBorder="1" applyAlignment="1" applyProtection="1">
      <alignment horizontal="center" vertical="top" wrapText="1"/>
      <protection locked="0"/>
    </xf>
    <xf numFmtId="0" fontId="14" fillId="0" borderId="7" xfId="1" applyFont="1" applyBorder="1" applyAlignment="1" applyProtection="1">
      <alignment horizontal="center" vertical="top" wrapText="1"/>
      <protection locked="0"/>
    </xf>
    <xf numFmtId="9" fontId="14" fillId="0" borderId="7" xfId="8" applyFont="1" applyFill="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8"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xf>
    <xf numFmtId="1" fontId="14" fillId="0" borderId="1" xfId="0" applyNumberFormat="1" applyFont="1" applyFill="1" applyBorder="1" applyAlignment="1">
      <alignment horizontal="center" vertical="center" wrapText="1"/>
    </xf>
    <xf numFmtId="9" fontId="15" fillId="0" borderId="16" xfId="8" applyFont="1" applyFill="1" applyBorder="1" applyAlignment="1" applyProtection="1">
      <alignment horizontal="center" vertical="top" wrapText="1"/>
      <protection locked="0"/>
    </xf>
    <xf numFmtId="1" fontId="14" fillId="0" borderId="1" xfId="0" applyNumberFormat="1" applyFont="1" applyFill="1" applyBorder="1" applyAlignment="1">
      <alignment horizontal="center"/>
    </xf>
    <xf numFmtId="0" fontId="9" fillId="0" borderId="0" xfId="1" applyFont="1" applyBorder="1"/>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0" fontId="8" fillId="0" borderId="1" xfId="1" applyFont="1" applyBorder="1" applyAlignment="1" applyProtection="1">
      <alignment horizontal="left" vertical="top"/>
      <protection locked="0"/>
    </xf>
    <xf numFmtId="0" fontId="10" fillId="0" borderId="16" xfId="1" applyFont="1" applyBorder="1" applyAlignment="1" applyProtection="1">
      <alignment horizontal="left" vertical="top"/>
      <protection locked="0"/>
    </xf>
    <xf numFmtId="167" fontId="14" fillId="0" borderId="1" xfId="9" applyNumberFormat="1" applyFont="1" applyFill="1" applyBorder="1" applyAlignment="1" applyProtection="1">
      <alignment horizontal="left" vertical="top"/>
      <protection locked="0"/>
    </xf>
    <xf numFmtId="1" fontId="6" fillId="0" borderId="3" xfId="1" applyNumberFormat="1" applyFont="1" applyBorder="1" applyAlignment="1" applyProtection="1">
      <alignment horizontal="center" vertical="top" wrapText="1"/>
      <protection locked="0"/>
    </xf>
    <xf numFmtId="1" fontId="6" fillId="0" borderId="16" xfId="1" applyNumberFormat="1" applyFont="1" applyBorder="1" applyAlignment="1" applyProtection="1">
      <alignment horizontal="center" vertical="top" wrapText="1"/>
      <protection locked="0"/>
    </xf>
    <xf numFmtId="0" fontId="9" fillId="0" borderId="4" xfId="1" applyFont="1" applyBorder="1" applyAlignment="1" applyProtection="1">
      <alignment horizontal="center" vertical="top" wrapText="1"/>
      <protection locked="0"/>
    </xf>
    <xf numFmtId="0" fontId="9" fillId="0" borderId="1" xfId="1" applyFont="1" applyBorder="1" applyAlignment="1" applyProtection="1">
      <alignment horizontal="center" vertical="top" wrapText="1"/>
      <protection locked="0"/>
    </xf>
    <xf numFmtId="0" fontId="9" fillId="0" borderId="6" xfId="1" applyFont="1" applyBorder="1" applyAlignment="1" applyProtection="1">
      <alignment horizontal="center" vertical="top" wrapText="1"/>
      <protection locked="0"/>
    </xf>
    <xf numFmtId="0" fontId="9" fillId="0" borderId="7"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9" fillId="0" borderId="0" xfId="1" applyFont="1" applyAlignment="1">
      <alignment horizontal="center" vertical="center"/>
    </xf>
    <xf numFmtId="0" fontId="29" fillId="0" borderId="1" xfId="10" applyFill="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12" fillId="0" borderId="33" xfId="0" applyNumberFormat="1" applyFont="1" applyBorder="1" applyAlignment="1" applyProtection="1">
      <alignment horizontal="center" vertical="center"/>
      <protection locked="0"/>
    </xf>
    <xf numFmtId="0" fontId="8" fillId="0" borderId="8" xfId="1" applyFont="1" applyBorder="1" applyAlignment="1" applyProtection="1">
      <alignment vertical="top" wrapText="1"/>
      <protection locked="0"/>
    </xf>
    <xf numFmtId="0" fontId="8" fillId="0" borderId="21" xfId="1" applyFont="1" applyBorder="1" applyAlignment="1" applyProtection="1">
      <alignment vertical="top" wrapText="1"/>
      <protection locked="0"/>
    </xf>
    <xf numFmtId="0" fontId="8" fillId="0" borderId="9" xfId="1" applyFont="1" applyBorder="1" applyAlignment="1" applyProtection="1">
      <alignmen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15" fillId="0" borderId="8" xfId="1" applyFont="1" applyBorder="1" applyAlignment="1" applyProtection="1">
      <alignment horizontal="left" vertical="top"/>
      <protection locked="0"/>
    </xf>
    <xf numFmtId="0" fontId="15" fillId="0" borderId="21" xfId="1" applyFont="1" applyBorder="1" applyAlignment="1" applyProtection="1">
      <alignment horizontal="left" vertical="top"/>
      <protection locked="0"/>
    </xf>
    <xf numFmtId="0" fontId="15" fillId="0" borderId="9" xfId="1" applyFont="1" applyBorder="1" applyAlignment="1" applyProtection="1">
      <alignment horizontal="left" vertical="top"/>
      <protection locked="0"/>
    </xf>
    <xf numFmtId="9" fontId="14" fillId="0" borderId="17" xfId="8" applyFont="1" applyFill="1" applyBorder="1" applyAlignment="1" applyProtection="1">
      <alignment horizontal="center" vertical="center" wrapText="1"/>
      <protection locked="0"/>
    </xf>
    <xf numFmtId="9" fontId="14" fillId="0" borderId="27" xfId="8" applyFont="1" applyFill="1" applyBorder="1" applyAlignment="1" applyProtection="1">
      <alignment horizontal="center" vertical="center" wrapText="1"/>
      <protection locked="0"/>
    </xf>
    <xf numFmtId="9" fontId="14" fillId="0" borderId="25" xfId="8" applyFont="1" applyFill="1" applyBorder="1" applyAlignment="1" applyProtection="1">
      <alignment horizontal="center" vertical="center" wrapText="1"/>
      <protection locked="0"/>
    </xf>
    <xf numFmtId="9" fontId="14" fillId="0" borderId="10" xfId="8" applyFont="1" applyFill="1" applyBorder="1" applyAlignment="1" applyProtection="1">
      <alignment horizontal="center" vertical="center" wrapText="1"/>
      <protection locked="0"/>
    </xf>
    <xf numFmtId="9" fontId="14" fillId="0" borderId="28" xfId="8" applyFont="1" applyFill="1" applyBorder="1" applyAlignment="1" applyProtection="1">
      <alignment horizontal="center" vertical="center" wrapText="1"/>
      <protection locked="0"/>
    </xf>
    <xf numFmtId="9" fontId="14" fillId="0" borderId="12" xfId="8" applyFont="1" applyFill="1" applyBorder="1" applyAlignment="1" applyProtection="1">
      <alignment horizontal="center" vertical="center" wrapText="1"/>
      <protection locked="0"/>
    </xf>
    <xf numFmtId="0" fontId="15" fillId="0" borderId="4"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1" fontId="9" fillId="0" borderId="1" xfId="0" applyNumberFormat="1" applyFont="1" applyBorder="1" applyAlignment="1" applyProtection="1">
      <alignment horizontal="center" vertical="top" wrapText="1"/>
      <protection locked="0"/>
    </xf>
    <xf numFmtId="0" fontId="14" fillId="0" borderId="1" xfId="1" applyFont="1" applyBorder="1" applyAlignment="1" applyProtection="1">
      <alignment horizontal="left" vertical="top"/>
      <protection locked="0"/>
    </xf>
    <xf numFmtId="0" fontId="14" fillId="0" borderId="3" xfId="1" applyFont="1" applyBorder="1" applyAlignment="1" applyProtection="1">
      <alignment horizontal="left" vertical="top" wrapText="1"/>
      <protection locked="0"/>
    </xf>
    <xf numFmtId="0" fontId="14" fillId="0" borderId="3"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5" xfId="1" applyFont="1" applyBorder="1" applyAlignment="1" applyProtection="1">
      <alignment horizontal="left" vertical="top" wrapText="1"/>
      <protection locked="0"/>
    </xf>
    <xf numFmtId="2" fontId="8"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1" fontId="8" fillId="0" borderId="1" xfId="1" applyNumberFormat="1" applyFont="1" applyBorder="1" applyAlignment="1" applyProtection="1">
      <alignment horizontal="left" vertical="top" wrapText="1"/>
      <protection locked="0"/>
    </xf>
    <xf numFmtId="164" fontId="8" fillId="0" borderId="1" xfId="1" applyNumberFormat="1" applyFont="1" applyBorder="1" applyAlignment="1" applyProtection="1">
      <alignment horizontal="left" vertical="top"/>
      <protection locked="0"/>
    </xf>
    <xf numFmtId="2" fontId="8" fillId="0" borderId="1" xfId="1" applyNumberFormat="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1" xfId="1" applyFont="1" applyBorder="1" applyAlignment="1" applyProtection="1">
      <alignment horizontal="center"/>
      <protection locked="0"/>
    </xf>
    <xf numFmtId="0" fontId="15" fillId="0" borderId="1" xfId="1" applyFont="1" applyBorder="1" applyAlignment="1" applyProtection="1">
      <alignment horizontal="center"/>
      <protection locked="0"/>
    </xf>
    <xf numFmtId="0" fontId="14" fillId="0" borderId="8" xfId="1" applyFont="1" applyBorder="1" applyAlignment="1" applyProtection="1">
      <alignment horizontal="center" vertical="top"/>
      <protection locked="0"/>
    </xf>
    <xf numFmtId="0" fontId="14" fillId="0" borderId="21" xfId="1" applyFont="1" applyBorder="1" applyAlignment="1" applyProtection="1">
      <alignment horizontal="center" vertical="top"/>
      <protection locked="0"/>
    </xf>
    <xf numFmtId="0" fontId="14" fillId="0" borderId="9" xfId="1" applyFont="1" applyBorder="1" applyAlignment="1" applyProtection="1">
      <alignment horizontal="center" vertical="top"/>
      <protection locked="0"/>
    </xf>
    <xf numFmtId="0" fontId="14" fillId="0" borderId="1" xfId="1" applyFont="1" applyBorder="1" applyAlignment="1" applyProtection="1">
      <alignment horizontal="center" vertical="center"/>
      <protection locked="0"/>
    </xf>
    <xf numFmtId="0" fontId="14" fillId="0" borderId="8" xfId="1" applyFont="1" applyBorder="1" applyAlignment="1" applyProtection="1">
      <alignment horizontal="center" vertical="center" wrapText="1"/>
      <protection locked="0"/>
    </xf>
    <xf numFmtId="0" fontId="14" fillId="0" borderId="21" xfId="1" applyFont="1" applyBorder="1" applyAlignment="1" applyProtection="1">
      <alignment horizontal="center" vertical="center" wrapText="1"/>
      <protection locked="0"/>
    </xf>
    <xf numFmtId="0" fontId="14" fillId="0" borderId="9" xfId="1" applyFont="1" applyBorder="1" applyAlignment="1" applyProtection="1">
      <alignment horizontal="center" vertical="center" wrapText="1"/>
      <protection locked="0"/>
    </xf>
    <xf numFmtId="0" fontId="14" fillId="0" borderId="8" xfId="1" applyFont="1" applyBorder="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15" fillId="0" borderId="8" xfId="1" applyFont="1" applyBorder="1" applyAlignment="1" applyProtection="1">
      <alignment horizontal="center" vertical="top"/>
      <protection locked="0"/>
    </xf>
    <xf numFmtId="0" fontId="15" fillId="0" borderId="21" xfId="1" applyFont="1" applyBorder="1" applyAlignment="1" applyProtection="1">
      <alignment horizontal="center" vertical="top"/>
      <protection locked="0"/>
    </xf>
    <xf numFmtId="0" fontId="15" fillId="0" borderId="9" xfId="1" applyFont="1" applyBorder="1" applyAlignment="1" applyProtection="1">
      <alignment horizontal="center" vertical="top"/>
      <protection locked="0"/>
    </xf>
    <xf numFmtId="0" fontId="14" fillId="0" borderId="8" xfId="1" applyFont="1" applyBorder="1" applyAlignment="1" applyProtection="1">
      <alignment horizontal="center" vertical="center"/>
      <protection locked="0"/>
    </xf>
    <xf numFmtId="0" fontId="14" fillId="0" borderId="21"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1" xfId="1" applyFont="1" applyBorder="1" applyAlignment="1" applyProtection="1">
      <alignment horizontal="left"/>
      <protection locked="0"/>
    </xf>
    <xf numFmtId="0" fontId="13"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14" fontId="14" fillId="0" borderId="1" xfId="1" applyNumberFormat="1" applyFont="1" applyBorder="1" applyAlignment="1" applyProtection="1">
      <alignment horizontal="left" vertical="top"/>
      <protection locked="0"/>
    </xf>
    <xf numFmtId="0" fontId="10" fillId="0" borderId="22"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23" xfId="1" applyFont="1" applyBorder="1" applyAlignment="1" applyProtection="1">
      <alignment horizontal="left" vertical="top" wrapText="1"/>
      <protection locked="0"/>
    </xf>
    <xf numFmtId="0" fontId="14" fillId="0" borderId="1" xfId="1" applyFont="1" applyBorder="1" applyAlignment="1" applyProtection="1">
      <alignment horizontal="center" vertical="top" wrapText="1"/>
      <protection locked="0"/>
    </xf>
    <xf numFmtId="0" fontId="8" fillId="0" borderId="3" xfId="1" applyFont="1" applyBorder="1" applyAlignment="1" applyProtection="1">
      <alignment horizontal="left" vertical="top" wrapText="1"/>
      <protection locked="0"/>
    </xf>
    <xf numFmtId="0" fontId="14" fillId="0" borderId="5" xfId="1" applyFont="1" applyBorder="1" applyAlignment="1" applyProtection="1">
      <alignment horizontal="center" vertical="top" wrapText="1"/>
      <protection locked="0"/>
    </xf>
    <xf numFmtId="9" fontId="14" fillId="0" borderId="18" xfId="8" applyFont="1" applyFill="1" applyBorder="1" applyAlignment="1" applyProtection="1">
      <alignment horizontal="center" vertical="center" wrapText="1"/>
      <protection locked="0"/>
    </xf>
    <xf numFmtId="9" fontId="14" fillId="0" borderId="26" xfId="8" applyFont="1" applyFill="1" applyBorder="1" applyAlignment="1" applyProtection="1">
      <alignment horizontal="center" vertical="center" wrapText="1"/>
      <protection locked="0"/>
    </xf>
    <xf numFmtId="9" fontId="14" fillId="0" borderId="29" xfId="8" applyFont="1" applyFill="1" applyBorder="1" applyAlignment="1" applyProtection="1">
      <alignment horizontal="center" vertical="center" wrapText="1"/>
      <protection locked="0"/>
    </xf>
    <xf numFmtId="0" fontId="15"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0" fontId="10" fillId="0" borderId="1" xfId="1" applyFont="1" applyBorder="1" applyAlignment="1" applyProtection="1">
      <alignment vertical="top"/>
      <protection locked="0"/>
    </xf>
    <xf numFmtId="1" fontId="10" fillId="0" borderId="8"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10" fillId="0" borderId="8" xfId="0" applyNumberFormat="1" applyFont="1" applyBorder="1" applyAlignment="1" applyProtection="1">
      <alignment horizontal="left" vertical="top" wrapText="1"/>
      <protection locked="0"/>
    </xf>
    <xf numFmtId="1" fontId="10" fillId="0" borderId="21" xfId="0" applyNumberFormat="1" applyFont="1" applyBorder="1" applyAlignment="1" applyProtection="1">
      <alignment horizontal="left" vertical="top" wrapText="1"/>
      <protection locked="0"/>
    </xf>
    <xf numFmtId="1" fontId="10" fillId="0" borderId="9" xfId="0" applyNumberFormat="1" applyFont="1" applyBorder="1" applyAlignment="1" applyProtection="1">
      <alignment horizontal="left" vertical="top" wrapText="1"/>
      <protection locked="0"/>
    </xf>
    <xf numFmtId="0" fontId="10" fillId="0" borderId="16" xfId="1" applyFont="1" applyBorder="1" applyAlignment="1" applyProtection="1">
      <alignment horizontal="center" vertical="top"/>
      <protection locked="0"/>
    </xf>
    <xf numFmtId="1" fontId="8" fillId="0" borderId="8"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10" fillId="0" borderId="17" xfId="1" applyNumberFormat="1" applyFont="1" applyBorder="1" applyAlignment="1" applyProtection="1">
      <alignment horizontal="center" vertical="top" wrapText="1"/>
      <protection locked="0"/>
    </xf>
    <xf numFmtId="1" fontId="10" fillId="0" borderId="19" xfId="1" applyNumberFormat="1" applyFont="1" applyBorder="1" applyAlignment="1" applyProtection="1">
      <alignment horizontal="center" vertical="top" wrapText="1"/>
      <protection locked="0"/>
    </xf>
    <xf numFmtId="1" fontId="8" fillId="0" borderId="8" xfId="0" applyNumberFormat="1" applyFont="1" applyFill="1" applyBorder="1" applyAlignment="1">
      <alignment horizontal="center" vertical="center" wrapText="1"/>
    </xf>
    <xf numFmtId="1" fontId="8" fillId="0" borderId="21" xfId="0" applyNumberFormat="1" applyFont="1" applyFill="1" applyBorder="1" applyAlignment="1">
      <alignment horizontal="center" vertical="center" wrapText="1"/>
    </xf>
    <xf numFmtId="1" fontId="8" fillId="0" borderId="9" xfId="0" applyNumberFormat="1" applyFont="1" applyFill="1" applyBorder="1" applyAlignment="1">
      <alignment horizontal="center" vertical="center" wrapText="1"/>
    </xf>
    <xf numFmtId="0" fontId="8" fillId="0" borderId="1" xfId="1" applyFont="1" applyBorder="1" applyAlignment="1" applyProtection="1">
      <alignment vertical="top"/>
      <protection locked="0"/>
    </xf>
    <xf numFmtId="0" fontId="12" fillId="0" borderId="3"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wrapText="1"/>
      <protection locked="0"/>
    </xf>
    <xf numFmtId="0" fontId="12" fillId="0" borderId="33" xfId="0" applyFont="1" applyBorder="1" applyAlignment="1" applyProtection="1">
      <alignment horizontal="center" vertical="center"/>
      <protection locked="0"/>
    </xf>
    <xf numFmtId="0" fontId="9" fillId="0" borderId="25" xfId="1" applyFont="1" applyBorder="1" applyAlignment="1">
      <alignment horizontal="center"/>
    </xf>
    <xf numFmtId="0" fontId="9" fillId="0" borderId="0" xfId="1" applyFont="1" applyAlignment="1">
      <alignment horizontal="center"/>
    </xf>
    <xf numFmtId="0" fontId="15" fillId="0" borderId="1" xfId="1" applyFont="1" applyBorder="1" applyAlignment="1" applyProtection="1">
      <alignment horizontal="center" vertical="top"/>
      <protection locked="0"/>
    </xf>
    <xf numFmtId="0" fontId="10" fillId="0" borderId="8" xfId="1" applyFont="1" applyBorder="1" applyAlignment="1" applyProtection="1">
      <alignment horizontal="left" vertical="top" wrapText="1"/>
      <protection locked="0"/>
    </xf>
    <xf numFmtId="0" fontId="10" fillId="0" borderId="9" xfId="1" applyFont="1" applyBorder="1" applyAlignment="1" applyProtection="1">
      <alignment horizontal="left" vertical="top" wrapText="1"/>
      <protection locked="0"/>
    </xf>
    <xf numFmtId="0" fontId="10" fillId="0" borderId="21" xfId="1" applyFont="1" applyBorder="1" applyAlignment="1" applyProtection="1">
      <alignment horizontal="left" vertical="top" wrapText="1"/>
      <protection locked="0"/>
    </xf>
    <xf numFmtId="0" fontId="8" fillId="0" borderId="3" xfId="1" applyFont="1" applyBorder="1" applyAlignment="1" applyProtection="1">
      <alignment horizontal="left" vertical="top"/>
      <protection locked="0"/>
    </xf>
    <xf numFmtId="0" fontId="8" fillId="0" borderId="17"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7" fillId="0" borderId="17" xfId="1" applyFont="1" applyBorder="1" applyAlignment="1" applyProtection="1">
      <alignment horizontal="left" vertical="top" wrapText="1"/>
      <protection locked="0"/>
    </xf>
    <xf numFmtId="0" fontId="17" fillId="0" borderId="18" xfId="1" applyFont="1" applyBorder="1" applyAlignment="1" applyProtection="1">
      <alignment horizontal="left" vertical="top" wrapText="1"/>
      <protection locked="0"/>
    </xf>
    <xf numFmtId="0" fontId="17" fillId="0" borderId="19" xfId="1" applyFont="1" applyBorder="1" applyAlignment="1" applyProtection="1">
      <alignment horizontal="left" vertical="top" wrapText="1"/>
      <protection locked="0"/>
    </xf>
    <xf numFmtId="0" fontId="17" fillId="0" borderId="20"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8" fillId="0" borderId="17" xfId="0" applyNumberFormat="1" applyFont="1" applyFill="1" applyBorder="1" applyAlignment="1">
      <alignment horizontal="center" vertical="center" wrapText="1"/>
    </xf>
    <xf numFmtId="1" fontId="8" fillId="0" borderId="24" xfId="0" applyNumberFormat="1" applyFont="1" applyFill="1" applyBorder="1" applyAlignment="1">
      <alignment horizontal="center" vertical="center" wrapText="1"/>
    </xf>
    <xf numFmtId="1" fontId="8" fillId="0" borderId="18" xfId="0" applyNumberFormat="1" applyFont="1" applyFill="1" applyBorder="1" applyAlignment="1">
      <alignment horizontal="center" vertical="center" wrapText="1"/>
    </xf>
    <xf numFmtId="1" fontId="8" fillId="0" borderId="19" xfId="0" applyNumberFormat="1"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1" fontId="8" fillId="0" borderId="20" xfId="0" applyNumberFormat="1" applyFont="1" applyFill="1" applyBorder="1" applyAlignment="1">
      <alignment horizontal="center" vertical="center" wrapText="1"/>
    </xf>
    <xf numFmtId="0" fontId="11"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12</xdr:col>
      <xdr:colOff>553129</xdr:colOff>
      <xdr:row>439</xdr:row>
      <xdr:rowOff>53308</xdr:rowOff>
    </xdr:from>
    <xdr:to>
      <xdr:col>13</xdr:col>
      <xdr:colOff>715615</xdr:colOff>
      <xdr:row>440</xdr:row>
      <xdr:rowOff>191781</xdr:rowOff>
    </xdr:to>
    <xdr:sp macro="" textlink="">
      <xdr:nvSpPr>
        <xdr:cNvPr id="6" name="TextBox 5">
          <a:extLst>
            <a:ext uri="{FF2B5EF4-FFF2-40B4-BE49-F238E27FC236}">
              <a16:creationId xmlns="" xmlns:a16="http://schemas.microsoft.com/office/drawing/2014/main" id="{00000000-0008-0000-0000-000006000000}"/>
            </a:ext>
          </a:extLst>
        </xdr:cNvPr>
        <xdr:cNvSpPr txBox="1"/>
      </xdr:nvSpPr>
      <xdr:spPr>
        <a:xfrm>
          <a:off x="10414305" y="88647014"/>
          <a:ext cx="958104" cy="34017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800" b="1"/>
            <a:t>Wing</a:t>
          </a:r>
          <a:r>
            <a:rPr lang="en-IN" sz="1800" b="1" baseline="0"/>
            <a:t> A</a:t>
          </a:r>
          <a:endParaRPr lang="en-IN" sz="1800" b="1"/>
        </a:p>
      </xdr:txBody>
    </xdr:sp>
    <xdr:clientData/>
  </xdr:twoCellAnchor>
  <xdr:twoCellAnchor>
    <xdr:from>
      <xdr:col>15</xdr:col>
      <xdr:colOff>478050</xdr:colOff>
      <xdr:row>439</xdr:row>
      <xdr:rowOff>53629</xdr:rowOff>
    </xdr:from>
    <xdr:to>
      <xdr:col>17</xdr:col>
      <xdr:colOff>52226</xdr:colOff>
      <xdr:row>440</xdr:row>
      <xdr:rowOff>192102</xdr:rowOff>
    </xdr:to>
    <xdr:sp macro="" textlink="">
      <xdr:nvSpPr>
        <xdr:cNvPr id="8" name="TextBox 7">
          <a:extLst>
            <a:ext uri="{FF2B5EF4-FFF2-40B4-BE49-F238E27FC236}">
              <a16:creationId xmlns="" xmlns:a16="http://schemas.microsoft.com/office/drawing/2014/main" id="{00000000-0008-0000-0000-000008000000}"/>
            </a:ext>
          </a:extLst>
        </xdr:cNvPr>
        <xdr:cNvSpPr txBox="1"/>
      </xdr:nvSpPr>
      <xdr:spPr>
        <a:xfrm>
          <a:off x="13488079" y="88647335"/>
          <a:ext cx="963706" cy="34017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800" b="1"/>
            <a:t>Wing</a:t>
          </a:r>
          <a:r>
            <a:rPr lang="en-IN" sz="1800" b="1" baseline="0"/>
            <a:t> B</a:t>
          </a:r>
          <a:endParaRPr lang="en-IN" sz="1800" b="1"/>
        </a:p>
      </xdr:txBody>
    </xdr:sp>
    <xdr:clientData/>
  </xdr:twoCellAnchor>
  <xdr:twoCellAnchor editAs="oneCell">
    <xdr:from>
      <xdr:col>2</xdr:col>
      <xdr:colOff>714838</xdr:colOff>
      <xdr:row>482</xdr:row>
      <xdr:rowOff>128867</xdr:rowOff>
    </xdr:from>
    <xdr:to>
      <xdr:col>5</xdr:col>
      <xdr:colOff>182581</xdr:colOff>
      <xdr:row>494</xdr:row>
      <xdr:rowOff>62196</xdr:rowOff>
    </xdr:to>
    <xdr:pic>
      <xdr:nvPicPr>
        <xdr:cNvPr id="9" name="Picture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2286463" y="94092992"/>
          <a:ext cx="2015681" cy="2219328"/>
        </a:xfrm>
        <a:prstGeom prst="rect">
          <a:avLst/>
        </a:prstGeom>
        <a:ln w="3175">
          <a:solidFill>
            <a:schemeClr val="tx1"/>
          </a:solidFill>
        </a:ln>
      </xdr:spPr>
    </xdr:pic>
    <xdr:clientData/>
  </xdr:twoCellAnchor>
  <xdr:twoCellAnchor>
    <xdr:from>
      <xdr:col>2</xdr:col>
      <xdr:colOff>504266</xdr:colOff>
      <xdr:row>494</xdr:row>
      <xdr:rowOff>179881</xdr:rowOff>
    </xdr:from>
    <xdr:to>
      <xdr:col>5</xdr:col>
      <xdr:colOff>515746</xdr:colOff>
      <xdr:row>521</xdr:row>
      <xdr:rowOff>113097</xdr:rowOff>
    </xdr:to>
    <xdr:grpSp>
      <xdr:nvGrpSpPr>
        <xdr:cNvPr id="10" name="Group 9">
          <a:extLst>
            <a:ext uri="{FF2B5EF4-FFF2-40B4-BE49-F238E27FC236}">
              <a16:creationId xmlns="" xmlns:a16="http://schemas.microsoft.com/office/drawing/2014/main" id="{00000000-0008-0000-0000-00000A000000}"/>
            </a:ext>
          </a:extLst>
        </xdr:cNvPr>
        <xdr:cNvGrpSpPr/>
      </xdr:nvGrpSpPr>
      <xdr:grpSpPr>
        <a:xfrm>
          <a:off x="2066366" y="102440281"/>
          <a:ext cx="2554655" cy="5333891"/>
          <a:chOff x="2190329" y="3140330"/>
          <a:chExt cx="2544009" cy="5379274"/>
        </a:xfrm>
      </xdr:grpSpPr>
      <xdr:pic>
        <xdr:nvPicPr>
          <xdr:cNvPr id="11" name="Picture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2"/>
          <a:stretch>
            <a:fillRect/>
          </a:stretch>
        </xdr:blipFill>
        <xdr:spPr>
          <a:xfrm>
            <a:off x="2190329" y="3140330"/>
            <a:ext cx="2544009" cy="5379274"/>
          </a:xfrm>
          <a:prstGeom prst="rect">
            <a:avLst/>
          </a:prstGeom>
          <a:ln w="3175">
            <a:solidFill>
              <a:schemeClr val="tx1"/>
            </a:solidFill>
          </a:ln>
        </xdr:spPr>
      </xdr:pic>
      <xdr:sp macro="" textlink="">
        <xdr:nvSpPr>
          <xdr:cNvPr id="12" name="L-Shape 11">
            <a:extLst>
              <a:ext uri="{FF2B5EF4-FFF2-40B4-BE49-F238E27FC236}">
                <a16:creationId xmlns="" xmlns:a16="http://schemas.microsoft.com/office/drawing/2014/main" id="{00000000-0008-0000-0000-00000C000000}"/>
              </a:ext>
            </a:extLst>
          </xdr:cNvPr>
          <xdr:cNvSpPr/>
        </xdr:nvSpPr>
        <xdr:spPr>
          <a:xfrm rot="10800000">
            <a:off x="2938457" y="4089399"/>
            <a:ext cx="747716" cy="673101"/>
          </a:xfrm>
          <a:prstGeom prst="corner">
            <a:avLst>
              <a:gd name="adj1" fmla="val 58696"/>
              <a:gd name="adj2" fmla="val 55921"/>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L-Shape 12">
            <a:extLst>
              <a:ext uri="{FF2B5EF4-FFF2-40B4-BE49-F238E27FC236}">
                <a16:creationId xmlns="" xmlns:a16="http://schemas.microsoft.com/office/drawing/2014/main" id="{00000000-0008-0000-0000-00000D000000}"/>
              </a:ext>
            </a:extLst>
          </xdr:cNvPr>
          <xdr:cNvSpPr/>
        </xdr:nvSpPr>
        <xdr:spPr>
          <a:xfrm rot="16200000">
            <a:off x="2968938" y="4755832"/>
            <a:ext cx="677227" cy="738187"/>
          </a:xfrm>
          <a:prstGeom prst="corner">
            <a:avLst>
              <a:gd name="adj1" fmla="val 55408"/>
              <a:gd name="adj2" fmla="val 63212"/>
            </a:avLst>
          </a:prstGeom>
          <a:noFill/>
          <a:ln w="2857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1">
              <a:ln w="22225">
                <a:solidFill>
                  <a:schemeClr val="accent2"/>
                </a:solidFill>
                <a:prstDash val="solid"/>
              </a:ln>
              <a:solidFill>
                <a:schemeClr val="accent2">
                  <a:lumMod val="40000"/>
                  <a:lumOff val="60000"/>
                </a:schemeClr>
              </a:solidFill>
            </a:endParaRPr>
          </a:p>
        </xdr:txBody>
      </xdr:sp>
      <xdr:sp macro="" textlink="">
        <xdr:nvSpPr>
          <xdr:cNvPr id="14" name="TextBox 47">
            <a:extLst>
              <a:ext uri="{FF2B5EF4-FFF2-40B4-BE49-F238E27FC236}">
                <a16:creationId xmlns="" xmlns:a16="http://schemas.microsoft.com/office/drawing/2014/main" id="{00000000-0008-0000-0000-00000E000000}"/>
              </a:ext>
            </a:extLst>
          </xdr:cNvPr>
          <xdr:cNvSpPr txBox="1"/>
        </xdr:nvSpPr>
        <xdr:spPr>
          <a:xfrm>
            <a:off x="3131374" y="3858567"/>
            <a:ext cx="545271" cy="230832"/>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0000FF"/>
                </a:solidFill>
              </a:rPr>
              <a:t>Wing A</a:t>
            </a:r>
            <a:endParaRPr lang="en-IN" sz="900" b="1">
              <a:solidFill>
                <a:srgbClr val="0000FF"/>
              </a:solidFill>
            </a:endParaRPr>
          </a:p>
        </xdr:txBody>
      </xdr:sp>
      <xdr:sp macro="" textlink="">
        <xdr:nvSpPr>
          <xdr:cNvPr id="15" name="TextBox 59">
            <a:extLst>
              <a:ext uri="{FF2B5EF4-FFF2-40B4-BE49-F238E27FC236}">
                <a16:creationId xmlns="" xmlns:a16="http://schemas.microsoft.com/office/drawing/2014/main" id="{00000000-0008-0000-0000-00000F000000}"/>
              </a:ext>
            </a:extLst>
          </xdr:cNvPr>
          <xdr:cNvSpPr txBox="1"/>
        </xdr:nvSpPr>
        <xdr:spPr>
          <a:xfrm>
            <a:off x="3083707" y="5480670"/>
            <a:ext cx="545271" cy="233205"/>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t>Wing B</a:t>
            </a:r>
            <a:endParaRPr lang="en-IN" sz="900" b="1"/>
          </a:p>
        </xdr:txBody>
      </xdr:sp>
    </xdr:grpSp>
    <xdr:clientData/>
  </xdr:twoCellAnchor>
  <xdr:twoCellAnchor editAs="oneCell">
    <xdr:from>
      <xdr:col>1</xdr:col>
      <xdr:colOff>92745</xdr:colOff>
      <xdr:row>526</xdr:row>
      <xdr:rowOff>62192</xdr:rowOff>
    </xdr:from>
    <xdr:to>
      <xdr:col>7</xdr:col>
      <xdr:colOff>296038</xdr:colOff>
      <xdr:row>543</xdr:row>
      <xdr:rowOff>151942</xdr:rowOff>
    </xdr:to>
    <xdr:pic>
      <xdr:nvPicPr>
        <xdr:cNvPr id="16" name="Picture 15">
          <a:extLst>
            <a:ext uri="{FF2B5EF4-FFF2-40B4-BE49-F238E27FC236}">
              <a16:creationId xmlns="" xmlns:a16="http://schemas.microsoft.com/office/drawing/2014/main" id="{00000000-0008-0000-0000-000010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54745" y="102408317"/>
          <a:ext cx="5037231" cy="3328250"/>
        </a:xfrm>
        <a:prstGeom prst="rect">
          <a:avLst/>
        </a:prstGeom>
        <a:ln w="3175">
          <a:solidFill>
            <a:schemeClr val="tx1"/>
          </a:solidFill>
        </a:ln>
      </xdr:spPr>
    </xdr:pic>
    <xdr:clientData/>
  </xdr:twoCellAnchor>
  <xdr:twoCellAnchor>
    <xdr:from>
      <xdr:col>0</xdr:col>
      <xdr:colOff>604381</xdr:colOff>
      <xdr:row>544</xdr:row>
      <xdr:rowOff>109085</xdr:rowOff>
    </xdr:from>
    <xdr:to>
      <xdr:col>7</xdr:col>
      <xdr:colOff>787926</xdr:colOff>
      <xdr:row>566</xdr:row>
      <xdr:rowOff>7002</xdr:rowOff>
    </xdr:to>
    <xdr:grpSp>
      <xdr:nvGrpSpPr>
        <xdr:cNvPr id="52" name="Group 51">
          <a:extLst>
            <a:ext uri="{FF2B5EF4-FFF2-40B4-BE49-F238E27FC236}">
              <a16:creationId xmlns="" xmlns:a16="http://schemas.microsoft.com/office/drawing/2014/main" id="{00000000-0008-0000-0000-000034000000}"/>
            </a:ext>
          </a:extLst>
        </xdr:cNvPr>
        <xdr:cNvGrpSpPr/>
      </xdr:nvGrpSpPr>
      <xdr:grpSpPr>
        <a:xfrm>
          <a:off x="604381" y="112370735"/>
          <a:ext cx="5765195" cy="4298467"/>
          <a:chOff x="321634" y="71797318"/>
          <a:chExt cx="5762474" cy="4334430"/>
        </a:xfrm>
      </xdr:grpSpPr>
      <xdr:pic>
        <xdr:nvPicPr>
          <xdr:cNvPr id="46" name="Picture 45">
            <a:extLst>
              <a:ext uri="{FF2B5EF4-FFF2-40B4-BE49-F238E27FC236}">
                <a16:creationId xmlns="" xmlns:a16="http://schemas.microsoft.com/office/drawing/2014/main" id="{00000000-0008-0000-0000-00002E000000}"/>
              </a:ext>
            </a:extLst>
          </xdr:cNvPr>
          <xdr:cNvPicPr>
            <a:picLocks noChangeAspect="1"/>
          </xdr:cNvPicPr>
        </xdr:nvPicPr>
        <xdr:blipFill>
          <a:blip xmlns:r="http://schemas.openxmlformats.org/officeDocument/2006/relationships" r:embed="rId4"/>
          <a:stretch>
            <a:fillRect/>
          </a:stretch>
        </xdr:blipFill>
        <xdr:spPr>
          <a:xfrm>
            <a:off x="321634" y="71813767"/>
            <a:ext cx="5762474" cy="4317981"/>
          </a:xfrm>
          <a:prstGeom prst="rect">
            <a:avLst/>
          </a:prstGeom>
          <a:ln w="9525">
            <a:solidFill>
              <a:schemeClr val="tx1"/>
            </a:solidFill>
          </a:ln>
        </xdr:spPr>
      </xdr:pic>
      <xdr:sp macro="" textlink="">
        <xdr:nvSpPr>
          <xdr:cNvPr id="34" name="TextBox 33">
            <a:extLst>
              <a:ext uri="{FF2B5EF4-FFF2-40B4-BE49-F238E27FC236}">
                <a16:creationId xmlns="" xmlns:a16="http://schemas.microsoft.com/office/drawing/2014/main" id="{00000000-0008-0000-0000-000022000000}"/>
              </a:ext>
            </a:extLst>
          </xdr:cNvPr>
          <xdr:cNvSpPr txBox="1"/>
        </xdr:nvSpPr>
        <xdr:spPr>
          <a:xfrm rot="16797159">
            <a:off x="2498524" y="73814313"/>
            <a:ext cx="1639745" cy="307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chemeClr val="bg1"/>
                </a:solidFill>
              </a:rPr>
              <a:t>Railway</a:t>
            </a:r>
            <a:r>
              <a:rPr lang="en-IN" sz="1400" b="1" baseline="0">
                <a:solidFill>
                  <a:schemeClr val="bg1"/>
                </a:solidFill>
              </a:rPr>
              <a:t> Track</a:t>
            </a:r>
            <a:endParaRPr lang="en-IN" sz="1400" b="1">
              <a:solidFill>
                <a:schemeClr val="bg1"/>
              </a:solidFill>
            </a:endParaRPr>
          </a:p>
        </xdr:txBody>
      </xdr:sp>
      <xdr:cxnSp macro="">
        <xdr:nvCxnSpPr>
          <xdr:cNvPr id="36" name="Straight Connector 35">
            <a:extLst>
              <a:ext uri="{FF2B5EF4-FFF2-40B4-BE49-F238E27FC236}">
                <a16:creationId xmlns="" xmlns:a16="http://schemas.microsoft.com/office/drawing/2014/main" id="{00000000-0008-0000-0000-000024000000}"/>
              </a:ext>
            </a:extLst>
          </xdr:cNvPr>
          <xdr:cNvCxnSpPr/>
        </xdr:nvCxnSpPr>
        <xdr:spPr>
          <a:xfrm flipH="1">
            <a:off x="3076851" y="71818495"/>
            <a:ext cx="829007" cy="4302050"/>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a:extLst>
              <a:ext uri="{FF2B5EF4-FFF2-40B4-BE49-F238E27FC236}">
                <a16:creationId xmlns="" xmlns:a16="http://schemas.microsoft.com/office/drawing/2014/main" id="{00000000-0008-0000-0000-000026000000}"/>
              </a:ext>
            </a:extLst>
          </xdr:cNvPr>
          <xdr:cNvCxnSpPr/>
        </xdr:nvCxnSpPr>
        <xdr:spPr>
          <a:xfrm flipH="1">
            <a:off x="2721429" y="71797318"/>
            <a:ext cx="782573" cy="4307431"/>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Freeform 44">
            <a:extLst>
              <a:ext uri="{FF2B5EF4-FFF2-40B4-BE49-F238E27FC236}">
                <a16:creationId xmlns="" xmlns:a16="http://schemas.microsoft.com/office/drawing/2014/main" id="{00000000-0008-0000-0000-00002D000000}"/>
              </a:ext>
            </a:extLst>
          </xdr:cNvPr>
          <xdr:cNvSpPr/>
        </xdr:nvSpPr>
        <xdr:spPr>
          <a:xfrm>
            <a:off x="2412458" y="73700443"/>
            <a:ext cx="679596" cy="1632936"/>
          </a:xfrm>
          <a:custGeom>
            <a:avLst/>
            <a:gdLst>
              <a:gd name="connsiteX0" fmla="*/ 0 w 428625"/>
              <a:gd name="connsiteY0" fmla="*/ 342900 h 1000125"/>
              <a:gd name="connsiteX1" fmla="*/ 66675 w 428625"/>
              <a:gd name="connsiteY1" fmla="*/ 28575 h 1000125"/>
              <a:gd name="connsiteX2" fmla="*/ 428625 w 428625"/>
              <a:gd name="connsiteY2" fmla="*/ 0 h 1000125"/>
              <a:gd name="connsiteX3" fmla="*/ 209550 w 428625"/>
              <a:gd name="connsiteY3" fmla="*/ 962025 h 1000125"/>
              <a:gd name="connsiteX4" fmla="*/ 85725 w 428625"/>
              <a:gd name="connsiteY4" fmla="*/ 1000125 h 1000125"/>
              <a:gd name="connsiteX5" fmla="*/ 238125 w 428625"/>
              <a:gd name="connsiteY5" fmla="*/ 409575 h 1000125"/>
              <a:gd name="connsiteX6" fmla="*/ 0 w 428625"/>
              <a:gd name="connsiteY6" fmla="*/ 342900 h 1000125"/>
              <a:gd name="connsiteX0" fmla="*/ 0 w 428625"/>
              <a:gd name="connsiteY0" fmla="*/ 342900 h 1000125"/>
              <a:gd name="connsiteX1" fmla="*/ 66675 w 428625"/>
              <a:gd name="connsiteY1" fmla="*/ 28575 h 1000125"/>
              <a:gd name="connsiteX2" fmla="*/ 428625 w 428625"/>
              <a:gd name="connsiteY2" fmla="*/ 0 h 1000125"/>
              <a:gd name="connsiteX3" fmla="*/ 261931 w 428625"/>
              <a:gd name="connsiteY3" fmla="*/ 728639 h 1000125"/>
              <a:gd name="connsiteX4" fmla="*/ 85725 w 428625"/>
              <a:gd name="connsiteY4" fmla="*/ 1000125 h 1000125"/>
              <a:gd name="connsiteX5" fmla="*/ 238125 w 428625"/>
              <a:gd name="connsiteY5" fmla="*/ 409575 h 1000125"/>
              <a:gd name="connsiteX6" fmla="*/ 0 w 428625"/>
              <a:gd name="connsiteY6" fmla="*/ 342900 h 1000125"/>
              <a:gd name="connsiteX0" fmla="*/ 0 w 428625"/>
              <a:gd name="connsiteY0" fmla="*/ 342900 h 769193"/>
              <a:gd name="connsiteX1" fmla="*/ 66675 w 428625"/>
              <a:gd name="connsiteY1" fmla="*/ 28575 h 769193"/>
              <a:gd name="connsiteX2" fmla="*/ 428625 w 428625"/>
              <a:gd name="connsiteY2" fmla="*/ 0 h 769193"/>
              <a:gd name="connsiteX3" fmla="*/ 261931 w 428625"/>
              <a:gd name="connsiteY3" fmla="*/ 728639 h 769193"/>
              <a:gd name="connsiteX4" fmla="*/ 119723 w 428625"/>
              <a:gd name="connsiteY4" fmla="*/ 769193 h 769193"/>
              <a:gd name="connsiteX5" fmla="*/ 238125 w 428625"/>
              <a:gd name="connsiteY5" fmla="*/ 409575 h 769193"/>
              <a:gd name="connsiteX6" fmla="*/ 0 w 428625"/>
              <a:gd name="connsiteY6" fmla="*/ 342900 h 769193"/>
              <a:gd name="connsiteX0" fmla="*/ 0 w 428625"/>
              <a:gd name="connsiteY0" fmla="*/ 342900 h 736112"/>
              <a:gd name="connsiteX1" fmla="*/ 66675 w 428625"/>
              <a:gd name="connsiteY1" fmla="*/ 28575 h 736112"/>
              <a:gd name="connsiteX2" fmla="*/ 428625 w 428625"/>
              <a:gd name="connsiteY2" fmla="*/ 0 h 736112"/>
              <a:gd name="connsiteX3" fmla="*/ 261931 w 428625"/>
              <a:gd name="connsiteY3" fmla="*/ 728639 h 736112"/>
              <a:gd name="connsiteX4" fmla="*/ 122641 w 428625"/>
              <a:gd name="connsiteY4" fmla="*/ 736112 h 736112"/>
              <a:gd name="connsiteX5" fmla="*/ 238125 w 428625"/>
              <a:gd name="connsiteY5" fmla="*/ 409575 h 736112"/>
              <a:gd name="connsiteX6" fmla="*/ 0 w 428625"/>
              <a:gd name="connsiteY6" fmla="*/ 342900 h 736112"/>
              <a:gd name="connsiteX0" fmla="*/ 0 w 428625"/>
              <a:gd name="connsiteY0" fmla="*/ 342900 h 728639"/>
              <a:gd name="connsiteX1" fmla="*/ 66675 w 428625"/>
              <a:gd name="connsiteY1" fmla="*/ 28575 h 728639"/>
              <a:gd name="connsiteX2" fmla="*/ 428625 w 428625"/>
              <a:gd name="connsiteY2" fmla="*/ 0 h 728639"/>
              <a:gd name="connsiteX3" fmla="*/ 261931 w 428625"/>
              <a:gd name="connsiteY3" fmla="*/ 728639 h 728639"/>
              <a:gd name="connsiteX4" fmla="*/ 164513 w 428625"/>
              <a:gd name="connsiteY4" fmla="*/ 724801 h 728639"/>
              <a:gd name="connsiteX5" fmla="*/ 238125 w 428625"/>
              <a:gd name="connsiteY5" fmla="*/ 409575 h 728639"/>
              <a:gd name="connsiteX6" fmla="*/ 0 w 428625"/>
              <a:gd name="connsiteY6" fmla="*/ 342900 h 728639"/>
              <a:gd name="connsiteX0" fmla="*/ 0 w 428625"/>
              <a:gd name="connsiteY0" fmla="*/ 342900 h 724801"/>
              <a:gd name="connsiteX1" fmla="*/ 66675 w 428625"/>
              <a:gd name="connsiteY1" fmla="*/ 28575 h 724801"/>
              <a:gd name="connsiteX2" fmla="*/ 428625 w 428625"/>
              <a:gd name="connsiteY2" fmla="*/ 0 h 724801"/>
              <a:gd name="connsiteX3" fmla="*/ 263974 w 428625"/>
              <a:gd name="connsiteY3" fmla="*/ 705482 h 724801"/>
              <a:gd name="connsiteX4" fmla="*/ 164513 w 428625"/>
              <a:gd name="connsiteY4" fmla="*/ 724801 h 724801"/>
              <a:gd name="connsiteX5" fmla="*/ 238125 w 428625"/>
              <a:gd name="connsiteY5" fmla="*/ 409575 h 724801"/>
              <a:gd name="connsiteX6" fmla="*/ 0 w 428625"/>
              <a:gd name="connsiteY6" fmla="*/ 342900 h 724801"/>
              <a:gd name="connsiteX0" fmla="*/ 0 w 428625"/>
              <a:gd name="connsiteY0" fmla="*/ 342900 h 724801"/>
              <a:gd name="connsiteX1" fmla="*/ 66675 w 428625"/>
              <a:gd name="connsiteY1" fmla="*/ 28575 h 724801"/>
              <a:gd name="connsiteX2" fmla="*/ 428625 w 428625"/>
              <a:gd name="connsiteY2" fmla="*/ 0 h 724801"/>
              <a:gd name="connsiteX3" fmla="*/ 263974 w 428625"/>
              <a:gd name="connsiteY3" fmla="*/ 705482 h 724801"/>
              <a:gd name="connsiteX4" fmla="*/ 164513 w 428625"/>
              <a:gd name="connsiteY4" fmla="*/ 724801 h 724801"/>
              <a:gd name="connsiteX5" fmla="*/ 250491 w 428625"/>
              <a:gd name="connsiteY5" fmla="*/ 385244 h 724801"/>
              <a:gd name="connsiteX6" fmla="*/ 0 w 428625"/>
              <a:gd name="connsiteY6" fmla="*/ 342900 h 724801"/>
              <a:gd name="connsiteX0" fmla="*/ 0 w 419433"/>
              <a:gd name="connsiteY0" fmla="*/ 315928 h 724801"/>
              <a:gd name="connsiteX1" fmla="*/ 57483 w 419433"/>
              <a:gd name="connsiteY1" fmla="*/ 28575 h 724801"/>
              <a:gd name="connsiteX2" fmla="*/ 419433 w 419433"/>
              <a:gd name="connsiteY2" fmla="*/ 0 h 724801"/>
              <a:gd name="connsiteX3" fmla="*/ 254782 w 419433"/>
              <a:gd name="connsiteY3" fmla="*/ 705482 h 724801"/>
              <a:gd name="connsiteX4" fmla="*/ 155321 w 419433"/>
              <a:gd name="connsiteY4" fmla="*/ 724801 h 724801"/>
              <a:gd name="connsiteX5" fmla="*/ 241299 w 419433"/>
              <a:gd name="connsiteY5" fmla="*/ 385244 h 724801"/>
              <a:gd name="connsiteX6" fmla="*/ 0 w 419433"/>
              <a:gd name="connsiteY6" fmla="*/ 315928 h 724801"/>
              <a:gd name="connsiteX0" fmla="*/ 0 w 419433"/>
              <a:gd name="connsiteY0" fmla="*/ 315928 h 724801"/>
              <a:gd name="connsiteX1" fmla="*/ 57483 w 419433"/>
              <a:gd name="connsiteY1" fmla="*/ 28575 h 724801"/>
              <a:gd name="connsiteX2" fmla="*/ 419433 w 419433"/>
              <a:gd name="connsiteY2" fmla="*/ 0 h 724801"/>
              <a:gd name="connsiteX3" fmla="*/ 254782 w 419433"/>
              <a:gd name="connsiteY3" fmla="*/ 705482 h 724801"/>
              <a:gd name="connsiteX4" fmla="*/ 155321 w 419433"/>
              <a:gd name="connsiteY4" fmla="*/ 724801 h 724801"/>
              <a:gd name="connsiteX5" fmla="*/ 220062 w 419433"/>
              <a:gd name="connsiteY5" fmla="*/ 407894 h 724801"/>
              <a:gd name="connsiteX6" fmla="*/ 0 w 419433"/>
              <a:gd name="connsiteY6" fmla="*/ 315928 h 724801"/>
              <a:gd name="connsiteX0" fmla="*/ 0 w 440670"/>
              <a:gd name="connsiteY0" fmla="*/ 352168 h 724801"/>
              <a:gd name="connsiteX1" fmla="*/ 78720 w 440670"/>
              <a:gd name="connsiteY1" fmla="*/ 28575 h 724801"/>
              <a:gd name="connsiteX2" fmla="*/ 440670 w 440670"/>
              <a:gd name="connsiteY2" fmla="*/ 0 h 724801"/>
              <a:gd name="connsiteX3" fmla="*/ 276019 w 440670"/>
              <a:gd name="connsiteY3" fmla="*/ 705482 h 724801"/>
              <a:gd name="connsiteX4" fmla="*/ 176558 w 440670"/>
              <a:gd name="connsiteY4" fmla="*/ 724801 h 724801"/>
              <a:gd name="connsiteX5" fmla="*/ 241299 w 440670"/>
              <a:gd name="connsiteY5" fmla="*/ 407894 h 724801"/>
              <a:gd name="connsiteX6" fmla="*/ 0 w 440670"/>
              <a:gd name="connsiteY6" fmla="*/ 352168 h 724801"/>
              <a:gd name="connsiteX0" fmla="*/ 0 w 440670"/>
              <a:gd name="connsiteY0" fmla="*/ 352168 h 724801"/>
              <a:gd name="connsiteX1" fmla="*/ 78720 w 440670"/>
              <a:gd name="connsiteY1" fmla="*/ 28575 h 724801"/>
              <a:gd name="connsiteX2" fmla="*/ 440670 w 440670"/>
              <a:gd name="connsiteY2" fmla="*/ 0 h 724801"/>
              <a:gd name="connsiteX3" fmla="*/ 276019 w 440670"/>
              <a:gd name="connsiteY3" fmla="*/ 705482 h 724801"/>
              <a:gd name="connsiteX4" fmla="*/ 176558 w 440670"/>
              <a:gd name="connsiteY4" fmla="*/ 724801 h 724801"/>
              <a:gd name="connsiteX5" fmla="*/ 230681 w 440670"/>
              <a:gd name="connsiteY5" fmla="*/ 439604 h 724801"/>
              <a:gd name="connsiteX6" fmla="*/ 0 w 440670"/>
              <a:gd name="connsiteY6" fmla="*/ 352168 h 724801"/>
              <a:gd name="connsiteX0" fmla="*/ 0 w 440670"/>
              <a:gd name="connsiteY0" fmla="*/ 352168 h 741584"/>
              <a:gd name="connsiteX1" fmla="*/ 78720 w 440670"/>
              <a:gd name="connsiteY1" fmla="*/ 28575 h 741584"/>
              <a:gd name="connsiteX2" fmla="*/ 440670 w 440670"/>
              <a:gd name="connsiteY2" fmla="*/ 0 h 741584"/>
              <a:gd name="connsiteX3" fmla="*/ 276019 w 440670"/>
              <a:gd name="connsiteY3" fmla="*/ 705482 h 741584"/>
              <a:gd name="connsiteX4" fmla="*/ 168344 w 440670"/>
              <a:gd name="connsiteY4" fmla="*/ 741584 h 741584"/>
              <a:gd name="connsiteX5" fmla="*/ 230681 w 440670"/>
              <a:gd name="connsiteY5" fmla="*/ 439604 h 741584"/>
              <a:gd name="connsiteX6" fmla="*/ 0 w 440670"/>
              <a:gd name="connsiteY6" fmla="*/ 352168 h 741584"/>
              <a:gd name="connsiteX0" fmla="*/ 0 w 440670"/>
              <a:gd name="connsiteY0" fmla="*/ 352168 h 741584"/>
              <a:gd name="connsiteX1" fmla="*/ 78720 w 440670"/>
              <a:gd name="connsiteY1" fmla="*/ 28575 h 741584"/>
              <a:gd name="connsiteX2" fmla="*/ 440670 w 440670"/>
              <a:gd name="connsiteY2" fmla="*/ 0 h 741584"/>
              <a:gd name="connsiteX3" fmla="*/ 267805 w 440670"/>
              <a:gd name="connsiteY3" fmla="*/ 728977 h 741584"/>
              <a:gd name="connsiteX4" fmla="*/ 168344 w 440670"/>
              <a:gd name="connsiteY4" fmla="*/ 741584 h 741584"/>
              <a:gd name="connsiteX5" fmla="*/ 230681 w 440670"/>
              <a:gd name="connsiteY5" fmla="*/ 439604 h 741584"/>
              <a:gd name="connsiteX6" fmla="*/ 0 w 440670"/>
              <a:gd name="connsiteY6" fmla="*/ 352168 h 741584"/>
              <a:gd name="connsiteX0" fmla="*/ 0 w 440670"/>
              <a:gd name="connsiteY0" fmla="*/ 352168 h 751653"/>
              <a:gd name="connsiteX1" fmla="*/ 78720 w 440670"/>
              <a:gd name="connsiteY1" fmla="*/ 28575 h 751653"/>
              <a:gd name="connsiteX2" fmla="*/ 440670 w 440670"/>
              <a:gd name="connsiteY2" fmla="*/ 0 h 751653"/>
              <a:gd name="connsiteX3" fmla="*/ 267805 w 440670"/>
              <a:gd name="connsiteY3" fmla="*/ 728977 h 751653"/>
              <a:gd name="connsiteX4" fmla="*/ 160130 w 440670"/>
              <a:gd name="connsiteY4" fmla="*/ 751653 h 751653"/>
              <a:gd name="connsiteX5" fmla="*/ 230681 w 440670"/>
              <a:gd name="connsiteY5" fmla="*/ 439604 h 751653"/>
              <a:gd name="connsiteX6" fmla="*/ 0 w 440670"/>
              <a:gd name="connsiteY6" fmla="*/ 352168 h 751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40670" h="751653">
                <a:moveTo>
                  <a:pt x="0" y="352168"/>
                </a:moveTo>
                <a:lnTo>
                  <a:pt x="78720" y="28575"/>
                </a:lnTo>
                <a:lnTo>
                  <a:pt x="440670" y="0"/>
                </a:lnTo>
                <a:lnTo>
                  <a:pt x="267805" y="728977"/>
                </a:lnTo>
                <a:lnTo>
                  <a:pt x="160130" y="751653"/>
                </a:lnTo>
                <a:lnTo>
                  <a:pt x="230681" y="439604"/>
                </a:lnTo>
                <a:lnTo>
                  <a:pt x="0" y="352168"/>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8</xdr:col>
      <xdr:colOff>304800</xdr:colOff>
      <xdr:row>438</xdr:row>
      <xdr:rowOff>9524</xdr:rowOff>
    </xdr:from>
    <xdr:to>
      <xdr:col>15</xdr:col>
      <xdr:colOff>514350</xdr:colOff>
      <xdr:row>479</xdr:row>
      <xdr:rowOff>190500</xdr:rowOff>
    </xdr:to>
    <xdr:grpSp>
      <xdr:nvGrpSpPr>
        <xdr:cNvPr id="44" name="Group 43">
          <a:extLst>
            <a:ext uri="{FF2B5EF4-FFF2-40B4-BE49-F238E27FC236}">
              <a16:creationId xmlns="" xmlns:a16="http://schemas.microsoft.com/office/drawing/2014/main" id="{D5F6EF54-A7EC-4284-A18A-C5C2732F6E8F}"/>
            </a:ext>
          </a:extLst>
        </xdr:cNvPr>
        <xdr:cNvGrpSpPr/>
      </xdr:nvGrpSpPr>
      <xdr:grpSpPr>
        <a:xfrm>
          <a:off x="7315200" y="91068524"/>
          <a:ext cx="6200775" cy="8382001"/>
          <a:chOff x="690901" y="0"/>
          <a:chExt cx="4795555" cy="8088568"/>
        </a:xfrm>
      </xdr:grpSpPr>
      <xdr:grpSp>
        <xdr:nvGrpSpPr>
          <xdr:cNvPr id="47" name="Group 46">
            <a:extLst>
              <a:ext uri="{FF2B5EF4-FFF2-40B4-BE49-F238E27FC236}">
                <a16:creationId xmlns="" xmlns:a16="http://schemas.microsoft.com/office/drawing/2014/main" id="{ECC4E94D-B26D-46DD-9389-EEF7FC269DBE}"/>
              </a:ext>
            </a:extLst>
          </xdr:cNvPr>
          <xdr:cNvGrpSpPr/>
        </xdr:nvGrpSpPr>
        <xdr:grpSpPr>
          <a:xfrm>
            <a:off x="690901" y="0"/>
            <a:ext cx="4795555" cy="8088568"/>
            <a:chOff x="729001" y="207166"/>
            <a:chExt cx="4795555" cy="8088568"/>
          </a:xfrm>
        </xdr:grpSpPr>
        <xdr:pic>
          <xdr:nvPicPr>
            <xdr:cNvPr id="54" name="Picture 53">
              <a:extLst>
                <a:ext uri="{FF2B5EF4-FFF2-40B4-BE49-F238E27FC236}">
                  <a16:creationId xmlns="" xmlns:a16="http://schemas.microsoft.com/office/drawing/2014/main" id="{758CE3BB-BE01-41AE-828E-4CC611331DB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29001" y="207166"/>
              <a:ext cx="4795555" cy="3600000"/>
            </a:xfrm>
            <a:prstGeom prst="rect">
              <a:avLst/>
            </a:prstGeom>
            <a:ln>
              <a:solidFill>
                <a:schemeClr val="tx1"/>
              </a:solidFill>
            </a:ln>
          </xdr:spPr>
        </xdr:pic>
        <xdr:pic>
          <xdr:nvPicPr>
            <xdr:cNvPr id="55" name="Picture 54">
              <a:extLst>
                <a:ext uri="{FF2B5EF4-FFF2-40B4-BE49-F238E27FC236}">
                  <a16:creationId xmlns="" xmlns:a16="http://schemas.microsoft.com/office/drawing/2014/main" id="{5E79AB6F-DCCD-4E55-9722-10E98ECE38CD}"/>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05201" y="3981450"/>
              <a:ext cx="1618312" cy="2160000"/>
            </a:xfrm>
            <a:prstGeom prst="rect">
              <a:avLst/>
            </a:prstGeom>
            <a:ln>
              <a:solidFill>
                <a:schemeClr val="tx1"/>
              </a:solidFill>
            </a:ln>
          </xdr:spPr>
        </xdr:pic>
        <xdr:pic>
          <xdr:nvPicPr>
            <xdr:cNvPr id="56" name="Picture 55">
              <a:extLst>
                <a:ext uri="{FF2B5EF4-FFF2-40B4-BE49-F238E27FC236}">
                  <a16:creationId xmlns="" xmlns:a16="http://schemas.microsoft.com/office/drawing/2014/main" id="{BEB0B678-0742-47BB-95FE-5A4E882C9AC1}"/>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609123" y="3981450"/>
              <a:ext cx="2877333" cy="2160000"/>
            </a:xfrm>
            <a:prstGeom prst="rect">
              <a:avLst/>
            </a:prstGeom>
            <a:ln>
              <a:solidFill>
                <a:schemeClr val="tx1"/>
              </a:solidFill>
            </a:ln>
          </xdr:spPr>
        </xdr:pic>
        <xdr:pic>
          <xdr:nvPicPr>
            <xdr:cNvPr id="57" name="Picture 56">
              <a:extLst>
                <a:ext uri="{FF2B5EF4-FFF2-40B4-BE49-F238E27FC236}">
                  <a16:creationId xmlns="" xmlns:a16="http://schemas.microsoft.com/office/drawing/2014/main" id="{76CF594A-D166-4544-B31F-E8848F42C1BE}"/>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509038" y="6315734"/>
              <a:ext cx="1483453" cy="1980000"/>
            </a:xfrm>
            <a:prstGeom prst="rect">
              <a:avLst/>
            </a:prstGeom>
            <a:ln>
              <a:solidFill>
                <a:schemeClr val="tx1"/>
              </a:solidFill>
            </a:ln>
          </xdr:spPr>
        </xdr:pic>
        <xdr:pic>
          <xdr:nvPicPr>
            <xdr:cNvPr id="58" name="Picture 57">
              <a:extLst>
                <a:ext uri="{FF2B5EF4-FFF2-40B4-BE49-F238E27FC236}">
                  <a16:creationId xmlns="" xmlns:a16="http://schemas.microsoft.com/office/drawing/2014/main" id="{F9395559-81F9-4D7C-AAD4-B90998348859}"/>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126778" y="6315734"/>
              <a:ext cx="1483453" cy="1980000"/>
            </a:xfrm>
            <a:prstGeom prst="rect">
              <a:avLst/>
            </a:prstGeom>
            <a:ln>
              <a:solidFill>
                <a:schemeClr val="tx1"/>
              </a:solidFill>
            </a:ln>
          </xdr:spPr>
        </xdr:pic>
      </xdr:grpSp>
      <xdr:sp macro="" textlink="">
        <xdr:nvSpPr>
          <xdr:cNvPr id="48" name="TextBox 175">
            <a:extLst>
              <a:ext uri="{FF2B5EF4-FFF2-40B4-BE49-F238E27FC236}">
                <a16:creationId xmlns="" xmlns:a16="http://schemas.microsoft.com/office/drawing/2014/main" id="{441C4FD8-8490-4F47-812E-4314236D6A8B}"/>
              </a:ext>
            </a:extLst>
          </xdr:cNvPr>
          <xdr:cNvSpPr txBox="1"/>
        </xdr:nvSpPr>
        <xdr:spPr>
          <a:xfrm>
            <a:off x="1576257" y="763044"/>
            <a:ext cx="433132"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solidFill>
                  <a:srgbClr val="FF0000"/>
                </a:solidFill>
              </a:rPr>
              <a:t>A</a:t>
            </a:r>
            <a:endParaRPr lang="en-IN" sz="3200" b="1">
              <a:solidFill>
                <a:srgbClr val="FF0000"/>
              </a:solidFill>
            </a:endParaRPr>
          </a:p>
        </xdr:txBody>
      </xdr:sp>
      <xdr:sp macro="" textlink="">
        <xdr:nvSpPr>
          <xdr:cNvPr id="49" name="TextBox 176">
            <a:extLst>
              <a:ext uri="{FF2B5EF4-FFF2-40B4-BE49-F238E27FC236}">
                <a16:creationId xmlns="" xmlns:a16="http://schemas.microsoft.com/office/drawing/2014/main" id="{E21E34D9-094E-434C-8CC7-B8060658476A}"/>
              </a:ext>
            </a:extLst>
          </xdr:cNvPr>
          <xdr:cNvSpPr txBox="1"/>
        </xdr:nvSpPr>
        <xdr:spPr>
          <a:xfrm>
            <a:off x="3314790" y="178269"/>
            <a:ext cx="415498"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solidFill>
                  <a:srgbClr val="FF0000"/>
                </a:solidFill>
              </a:rPr>
              <a:t>B</a:t>
            </a:r>
            <a:endParaRPr lang="en-IN" sz="3200" b="1">
              <a:solidFill>
                <a:srgbClr val="FF0000"/>
              </a:solidFill>
            </a:endParaRPr>
          </a:p>
        </xdr:txBody>
      </xdr:sp>
      <xdr:sp macro="" textlink="">
        <xdr:nvSpPr>
          <xdr:cNvPr id="50" name="TextBox 177">
            <a:extLst>
              <a:ext uri="{FF2B5EF4-FFF2-40B4-BE49-F238E27FC236}">
                <a16:creationId xmlns="" xmlns:a16="http://schemas.microsoft.com/office/drawing/2014/main" id="{9DD52EFE-E4F9-4F1F-BC1E-104A1C12FC78}"/>
              </a:ext>
            </a:extLst>
          </xdr:cNvPr>
          <xdr:cNvSpPr txBox="1"/>
        </xdr:nvSpPr>
        <xdr:spPr>
          <a:xfrm>
            <a:off x="2905865" y="3937784"/>
            <a:ext cx="433132"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solidFill>
                  <a:srgbClr val="FF0000"/>
                </a:solidFill>
              </a:rPr>
              <a:t>A</a:t>
            </a:r>
            <a:endParaRPr lang="en-IN" sz="3200" b="1">
              <a:solidFill>
                <a:srgbClr val="FF0000"/>
              </a:solidFill>
            </a:endParaRPr>
          </a:p>
        </xdr:txBody>
      </xdr:sp>
      <xdr:sp macro="" textlink="">
        <xdr:nvSpPr>
          <xdr:cNvPr id="51" name="TextBox 178">
            <a:extLst>
              <a:ext uri="{FF2B5EF4-FFF2-40B4-BE49-F238E27FC236}">
                <a16:creationId xmlns="" xmlns:a16="http://schemas.microsoft.com/office/drawing/2014/main" id="{E095A936-3373-44D7-9B6E-7C3141480744}"/>
              </a:ext>
            </a:extLst>
          </xdr:cNvPr>
          <xdr:cNvSpPr txBox="1"/>
        </xdr:nvSpPr>
        <xdr:spPr>
          <a:xfrm>
            <a:off x="4355565" y="3937783"/>
            <a:ext cx="415498"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solidFill>
                  <a:srgbClr val="FF0000"/>
                </a:solidFill>
              </a:rPr>
              <a:t>B</a:t>
            </a:r>
            <a:endParaRPr lang="en-IN" sz="3200" b="1">
              <a:solidFill>
                <a:srgbClr val="FF0000"/>
              </a:solidFill>
            </a:endParaRPr>
          </a:p>
        </xdr:txBody>
      </xdr:sp>
      <xdr:sp macro="" textlink="">
        <xdr:nvSpPr>
          <xdr:cNvPr id="53" name="TextBox 179">
            <a:extLst>
              <a:ext uri="{FF2B5EF4-FFF2-40B4-BE49-F238E27FC236}">
                <a16:creationId xmlns="" xmlns:a16="http://schemas.microsoft.com/office/drawing/2014/main" id="{9ECE0AAB-590F-4702-8A08-3A4F6E99A92D}"/>
              </a:ext>
            </a:extLst>
          </xdr:cNvPr>
          <xdr:cNvSpPr txBox="1"/>
        </xdr:nvSpPr>
        <xdr:spPr>
          <a:xfrm>
            <a:off x="1311680" y="3774284"/>
            <a:ext cx="415498"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solidFill>
                  <a:srgbClr val="FF0000"/>
                </a:solidFill>
              </a:rPr>
              <a:t>B</a:t>
            </a:r>
            <a:endParaRPr lang="en-IN" sz="3200" b="1">
              <a:solidFill>
                <a:srgbClr val="FF0000"/>
              </a:solidFill>
            </a:endParaRPr>
          </a:p>
        </xdr:txBody>
      </xdr:sp>
    </xdr:grpSp>
    <xdr:clientData/>
  </xdr:twoCellAnchor>
  <xdr:twoCellAnchor>
    <xdr:from>
      <xdr:col>0</xdr:col>
      <xdr:colOff>342900</xdr:colOff>
      <xdr:row>438</xdr:row>
      <xdr:rowOff>57149</xdr:rowOff>
    </xdr:from>
    <xdr:to>
      <xdr:col>7</xdr:col>
      <xdr:colOff>1046112</xdr:colOff>
      <xdr:row>479</xdr:row>
      <xdr:rowOff>180387</xdr:rowOff>
    </xdr:to>
    <xdr:grpSp>
      <xdr:nvGrpSpPr>
        <xdr:cNvPr id="3" name="Group 2"/>
        <xdr:cNvGrpSpPr/>
      </xdr:nvGrpSpPr>
      <xdr:grpSpPr>
        <a:xfrm>
          <a:off x="342900" y="91116149"/>
          <a:ext cx="6284862" cy="8324263"/>
          <a:chOff x="247650" y="90497024"/>
          <a:chExt cx="6284862" cy="8324263"/>
        </a:xfrm>
      </xdr:grpSpPr>
      <xdr:pic>
        <xdr:nvPicPr>
          <xdr:cNvPr id="59" name="Picture 58" descr="https://vsjcllp.vsjadon.com/upload/insp-243338-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57575" y="96653350"/>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43338-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419475" y="90497024"/>
            <a:ext cx="2876550" cy="382473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43338-84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47650" y="944308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43338-849.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667125" y="94414975"/>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43338-860.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66725" y="90506549"/>
            <a:ext cx="2876550" cy="382473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3338-92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95300" y="96661287"/>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43338-862.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971675" y="9441180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571500</xdr:colOff>
      <xdr:row>438</xdr:row>
      <xdr:rowOff>66674</xdr:rowOff>
    </xdr:from>
    <xdr:to>
      <xdr:col>1</xdr:col>
      <xdr:colOff>369551</xdr:colOff>
      <xdr:row>441</xdr:row>
      <xdr:rowOff>72588</xdr:rowOff>
    </xdr:to>
    <xdr:sp macro="" textlink="">
      <xdr:nvSpPr>
        <xdr:cNvPr id="67" name="TextBox 175">
          <a:extLst>
            <a:ext uri="{FF2B5EF4-FFF2-40B4-BE49-F238E27FC236}">
              <a16:creationId xmlns="" xmlns:a16="http://schemas.microsoft.com/office/drawing/2014/main" id="{441C4FD8-8490-4F47-812E-4314236D6A8B}"/>
            </a:ext>
          </a:extLst>
        </xdr:cNvPr>
        <xdr:cNvSpPr txBox="1"/>
      </xdr:nvSpPr>
      <xdr:spPr>
        <a:xfrm>
          <a:off x="571500" y="90525599"/>
          <a:ext cx="560051" cy="60598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solidFill>
                <a:srgbClr val="FF0000"/>
              </a:solidFill>
            </a:rPr>
            <a:t>A</a:t>
          </a:r>
          <a:endParaRPr lang="en-IN" sz="3200" b="1">
            <a:solidFill>
              <a:srgbClr val="FF0000"/>
            </a:solidFill>
          </a:endParaRPr>
        </a:p>
      </xdr:txBody>
    </xdr:sp>
    <xdr:clientData/>
  </xdr:twoCellAnchor>
  <xdr:twoCellAnchor>
    <xdr:from>
      <xdr:col>4</xdr:col>
      <xdr:colOff>257175</xdr:colOff>
      <xdr:row>438</xdr:row>
      <xdr:rowOff>123824</xdr:rowOff>
    </xdr:from>
    <xdr:to>
      <xdr:col>5</xdr:col>
      <xdr:colOff>36176</xdr:colOff>
      <xdr:row>441</xdr:row>
      <xdr:rowOff>129738</xdr:rowOff>
    </xdr:to>
    <xdr:sp macro="" textlink="">
      <xdr:nvSpPr>
        <xdr:cNvPr id="68" name="TextBox 175">
          <a:extLst>
            <a:ext uri="{FF2B5EF4-FFF2-40B4-BE49-F238E27FC236}">
              <a16:creationId xmlns="" xmlns:a16="http://schemas.microsoft.com/office/drawing/2014/main" id="{441C4FD8-8490-4F47-812E-4314236D6A8B}"/>
            </a:ext>
          </a:extLst>
        </xdr:cNvPr>
        <xdr:cNvSpPr txBox="1"/>
      </xdr:nvSpPr>
      <xdr:spPr>
        <a:xfrm>
          <a:off x="3581400" y="90582749"/>
          <a:ext cx="560051" cy="60598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solidFill>
                <a:srgbClr val="FF0000"/>
              </a:solidFill>
            </a:rPr>
            <a:t>B</a:t>
          </a:r>
          <a:endParaRPr lang="en-IN" sz="3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rmzyJn2fZ2o2tD3M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526"/>
  <sheetViews>
    <sheetView tabSelected="1" view="pageBreakPreview" zoomScaleNormal="100" zoomScaleSheetLayoutView="100" zoomScalePageLayoutView="85" workbookViewId="0">
      <selection activeCell="J13" sqref="J13"/>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7" width="11" style="37" customWidth="1"/>
    <col min="8" max="8" width="21.42578125"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61" t="s">
        <v>390</v>
      </c>
      <c r="B1" s="161"/>
      <c r="C1" s="161"/>
      <c r="D1" s="161"/>
      <c r="E1" s="161"/>
      <c r="F1" s="161"/>
      <c r="G1" s="161"/>
      <c r="H1" s="161"/>
    </row>
    <row r="2" spans="1:26" ht="16.5" customHeight="1" x14ac:dyDescent="0.25">
      <c r="A2" s="162" t="s">
        <v>0</v>
      </c>
      <c r="B2" s="162"/>
      <c r="C2" s="162"/>
      <c r="D2" s="162"/>
      <c r="E2" s="162"/>
      <c r="F2" s="162"/>
      <c r="G2" s="162"/>
      <c r="H2" s="162"/>
    </row>
    <row r="3" spans="1:26" x14ac:dyDescent="0.25">
      <c r="A3" s="126" t="s">
        <v>1</v>
      </c>
      <c r="B3" s="126"/>
      <c r="C3" s="126"/>
      <c r="D3" s="126"/>
      <c r="E3" s="126" t="str">
        <f ca="1">TEXT(TODAY(),"DD/MM/YYYY")</f>
        <v>11/08/2025</v>
      </c>
      <c r="F3" s="126"/>
      <c r="G3" s="126"/>
      <c r="H3" s="126"/>
      <c r="K3" s="53" t="s">
        <v>233</v>
      </c>
      <c r="L3" s="49" t="s">
        <v>231</v>
      </c>
      <c r="M3" s="49" t="s">
        <v>236</v>
      </c>
      <c r="N3" s="49" t="s">
        <v>234</v>
      </c>
      <c r="O3" s="49" t="s">
        <v>235</v>
      </c>
      <c r="P3" s="49" t="s">
        <v>237</v>
      </c>
    </row>
    <row r="4" spans="1:26" ht="15" customHeight="1" x14ac:dyDescent="0.25">
      <c r="A4" s="126" t="s">
        <v>230</v>
      </c>
      <c r="B4" s="126"/>
      <c r="C4" s="126"/>
      <c r="D4" s="126"/>
      <c r="E4" s="126" t="s">
        <v>231</v>
      </c>
      <c r="F4" s="126"/>
      <c r="G4" s="126"/>
      <c r="H4" s="126"/>
      <c r="K4" s="48" t="s">
        <v>232</v>
      </c>
      <c r="L4" s="49" t="s">
        <v>167</v>
      </c>
      <c r="M4" s="49" t="s">
        <v>241</v>
      </c>
      <c r="N4" s="49" t="s">
        <v>243</v>
      </c>
      <c r="O4" s="49" t="s">
        <v>245</v>
      </c>
      <c r="P4" s="49"/>
    </row>
    <row r="5" spans="1:26" ht="15" customHeight="1" x14ac:dyDescent="0.25">
      <c r="A5" s="126" t="s">
        <v>2</v>
      </c>
      <c r="B5" s="126"/>
      <c r="C5" s="126"/>
      <c r="D5" s="126"/>
      <c r="E5" s="126" t="s">
        <v>238</v>
      </c>
      <c r="F5" s="126"/>
      <c r="G5" s="126"/>
      <c r="H5" s="126"/>
      <c r="K5" s="48"/>
      <c r="L5" s="49" t="s">
        <v>238</v>
      </c>
      <c r="M5" s="49" t="s">
        <v>242</v>
      </c>
      <c r="N5" s="49" t="s">
        <v>244</v>
      </c>
      <c r="O5" s="49" t="s">
        <v>246</v>
      </c>
      <c r="P5" s="49"/>
    </row>
    <row r="6" spans="1:26" x14ac:dyDescent="0.25">
      <c r="A6" s="126" t="s">
        <v>3</v>
      </c>
      <c r="B6" s="126"/>
      <c r="C6" s="126"/>
      <c r="D6" s="126"/>
      <c r="E6" s="163" t="s">
        <v>392</v>
      </c>
      <c r="F6" s="126"/>
      <c r="G6" s="126"/>
      <c r="H6" s="126"/>
      <c r="K6" s="48"/>
      <c r="L6" s="49" t="s">
        <v>239</v>
      </c>
      <c r="M6" s="49"/>
      <c r="N6" s="49"/>
      <c r="O6" s="49" t="s">
        <v>247</v>
      </c>
      <c r="P6" s="49"/>
    </row>
    <row r="7" spans="1:26" ht="16.5" customHeight="1" x14ac:dyDescent="0.25">
      <c r="A7" s="126" t="s">
        <v>4</v>
      </c>
      <c r="B7" s="126"/>
      <c r="C7" s="126"/>
      <c r="D7" s="126"/>
      <c r="E7" s="126" t="s">
        <v>298</v>
      </c>
      <c r="F7" s="126"/>
      <c r="G7" s="126"/>
      <c r="H7" s="126"/>
      <c r="K7" s="48"/>
      <c r="L7" s="49" t="s">
        <v>240</v>
      </c>
      <c r="M7" s="49"/>
      <c r="N7" s="49"/>
      <c r="O7" s="49" t="s">
        <v>247</v>
      </c>
      <c r="P7" s="49"/>
    </row>
    <row r="8" spans="1:26" ht="15" customHeight="1" x14ac:dyDescent="0.25">
      <c r="A8" s="126" t="s">
        <v>5</v>
      </c>
      <c r="B8" s="126"/>
      <c r="C8" s="126"/>
      <c r="D8" s="126"/>
      <c r="E8" s="126" t="str">
        <f>E7</f>
        <v>Shraddha Prime Projects Limited</v>
      </c>
      <c r="F8" s="126"/>
      <c r="G8" s="126"/>
      <c r="H8" s="126"/>
      <c r="K8" s="48"/>
      <c r="L8" s="49"/>
      <c r="M8" s="49"/>
      <c r="N8" s="49"/>
      <c r="O8" s="49" t="s">
        <v>248</v>
      </c>
      <c r="P8" s="49"/>
    </row>
    <row r="9" spans="1:26" x14ac:dyDescent="0.25">
      <c r="A9" s="126" t="s">
        <v>6</v>
      </c>
      <c r="B9" s="126"/>
      <c r="C9" s="126"/>
      <c r="D9" s="126"/>
      <c r="E9" s="122" t="s">
        <v>299</v>
      </c>
      <c r="F9" s="122"/>
      <c r="G9" s="122"/>
      <c r="H9" s="122"/>
      <c r="K9" s="48"/>
      <c r="L9" s="49"/>
      <c r="M9" s="49"/>
      <c r="N9" s="49"/>
      <c r="O9" s="49" t="s">
        <v>249</v>
      </c>
      <c r="P9" s="49"/>
    </row>
    <row r="10" spans="1:26" x14ac:dyDescent="0.25">
      <c r="A10" s="126" t="s">
        <v>164</v>
      </c>
      <c r="B10" s="126"/>
      <c r="C10" s="126"/>
      <c r="D10" s="126"/>
      <c r="E10" s="126" t="s">
        <v>300</v>
      </c>
      <c r="F10" s="126"/>
      <c r="G10" s="126"/>
      <c r="H10" s="126"/>
      <c r="K10" s="48"/>
      <c r="L10" s="49"/>
      <c r="M10" s="49"/>
      <c r="N10" s="49"/>
      <c r="O10" s="49"/>
      <c r="P10" s="49"/>
    </row>
    <row r="11" spans="1:26" x14ac:dyDescent="0.25">
      <c r="A11" s="126" t="s">
        <v>165</v>
      </c>
      <c r="B11" s="126"/>
      <c r="C11" s="126"/>
      <c r="D11" s="126"/>
      <c r="E11" s="126" t="s">
        <v>389</v>
      </c>
      <c r="F11" s="126"/>
      <c r="G11" s="126"/>
      <c r="H11" s="126"/>
      <c r="I11" s="126" t="s">
        <v>301</v>
      </c>
      <c r="J11" s="126"/>
      <c r="K11" s="126"/>
      <c r="L11" s="126"/>
    </row>
    <row r="12" spans="1:26" x14ac:dyDescent="0.25">
      <c r="A12" s="126" t="s">
        <v>7</v>
      </c>
      <c r="B12" s="126"/>
      <c r="C12" s="126"/>
      <c r="D12" s="126"/>
      <c r="E12" s="126" t="s">
        <v>302</v>
      </c>
      <c r="F12" s="126"/>
      <c r="G12" s="126"/>
      <c r="H12" s="126"/>
    </row>
    <row r="13" spans="1:26" ht="66.75" customHeight="1" x14ac:dyDescent="0.25">
      <c r="A13" s="126" t="s">
        <v>168</v>
      </c>
      <c r="B13" s="126"/>
      <c r="C13" s="126"/>
      <c r="D13" s="126"/>
      <c r="E13" s="103" t="s">
        <v>368</v>
      </c>
      <c r="F13" s="126"/>
      <c r="G13" s="126"/>
      <c r="H13" s="126"/>
      <c r="S13" s="49" t="s">
        <v>175</v>
      </c>
      <c r="T13" s="49" t="s">
        <v>185</v>
      </c>
      <c r="U13" s="49" t="s">
        <v>169</v>
      </c>
      <c r="V13" s="49" t="s">
        <v>190</v>
      </c>
      <c r="W13" s="49" t="s">
        <v>208</v>
      </c>
      <c r="X13"/>
      <c r="Y13" t="s">
        <v>190</v>
      </c>
      <c r="Z13" t="e">
        <f ca="1">OFFSET($S$13,1,MATCH($G20,$S$13:$W$13,0)-1,15,1)</f>
        <v>#VALUE!</v>
      </c>
    </row>
    <row r="14" spans="1:26" x14ac:dyDescent="0.25">
      <c r="A14" s="81" t="s">
        <v>276</v>
      </c>
      <c r="B14" s="81"/>
      <c r="C14" s="81"/>
      <c r="D14" s="81"/>
      <c r="E14" s="103" t="s">
        <v>372</v>
      </c>
      <c r="F14" s="103"/>
      <c r="G14" s="103"/>
      <c r="H14" s="103"/>
      <c r="S14" s="49" t="s">
        <v>176</v>
      </c>
      <c r="T14" s="49" t="s">
        <v>183</v>
      </c>
      <c r="U14" s="49" t="s">
        <v>205</v>
      </c>
      <c r="V14" s="49" t="s">
        <v>191</v>
      </c>
      <c r="W14" s="49" t="s">
        <v>209</v>
      </c>
      <c r="X14"/>
      <c r="Y14"/>
      <c r="Z14"/>
    </row>
    <row r="15" spans="1:26" x14ac:dyDescent="0.25">
      <c r="A15" s="81" t="s">
        <v>8</v>
      </c>
      <c r="B15" s="81"/>
      <c r="C15" s="81"/>
      <c r="D15" s="81"/>
      <c r="E15" s="103" t="s">
        <v>297</v>
      </c>
      <c r="F15" s="126"/>
      <c r="G15" s="126"/>
      <c r="H15" s="126"/>
      <c r="I15" s="201" t="e">
        <f ca="1">OFFSET($D$5,1,MATCH($J13,$D$5:$H$5,0)-1,15,1)</f>
        <v>#N/A</v>
      </c>
      <c r="J15" s="202"/>
      <c r="K15" s="202"/>
      <c r="L15" s="202"/>
      <c r="M15" s="202"/>
      <c r="N15" s="202"/>
      <c r="O15" s="202"/>
      <c r="P15" s="202"/>
      <c r="S15" s="49" t="s">
        <v>177</v>
      </c>
      <c r="T15" s="49" t="s">
        <v>184</v>
      </c>
      <c r="U15" s="49" t="s">
        <v>206</v>
      </c>
      <c r="V15" s="49" t="s">
        <v>192</v>
      </c>
      <c r="W15" s="49" t="s">
        <v>222</v>
      </c>
      <c r="X15"/>
      <c r="Y15"/>
      <c r="Z15"/>
    </row>
    <row r="16" spans="1:26" ht="66.75" customHeight="1" x14ac:dyDescent="0.25">
      <c r="A16" s="135" t="s">
        <v>9</v>
      </c>
      <c r="B16" s="135"/>
      <c r="C16" s="135" t="str">
        <f>CONCATENATE((IF(OR(E9="",E9="NA"),"",E9)),", ",(IF(OR(A17="",A17="NA"),"",A17)),".",(IF(OR(C17="",C17="NA"),"",C17)),", near ",(IF(OR(C22="",C22="NA"),"",C22)),", ",(IF(OR(C19="",C19="NA"),"",C19)),", ",(IF(OR(C18="",C18="NA"),"",C18)),", ",(IF(OR(G19="",G19="NA"),"",G19)),", ",(IF(OR(C20="",C20="NA"),"",C20)),", ",(IF(OR(C21="",C21="NA"),"",C21)),", ",(IF(OR(G20="",G20="NA"),"",G20))," - ",(IF(OR(G21="",G21="NA"),"",G21)),".")</f>
        <v>Shraddha Paradise, CTS No.63/2, 63/4, 63/5, 63/7, 63/3(Pt) &amp; 63/10(Pt), Redevelopement of " New Gajant CHSL, Prajakta CHSL, Shwet Deep Mala CHSL &amp; Smitanjali CHSL", near Sumer Nagar Housing Society, Internal Road, Kosamgo Nagar, Magathane, Borivali West, Borivali, Mumbai - 400092.</v>
      </c>
      <c r="D16" s="135"/>
      <c r="E16" s="135"/>
      <c r="F16" s="135"/>
      <c r="G16" s="135"/>
      <c r="H16" s="135"/>
      <c r="S16" s="49" t="s">
        <v>178</v>
      </c>
      <c r="T16" s="49" t="s">
        <v>186</v>
      </c>
      <c r="U16" s="49" t="s">
        <v>207</v>
      </c>
      <c r="V16" s="49" t="s">
        <v>193</v>
      </c>
      <c r="W16" s="49" t="s">
        <v>210</v>
      </c>
      <c r="X16"/>
      <c r="Y16"/>
      <c r="Z16"/>
    </row>
    <row r="17" spans="1:26" ht="31.5" customHeight="1" x14ac:dyDescent="0.25">
      <c r="A17" s="103" t="s">
        <v>172</v>
      </c>
      <c r="B17" s="103"/>
      <c r="C17" s="103" t="s">
        <v>369</v>
      </c>
      <c r="D17" s="103"/>
      <c r="E17" s="103"/>
      <c r="F17" s="103"/>
      <c r="G17" s="103"/>
      <c r="H17" s="103"/>
      <c r="S17" s="49" t="s">
        <v>179</v>
      </c>
      <c r="T17" s="49" t="s">
        <v>187</v>
      </c>
      <c r="U17" s="49" t="s">
        <v>169</v>
      </c>
      <c r="V17" s="49" t="s">
        <v>194</v>
      </c>
      <c r="W17" s="49" t="s">
        <v>211</v>
      </c>
      <c r="X17"/>
      <c r="Y17"/>
      <c r="Z17"/>
    </row>
    <row r="18" spans="1:26" ht="15.75" customHeight="1" x14ac:dyDescent="0.25">
      <c r="A18" s="103" t="s">
        <v>160</v>
      </c>
      <c r="B18" s="103"/>
      <c r="C18" s="103" t="s">
        <v>305</v>
      </c>
      <c r="D18" s="103"/>
      <c r="E18" s="103"/>
      <c r="F18" s="103"/>
      <c r="G18" s="103"/>
      <c r="H18" s="103"/>
      <c r="S18" s="49" t="s">
        <v>180</v>
      </c>
      <c r="T18" s="49" t="s">
        <v>185</v>
      </c>
      <c r="U18" s="49"/>
      <c r="V18" s="49" t="s">
        <v>195</v>
      </c>
      <c r="W18" s="49" t="s">
        <v>212</v>
      </c>
      <c r="X18"/>
      <c r="Y18"/>
      <c r="Z18"/>
    </row>
    <row r="19" spans="1:26" ht="15.75" customHeight="1" x14ac:dyDescent="0.25">
      <c r="A19" s="135" t="s">
        <v>10</v>
      </c>
      <c r="B19" s="135"/>
      <c r="C19" s="126" t="s">
        <v>308</v>
      </c>
      <c r="D19" s="126"/>
      <c r="E19" s="103" t="s">
        <v>69</v>
      </c>
      <c r="F19" s="103"/>
      <c r="G19" s="103" t="s">
        <v>307</v>
      </c>
      <c r="H19" s="103"/>
      <c r="S19" s="49" t="s">
        <v>181</v>
      </c>
      <c r="T19" s="49" t="s">
        <v>188</v>
      </c>
      <c r="U19" s="49"/>
      <c r="V19" s="49" t="s">
        <v>196</v>
      </c>
      <c r="W19" s="49" t="s">
        <v>213</v>
      </c>
      <c r="X19"/>
      <c r="Y19"/>
      <c r="Z19"/>
    </row>
    <row r="20" spans="1:26" x14ac:dyDescent="0.25">
      <c r="A20" s="81" t="s">
        <v>12</v>
      </c>
      <c r="B20" s="81"/>
      <c r="C20" s="103" t="s">
        <v>309</v>
      </c>
      <c r="D20" s="103"/>
      <c r="E20" s="103" t="s">
        <v>11</v>
      </c>
      <c r="F20" s="103"/>
      <c r="G20" s="160" t="s">
        <v>169</v>
      </c>
      <c r="H20" s="160"/>
      <c r="S20" s="49" t="s">
        <v>182</v>
      </c>
      <c r="T20" s="49" t="s">
        <v>189</v>
      </c>
      <c r="U20" s="49"/>
      <c r="V20" s="49" t="s">
        <v>197</v>
      </c>
      <c r="W20" s="49" t="s">
        <v>214</v>
      </c>
      <c r="X20"/>
      <c r="Y20"/>
      <c r="Z20"/>
    </row>
    <row r="21" spans="1:26" x14ac:dyDescent="0.25">
      <c r="A21" s="81" t="s">
        <v>70</v>
      </c>
      <c r="B21" s="81"/>
      <c r="C21" s="103" t="s">
        <v>206</v>
      </c>
      <c r="D21" s="103"/>
      <c r="E21" s="103" t="s">
        <v>13</v>
      </c>
      <c r="F21" s="103"/>
      <c r="G21" s="103">
        <v>400092</v>
      </c>
      <c r="H21" s="103"/>
      <c r="S21" s="49"/>
      <c r="T21" s="49"/>
      <c r="U21" s="49"/>
      <c r="V21" s="49" t="s">
        <v>198</v>
      </c>
      <c r="W21" s="49" t="s">
        <v>215</v>
      </c>
      <c r="X21"/>
      <c r="Y21"/>
      <c r="Z21"/>
    </row>
    <row r="22" spans="1:26" ht="32.25" customHeight="1" x14ac:dyDescent="0.25">
      <c r="A22" s="81" t="s">
        <v>119</v>
      </c>
      <c r="B22" s="81"/>
      <c r="C22" s="151" t="s">
        <v>306</v>
      </c>
      <c r="D22" s="153"/>
      <c r="E22" s="135" t="s">
        <v>14</v>
      </c>
      <c r="F22" s="135"/>
      <c r="G22" s="103" t="s">
        <v>310</v>
      </c>
      <c r="H22" s="103"/>
      <c r="S22" s="49"/>
      <c r="T22" s="49"/>
      <c r="U22" s="49"/>
      <c r="V22" s="49" t="s">
        <v>199</v>
      </c>
      <c r="W22" s="49" t="s">
        <v>216</v>
      </c>
      <c r="X22"/>
      <c r="Y22"/>
      <c r="Z22"/>
    </row>
    <row r="23" spans="1:26" ht="15" customHeight="1" x14ac:dyDescent="0.25">
      <c r="A23" s="135" t="s">
        <v>72</v>
      </c>
      <c r="B23" s="135"/>
      <c r="C23" s="135"/>
      <c r="D23" s="135"/>
      <c r="E23" s="126" t="s">
        <v>15</v>
      </c>
      <c r="F23" s="126"/>
      <c r="G23" s="126"/>
      <c r="H23" s="126"/>
      <c r="S23" s="49"/>
      <c r="T23" s="49"/>
      <c r="U23" s="49"/>
      <c r="V23" s="49" t="s">
        <v>200</v>
      </c>
      <c r="W23" s="49" t="s">
        <v>217</v>
      </c>
      <c r="X23"/>
      <c r="Y23"/>
      <c r="Z23"/>
    </row>
    <row r="24" spans="1:26" ht="18.75" customHeight="1" x14ac:dyDescent="0.25">
      <c r="A24" s="135"/>
      <c r="B24" s="135"/>
      <c r="C24" s="135"/>
      <c r="D24" s="135"/>
      <c r="E24" s="126"/>
      <c r="F24" s="126"/>
      <c r="G24" s="126"/>
      <c r="H24" s="126"/>
      <c r="S24" s="49"/>
      <c r="T24" s="49"/>
      <c r="U24" s="49"/>
      <c r="V24" s="49" t="s">
        <v>201</v>
      </c>
      <c r="W24" s="49" t="s">
        <v>218</v>
      </c>
      <c r="X24"/>
      <c r="Y24"/>
      <c r="Z24"/>
    </row>
    <row r="25" spans="1:26" ht="15" customHeight="1" x14ac:dyDescent="0.25">
      <c r="A25" s="135" t="s">
        <v>16</v>
      </c>
      <c r="B25" s="135"/>
      <c r="C25" s="135"/>
      <c r="D25" s="135"/>
      <c r="E25" s="103" t="s">
        <v>17</v>
      </c>
      <c r="F25" s="103"/>
      <c r="G25" s="103"/>
      <c r="H25" s="103"/>
      <c r="S25" s="49"/>
      <c r="T25" s="49"/>
      <c r="U25" s="49"/>
      <c r="V25" s="49" t="s">
        <v>202</v>
      </c>
      <c r="W25" s="49" t="s">
        <v>219</v>
      </c>
      <c r="X25"/>
      <c r="Y25"/>
      <c r="Z25"/>
    </row>
    <row r="26" spans="1:26" ht="15" customHeight="1" x14ac:dyDescent="0.25">
      <c r="A26" s="81" t="s">
        <v>18</v>
      </c>
      <c r="B26" s="81"/>
      <c r="C26" s="81"/>
      <c r="D26" s="81"/>
      <c r="E26" s="151" t="str">
        <f>IF(AND(G20="Mumbai"),"Upper Class","Middle Class")</f>
        <v>Upper Class</v>
      </c>
      <c r="F26" s="152"/>
      <c r="G26" s="152"/>
      <c r="H26" s="153"/>
      <c r="S26" s="49"/>
      <c r="T26" s="49"/>
      <c r="U26" s="49"/>
      <c r="V26" s="49" t="s">
        <v>203</v>
      </c>
      <c r="W26" s="49" t="s">
        <v>220</v>
      </c>
      <c r="X26"/>
      <c r="Y26"/>
      <c r="Z26"/>
    </row>
    <row r="27" spans="1:26" x14ac:dyDescent="0.25">
      <c r="A27" s="81" t="s">
        <v>19</v>
      </c>
      <c r="B27" s="81"/>
      <c r="C27" s="81"/>
      <c r="D27" s="81"/>
      <c r="E27" s="103" t="s">
        <v>20</v>
      </c>
      <c r="F27" s="103"/>
      <c r="G27" s="103"/>
      <c r="H27" s="103"/>
      <c r="S27" s="49"/>
      <c r="T27" s="49"/>
      <c r="U27" s="49"/>
      <c r="V27" s="49" t="s">
        <v>204</v>
      </c>
      <c r="W27" s="49" t="s">
        <v>221</v>
      </c>
      <c r="X27"/>
      <c r="Y27"/>
      <c r="Z27"/>
    </row>
    <row r="28" spans="1:26" ht="15.75" customHeight="1" x14ac:dyDescent="0.25">
      <c r="A28" s="81" t="s">
        <v>21</v>
      </c>
      <c r="B28" s="81"/>
      <c r="C28" s="81"/>
      <c r="D28" s="81"/>
      <c r="E28" s="103" t="str">
        <f>IF(AND(G20="Mumbai"),"Developed","Developing")</f>
        <v>Developed</v>
      </c>
      <c r="F28" s="103"/>
      <c r="G28" s="103"/>
      <c r="H28" s="103"/>
    </row>
    <row r="29" spans="1:26" x14ac:dyDescent="0.25">
      <c r="A29" s="81" t="s">
        <v>22</v>
      </c>
      <c r="B29" s="81"/>
      <c r="C29" s="81"/>
      <c r="D29" s="81"/>
      <c r="E29" s="103" t="s">
        <v>23</v>
      </c>
      <c r="F29" s="103"/>
      <c r="G29" s="103"/>
      <c r="H29" s="103"/>
    </row>
    <row r="30" spans="1:26" ht="15.75" customHeight="1" x14ac:dyDescent="0.25">
      <c r="A30" s="81" t="s">
        <v>77</v>
      </c>
      <c r="B30" s="81"/>
      <c r="C30" s="81"/>
      <c r="D30" s="81"/>
      <c r="E30" s="103" t="s">
        <v>78</v>
      </c>
      <c r="F30" s="103"/>
      <c r="G30" s="103"/>
      <c r="H30" s="103"/>
    </row>
    <row r="31" spans="1:26" ht="15" customHeight="1" x14ac:dyDescent="0.25">
      <c r="A31" s="81" t="s">
        <v>30</v>
      </c>
      <c r="B31" s="81"/>
      <c r="C31" s="81"/>
      <c r="D31" s="81"/>
      <c r="E31" s="10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3"/>
      <c r="G31" s="103"/>
      <c r="H31" s="103"/>
    </row>
    <row r="32" spans="1:26" ht="15.75" customHeight="1" x14ac:dyDescent="0.25">
      <c r="A32" s="81" t="s">
        <v>89</v>
      </c>
      <c r="B32" s="81"/>
      <c r="C32" s="81"/>
      <c r="D32" s="81"/>
      <c r="E32" s="103" t="s">
        <v>31</v>
      </c>
      <c r="F32" s="103"/>
      <c r="G32" s="103"/>
      <c r="H32" s="103"/>
    </row>
    <row r="33" spans="1:19" s="19" customFormat="1" x14ac:dyDescent="0.25">
      <c r="A33" s="143" t="s">
        <v>90</v>
      </c>
      <c r="B33" s="143"/>
      <c r="C33" s="154" t="s">
        <v>170</v>
      </c>
      <c r="D33" s="155"/>
      <c r="E33" s="156"/>
      <c r="F33" s="154" t="s">
        <v>29</v>
      </c>
      <c r="G33" s="155"/>
      <c r="H33" s="156"/>
      <c r="S33" s="19" t="e">
        <f ca="1">OFFSET($S$13,1,MATCH($G20,$S$13:$W$13,0)-1,15,1)</f>
        <v>#VALUE!</v>
      </c>
    </row>
    <row r="34" spans="1:19" s="19" customFormat="1" x14ac:dyDescent="0.25">
      <c r="A34" s="142" t="s">
        <v>24</v>
      </c>
      <c r="B34" s="142" t="s">
        <v>28</v>
      </c>
      <c r="C34" s="144" t="s">
        <v>314</v>
      </c>
      <c r="D34" s="145"/>
      <c r="E34" s="146"/>
      <c r="F34" s="144" t="s">
        <v>311</v>
      </c>
      <c r="G34" s="145"/>
      <c r="H34" s="146"/>
    </row>
    <row r="35" spans="1:19" x14ac:dyDescent="0.25">
      <c r="A35" s="147" t="s">
        <v>25</v>
      </c>
      <c r="B35" s="147" t="s">
        <v>28</v>
      </c>
      <c r="C35" s="148" t="s">
        <v>315</v>
      </c>
      <c r="D35" s="149"/>
      <c r="E35" s="150"/>
      <c r="F35" s="148" t="s">
        <v>312</v>
      </c>
      <c r="G35" s="149"/>
      <c r="H35" s="150"/>
    </row>
    <row r="36" spans="1:19" s="19" customFormat="1" ht="31.5" customHeight="1" x14ac:dyDescent="0.25">
      <c r="A36" s="147" t="s">
        <v>27</v>
      </c>
      <c r="B36" s="147" t="s">
        <v>28</v>
      </c>
      <c r="C36" s="148" t="s">
        <v>367</v>
      </c>
      <c r="D36" s="149"/>
      <c r="E36" s="150"/>
      <c r="F36" s="157" t="s">
        <v>308</v>
      </c>
      <c r="G36" s="158"/>
      <c r="H36" s="159"/>
    </row>
    <row r="37" spans="1:19" x14ac:dyDescent="0.25">
      <c r="A37" s="142" t="s">
        <v>26</v>
      </c>
      <c r="B37" s="142" t="s">
        <v>28</v>
      </c>
      <c r="C37" s="144" t="s">
        <v>314</v>
      </c>
      <c r="D37" s="145"/>
      <c r="E37" s="146"/>
      <c r="F37" s="144" t="s">
        <v>313</v>
      </c>
      <c r="G37" s="145"/>
      <c r="H37" s="146"/>
    </row>
    <row r="38" spans="1:19" x14ac:dyDescent="0.25">
      <c r="A38" s="81" t="s">
        <v>277</v>
      </c>
      <c r="B38" s="81"/>
      <c r="C38" s="81"/>
      <c r="D38" s="81"/>
      <c r="E38" s="81"/>
      <c r="F38" s="81"/>
      <c r="G38" s="81"/>
      <c r="H38" s="81"/>
    </row>
    <row r="39" spans="1:19" ht="15.75" customHeight="1" x14ac:dyDescent="0.25">
      <c r="A39" s="81" t="s">
        <v>162</v>
      </c>
      <c r="B39" s="81"/>
      <c r="C39" s="124" t="s">
        <v>303</v>
      </c>
      <c r="D39" s="124"/>
      <c r="E39" s="124"/>
      <c r="F39" s="124"/>
      <c r="G39" s="124"/>
      <c r="H39" s="124"/>
    </row>
    <row r="40" spans="1:19" x14ac:dyDescent="0.25">
      <c r="A40" s="81" t="s">
        <v>159</v>
      </c>
      <c r="B40" s="81"/>
      <c r="C40" s="102" t="s">
        <v>304</v>
      </c>
      <c r="D40" s="103"/>
      <c r="E40" s="103"/>
      <c r="F40" s="103"/>
      <c r="G40" s="103"/>
      <c r="H40" s="103"/>
    </row>
    <row r="41" spans="1:19" x14ac:dyDescent="0.25">
      <c r="A41" s="124" t="s">
        <v>32</v>
      </c>
      <c r="B41" s="124"/>
      <c r="C41" s="124"/>
      <c r="D41" s="124"/>
      <c r="E41" s="124"/>
      <c r="F41" s="124"/>
      <c r="G41" s="124"/>
      <c r="H41" s="124"/>
    </row>
    <row r="42" spans="1:19" x14ac:dyDescent="0.25">
      <c r="A42" s="81" t="s">
        <v>33</v>
      </c>
      <c r="B42" s="81"/>
      <c r="C42" s="81"/>
      <c r="D42" s="81"/>
      <c r="E42" s="134">
        <v>7881.56</v>
      </c>
      <c r="F42" s="134"/>
      <c r="G42" s="134"/>
      <c r="H42" s="134"/>
    </row>
    <row r="43" spans="1:19" x14ac:dyDescent="0.25">
      <c r="A43" s="81" t="s">
        <v>34</v>
      </c>
      <c r="B43" s="81"/>
      <c r="C43" s="81"/>
      <c r="D43" s="81"/>
      <c r="E43" s="137">
        <f>7881.56/E42</f>
        <v>1</v>
      </c>
      <c r="F43" s="137"/>
      <c r="G43" s="137"/>
      <c r="H43" s="137"/>
    </row>
    <row r="44" spans="1:19" x14ac:dyDescent="0.25">
      <c r="A44" s="81" t="s">
        <v>35</v>
      </c>
      <c r="B44" s="81"/>
      <c r="C44" s="81"/>
      <c r="D44" s="81"/>
      <c r="E44" s="137">
        <f>E46/E42-E43</f>
        <v>2.3176325499012882</v>
      </c>
      <c r="F44" s="137"/>
      <c r="G44" s="137"/>
      <c r="H44" s="137"/>
    </row>
    <row r="45" spans="1:19" x14ac:dyDescent="0.25">
      <c r="A45" s="81" t="s">
        <v>36</v>
      </c>
      <c r="B45" s="81"/>
      <c r="C45" s="81"/>
      <c r="D45" s="81"/>
      <c r="E45" s="137">
        <f>E43+E44</f>
        <v>3.3176325499012882</v>
      </c>
      <c r="F45" s="137"/>
      <c r="G45" s="137"/>
      <c r="H45" s="137"/>
    </row>
    <row r="46" spans="1:19" x14ac:dyDescent="0.25">
      <c r="A46" s="81" t="s">
        <v>88</v>
      </c>
      <c r="B46" s="81"/>
      <c r="C46" s="81"/>
      <c r="D46" s="81"/>
      <c r="E46" s="138">
        <v>26148.12</v>
      </c>
      <c r="F46" s="138"/>
      <c r="G46" s="138"/>
      <c r="H46" s="138"/>
    </row>
    <row r="47" spans="1:19" x14ac:dyDescent="0.25">
      <c r="A47" s="126" t="s">
        <v>37</v>
      </c>
      <c r="B47" s="126"/>
      <c r="C47" s="126"/>
      <c r="D47" s="126"/>
      <c r="E47" s="126" t="s">
        <v>316</v>
      </c>
      <c r="F47" s="126"/>
      <c r="G47" s="126"/>
      <c r="H47" s="126"/>
    </row>
    <row r="48" spans="1:19" x14ac:dyDescent="0.25">
      <c r="A48" s="124" t="s">
        <v>38</v>
      </c>
      <c r="B48" s="124"/>
      <c r="C48" s="124"/>
      <c r="D48" s="124"/>
      <c r="E48" s="124"/>
      <c r="F48" s="124"/>
      <c r="G48" s="124"/>
      <c r="H48" s="124"/>
    </row>
    <row r="49" spans="1:24" ht="33.75" customHeight="1" x14ac:dyDescent="0.25">
      <c r="A49" s="110" t="s">
        <v>148</v>
      </c>
      <c r="B49" s="111"/>
      <c r="C49" s="112" t="s">
        <v>318</v>
      </c>
      <c r="D49" s="113"/>
      <c r="E49" s="113"/>
      <c r="F49" s="113"/>
      <c r="G49" s="113"/>
      <c r="H49" s="114"/>
      <c r="R49" t="s">
        <v>250</v>
      </c>
      <c r="S49" t="s">
        <v>169</v>
      </c>
      <c r="T49" t="s">
        <v>175</v>
      </c>
      <c r="U49" t="s">
        <v>190</v>
      </c>
      <c r="V49" t="s">
        <v>185</v>
      </c>
    </row>
    <row r="50" spans="1:24" ht="33" customHeight="1" x14ac:dyDescent="0.25">
      <c r="A50" s="110" t="s">
        <v>39</v>
      </c>
      <c r="B50" s="111"/>
      <c r="C50" s="110" t="s">
        <v>319</v>
      </c>
      <c r="D50" s="139"/>
      <c r="E50" s="111"/>
      <c r="F50" s="17" t="s">
        <v>40</v>
      </c>
      <c r="G50" s="123" t="s">
        <v>393</v>
      </c>
      <c r="H50" s="111"/>
      <c r="R50"/>
      <c r="S50" t="s">
        <v>251</v>
      </c>
      <c r="T50" t="s">
        <v>256</v>
      </c>
      <c r="U50" t="s">
        <v>267</v>
      </c>
      <c r="V50" t="s">
        <v>272</v>
      </c>
    </row>
    <row r="51" spans="1:24" ht="35.25" customHeight="1" x14ac:dyDescent="0.25">
      <c r="A51" s="110" t="s">
        <v>41</v>
      </c>
      <c r="B51" s="111"/>
      <c r="C51" s="110" t="str">
        <f>C50</f>
        <v>P-10955/2022/(63/2 AND OTHER ) R/C WARD/MAGATHANE R/C</v>
      </c>
      <c r="D51" s="139"/>
      <c r="E51" s="111"/>
      <c r="F51" s="17" t="s">
        <v>40</v>
      </c>
      <c r="G51" s="123" t="str">
        <f>G50</f>
        <v>18/09/2023.</v>
      </c>
      <c r="H51" s="111"/>
      <c r="R51"/>
      <c r="S51" t="s">
        <v>252</v>
      </c>
      <c r="T51" t="s">
        <v>295</v>
      </c>
      <c r="U51" t="s">
        <v>265</v>
      </c>
      <c r="V51" t="s">
        <v>273</v>
      </c>
    </row>
    <row r="52" spans="1:24" s="20" customFormat="1" ht="34.5" customHeight="1" x14ac:dyDescent="0.25">
      <c r="A52" s="208" t="s">
        <v>152</v>
      </c>
      <c r="B52" s="209"/>
      <c r="C52" s="110" t="s">
        <v>385</v>
      </c>
      <c r="D52" s="139"/>
      <c r="E52" s="111"/>
      <c r="F52" s="17" t="s">
        <v>40</v>
      </c>
      <c r="G52" s="123" t="s">
        <v>394</v>
      </c>
      <c r="H52" s="111"/>
      <c r="R52"/>
      <c r="S52" t="s">
        <v>253</v>
      </c>
      <c r="T52" t="s">
        <v>258</v>
      </c>
      <c r="U52" t="s">
        <v>255</v>
      </c>
      <c r="V52" t="s">
        <v>274</v>
      </c>
    </row>
    <row r="53" spans="1:24" s="20" customFormat="1" ht="198" customHeight="1" x14ac:dyDescent="0.25">
      <c r="A53" s="210"/>
      <c r="B53" s="211"/>
      <c r="C53" s="110" t="s">
        <v>386</v>
      </c>
      <c r="D53" s="139"/>
      <c r="E53" s="111"/>
      <c r="F53" s="17" t="s">
        <v>118</v>
      </c>
      <c r="G53" s="123" t="s">
        <v>395</v>
      </c>
      <c r="H53" s="111"/>
      <c r="R53"/>
      <c r="S53" t="s">
        <v>254</v>
      </c>
      <c r="T53" t="s">
        <v>261</v>
      </c>
      <c r="U53" t="s">
        <v>268</v>
      </c>
    </row>
    <row r="54" spans="1:24" s="20" customFormat="1" hidden="1" x14ac:dyDescent="0.25">
      <c r="A54" s="214" t="s">
        <v>278</v>
      </c>
      <c r="B54" s="215"/>
      <c r="C54" s="110" t="str">
        <f>C53</f>
        <v>This C.C. is extended further for work of residential building comprising of Stilt Floor (for parking spaces) + 1st &amp; 2nd podium floors (for parking spaces) + 3rd podium floor (for parking spaces, Fitness centre, Society office &amp; Additional garden area) + Wing A having 1st to 27th upper residential floors &amp; Wing B having 1st to 26th upper residential floors by restricting C.C. from 28th to 31st (pt.) floors of Wing A and 27th to 30th floors of Wing B as per approved amended plans dtd. 18.09.2023.</v>
      </c>
      <c r="D54" s="139"/>
      <c r="E54" s="111"/>
      <c r="F54" s="17" t="s">
        <v>40</v>
      </c>
      <c r="G54" s="110"/>
      <c r="H54" s="111"/>
      <c r="R54"/>
      <c r="S54" t="s">
        <v>253</v>
      </c>
      <c r="T54" t="s">
        <v>258</v>
      </c>
      <c r="U54" t="s">
        <v>255</v>
      </c>
      <c r="V54" t="s">
        <v>274</v>
      </c>
    </row>
    <row r="55" spans="1:24" s="20" customFormat="1" hidden="1" x14ac:dyDescent="0.25">
      <c r="A55" s="216"/>
      <c r="B55" s="217"/>
      <c r="C55" s="107"/>
      <c r="D55" s="108"/>
      <c r="E55" s="108"/>
      <c r="F55" s="108"/>
      <c r="G55" s="108"/>
      <c r="H55" s="109"/>
      <c r="R55"/>
      <c r="S55" t="s">
        <v>255</v>
      </c>
      <c r="T55" t="s">
        <v>259</v>
      </c>
      <c r="U55" t="s">
        <v>269</v>
      </c>
      <c r="V55" s="18"/>
      <c r="W55" s="18"/>
      <c r="X55" s="18"/>
    </row>
    <row r="56" spans="1:24" s="20" customFormat="1" x14ac:dyDescent="0.25">
      <c r="A56" s="129" t="s">
        <v>279</v>
      </c>
      <c r="B56" s="131"/>
      <c r="C56" s="110" t="s">
        <v>371</v>
      </c>
      <c r="D56" s="139"/>
      <c r="E56" s="111"/>
      <c r="F56" s="17" t="s">
        <v>40</v>
      </c>
      <c r="G56" s="123">
        <v>45195</v>
      </c>
      <c r="H56" s="111"/>
      <c r="R56"/>
      <c r="S56" s="66" t="s">
        <v>318</v>
      </c>
      <c r="T56" t="s">
        <v>260</v>
      </c>
      <c r="U56" t="s">
        <v>270</v>
      </c>
      <c r="V56" s="18"/>
      <c r="W56" s="18"/>
      <c r="X56" s="18"/>
    </row>
    <row r="57" spans="1:24" s="20" customFormat="1" ht="38.25" customHeight="1" x14ac:dyDescent="0.25">
      <c r="A57" s="218"/>
      <c r="B57" s="219"/>
      <c r="C57" s="110" t="s">
        <v>363</v>
      </c>
      <c r="D57" s="139"/>
      <c r="E57" s="139"/>
      <c r="F57" s="139"/>
      <c r="G57" s="139"/>
      <c r="H57" s="111"/>
      <c r="R57"/>
      <c r="S57" s="18"/>
      <c r="T57" t="s">
        <v>262</v>
      </c>
      <c r="U57" s="62" t="s">
        <v>271</v>
      </c>
      <c r="V57" s="61"/>
      <c r="W57" s="60"/>
      <c r="X57" s="18"/>
    </row>
    <row r="58" spans="1:24" s="20" customFormat="1" ht="15.75" hidden="1" customHeight="1" x14ac:dyDescent="0.25">
      <c r="A58" s="214" t="s">
        <v>280</v>
      </c>
      <c r="B58" s="215"/>
      <c r="C58" s="110" t="str">
        <f>C57</f>
        <v>Wing A = Gr + P1 to P3 + 1st to 31th Floor
Wing B = Gr + P1 to P3 + 1st to 30th Floor</v>
      </c>
      <c r="D58" s="139"/>
      <c r="E58" s="111"/>
      <c r="F58" s="17" t="s">
        <v>40</v>
      </c>
      <c r="G58" s="110">
        <f>G57</f>
        <v>0</v>
      </c>
      <c r="H58" s="111"/>
      <c r="R58"/>
      <c r="S58" s="18"/>
      <c r="T58" t="s">
        <v>263</v>
      </c>
      <c r="U58" s="61" t="s">
        <v>294</v>
      </c>
      <c r="V58" s="61"/>
      <c r="W58" s="60"/>
      <c r="X58" s="18"/>
    </row>
    <row r="59" spans="1:24" s="20" customFormat="1" ht="33.75" hidden="1" customHeight="1" x14ac:dyDescent="0.25">
      <c r="A59" s="216"/>
      <c r="B59" s="217"/>
      <c r="C59" s="110"/>
      <c r="D59" s="139"/>
      <c r="E59" s="139"/>
      <c r="F59" s="139"/>
      <c r="G59" s="139"/>
      <c r="H59" s="111"/>
      <c r="R59"/>
      <c r="S59" s="18"/>
      <c r="T59" t="s">
        <v>264</v>
      </c>
      <c r="U59" s="61" t="s">
        <v>296</v>
      </c>
      <c r="V59" s="60"/>
      <c r="W59" s="60"/>
      <c r="X59" s="18"/>
    </row>
    <row r="60" spans="1:24" x14ac:dyDescent="0.25">
      <c r="A60" s="204" t="s">
        <v>42</v>
      </c>
      <c r="B60" s="205"/>
      <c r="C60" s="204" t="s">
        <v>100</v>
      </c>
      <c r="D60" s="206"/>
      <c r="E60" s="205"/>
      <c r="F60" s="40" t="s">
        <v>40</v>
      </c>
      <c r="G60" s="212" t="s">
        <v>28</v>
      </c>
      <c r="H60" s="213"/>
      <c r="R60"/>
      <c r="T60" t="s">
        <v>266</v>
      </c>
      <c r="U60" s="60"/>
      <c r="V60" s="60"/>
      <c r="W60" s="60"/>
    </row>
    <row r="61" spans="1:24" x14ac:dyDescent="0.25">
      <c r="A61" s="177" t="s">
        <v>44</v>
      </c>
      <c r="B61" s="177"/>
      <c r="C61" s="177"/>
      <c r="D61" s="177"/>
      <c r="E61" s="177"/>
      <c r="F61" s="177"/>
      <c r="G61" s="177"/>
      <c r="H61" s="177"/>
      <c r="T61" t="s">
        <v>275</v>
      </c>
      <c r="U61" s="60"/>
      <c r="V61" s="60"/>
      <c r="W61" s="60"/>
    </row>
    <row r="62" spans="1:24" x14ac:dyDescent="0.25">
      <c r="A62" s="135" t="s">
        <v>87</v>
      </c>
      <c r="B62" s="135"/>
      <c r="C62" s="135"/>
      <c r="D62" s="81">
        <f>E46</f>
        <v>26148.12</v>
      </c>
      <c r="E62" s="81"/>
      <c r="F62" s="81"/>
      <c r="G62" s="81"/>
      <c r="H62" s="81"/>
      <c r="R62"/>
    </row>
    <row r="63" spans="1:24" x14ac:dyDescent="0.25">
      <c r="A63" s="103" t="s">
        <v>45</v>
      </c>
      <c r="B63" s="126"/>
      <c r="C63" s="126"/>
      <c r="D63" s="126" t="s">
        <v>320</v>
      </c>
      <c r="E63" s="126"/>
      <c r="F63" s="126"/>
      <c r="G63" s="126"/>
      <c r="H63" s="126"/>
      <c r="I63" s="21"/>
      <c r="R63"/>
    </row>
    <row r="64" spans="1:24" ht="35.25" customHeight="1" x14ac:dyDescent="0.25">
      <c r="A64" s="129" t="s">
        <v>46</v>
      </c>
      <c r="B64" s="130"/>
      <c r="C64" s="131"/>
      <c r="D64" s="127" t="s">
        <v>363</v>
      </c>
      <c r="E64" s="128"/>
      <c r="F64" s="128"/>
      <c r="G64" s="128"/>
      <c r="H64" s="128"/>
      <c r="R64"/>
    </row>
    <row r="65" spans="1:19" ht="15.75" customHeight="1" x14ac:dyDescent="0.25">
      <c r="A65" s="129" t="s">
        <v>85</v>
      </c>
      <c r="B65" s="130"/>
      <c r="C65" s="130"/>
      <c r="D65" s="126" t="s">
        <v>364</v>
      </c>
      <c r="E65" s="126"/>
      <c r="F65" s="126"/>
      <c r="G65" s="126"/>
      <c r="H65" s="126"/>
      <c r="R65"/>
    </row>
    <row r="66" spans="1:19" ht="15.75" customHeight="1" x14ac:dyDescent="0.25">
      <c r="A66" s="140"/>
      <c r="B66" s="141"/>
      <c r="C66" s="141"/>
      <c r="D66" s="126" t="s">
        <v>321</v>
      </c>
      <c r="E66" s="126"/>
      <c r="F66" s="126"/>
      <c r="G66" s="126"/>
      <c r="H66" s="126"/>
      <c r="R66"/>
    </row>
    <row r="67" spans="1:19" ht="15.75" customHeight="1" x14ac:dyDescent="0.25">
      <c r="A67" s="81" t="s">
        <v>43</v>
      </c>
      <c r="B67" s="81"/>
      <c r="C67" s="81"/>
      <c r="D67" s="135" t="s">
        <v>388</v>
      </c>
      <c r="E67" s="135"/>
      <c r="F67" s="135"/>
      <c r="G67" s="135"/>
      <c r="H67" s="110"/>
      <c r="I67" s="77"/>
      <c r="J67" s="22"/>
      <c r="K67" s="21"/>
      <c r="N67" s="21"/>
      <c r="S67"/>
    </row>
    <row r="68" spans="1:19" ht="15.75" customHeight="1" x14ac:dyDescent="0.25">
      <c r="A68" s="81" t="s">
        <v>83</v>
      </c>
      <c r="B68" s="81"/>
      <c r="C68" s="81"/>
      <c r="D68" s="136" t="str">
        <f>(IF(G60="NA","60 Years After Completion",IF(G60&lt;&gt;"NA",""&amp;60-ROUNDDOWN((E3-G60)/360,0)&amp;" Years"," ")))</f>
        <v>60 Years After Completion</v>
      </c>
      <c r="E68" s="136"/>
      <c r="F68" s="136"/>
      <c r="G68" s="136"/>
      <c r="H68" s="136"/>
      <c r="N68" s="21"/>
      <c r="S68"/>
    </row>
    <row r="69" spans="1:19" ht="15.75" customHeight="1" x14ac:dyDescent="0.25">
      <c r="A69" s="81" t="s">
        <v>84</v>
      </c>
      <c r="B69" s="81"/>
      <c r="C69" s="81"/>
      <c r="D69" s="135" t="s">
        <v>23</v>
      </c>
      <c r="E69" s="135"/>
      <c r="F69" s="135"/>
      <c r="G69" s="135"/>
      <c r="H69" s="135"/>
      <c r="J69" s="23"/>
      <c r="K69" s="23"/>
      <c r="S69"/>
    </row>
    <row r="70" spans="1:19" ht="96.75" customHeight="1" x14ac:dyDescent="0.25">
      <c r="A70" s="126" t="s">
        <v>322</v>
      </c>
      <c r="B70" s="126"/>
      <c r="C70" s="126"/>
      <c r="D70" s="103" t="s">
        <v>384</v>
      </c>
      <c r="E70" s="103"/>
      <c r="F70" s="103"/>
      <c r="G70" s="103"/>
      <c r="H70" s="103"/>
      <c r="S70"/>
    </row>
    <row r="71" spans="1:19" x14ac:dyDescent="0.25">
      <c r="A71" s="135" t="s">
        <v>145</v>
      </c>
      <c r="B71" s="135"/>
      <c r="C71" s="135"/>
      <c r="D71" s="135" t="s">
        <v>28</v>
      </c>
      <c r="E71" s="135"/>
      <c r="F71" s="135"/>
      <c r="G71" s="135"/>
      <c r="H71" s="135"/>
      <c r="I71" s="24"/>
      <c r="J71" s="24"/>
      <c r="K71" s="24"/>
      <c r="L71" s="24"/>
      <c r="M71" s="24"/>
      <c r="N71" s="24"/>
    </row>
    <row r="72" spans="1:19" ht="15.75" customHeight="1" x14ac:dyDescent="0.25">
      <c r="A72" s="207" t="s">
        <v>82</v>
      </c>
      <c r="B72" s="207"/>
      <c r="C72" s="207"/>
      <c r="D72" s="127" t="str">
        <f ca="1">(IF(G78&gt;95%,"Nothing",IF(G78&gt;0%,"Cement, Aggregate, Steel, etc",IF(G78=0%,"Work not yet Started"))))</f>
        <v>Cement, Aggregate, Steel, etc</v>
      </c>
      <c r="E72" s="127"/>
      <c r="F72" s="127"/>
      <c r="G72" s="127"/>
      <c r="H72" s="127"/>
      <c r="J72" s="23"/>
      <c r="S72"/>
    </row>
    <row r="73" spans="1:19" ht="33.75" customHeight="1" thickBot="1" x14ac:dyDescent="0.3">
      <c r="A73" s="170" t="s">
        <v>113</v>
      </c>
      <c r="B73" s="170"/>
      <c r="C73" s="170"/>
      <c r="D73" s="127" t="str">
        <f ca="1">(IF(D72="Nothing","Yes",IF(D72="Cement, Aggregate, Steel, etc","Under Construction",IF(D72="Work not yet Started","Work not yet Started"))))</f>
        <v>Under Construction</v>
      </c>
      <c r="E73" s="127"/>
      <c r="F73" s="127" t="str">
        <f ca="1">(IF(D72="Nothing","Yes",IF(D72="Cement, Aggregate, Steel, etc","Under Construction",IF(D72="Work not yet Started","Work not yet Started"))))</f>
        <v>Under Construction</v>
      </c>
      <c r="G73" s="127"/>
      <c r="H73" s="127"/>
      <c r="S73"/>
    </row>
    <row r="74" spans="1:19" ht="15.75" customHeight="1" x14ac:dyDescent="0.25">
      <c r="A74" s="164" t="s">
        <v>137</v>
      </c>
      <c r="B74" s="165"/>
      <c r="C74" s="166" t="str">
        <f>D65</f>
        <v>Wing A = Gr + P1 to P3 + 1st to 34th Floor</v>
      </c>
      <c r="D74" s="167"/>
      <c r="E74" s="167"/>
      <c r="F74" s="167"/>
      <c r="G74" s="167"/>
      <c r="H74" s="168"/>
      <c r="I74" s="42" t="str">
        <f ca="1">IF(D87=100%,"All work Completed. Possession granted to the Building.",IF(D86=100%,"All work Completed, Waiting for OC",I75&amp;""&amp;I76&amp;""&amp;J75&amp;""&amp;J74&amp;" "&amp;J76))</f>
        <v>Excavation, Plinth Completed, RCC upto 10 Slab, Brickwork upto 6 Floor, Internal Plaster upto 4.5 Floor, External Plaster upto 3.9 Floor Completed</v>
      </c>
      <c r="J74" s="4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10 Slab, Brickwork upto 6 Floor, Internal Plaster upto 4.5 Floor, External Plaster upto 3.9 Floor</v>
      </c>
      <c r="S74"/>
    </row>
    <row r="75" spans="1:19" x14ac:dyDescent="0.25">
      <c r="A75" s="15" t="s">
        <v>139</v>
      </c>
      <c r="B75" s="46">
        <f>IF(AND(ISNUMBER(SEARCH("1B",C74))),1,IF(AND(ISNUMBER(SEARCH("2B",C74))),2,IF(AND(ISNUMBER(SEARCH("3B",C74))),3,IF(AND(ISNUMBER(SEARCH("4B",C74))),4,IF(ISNUMBER(SEARCH("5B",C74)),5,0)))))</f>
        <v>0</v>
      </c>
      <c r="C75" s="47" t="s">
        <v>68</v>
      </c>
      <c r="D75" s="47">
        <v>1</v>
      </c>
      <c r="E75" s="47" t="s">
        <v>67</v>
      </c>
      <c r="F75" s="47">
        <v>3</v>
      </c>
      <c r="G75" s="47" t="s">
        <v>76</v>
      </c>
      <c r="H75" s="16">
        <f ca="1">--TRIM(RIGHT(SUBSTITUTE(LEFT(C74,_xlfn.AGGREGATE(16,6,FIND({0,1,2,3,4,5,6,7,8,9},C74,ROW(INDIRECT("1:"&amp;LEN(C74)))),1))," ",REPT(" ",LEN(C74))),LEN(C74)))</f>
        <v>34</v>
      </c>
      <c r="I75" s="44" t="str">
        <f ca="1">IF(D78=100%,"Excavation","")&amp;IF(D79=100%,", Plinth","")&amp;IF(D80=100%,", RCC Slab","")&amp;IF(D81=100%,", Brickwork","")&amp;IF(D82=100%,", Internal Plaster","")&amp;IF(D83=100%,", External Plaster","")&amp;IF(D84=100%,", Flooring","")&amp;IF(D85=100%,", Painting","")&amp;IF(D86=100%,", Building common Amenities","")</f>
        <v>Excavation, Plinth</v>
      </c>
      <c r="J75" s="45"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1.5" customHeight="1" x14ac:dyDescent="0.25">
      <c r="A76" s="121" t="s">
        <v>86</v>
      </c>
      <c r="B76" s="122"/>
      <c r="C76" s="132" t="str">
        <f ca="1">I74</f>
        <v>Excavation, Plinth Completed, RCC upto 10 Slab, Brickwork upto 6 Floor, Internal Plaster upto 4.5 Floor, External Plaster upto 3.9 Floor Completed</v>
      </c>
      <c r="D76" s="132"/>
      <c r="E76" s="132"/>
      <c r="F76" s="132"/>
      <c r="G76" s="132"/>
      <c r="H76" s="133"/>
      <c r="I76" s="44" t="str">
        <f ca="1">IF(I75&lt;&gt;""," Completed","")</f>
        <v xml:space="preserve"> Completed</v>
      </c>
      <c r="J76" s="45" t="str">
        <f ca="1">IF(J74&lt;&gt;"","Completed","")</f>
        <v>Completed</v>
      </c>
      <c r="S76"/>
    </row>
    <row r="77" spans="1:19" ht="15.75" customHeight="1" x14ac:dyDescent="0.25">
      <c r="A77" s="86" t="s">
        <v>47</v>
      </c>
      <c r="B77" s="87"/>
      <c r="C77" s="67" t="s">
        <v>136</v>
      </c>
      <c r="D77" s="67" t="s">
        <v>79</v>
      </c>
      <c r="E77" s="169" t="s">
        <v>81</v>
      </c>
      <c r="F77" s="169"/>
      <c r="G77" s="169" t="s">
        <v>80</v>
      </c>
      <c r="H77" s="171"/>
      <c r="I77" s="13" t="s">
        <v>138</v>
      </c>
      <c r="J77" s="25">
        <f ca="1">H75*25%</f>
        <v>8.5</v>
      </c>
      <c r="S77"/>
    </row>
    <row r="78" spans="1:19" x14ac:dyDescent="0.25">
      <c r="A78" s="86" t="s">
        <v>125</v>
      </c>
      <c r="B78" s="87"/>
      <c r="C78" s="67">
        <f ca="1">J79</f>
        <v>34</v>
      </c>
      <c r="D78" s="68">
        <f ca="1">((100/H75)*C78)/100</f>
        <v>1</v>
      </c>
      <c r="E78" s="115">
        <f ca="1">(((C79/H75*10)+(40/(D75+F75+H75)*C80)+(7.5/(H75)*C81)+(7.5/(H75)*C82)+(10/H75*C83)+(10/H75*C84)+(5/H75*C85)+(5/H75*C86)+(5/H75*C87))/100)</f>
        <v>0.23989551083591334</v>
      </c>
      <c r="F78" s="172"/>
      <c r="G78" s="115">
        <f ca="1">((((C78/H75)*20)+((C79/H75)*25)+(30/(H75+F75+D75)*C80)+(5/H75*C81)+(5/H75*C82)+(5/H75*C83)+(5/H75*C84)+(0/H75*C85)+(0/H75*C86)+(5/H75*C87))/100)</f>
        <v>0.55012383900928785</v>
      </c>
      <c r="H78" s="116"/>
      <c r="I78" s="13" t="s">
        <v>95</v>
      </c>
      <c r="J78" s="26">
        <f ca="1">H75*50%</f>
        <v>17</v>
      </c>
    </row>
    <row r="79" spans="1:19" x14ac:dyDescent="0.25">
      <c r="A79" s="86" t="s">
        <v>48</v>
      </c>
      <c r="B79" s="87"/>
      <c r="C79" s="71">
        <f ca="1">J87</f>
        <v>34</v>
      </c>
      <c r="D79" s="68">
        <f ca="1">((100/H75)*C79)/100</f>
        <v>1</v>
      </c>
      <c r="E79" s="117"/>
      <c r="F79" s="173"/>
      <c r="G79" s="117"/>
      <c r="H79" s="118"/>
      <c r="I79" s="13" t="s">
        <v>96</v>
      </c>
      <c r="J79" s="26">
        <f ca="1">H75</f>
        <v>34</v>
      </c>
      <c r="S79"/>
    </row>
    <row r="80" spans="1:19" ht="15.75" customHeight="1" x14ac:dyDescent="0.25">
      <c r="A80" s="86" t="s">
        <v>126</v>
      </c>
      <c r="B80" s="87"/>
      <c r="C80" s="67">
        <v>10</v>
      </c>
      <c r="D80" s="68">
        <f ca="1">((100/(D75+F75+H75))*C80)/100</f>
        <v>0.26315789473684215</v>
      </c>
      <c r="E80" s="117"/>
      <c r="F80" s="173"/>
      <c r="G80" s="117"/>
      <c r="H80" s="118"/>
      <c r="I80" s="13" t="s">
        <v>97</v>
      </c>
      <c r="J80" s="27">
        <f ca="1">(IF(B75&gt;1,(H75/(B75+2)),H75/4))</f>
        <v>8.5</v>
      </c>
      <c r="S80"/>
    </row>
    <row r="81" spans="1:10" ht="15.75" customHeight="1" x14ac:dyDescent="0.25">
      <c r="A81" s="86" t="s">
        <v>133</v>
      </c>
      <c r="B81" s="87" t="s">
        <v>127</v>
      </c>
      <c r="C81" s="67">
        <f>C80-F75-D75</f>
        <v>6</v>
      </c>
      <c r="D81" s="68">
        <f ca="1">((100/H75)*C81)/100</f>
        <v>0.17647058823529413</v>
      </c>
      <c r="E81" s="117"/>
      <c r="F81" s="173"/>
      <c r="G81" s="117"/>
      <c r="H81" s="118"/>
      <c r="I81" s="13" t="s">
        <v>98</v>
      </c>
      <c r="J81" s="27">
        <f ca="1">(IF(B75&gt;1,(H75/(B75+2)+J80),H75/4+J80))</f>
        <v>17</v>
      </c>
    </row>
    <row r="82" spans="1:10" ht="15.75" customHeight="1" x14ac:dyDescent="0.25">
      <c r="A82" s="86" t="s">
        <v>134</v>
      </c>
      <c r="B82" s="87" t="s">
        <v>127</v>
      </c>
      <c r="C82" s="71">
        <f>C81*0.75</f>
        <v>4.5</v>
      </c>
      <c r="D82" s="68">
        <f ca="1">((100/H75)*C82)/100</f>
        <v>0.13235294117647059</v>
      </c>
      <c r="E82" s="117"/>
      <c r="F82" s="173"/>
      <c r="G82" s="117"/>
      <c r="H82" s="118"/>
      <c r="I82" s="13" t="s">
        <v>143</v>
      </c>
      <c r="J82" s="27">
        <f>(IF(B75&gt;1,(H75/(B75+2)+J81),0))</f>
        <v>0</v>
      </c>
    </row>
    <row r="83" spans="1:10" ht="15" customHeight="1" x14ac:dyDescent="0.25">
      <c r="A83" s="86" t="s">
        <v>132</v>
      </c>
      <c r="B83" s="87" t="s">
        <v>129</v>
      </c>
      <c r="C83" s="71">
        <f>C81*0.65</f>
        <v>3.9000000000000004</v>
      </c>
      <c r="D83" s="68">
        <f ca="1">((100/(H75))*C83)/100</f>
        <v>0.1147058823529412</v>
      </c>
      <c r="E83" s="117"/>
      <c r="F83" s="173"/>
      <c r="G83" s="117"/>
      <c r="H83" s="118"/>
      <c r="I83" s="13" t="s">
        <v>140</v>
      </c>
      <c r="J83" s="27">
        <f>(IF(B75&gt;2,(H75/(B75+2)+J82),0))</f>
        <v>0</v>
      </c>
    </row>
    <row r="84" spans="1:10" ht="15.75" customHeight="1" x14ac:dyDescent="0.25">
      <c r="A84" s="86" t="s">
        <v>128</v>
      </c>
      <c r="B84" s="87" t="s">
        <v>128</v>
      </c>
      <c r="C84" s="71">
        <v>0</v>
      </c>
      <c r="D84" s="68">
        <f ca="1">((100/H75)*C84)/100</f>
        <v>0</v>
      </c>
      <c r="E84" s="117"/>
      <c r="F84" s="173"/>
      <c r="G84" s="117"/>
      <c r="H84" s="118"/>
      <c r="I84" s="13" t="s">
        <v>141</v>
      </c>
      <c r="J84" s="28">
        <f>(IF(B75&gt;3,(H75/(B75+2)+J83),0))</f>
        <v>0</v>
      </c>
    </row>
    <row r="85" spans="1:10" ht="15.75" customHeight="1" x14ac:dyDescent="0.25">
      <c r="A85" s="86" t="s">
        <v>135</v>
      </c>
      <c r="B85" s="87"/>
      <c r="C85" s="67">
        <v>0</v>
      </c>
      <c r="D85" s="68">
        <f ca="1">((100/H75)*C85)/100</f>
        <v>0</v>
      </c>
      <c r="E85" s="117"/>
      <c r="F85" s="173"/>
      <c r="G85" s="117"/>
      <c r="H85" s="118"/>
      <c r="I85" s="13" t="s">
        <v>142</v>
      </c>
      <c r="J85" s="27">
        <f>(IF(B75&gt;4,(H75/(B75+2)+J84),0))</f>
        <v>0</v>
      </c>
    </row>
    <row r="86" spans="1:10" ht="15.75" customHeight="1" x14ac:dyDescent="0.25">
      <c r="A86" s="86" t="s">
        <v>130</v>
      </c>
      <c r="B86" s="87" t="s">
        <v>130</v>
      </c>
      <c r="C86" s="67">
        <v>0</v>
      </c>
      <c r="D86" s="68">
        <f ca="1">((100/(H75))*C86)/100</f>
        <v>0</v>
      </c>
      <c r="E86" s="117"/>
      <c r="F86" s="173"/>
      <c r="G86" s="117"/>
      <c r="H86" s="118"/>
      <c r="I86" s="13" t="s">
        <v>144</v>
      </c>
      <c r="J86" s="27">
        <f ca="1">(IF(B75=1,(H75/(B75+3)+J81),IF(B75=0,(H75/4+J81),IF(B75&gt;1,0))))</f>
        <v>25.5</v>
      </c>
    </row>
    <row r="87" spans="1:10" ht="16.5" thickBot="1" x14ac:dyDescent="0.3">
      <c r="A87" s="88" t="s">
        <v>131</v>
      </c>
      <c r="B87" s="89"/>
      <c r="C87" s="69">
        <v>0</v>
      </c>
      <c r="D87" s="70">
        <f ca="1">((100/(H75))*C87)/100</f>
        <v>0</v>
      </c>
      <c r="E87" s="119"/>
      <c r="F87" s="174"/>
      <c r="G87" s="119"/>
      <c r="H87" s="120"/>
      <c r="I87" s="14" t="s">
        <v>99</v>
      </c>
      <c r="J87" s="29">
        <f ca="1">(IF(B75&gt;1.5,(H75/(B75+2)+J81+MAX(0,J82-J81)+MAX(0,J83-J82)+MAX(0,J84-J83)+MAX(0,J85-J84)+MAX(0,J86-J85)),IF(B75=1,(H75/(B75+3)+J86),IF(B75=0,H75/4+J86))))</f>
        <v>34</v>
      </c>
    </row>
    <row r="88" spans="1:10" ht="15.75" customHeight="1" x14ac:dyDescent="0.25">
      <c r="A88" s="164" t="s">
        <v>137</v>
      </c>
      <c r="B88" s="165"/>
      <c r="C88" s="166" t="str">
        <f>D66</f>
        <v>Wing B = Gr + P1 to P3 + 1st to 34th Floor</v>
      </c>
      <c r="D88" s="167"/>
      <c r="E88" s="167"/>
      <c r="F88" s="167"/>
      <c r="G88" s="167"/>
      <c r="H88" s="168"/>
      <c r="I88" s="42" t="str">
        <f ca="1">IF(D101=100%,"All work Completed. Possession granted to the Building.",IF(D100=100%,"All work Completed, Waiting for OC",I89&amp;""&amp;I90&amp;""&amp;J89&amp;""&amp;J88&amp;" "&amp;J90))</f>
        <v>Excavation, Plinth Completed, RCC upto 9 Slab, Brickwork upto 5 Floor, Internal Plaster upto 3.75 Floor, External Plaster upto 3.25 Floor Completed</v>
      </c>
      <c r="J88" s="4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9 Slab, Brickwork upto 5 Floor, Internal Plaster upto 3.75 Floor, External Plaster upto 3.25 Floor</v>
      </c>
    </row>
    <row r="89" spans="1:10" x14ac:dyDescent="0.25">
      <c r="A89" s="15" t="s">
        <v>139</v>
      </c>
      <c r="B89" s="47">
        <f>IF(AND(ISNUMBER(SEARCH("1B",C88))),1,IF(AND(ISNUMBER(SEARCH("2B",C88))),2,IF(AND(ISNUMBER(SEARCH("3B",C88))),3,IF(AND(ISNUMBER(SEARCH("4B",C88))),4,IF(ISNUMBER(SEARCH("5B",C88)),5,0)))))</f>
        <v>0</v>
      </c>
      <c r="C89" s="47" t="s">
        <v>68</v>
      </c>
      <c r="D89" s="47">
        <v>1</v>
      </c>
      <c r="E89" s="47" t="s">
        <v>67</v>
      </c>
      <c r="F89" s="47">
        <v>3</v>
      </c>
      <c r="G89" s="47" t="s">
        <v>76</v>
      </c>
      <c r="H89" s="16">
        <f ca="1">--TRIM(RIGHT(SUBSTITUTE(LEFT(C88,_xlfn.AGGREGATE(16,6,FIND({0,1,2,3,4,5,6,7,8,9},C88,ROW(INDIRECT("1:"&amp;LEN(C88)))),1))," ",REPT(" ",LEN(C88))),LEN(C88)))</f>
        <v>34</v>
      </c>
      <c r="I89" s="44" t="str">
        <f ca="1">IF(D92=100%,"Excavation","")&amp;IF(D93=100%,", Plinth","")&amp;IF(D94=100%,", RCC Slab","")&amp;IF(D95=100%,", Brickwork","")&amp;IF(D96=100%,", Internal Plaster","")&amp;IF(D97=100%,", External Plaster","")&amp;IF(D98=100%,", Flooring","")&amp;IF(D99=100%,", Painting","")&amp;IF(D100=100%,", Building common Amenities","")</f>
        <v>Excavation, Plinth</v>
      </c>
      <c r="J89" s="4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31.5" customHeight="1" x14ac:dyDescent="0.25">
      <c r="A90" s="121" t="s">
        <v>86</v>
      </c>
      <c r="B90" s="122"/>
      <c r="C90" s="132" t="str">
        <f ca="1">(IF($G$60="NA",I88,"All work Completed. OC Received."))</f>
        <v>Excavation, Plinth Completed, RCC upto 9 Slab, Brickwork upto 5 Floor, Internal Plaster upto 3.75 Floor, External Plaster upto 3.25 Floor Completed</v>
      </c>
      <c r="D90" s="132"/>
      <c r="E90" s="132"/>
      <c r="F90" s="132"/>
      <c r="G90" s="132"/>
      <c r="H90" s="133"/>
      <c r="I90" s="44" t="str">
        <f ca="1">IF(I89&lt;&gt;""," Completed","")</f>
        <v xml:space="preserve"> Completed</v>
      </c>
      <c r="J90" s="45" t="str">
        <f ca="1">IF(J88&lt;&gt;"","Completed","")</f>
        <v>Completed</v>
      </c>
    </row>
    <row r="91" spans="1:10" ht="15.75" customHeight="1" x14ac:dyDescent="0.25">
      <c r="A91" s="86" t="s">
        <v>47</v>
      </c>
      <c r="B91" s="87"/>
      <c r="C91" s="67" t="s">
        <v>136</v>
      </c>
      <c r="D91" s="67" t="s">
        <v>79</v>
      </c>
      <c r="E91" s="169" t="s">
        <v>81</v>
      </c>
      <c r="F91" s="169"/>
      <c r="G91" s="169" t="s">
        <v>80</v>
      </c>
      <c r="H91" s="171"/>
      <c r="I91" s="13" t="s">
        <v>138</v>
      </c>
      <c r="J91" s="25">
        <f ca="1">H89*25%</f>
        <v>8.5</v>
      </c>
    </row>
    <row r="92" spans="1:10" x14ac:dyDescent="0.25">
      <c r="A92" s="86" t="s">
        <v>125</v>
      </c>
      <c r="B92" s="87"/>
      <c r="C92" s="67">
        <f ca="1">J93</f>
        <v>34</v>
      </c>
      <c r="D92" s="68">
        <f ca="1">((100/H89)*C92)/100</f>
        <v>1</v>
      </c>
      <c r="E92" s="115">
        <f ca="1">(((C93/H89*10)+(40/(D89+F89+H89)*C94)+(7.5/(H89)*C95)+(7.5/(H89)*C96)+(10/H89*C97)+(10/H89*C98)+(5/H89*C99)+(5/H89*C100)+(5/H89*C101))/100)</f>
        <v>0.22359713622291022</v>
      </c>
      <c r="F92" s="172"/>
      <c r="G92" s="115">
        <f ca="1">((((C92/H89)*20)+((C93/H89)*25)+(30/(H89+F89+D89)*C94)+(5/H89*C95)+(5/H89*C96)+(5/H89*C97)+(5/H89*C98)+(0/H89*C99)+(0/H89*C100)+(5/H89*C101))/100)</f>
        <v>0.53869969040247678</v>
      </c>
      <c r="H92" s="116"/>
      <c r="I92" s="13" t="s">
        <v>95</v>
      </c>
      <c r="J92" s="26">
        <f ca="1">H89*50%</f>
        <v>17</v>
      </c>
    </row>
    <row r="93" spans="1:10" x14ac:dyDescent="0.25">
      <c r="A93" s="86" t="s">
        <v>48</v>
      </c>
      <c r="B93" s="87"/>
      <c r="C93" s="71">
        <f ca="1">J101</f>
        <v>34</v>
      </c>
      <c r="D93" s="68">
        <f ca="1">((100/H89)*C93)/100</f>
        <v>1</v>
      </c>
      <c r="E93" s="117"/>
      <c r="F93" s="173"/>
      <c r="G93" s="117"/>
      <c r="H93" s="118"/>
      <c r="I93" s="13" t="s">
        <v>96</v>
      </c>
      <c r="J93" s="26">
        <f ca="1">H89</f>
        <v>34</v>
      </c>
    </row>
    <row r="94" spans="1:10" ht="15.75" customHeight="1" x14ac:dyDescent="0.25">
      <c r="A94" s="86" t="s">
        <v>126</v>
      </c>
      <c r="B94" s="87"/>
      <c r="C94" s="67">
        <v>9</v>
      </c>
      <c r="D94" s="68">
        <f ca="1">((100/(D89+F89+H89))*C94)/100</f>
        <v>0.23684210526315791</v>
      </c>
      <c r="E94" s="117"/>
      <c r="F94" s="173"/>
      <c r="G94" s="117"/>
      <c r="H94" s="118"/>
      <c r="I94" s="13" t="s">
        <v>97</v>
      </c>
      <c r="J94" s="27">
        <f ca="1">(IF(B89&gt;1,(H89/(B89+2)),H89/4))</f>
        <v>8.5</v>
      </c>
    </row>
    <row r="95" spans="1:10" ht="15.75" customHeight="1" x14ac:dyDescent="0.25">
      <c r="A95" s="86" t="s">
        <v>133</v>
      </c>
      <c r="B95" s="87" t="s">
        <v>127</v>
      </c>
      <c r="C95" s="67">
        <f>C94-F89-D89</f>
        <v>5</v>
      </c>
      <c r="D95" s="68">
        <f ca="1">((100/H89)*C95)/100</f>
        <v>0.14705882352941177</v>
      </c>
      <c r="E95" s="117"/>
      <c r="F95" s="173"/>
      <c r="G95" s="117"/>
      <c r="H95" s="118"/>
      <c r="I95" s="13" t="s">
        <v>98</v>
      </c>
      <c r="J95" s="27">
        <f ca="1">(IF(B89&gt;1,(H89/(B89+2)+J94),H89/4+J94))</f>
        <v>17</v>
      </c>
    </row>
    <row r="96" spans="1:10" ht="15.75" customHeight="1" x14ac:dyDescent="0.25">
      <c r="A96" s="86" t="s">
        <v>134</v>
      </c>
      <c r="B96" s="87" t="s">
        <v>127</v>
      </c>
      <c r="C96" s="71">
        <f>C95*0.75</f>
        <v>3.75</v>
      </c>
      <c r="D96" s="68">
        <f ca="1">((100/H89)*C96)/100</f>
        <v>0.11029411764705883</v>
      </c>
      <c r="E96" s="117"/>
      <c r="F96" s="173"/>
      <c r="G96" s="117"/>
      <c r="H96" s="118"/>
      <c r="I96" s="13" t="s">
        <v>143</v>
      </c>
      <c r="J96" s="27">
        <f>(IF(B89&gt;1,(H89/(B89+2)+J95),0))</f>
        <v>0</v>
      </c>
    </row>
    <row r="97" spans="1:22" ht="15" customHeight="1" x14ac:dyDescent="0.25">
      <c r="A97" s="86" t="s">
        <v>132</v>
      </c>
      <c r="B97" s="87" t="s">
        <v>129</v>
      </c>
      <c r="C97" s="71">
        <f>C95*0.65</f>
        <v>3.25</v>
      </c>
      <c r="D97" s="68">
        <f ca="1">((100/(H89))*C97)/100</f>
        <v>9.5588235294117641E-2</v>
      </c>
      <c r="E97" s="117"/>
      <c r="F97" s="173"/>
      <c r="G97" s="117"/>
      <c r="H97" s="118"/>
      <c r="I97" s="13" t="s">
        <v>140</v>
      </c>
      <c r="J97" s="27">
        <f>(IF(B89&gt;2,(H89/(B89+2)+J96),0))</f>
        <v>0</v>
      </c>
    </row>
    <row r="98" spans="1:22" ht="15.75" customHeight="1" x14ac:dyDescent="0.25">
      <c r="A98" s="86" t="s">
        <v>128</v>
      </c>
      <c r="B98" s="87" t="s">
        <v>128</v>
      </c>
      <c r="C98" s="67">
        <v>0</v>
      </c>
      <c r="D98" s="68">
        <f ca="1">((100/H89)*C98)/100</f>
        <v>0</v>
      </c>
      <c r="E98" s="117"/>
      <c r="F98" s="173"/>
      <c r="G98" s="117"/>
      <c r="H98" s="118"/>
      <c r="I98" s="13" t="s">
        <v>141</v>
      </c>
      <c r="J98" s="28">
        <f>(IF(B89&gt;3,(H89/(B89+2)+J97),0))</f>
        <v>0</v>
      </c>
    </row>
    <row r="99" spans="1:22" ht="15.75" customHeight="1" x14ac:dyDescent="0.25">
      <c r="A99" s="86" t="s">
        <v>135</v>
      </c>
      <c r="B99" s="87"/>
      <c r="C99" s="67">
        <v>0</v>
      </c>
      <c r="D99" s="68">
        <f ca="1">((100/H89)*C99)/100</f>
        <v>0</v>
      </c>
      <c r="E99" s="117"/>
      <c r="F99" s="173"/>
      <c r="G99" s="117"/>
      <c r="H99" s="118"/>
      <c r="I99" s="13" t="s">
        <v>142</v>
      </c>
      <c r="J99" s="27">
        <f>(IF(B89&gt;4,(H89/(B89+2)+J98),0))</f>
        <v>0</v>
      </c>
    </row>
    <row r="100" spans="1:22" ht="15.75" customHeight="1" x14ac:dyDescent="0.25">
      <c r="A100" s="86" t="s">
        <v>130</v>
      </c>
      <c r="B100" s="87" t="s">
        <v>130</v>
      </c>
      <c r="C100" s="67">
        <v>0</v>
      </c>
      <c r="D100" s="68">
        <f ca="1">((100/(H89))*C100)/100</f>
        <v>0</v>
      </c>
      <c r="E100" s="117"/>
      <c r="F100" s="173"/>
      <c r="G100" s="117"/>
      <c r="H100" s="118"/>
      <c r="I100" s="13" t="s">
        <v>144</v>
      </c>
      <c r="J100" s="27">
        <f ca="1">(IF(B89=1,(H89/(B89+3)+J95),IF(B89=0,(H89/4+J95),IF(B89&gt;1,0))))</f>
        <v>25.5</v>
      </c>
    </row>
    <row r="101" spans="1:22" ht="16.5" thickBot="1" x14ac:dyDescent="0.3">
      <c r="A101" s="88" t="s">
        <v>131</v>
      </c>
      <c r="B101" s="89"/>
      <c r="C101" s="69">
        <v>0</v>
      </c>
      <c r="D101" s="70">
        <f ca="1">((100/(H89))*C101)/100</f>
        <v>0</v>
      </c>
      <c r="E101" s="119"/>
      <c r="F101" s="174"/>
      <c r="G101" s="119"/>
      <c r="H101" s="120"/>
      <c r="I101" s="14" t="s">
        <v>99</v>
      </c>
      <c r="J101" s="29">
        <f ca="1">(IF(B89&gt;1.5,(H89/(B89+2)+J95+MAX(0,J96-J95)+MAX(0,J97-J96)+MAX(0,J98-J97)+MAX(0,J99-J98)+MAX(0,J100-J99)),IF(B89=1,(H89/(B89+3)+J100),IF(B89=0,H89/4+J100))))</f>
        <v>34</v>
      </c>
    </row>
    <row r="102" spans="1:22" x14ac:dyDescent="0.25">
      <c r="A102" s="82" t="s">
        <v>154</v>
      </c>
      <c r="B102" s="82"/>
      <c r="C102" s="82"/>
      <c r="D102" s="82"/>
      <c r="E102" s="82"/>
      <c r="F102" s="187" t="s">
        <v>158</v>
      </c>
      <c r="G102" s="187"/>
      <c r="H102" s="187"/>
      <c r="R102" t="s">
        <v>250</v>
      </c>
      <c r="S102" t="s">
        <v>169</v>
      </c>
      <c r="T102" t="s">
        <v>175</v>
      </c>
      <c r="U102" t="s">
        <v>190</v>
      </c>
      <c r="V102" t="s">
        <v>185</v>
      </c>
    </row>
    <row r="103" spans="1:22" x14ac:dyDescent="0.25">
      <c r="A103" s="81" t="s">
        <v>156</v>
      </c>
      <c r="B103" s="81"/>
      <c r="C103" s="81"/>
      <c r="D103" s="81"/>
      <c r="E103" s="81"/>
      <c r="F103" s="83">
        <v>19000</v>
      </c>
      <c r="G103" s="83"/>
      <c r="H103" s="83"/>
      <c r="I103" s="18" t="s">
        <v>376</v>
      </c>
      <c r="J103" s="22">
        <v>45420</v>
      </c>
      <c r="K103" s="18" t="s">
        <v>378</v>
      </c>
      <c r="L103" s="18" t="s">
        <v>377</v>
      </c>
      <c r="R103"/>
      <c r="S103">
        <v>800000</v>
      </c>
      <c r="T103">
        <v>150000</v>
      </c>
      <c r="U103">
        <v>100000</v>
      </c>
      <c r="V103">
        <v>100000</v>
      </c>
    </row>
    <row r="104" spans="1:22" hidden="1" x14ac:dyDescent="0.25">
      <c r="A104" s="81" t="s">
        <v>155</v>
      </c>
      <c r="B104" s="81"/>
      <c r="C104" s="81"/>
      <c r="D104" s="81"/>
      <c r="E104" s="81"/>
      <c r="F104" s="83"/>
      <c r="G104" s="83"/>
      <c r="H104" s="83"/>
      <c r="R104"/>
      <c r="S104">
        <v>900000</v>
      </c>
      <c r="T104">
        <v>200000</v>
      </c>
      <c r="U104">
        <v>150000</v>
      </c>
      <c r="V104">
        <v>150000</v>
      </c>
    </row>
    <row r="105" spans="1:22" hidden="1" x14ac:dyDescent="0.25">
      <c r="A105" s="81" t="s">
        <v>157</v>
      </c>
      <c r="B105" s="81"/>
      <c r="C105" s="81"/>
      <c r="D105" s="81"/>
      <c r="E105" s="81"/>
      <c r="F105" s="83"/>
      <c r="G105" s="83"/>
      <c r="H105" s="83"/>
      <c r="R105"/>
      <c r="S105">
        <v>1000000</v>
      </c>
      <c r="T105">
        <v>250000</v>
      </c>
      <c r="U105">
        <v>200000</v>
      </c>
      <c r="V105">
        <v>200000</v>
      </c>
    </row>
    <row r="106" spans="1:22" s="30" customFormat="1" hidden="1" x14ac:dyDescent="0.25">
      <c r="A106" s="81" t="s">
        <v>171</v>
      </c>
      <c r="B106" s="81"/>
      <c r="C106" s="81"/>
      <c r="D106" s="81"/>
      <c r="E106" s="81"/>
      <c r="F106" s="83"/>
      <c r="G106" s="83"/>
      <c r="H106" s="83"/>
      <c r="R106"/>
      <c r="S106">
        <v>1100000</v>
      </c>
      <c r="T106">
        <v>300000</v>
      </c>
      <c r="U106">
        <v>250000</v>
      </c>
      <c r="V106" s="20">
        <v>250000</v>
      </c>
    </row>
    <row r="107" spans="1:22" s="30" customFormat="1" x14ac:dyDescent="0.25">
      <c r="A107" s="81" t="s">
        <v>374</v>
      </c>
      <c r="B107" s="81"/>
      <c r="C107" s="81"/>
      <c r="D107" s="81"/>
      <c r="E107" s="81"/>
      <c r="F107" s="83">
        <v>80000</v>
      </c>
      <c r="G107" s="83"/>
      <c r="H107" s="83"/>
      <c r="R107"/>
      <c r="S107">
        <v>1200000</v>
      </c>
      <c r="T107">
        <v>350000</v>
      </c>
      <c r="U107">
        <v>300000</v>
      </c>
      <c r="V107">
        <v>300000</v>
      </c>
    </row>
    <row r="108" spans="1:22" s="30" customFormat="1" x14ac:dyDescent="0.25">
      <c r="A108" s="81" t="s">
        <v>375</v>
      </c>
      <c r="B108" s="81"/>
      <c r="C108" s="81"/>
      <c r="D108" s="81"/>
      <c r="E108" s="81"/>
      <c r="F108" s="83">
        <v>50000</v>
      </c>
      <c r="G108" s="83"/>
      <c r="H108" s="83"/>
      <c r="R108"/>
      <c r="S108">
        <v>1300000</v>
      </c>
      <c r="T108">
        <v>400000</v>
      </c>
      <c r="U108">
        <v>350000</v>
      </c>
      <c r="V108" s="20">
        <v>400000</v>
      </c>
    </row>
    <row r="109" spans="1:22" s="30" customFormat="1" hidden="1" x14ac:dyDescent="0.25">
      <c r="A109" s="81" t="s">
        <v>91</v>
      </c>
      <c r="B109" s="81"/>
      <c r="C109" s="81"/>
      <c r="D109" s="81"/>
      <c r="E109" s="81"/>
      <c r="F109" s="83"/>
      <c r="G109" s="83"/>
      <c r="H109" s="83"/>
      <c r="R109"/>
      <c r="S109">
        <v>1400000</v>
      </c>
      <c r="T109">
        <v>500000</v>
      </c>
      <c r="U109">
        <v>400000</v>
      </c>
      <c r="V109"/>
    </row>
    <row r="110" spans="1:22" s="30" customFormat="1" x14ac:dyDescent="0.25">
      <c r="A110" s="81" t="s">
        <v>92</v>
      </c>
      <c r="B110" s="81"/>
      <c r="C110" s="81"/>
      <c r="D110" s="81"/>
      <c r="E110" s="81"/>
      <c r="F110" s="83">
        <v>70000</v>
      </c>
      <c r="G110" s="83"/>
      <c r="H110" s="83"/>
      <c r="R110"/>
      <c r="S110">
        <v>1500000</v>
      </c>
      <c r="T110">
        <v>600000</v>
      </c>
      <c r="U110">
        <v>500000</v>
      </c>
      <c r="V110" s="20"/>
    </row>
    <row r="111" spans="1:22" s="30" customFormat="1" x14ac:dyDescent="0.25">
      <c r="A111" s="81" t="s">
        <v>93</v>
      </c>
      <c r="B111" s="81"/>
      <c r="C111" s="81"/>
      <c r="D111" s="81"/>
      <c r="E111" s="81"/>
      <c r="F111" s="83">
        <v>25000</v>
      </c>
      <c r="G111" s="83"/>
      <c r="H111" s="83"/>
      <c r="R111"/>
      <c r="S111">
        <v>1600000</v>
      </c>
      <c r="T111">
        <v>700000</v>
      </c>
      <c r="U111">
        <v>600000</v>
      </c>
      <c r="V111"/>
    </row>
    <row r="112" spans="1:22" s="30" customFormat="1" x14ac:dyDescent="0.25">
      <c r="A112" s="81" t="s">
        <v>94</v>
      </c>
      <c r="B112" s="81"/>
      <c r="C112" s="81"/>
      <c r="D112" s="81"/>
      <c r="E112" s="81"/>
      <c r="F112" s="83">
        <v>125000</v>
      </c>
      <c r="G112" s="83"/>
      <c r="H112" s="83"/>
      <c r="R112"/>
      <c r="S112">
        <v>1700000</v>
      </c>
      <c r="T112">
        <v>800000</v>
      </c>
      <c r="U112"/>
      <c r="V112" s="20"/>
    </row>
    <row r="113" spans="1:22" x14ac:dyDescent="0.25">
      <c r="A113" s="81" t="s">
        <v>49</v>
      </c>
      <c r="B113" s="81"/>
      <c r="C113" s="81"/>
      <c r="D113" s="81"/>
      <c r="E113" s="81"/>
      <c r="F113" s="83">
        <v>1200000</v>
      </c>
      <c r="G113" s="83"/>
      <c r="H113" s="83"/>
      <c r="I113" s="18" t="s">
        <v>373</v>
      </c>
      <c r="R113"/>
      <c r="S113">
        <v>1800000</v>
      </c>
      <c r="T113">
        <v>900000</v>
      </c>
      <c r="U113"/>
    </row>
    <row r="114" spans="1:22" s="31" customFormat="1" x14ac:dyDescent="0.25">
      <c r="A114" s="124" t="s">
        <v>50</v>
      </c>
      <c r="B114" s="124"/>
      <c r="C114" s="124"/>
      <c r="D114" s="124"/>
      <c r="E114" s="124"/>
      <c r="F114" s="83">
        <f>F103*0.8</f>
        <v>15200</v>
      </c>
      <c r="G114" s="83"/>
      <c r="H114" s="83"/>
      <c r="R114" s="18"/>
      <c r="S114" s="18"/>
      <c r="T114">
        <v>1000000</v>
      </c>
      <c r="U114"/>
      <c r="V114" s="18"/>
    </row>
    <row r="115" spans="1:22" s="32" customFormat="1" ht="15.75" hidden="1" customHeight="1" x14ac:dyDescent="0.25">
      <c r="A115" s="96" t="s">
        <v>71</v>
      </c>
      <c r="B115" s="96"/>
      <c r="C115" s="96"/>
      <c r="D115" s="96"/>
      <c r="E115" s="96"/>
      <c r="F115" s="96"/>
      <c r="G115" s="96"/>
      <c r="H115" s="96"/>
      <c r="R115"/>
      <c r="S115" s="18"/>
      <c r="T115"/>
      <c r="U115"/>
      <c r="V115" s="18"/>
    </row>
    <row r="116" spans="1:22" s="32" customFormat="1" ht="15.75" hidden="1" customHeight="1" x14ac:dyDescent="0.25">
      <c r="A116" s="99" t="s">
        <v>51</v>
      </c>
      <c r="B116" s="99"/>
      <c r="C116" s="97" t="s">
        <v>74</v>
      </c>
      <c r="D116" s="97"/>
      <c r="E116" s="98" t="s">
        <v>52</v>
      </c>
      <c r="F116" s="98"/>
      <c r="G116" s="99" t="s">
        <v>53</v>
      </c>
      <c r="H116" s="99"/>
      <c r="R116"/>
      <c r="S116" s="18"/>
      <c r="T116"/>
      <c r="U116" s="18"/>
      <c r="V116" s="18"/>
    </row>
    <row r="117" spans="1:22" s="32" customFormat="1" hidden="1" x14ac:dyDescent="0.25">
      <c r="A117" s="100"/>
      <c r="B117" s="100"/>
      <c r="C117" s="93"/>
      <c r="D117" s="93"/>
      <c r="E117" s="94"/>
      <c r="F117" s="94"/>
      <c r="G117" s="95"/>
      <c r="H117" s="95"/>
      <c r="R117"/>
      <c r="S117" s="18"/>
      <c r="T117"/>
      <c r="U117" s="18"/>
      <c r="V117" s="18"/>
    </row>
    <row r="118" spans="1:22" s="32" customFormat="1" hidden="1" x14ac:dyDescent="0.25">
      <c r="A118" s="100"/>
      <c r="B118" s="100"/>
      <c r="C118" s="93"/>
      <c r="D118" s="93"/>
      <c r="E118" s="94"/>
      <c r="F118" s="94"/>
      <c r="G118" s="95"/>
      <c r="H118" s="95"/>
      <c r="R118"/>
      <c r="S118" s="18"/>
      <c r="T118"/>
      <c r="U118" s="18"/>
      <c r="V118" s="18"/>
    </row>
    <row r="119" spans="1:22" s="32" customFormat="1" hidden="1" x14ac:dyDescent="0.25">
      <c r="A119" s="96" t="s">
        <v>147</v>
      </c>
      <c r="B119" s="96"/>
      <c r="C119" s="97"/>
      <c r="D119" s="97"/>
      <c r="E119" s="98"/>
      <c r="F119" s="98"/>
      <c r="G119" s="99"/>
      <c r="H119" s="99"/>
      <c r="R119"/>
      <c r="S119" s="18"/>
      <c r="T119"/>
      <c r="U119" s="18"/>
      <c r="V119" s="18"/>
    </row>
    <row r="120" spans="1:22" s="32" customFormat="1" x14ac:dyDescent="0.25">
      <c r="A120" s="96" t="s">
        <v>361</v>
      </c>
      <c r="B120" s="96"/>
      <c r="C120" s="96"/>
      <c r="D120" s="96"/>
      <c r="E120" s="96"/>
      <c r="F120" s="96"/>
      <c r="G120" s="96"/>
      <c r="H120" s="96"/>
      <c r="T120"/>
    </row>
    <row r="121" spans="1:22" s="32" customFormat="1" ht="15.75" customHeight="1" x14ac:dyDescent="0.25">
      <c r="A121" s="99" t="s">
        <v>51</v>
      </c>
      <c r="B121" s="99"/>
      <c r="C121" s="97" t="s">
        <v>74</v>
      </c>
      <c r="D121" s="97"/>
      <c r="E121" s="98" t="s">
        <v>52</v>
      </c>
      <c r="F121" s="98"/>
      <c r="G121" s="99" t="s">
        <v>53</v>
      </c>
      <c r="H121" s="99"/>
      <c r="T121"/>
    </row>
    <row r="122" spans="1:22" s="32" customFormat="1" x14ac:dyDescent="0.25">
      <c r="A122" s="100" t="s">
        <v>324</v>
      </c>
      <c r="B122" s="100"/>
      <c r="C122" s="93">
        <f>COUNT(F169)+COUNT(F185,F187)+COUNT(F192)*2+COUNT(F206)+COUNT(F211,F213,F215)+COUNT(F220:F223)+COUNT(F227:F229)*4+COUNT(F232,F234:F236)+COUNT(F239,F241:F243)+COUNT(F246,F248:F251)*4+COUNT(F253:F258)*7+COUNT(F267,F269:F272)+COUNT(F274:F276,F279)</f>
        <v>104</v>
      </c>
      <c r="D122" s="93"/>
      <c r="E122" s="125">
        <f>SUM(F169)+SUM(F185,F187)+SUM(F192)*2+SUM(F206)+SUM(F211,F213,F215)+SUM(F220:F223)+SUM(F227:F229)*4+SUM(F232,F234:F236)+SUM(F239,F241:F243)+SUM(F246,F248:F251)*4+SUM(F253:F258)*7+SUM(F267,F269:F272)+SUM(F274:F276,F279)</f>
        <v>73626.944039999988</v>
      </c>
      <c r="F122" s="125"/>
      <c r="G122" s="125">
        <f>SUM(H169)+SUM(H185,H187)+SUM(H192)*2+SUM(H206)+SUM(H211,H213,H215)+SUM(H220:H223)+SUM(H227:H229)*4+SUM(H232,H234:H236)+SUM(H239,H241:H243)+SUM(H246,H248:H251)*4+SUM(H253:H258)*7+SUM(H267,H269:H272)+SUM(H274:H276,H279)</f>
        <v>110440.41605999999</v>
      </c>
      <c r="H122" s="125"/>
      <c r="T122"/>
    </row>
    <row r="123" spans="1:22" s="32" customFormat="1" x14ac:dyDescent="0.25">
      <c r="A123" s="100" t="s">
        <v>351</v>
      </c>
      <c r="B123" s="100"/>
      <c r="C123" s="93">
        <f>COUNT(F294)+COUNT(F306,F308)+COUNT(F315)+COUNT(F322)*2+COUNT(F329)+COUNT(F336)*2+COUNT(F341,F343,F345)+COUNT(F350:F351)+COUNT(F357:F359)*3+COUNT(F362,F364:F366)+COUNT(F369,F371:F374)+COUNT(F376,F378:F381)+COUNT(F383,F385:F388)*2+COUNT(F390,F393:F395)+COUNT(F397:F402)*8+COUNT(F404,F406:F409)</f>
        <v>104</v>
      </c>
      <c r="D123" s="93"/>
      <c r="E123" s="125">
        <f>SUM(F294)+SUM(F306,F308)+SUM(F315)+SUM(F322)*2+SUM(F329)+SUM(F336)*2+SUM(F341,F343,F345)+SUM(F350:F351)+SUM(F357:F359)*3+SUM(F362,F364:F366)+SUM(F369,F371:F374)+SUM(F376,F378:F381)+SUM(F383,F385:F388)*2+SUM(F390,F393:F395)+SUM(F397:F402)*8+SUM(F404,F406:F409)</f>
        <v>73725.32699999999</v>
      </c>
      <c r="F123" s="125"/>
      <c r="G123" s="125">
        <f>SUM(H294)+SUM(H306,H308)+SUM(H315)+SUM(H322)*2+SUM(H329)+SUM(H336)*2+SUM(H341,H343,H345)+SUM(H350:H351)+SUM(H357:H359)*3+SUM(H362,H364:H366)+SUM(H369,H371:H374)+SUM(H376,H378:H381)+SUM(H383,H385:H388)*2+SUM(H390,H393:H395)+SUM(H397:H402)*8+SUM(H404,H406:H409)</f>
        <v>110587.99049999999</v>
      </c>
      <c r="H123" s="125"/>
      <c r="T123"/>
    </row>
    <row r="124" spans="1:22" s="32" customFormat="1" x14ac:dyDescent="0.25">
      <c r="A124" s="90" t="s">
        <v>147</v>
      </c>
      <c r="B124" s="90"/>
      <c r="C124" s="197">
        <f t="shared" ref="C124:G124" si="0">SUM(C122:D123)</f>
        <v>208</v>
      </c>
      <c r="D124" s="197"/>
      <c r="E124" s="91">
        <f t="shared" si="0"/>
        <v>147352.27103999996</v>
      </c>
      <c r="F124" s="91"/>
      <c r="G124" s="92">
        <f t="shared" si="0"/>
        <v>221028.40655999997</v>
      </c>
      <c r="H124" s="92"/>
      <c r="T124"/>
    </row>
    <row r="125" spans="1:22" s="32" customFormat="1" x14ac:dyDescent="0.25">
      <c r="A125" s="96" t="s">
        <v>362</v>
      </c>
      <c r="B125" s="96"/>
      <c r="C125" s="96"/>
      <c r="D125" s="96"/>
      <c r="E125" s="96"/>
      <c r="F125" s="96"/>
      <c r="G125" s="96"/>
      <c r="H125" s="96"/>
      <c r="T125"/>
    </row>
    <row r="126" spans="1:22" s="31" customFormat="1" x14ac:dyDescent="0.25">
      <c r="A126" s="99" t="s">
        <v>51</v>
      </c>
      <c r="B126" s="99"/>
      <c r="C126" s="97" t="s">
        <v>74</v>
      </c>
      <c r="D126" s="97"/>
      <c r="E126" s="98" t="s">
        <v>52</v>
      </c>
      <c r="F126" s="98"/>
      <c r="G126" s="99" t="s">
        <v>53</v>
      </c>
      <c r="H126" s="99"/>
      <c r="T126" s="32"/>
    </row>
    <row r="127" spans="1:22" x14ac:dyDescent="0.25">
      <c r="A127" s="100" t="s">
        <v>324</v>
      </c>
      <c r="B127" s="100"/>
      <c r="C127" s="93">
        <f>COUNT(F148:F153)+COUNT(F155:F160)+COUNT(F162:F167)+COUNT(F171:F174)+COUNT(F176:F181)+COUNT(F183:F184,F186,F188)+COUNT(F190:F191,F193:F195)*2+COUNT(F197:F202)+COUNT(F204:F205,F207:F209)+COUNT(F214,F216)+COUNT(F218:F219)+COUNT(F225:F226,F230)*4+COUNT(F233,F237)+COUNT(F244)+COUNT(F247)*4</f>
        <v>76</v>
      </c>
      <c r="D127" s="93"/>
      <c r="E127" s="125">
        <f>SUM(F148:F153)+SUM(F155:F160)+SUM(F162:F167)+SUM(F171:F174)+SUM(F176:F181)+SUM(F183:F184,F186,F188)+SUM(F190:F191,F193:F195)*2+SUM(F197:F202)+SUM(F204:F205,F207:F209)+SUM(F214,F216)+SUM(F218:F219)+SUM(F225:F226,F230)*4+SUM(F233,F237)+SUM(F244)+SUM(F247)*4</f>
        <v>57780.936720000005</v>
      </c>
      <c r="F127" s="125"/>
      <c r="G127" s="125">
        <f>SUM(H148:H153)+SUM(H155:H160)+SUM(H162:H167)+SUM(H171:H174)+SUM(H176:H181)+SUM(H183:H184,H186,H188)+SUM(H190:H191,H193:H195)*2+SUM(H197:H202)+SUM(H204:H205,H207:H209)+SUM(H214,H216)+SUM(H218:H219)+SUM(H225:H226,H230)*4+SUM(H233,H237)+SUM(H244)+SUM(H247)*4</f>
        <v>86671.405079999997</v>
      </c>
      <c r="H127" s="125"/>
      <c r="T127" s="32"/>
    </row>
    <row r="128" spans="1:22" x14ac:dyDescent="0.25">
      <c r="A128" s="100" t="s">
        <v>351</v>
      </c>
      <c r="B128" s="100"/>
      <c r="C128" s="93">
        <f>COUNT(F285:F290)+COUNT(F292:F293,F295:F297)+COUNT(F299:F304)+COUNT(F309:F311)+COUNT(F313:F314,F316:F318)+COUNT(F320:F321,F323:F325)*2+COUNT(F327:F328,F330:F332)+COUNT(F334:F335,F337:F339)*2+COUNT(F344,F346)+COUNT(F348:F349,F352:F353)+COUNT(F355:F356,F360)*3+COUNT(F363,F367)+COUNT(F370)+COUNT(F384)*2+COUNT(F391:F392)</f>
        <v>72</v>
      </c>
      <c r="D128" s="93"/>
      <c r="E128" s="125">
        <f>SUM(F285:F290)+SUM(F292:F293,F295:F297)+SUM(F299:F304)+SUM(F309:F311)+SUM(F313:F314,F316:F318)+SUM(F320:F321,F323:F325)*2+SUM(F327:F328,F330:F332)+SUM(F334:F335,F337:F339)*2+SUM(F344,F346)+SUM(F348:F349,F352:F353)+SUM(F355:F356,F360)*3+SUM(F363,F367)+SUM(F370)+SUM(F384)*2+SUM(F391:F392)</f>
        <v>54430.103520000004</v>
      </c>
      <c r="F128" s="94"/>
      <c r="G128" s="125">
        <f>SUM(H285:H290)+SUM(H292:H293,H295:H297)+SUM(H299:H304)+SUM(H309:H311)+SUM(H313:H314,H316:H318)+SUM(H320:H321,H323:H325)*2+SUM(H327:H328,H330:H332)+SUM(H334:H335,H337:H339)*2+SUM(H344,H346)+SUM(H348:H349,H352:H353)+SUM(H355:H356,H360)*3+SUM(H363,H367)+SUM(H370)+SUM(H384)*2+SUM(H391:H392)</f>
        <v>81645.155279999992</v>
      </c>
      <c r="H128" s="94"/>
      <c r="T128" s="32"/>
    </row>
    <row r="129" spans="1:20" s="34" customFormat="1" ht="16.5" thickBot="1" x14ac:dyDescent="0.3">
      <c r="A129" s="90" t="s">
        <v>147</v>
      </c>
      <c r="B129" s="90"/>
      <c r="C129" s="197">
        <f t="shared" ref="C129:G129" si="1">SUM(C127:D128)</f>
        <v>148</v>
      </c>
      <c r="D129" s="197"/>
      <c r="E129" s="91">
        <f t="shared" si="1"/>
        <v>112211.04024</v>
      </c>
      <c r="F129" s="91"/>
      <c r="G129" s="92">
        <f t="shared" si="1"/>
        <v>168316.56036</v>
      </c>
      <c r="H129" s="92"/>
      <c r="T129" s="32"/>
    </row>
    <row r="130" spans="1:20" s="34" customFormat="1" ht="16.5" thickBot="1" x14ac:dyDescent="0.3">
      <c r="A130" s="198" t="s">
        <v>163</v>
      </c>
      <c r="B130" s="199"/>
      <c r="C130" s="200">
        <f>C124+C129</f>
        <v>356</v>
      </c>
      <c r="D130" s="200"/>
      <c r="E130" s="106">
        <f t="shared" ref="E130" si="2">E124+E129</f>
        <v>259563.31127999997</v>
      </c>
      <c r="F130" s="106"/>
      <c r="G130" s="106">
        <f t="shared" ref="G130" si="3">G124+G129</f>
        <v>389344.96691999998</v>
      </c>
      <c r="H130" s="106"/>
      <c r="J130" s="33"/>
      <c r="T130" s="32"/>
    </row>
    <row r="131" spans="1:20" s="34" customFormat="1" ht="15.75" customHeight="1" x14ac:dyDescent="0.25">
      <c r="A131" s="187" t="s">
        <v>54</v>
      </c>
      <c r="B131" s="187"/>
      <c r="C131" s="187"/>
      <c r="D131" s="187"/>
      <c r="E131" s="187"/>
      <c r="F131" s="187"/>
      <c r="G131" s="187"/>
      <c r="H131" s="187"/>
      <c r="I131" s="33"/>
      <c r="L131" s="101"/>
      <c r="M131" s="101"/>
      <c r="N131" s="33"/>
      <c r="T131" s="32"/>
    </row>
    <row r="132" spans="1:20" s="34" customFormat="1" ht="15.75" customHeight="1" x14ac:dyDescent="0.25">
      <c r="A132" s="203" t="s">
        <v>323</v>
      </c>
      <c r="B132" s="203"/>
      <c r="C132" s="203"/>
      <c r="D132" s="203"/>
      <c r="E132" s="203"/>
      <c r="F132" s="203"/>
      <c r="G132" s="203"/>
      <c r="H132" s="203"/>
      <c r="I132" s="33"/>
      <c r="L132" s="101"/>
      <c r="M132" s="101"/>
      <c r="N132" s="33"/>
      <c r="T132" s="31"/>
    </row>
    <row r="133" spans="1:20" s="34" customFormat="1" ht="15.75" hidden="1" customHeight="1" x14ac:dyDescent="0.25">
      <c r="A133" s="104" t="s">
        <v>116</v>
      </c>
      <c r="B133" s="104" t="s">
        <v>173</v>
      </c>
      <c r="C133" s="104" t="s">
        <v>55</v>
      </c>
      <c r="D133" s="104" t="s">
        <v>229</v>
      </c>
      <c r="E133" s="84" t="s">
        <v>153</v>
      </c>
      <c r="F133" s="104" t="s">
        <v>56</v>
      </c>
      <c r="G133" s="84" t="s">
        <v>57</v>
      </c>
      <c r="H133" s="51" t="s">
        <v>146</v>
      </c>
      <c r="I133" s="33"/>
      <c r="L133" s="101"/>
      <c r="M133" s="101"/>
      <c r="N133" s="33"/>
      <c r="T133" s="18"/>
    </row>
    <row r="134" spans="1:20" s="34" customFormat="1" ht="15.75" hidden="1" customHeight="1" x14ac:dyDescent="0.25">
      <c r="A134" s="105"/>
      <c r="B134" s="105"/>
      <c r="C134" s="105"/>
      <c r="D134" s="105"/>
      <c r="E134" s="85"/>
      <c r="F134" s="105"/>
      <c r="G134" s="85"/>
      <c r="H134" s="52">
        <v>0.45</v>
      </c>
      <c r="I134" s="33"/>
      <c r="L134" s="101"/>
      <c r="M134" s="101"/>
      <c r="N134" s="33"/>
      <c r="T134" s="18"/>
    </row>
    <row r="135" spans="1:20" s="34" customFormat="1" hidden="1" x14ac:dyDescent="0.25">
      <c r="A135" s="178" t="s">
        <v>114</v>
      </c>
      <c r="B135" s="179"/>
      <c r="C135" s="179"/>
      <c r="D135" s="179"/>
      <c r="E135" s="179"/>
      <c r="F135" s="179"/>
      <c r="G135" s="179"/>
      <c r="H135" s="180"/>
      <c r="I135" s="33"/>
      <c r="N135" s="33"/>
    </row>
    <row r="136" spans="1:20" ht="47.25" hidden="1" customHeight="1" x14ac:dyDescent="0.25">
      <c r="A136" s="188">
        <v>1</v>
      </c>
      <c r="B136" s="189"/>
      <c r="C136" s="39"/>
      <c r="D136" s="39">
        <v>0</v>
      </c>
      <c r="E136" s="39">
        <v>0</v>
      </c>
      <c r="F136" s="58">
        <f>D136+(IF(E136&lt;201,E136,IF(E136&lt;301,E136/2,E136/3)))</f>
        <v>0</v>
      </c>
      <c r="G136" s="59">
        <v>0</v>
      </c>
      <c r="H136" s="58">
        <f>(F136+(IF(G136&lt;101,G136,IF(G136&lt;201,G136/2,IF(G136&lt;=301,G136/3,G136/4)))))*(($H$134)+1)</f>
        <v>0</v>
      </c>
      <c r="I136" s="33"/>
      <c r="T136" s="34"/>
    </row>
    <row r="137" spans="1:20" s="34" customFormat="1" hidden="1" x14ac:dyDescent="0.25">
      <c r="A137" s="188">
        <f>A136+1</f>
        <v>2</v>
      </c>
      <c r="B137" s="189"/>
      <c r="C137" s="39"/>
      <c r="D137" s="39"/>
      <c r="E137" s="39">
        <v>0</v>
      </c>
      <c r="F137" s="58">
        <f t="shared" ref="F137:F139" si="4">D137+(IF(E137&lt;201,E137,IF(E137&lt;301,E137/2,E137/3)))</f>
        <v>0</v>
      </c>
      <c r="G137" s="50">
        <v>0</v>
      </c>
      <c r="H137" s="58">
        <f t="shared" ref="H137:H139" si="5">(F137+(IF(G137&lt;101,G137,IF(G137&lt;201,G137/2,IF(G137&lt;=301,G137/3,G137/4)))))*(($H$134)+1)</f>
        <v>0</v>
      </c>
      <c r="I137" s="33"/>
    </row>
    <row r="138" spans="1:20" s="34" customFormat="1" hidden="1" x14ac:dyDescent="0.25">
      <c r="A138" s="188">
        <f>A137+1</f>
        <v>3</v>
      </c>
      <c r="B138" s="189"/>
      <c r="C138" s="39"/>
      <c r="D138" s="39"/>
      <c r="E138" s="39">
        <v>0</v>
      </c>
      <c r="F138" s="58">
        <f t="shared" si="4"/>
        <v>0</v>
      </c>
      <c r="G138" s="50">
        <v>0</v>
      </c>
      <c r="H138" s="58">
        <f t="shared" si="5"/>
        <v>0</v>
      </c>
      <c r="J138" s="33"/>
    </row>
    <row r="139" spans="1:20" s="34" customFormat="1" ht="15.75" hidden="1" customHeight="1" x14ac:dyDescent="0.25">
      <c r="A139" s="188">
        <f>A138+1</f>
        <v>4</v>
      </c>
      <c r="B139" s="189"/>
      <c r="C139" s="39"/>
      <c r="D139" s="39"/>
      <c r="E139" s="39">
        <v>0</v>
      </c>
      <c r="F139" s="58">
        <f t="shared" si="4"/>
        <v>0</v>
      </c>
      <c r="G139" s="50">
        <v>0</v>
      </c>
      <c r="H139" s="58">
        <f t="shared" si="5"/>
        <v>0</v>
      </c>
      <c r="I139" s="33"/>
      <c r="L139" s="101"/>
      <c r="M139" s="101"/>
      <c r="N139" s="33"/>
    </row>
    <row r="140" spans="1:20" s="34" customFormat="1" ht="15.75" customHeight="1" x14ac:dyDescent="0.25">
      <c r="A140" s="188"/>
      <c r="B140" s="190"/>
      <c r="C140" s="190"/>
      <c r="D140" s="190"/>
      <c r="E140" s="190"/>
      <c r="F140" s="190"/>
      <c r="G140" s="190"/>
      <c r="H140" s="189"/>
      <c r="I140" s="33"/>
      <c r="L140" s="101"/>
      <c r="M140" s="101"/>
      <c r="N140" s="33"/>
    </row>
    <row r="141" spans="1:20" s="34" customFormat="1" ht="33" customHeight="1" x14ac:dyDescent="0.25">
      <c r="A141" s="191" t="s">
        <v>117</v>
      </c>
      <c r="B141" s="104" t="s">
        <v>329</v>
      </c>
      <c r="C141" s="104" t="s">
        <v>55</v>
      </c>
      <c r="D141" s="104" t="s">
        <v>229</v>
      </c>
      <c r="E141" s="104" t="s">
        <v>228</v>
      </c>
      <c r="F141" s="104" t="s">
        <v>56</v>
      </c>
      <c r="G141" s="84" t="s">
        <v>57</v>
      </c>
      <c r="H141" s="51" t="s">
        <v>146</v>
      </c>
      <c r="I141" s="33"/>
      <c r="L141" s="101"/>
      <c r="M141" s="101"/>
      <c r="N141" s="33"/>
    </row>
    <row r="142" spans="1:20" s="34" customFormat="1" ht="19.5" customHeight="1" x14ac:dyDescent="0.25">
      <c r="A142" s="192"/>
      <c r="B142" s="105"/>
      <c r="C142" s="105"/>
      <c r="D142" s="105"/>
      <c r="E142" s="105"/>
      <c r="F142" s="105"/>
      <c r="G142" s="85"/>
      <c r="H142" s="75">
        <v>0.5</v>
      </c>
      <c r="I142" s="33"/>
      <c r="L142" s="101"/>
      <c r="M142" s="101"/>
      <c r="N142" s="33"/>
      <c r="T142" s="18"/>
    </row>
    <row r="143" spans="1:20" s="34" customFormat="1" x14ac:dyDescent="0.25">
      <c r="A143" s="178" t="s">
        <v>324</v>
      </c>
      <c r="B143" s="179"/>
      <c r="C143" s="179"/>
      <c r="D143" s="179"/>
      <c r="E143" s="179"/>
      <c r="F143" s="179"/>
      <c r="G143" s="179"/>
      <c r="H143" s="180"/>
      <c r="I143" s="33"/>
      <c r="L143" s="101"/>
      <c r="M143" s="101"/>
    </row>
    <row r="144" spans="1:20" s="34" customFormat="1" x14ac:dyDescent="0.25">
      <c r="A144" s="178" t="s">
        <v>325</v>
      </c>
      <c r="B144" s="179"/>
      <c r="C144" s="179"/>
      <c r="D144" s="179"/>
      <c r="E144" s="179"/>
      <c r="F144" s="179"/>
      <c r="G144" s="179"/>
      <c r="H144" s="180"/>
      <c r="I144" s="33"/>
      <c r="N144" s="33"/>
    </row>
    <row r="145" spans="1:14" s="34" customFormat="1" x14ac:dyDescent="0.25">
      <c r="A145" s="178" t="s">
        <v>326</v>
      </c>
      <c r="B145" s="179"/>
      <c r="C145" s="179"/>
      <c r="D145" s="179"/>
      <c r="E145" s="179"/>
      <c r="F145" s="179"/>
      <c r="G145" s="179"/>
      <c r="H145" s="180"/>
      <c r="I145" s="33"/>
      <c r="N145" s="33"/>
    </row>
    <row r="146" spans="1:14" s="34" customFormat="1" x14ac:dyDescent="0.25">
      <c r="A146" s="178" t="s">
        <v>327</v>
      </c>
      <c r="B146" s="179"/>
      <c r="C146" s="179"/>
      <c r="D146" s="179"/>
      <c r="E146" s="179"/>
      <c r="F146" s="179"/>
      <c r="G146" s="179"/>
      <c r="H146" s="180"/>
      <c r="I146" s="33"/>
      <c r="N146" s="33"/>
    </row>
    <row r="147" spans="1:14" s="34" customFormat="1" x14ac:dyDescent="0.25">
      <c r="A147" s="178" t="s">
        <v>328</v>
      </c>
      <c r="B147" s="179"/>
      <c r="C147" s="179"/>
      <c r="D147" s="179"/>
      <c r="E147" s="179"/>
      <c r="F147" s="179"/>
      <c r="G147" s="179"/>
      <c r="H147" s="180"/>
      <c r="I147" s="33"/>
      <c r="N147" s="33"/>
    </row>
    <row r="148" spans="1:14" s="34" customFormat="1" x14ac:dyDescent="0.25">
      <c r="A148" s="63">
        <v>1</v>
      </c>
      <c r="B148" s="72" t="s">
        <v>330</v>
      </c>
      <c r="C148" s="72" t="s">
        <v>331</v>
      </c>
      <c r="D148" s="73">
        <f>(77.33)*10.764</f>
        <v>832.38011999999992</v>
      </c>
      <c r="E148" s="39">
        <v>0</v>
      </c>
      <c r="F148" s="39">
        <f t="shared" ref="F148:F153" si="6">D148+E148</f>
        <v>832.38011999999992</v>
      </c>
      <c r="G148" s="50">
        <v>0</v>
      </c>
      <c r="H148" s="50">
        <f t="shared" ref="H148:H153" si="7">F148*(($H$142)+1)+(IF(G148&lt;101,G148,IF(G148&lt;201,G148/2,IF(G148&lt;=301,G148/3,G148/4))))</f>
        <v>1248.5701799999999</v>
      </c>
      <c r="I148" s="33"/>
      <c r="N148" s="33"/>
    </row>
    <row r="149" spans="1:14" s="34" customFormat="1" ht="15.75" customHeight="1" x14ac:dyDescent="0.25">
      <c r="A149" s="63">
        <f>A148+1</f>
        <v>2</v>
      </c>
      <c r="B149" s="72" t="s">
        <v>330</v>
      </c>
      <c r="C149" s="72" t="s">
        <v>331</v>
      </c>
      <c r="D149" s="73">
        <f>(88.24)*10.764</f>
        <v>949.81535999999994</v>
      </c>
      <c r="E149" s="39">
        <v>0</v>
      </c>
      <c r="F149" s="50">
        <f t="shared" si="6"/>
        <v>949.81535999999994</v>
      </c>
      <c r="G149" s="50">
        <v>0</v>
      </c>
      <c r="H149" s="50">
        <f t="shared" si="7"/>
        <v>1424.7230399999999</v>
      </c>
      <c r="I149" s="33"/>
    </row>
    <row r="150" spans="1:14" s="34" customFormat="1" ht="15.75" customHeight="1" x14ac:dyDescent="0.25">
      <c r="A150" s="63">
        <f>A149+1</f>
        <v>3</v>
      </c>
      <c r="B150" s="72" t="s">
        <v>330</v>
      </c>
      <c r="C150" s="72" t="s">
        <v>332</v>
      </c>
      <c r="D150" s="73">
        <f>(59.14)*10.764</f>
        <v>636.58295999999996</v>
      </c>
      <c r="E150" s="39">
        <v>0</v>
      </c>
      <c r="F150" s="50">
        <f t="shared" si="6"/>
        <v>636.58295999999996</v>
      </c>
      <c r="G150" s="50">
        <v>0</v>
      </c>
      <c r="H150" s="50">
        <f t="shared" si="7"/>
        <v>954.87443999999994</v>
      </c>
      <c r="I150" s="33"/>
    </row>
    <row r="151" spans="1:14" s="34" customFormat="1" ht="15.75" customHeight="1" x14ac:dyDescent="0.25">
      <c r="A151" s="63">
        <f>A150+1</f>
        <v>4</v>
      </c>
      <c r="B151" s="72" t="s">
        <v>330</v>
      </c>
      <c r="C151" s="72" t="s">
        <v>332</v>
      </c>
      <c r="D151" s="73">
        <f>(58.32)*10.764</f>
        <v>627.75648000000001</v>
      </c>
      <c r="E151" s="39">
        <v>0</v>
      </c>
      <c r="F151" s="50">
        <f t="shared" si="6"/>
        <v>627.75648000000001</v>
      </c>
      <c r="G151" s="50">
        <v>0</v>
      </c>
      <c r="H151" s="50">
        <f t="shared" si="7"/>
        <v>941.63472000000002</v>
      </c>
      <c r="I151" s="33"/>
    </row>
    <row r="152" spans="1:14" s="34" customFormat="1" ht="15.75" customHeight="1" x14ac:dyDescent="0.25">
      <c r="A152" s="63">
        <f>A151+1</f>
        <v>5</v>
      </c>
      <c r="B152" s="72" t="s">
        <v>330</v>
      </c>
      <c r="C152" s="72" t="s">
        <v>370</v>
      </c>
      <c r="D152" s="73">
        <f>(46.32)*10.764</f>
        <v>498.58847999999995</v>
      </c>
      <c r="E152" s="63">
        <v>0</v>
      </c>
      <c r="F152" s="63">
        <f t="shared" si="6"/>
        <v>498.58847999999995</v>
      </c>
      <c r="G152" s="63">
        <v>0</v>
      </c>
      <c r="H152" s="63">
        <f t="shared" si="7"/>
        <v>747.88271999999995</v>
      </c>
      <c r="I152" s="33"/>
    </row>
    <row r="153" spans="1:14" s="34" customFormat="1" ht="15.75" customHeight="1" x14ac:dyDescent="0.25">
      <c r="A153" s="63">
        <v>6</v>
      </c>
      <c r="B153" s="72" t="s">
        <v>330</v>
      </c>
      <c r="C153" s="72" t="s">
        <v>332</v>
      </c>
      <c r="D153" s="73">
        <f>(56.42)*10.764</f>
        <v>607.30488000000003</v>
      </c>
      <c r="E153" s="50">
        <v>0</v>
      </c>
      <c r="F153" s="50">
        <f t="shared" si="6"/>
        <v>607.30488000000003</v>
      </c>
      <c r="G153" s="50">
        <v>0</v>
      </c>
      <c r="H153" s="50">
        <f t="shared" si="7"/>
        <v>910.95731999999998</v>
      </c>
      <c r="I153" s="33"/>
    </row>
    <row r="154" spans="1:14" s="34" customFormat="1" ht="15.75" customHeight="1" x14ac:dyDescent="0.25">
      <c r="A154" s="178" t="s">
        <v>115</v>
      </c>
      <c r="B154" s="179"/>
      <c r="C154" s="179"/>
      <c r="D154" s="179"/>
      <c r="E154" s="179"/>
      <c r="F154" s="179"/>
      <c r="G154" s="179"/>
      <c r="H154" s="180"/>
      <c r="I154" s="33"/>
    </row>
    <row r="155" spans="1:14" s="34" customFormat="1" x14ac:dyDescent="0.25">
      <c r="A155" s="63">
        <v>1</v>
      </c>
      <c r="B155" s="72" t="s">
        <v>330</v>
      </c>
      <c r="C155" s="72" t="s">
        <v>331</v>
      </c>
      <c r="D155" s="73">
        <f>(77.33)*10.764</f>
        <v>832.38011999999992</v>
      </c>
      <c r="E155" s="50">
        <v>0</v>
      </c>
      <c r="F155" s="50">
        <f t="shared" ref="F155:F160" si="8">D155+E155</f>
        <v>832.38011999999992</v>
      </c>
      <c r="G155" s="50">
        <v>0</v>
      </c>
      <c r="H155" s="50">
        <f t="shared" ref="H155:H160" si="9">F155*(($H$142)+1)+(IF(G155&lt;101,G155,IF(G155&lt;201,G155/2,IF(G155&lt;=301,G155/3,G155/4))))</f>
        <v>1248.5701799999999</v>
      </c>
      <c r="I155" s="33"/>
    </row>
    <row r="156" spans="1:14" s="34" customFormat="1" ht="15.75" customHeight="1" x14ac:dyDescent="0.25">
      <c r="A156" s="63">
        <f>A155+1</f>
        <v>2</v>
      </c>
      <c r="B156" s="72" t="s">
        <v>330</v>
      </c>
      <c r="C156" s="72" t="s">
        <v>331</v>
      </c>
      <c r="D156" s="73">
        <f>(88.24)*10.764</f>
        <v>949.81535999999994</v>
      </c>
      <c r="E156" s="50">
        <v>0</v>
      </c>
      <c r="F156" s="50">
        <f t="shared" si="8"/>
        <v>949.81535999999994</v>
      </c>
      <c r="G156" s="50">
        <v>0</v>
      </c>
      <c r="H156" s="50">
        <f t="shared" si="9"/>
        <v>1424.7230399999999</v>
      </c>
      <c r="I156" s="33"/>
    </row>
    <row r="157" spans="1:14" s="34" customFormat="1" ht="15.75" customHeight="1" x14ac:dyDescent="0.25">
      <c r="A157" s="63">
        <f>A156+1</f>
        <v>3</v>
      </c>
      <c r="B157" s="72" t="s">
        <v>330</v>
      </c>
      <c r="C157" s="72" t="s">
        <v>332</v>
      </c>
      <c r="D157" s="73">
        <f>(59.14)*10.764</f>
        <v>636.58295999999996</v>
      </c>
      <c r="E157" s="50">
        <v>0</v>
      </c>
      <c r="F157" s="50">
        <f t="shared" si="8"/>
        <v>636.58295999999996</v>
      </c>
      <c r="G157" s="50">
        <v>0</v>
      </c>
      <c r="H157" s="50">
        <f t="shared" si="9"/>
        <v>954.87443999999994</v>
      </c>
      <c r="I157" s="33"/>
    </row>
    <row r="158" spans="1:14" s="34" customFormat="1" ht="15.75" customHeight="1" x14ac:dyDescent="0.25">
      <c r="A158" s="63">
        <f>A157+1</f>
        <v>4</v>
      </c>
      <c r="B158" s="72" t="s">
        <v>330</v>
      </c>
      <c r="C158" s="72" t="s">
        <v>332</v>
      </c>
      <c r="D158" s="73">
        <f>(58.32)*10.764</f>
        <v>627.75648000000001</v>
      </c>
      <c r="E158" s="63">
        <v>0</v>
      </c>
      <c r="F158" s="63">
        <f t="shared" si="8"/>
        <v>627.75648000000001</v>
      </c>
      <c r="G158" s="63">
        <v>0</v>
      </c>
      <c r="H158" s="63">
        <f t="shared" si="9"/>
        <v>941.63472000000002</v>
      </c>
      <c r="I158" s="33"/>
    </row>
    <row r="159" spans="1:14" s="34" customFormat="1" ht="15.75" customHeight="1" x14ac:dyDescent="0.25">
      <c r="A159" s="63">
        <f>A158+1</f>
        <v>5</v>
      </c>
      <c r="B159" s="72" t="s">
        <v>330</v>
      </c>
      <c r="C159" s="72" t="s">
        <v>370</v>
      </c>
      <c r="D159" s="73">
        <f>(46.32)*10.764</f>
        <v>498.58847999999995</v>
      </c>
      <c r="E159" s="50">
        <v>0</v>
      </c>
      <c r="F159" s="50">
        <f t="shared" si="8"/>
        <v>498.58847999999995</v>
      </c>
      <c r="G159" s="50">
        <v>0</v>
      </c>
      <c r="H159" s="50">
        <f t="shared" si="9"/>
        <v>747.88271999999995</v>
      </c>
      <c r="I159" s="33"/>
    </row>
    <row r="160" spans="1:14" s="34" customFormat="1" ht="15.75" customHeight="1" x14ac:dyDescent="0.25">
      <c r="A160" s="63">
        <v>6</v>
      </c>
      <c r="B160" s="72" t="s">
        <v>330</v>
      </c>
      <c r="C160" s="72" t="s">
        <v>332</v>
      </c>
      <c r="D160" s="73">
        <f>(56.42)*10.764</f>
        <v>607.30488000000003</v>
      </c>
      <c r="E160" s="50">
        <v>0</v>
      </c>
      <c r="F160" s="50">
        <f t="shared" si="8"/>
        <v>607.30488000000003</v>
      </c>
      <c r="G160" s="50">
        <v>0</v>
      </c>
      <c r="H160" s="50">
        <f t="shared" si="9"/>
        <v>910.95731999999998</v>
      </c>
      <c r="I160" s="33"/>
    </row>
    <row r="161" spans="1:20" s="34" customFormat="1" x14ac:dyDescent="0.25">
      <c r="A161" s="178" t="s">
        <v>333</v>
      </c>
      <c r="B161" s="179"/>
      <c r="C161" s="179"/>
      <c r="D161" s="179"/>
      <c r="E161" s="179"/>
      <c r="F161" s="179"/>
      <c r="G161" s="179"/>
      <c r="H161" s="180"/>
      <c r="I161" s="33"/>
    </row>
    <row r="162" spans="1:20" s="34" customFormat="1" ht="15.75" customHeight="1" x14ac:dyDescent="0.25">
      <c r="A162" s="63">
        <v>1</v>
      </c>
      <c r="B162" s="72" t="s">
        <v>330</v>
      </c>
      <c r="C162" s="72" t="s">
        <v>331</v>
      </c>
      <c r="D162" s="73">
        <f>(77.33)*10.764</f>
        <v>832.38011999999992</v>
      </c>
      <c r="E162" s="50">
        <v>0</v>
      </c>
      <c r="F162" s="50">
        <f t="shared" ref="F162:F167" si="10">D162+E162</f>
        <v>832.38011999999992</v>
      </c>
      <c r="G162" s="50">
        <v>0</v>
      </c>
      <c r="H162" s="50">
        <f t="shared" ref="H162:H167" si="11">F162*(($H$142)+1)+(IF(G162&lt;101,G162,IF(G162&lt;201,G162/2,IF(G162&lt;=301,G162/3,G162/4))))</f>
        <v>1248.5701799999999</v>
      </c>
      <c r="I162" s="33"/>
    </row>
    <row r="163" spans="1:20" s="34" customFormat="1" ht="15.75" customHeight="1" x14ac:dyDescent="0.25">
      <c r="A163" s="63">
        <f>A162+1</f>
        <v>2</v>
      </c>
      <c r="B163" s="72" t="s">
        <v>330</v>
      </c>
      <c r="C163" s="72" t="s">
        <v>331</v>
      </c>
      <c r="D163" s="73">
        <f>(88.24)*10.764</f>
        <v>949.81535999999994</v>
      </c>
      <c r="E163" s="50">
        <v>0</v>
      </c>
      <c r="F163" s="50">
        <f t="shared" si="10"/>
        <v>949.81535999999994</v>
      </c>
      <c r="G163" s="50">
        <v>0</v>
      </c>
      <c r="H163" s="50">
        <f t="shared" si="11"/>
        <v>1424.7230399999999</v>
      </c>
      <c r="I163" s="33"/>
    </row>
    <row r="164" spans="1:20" s="34" customFormat="1" ht="15.75" customHeight="1" x14ac:dyDescent="0.25">
      <c r="A164" s="63">
        <f>A163+1</f>
        <v>3</v>
      </c>
      <c r="B164" s="72" t="s">
        <v>330</v>
      </c>
      <c r="C164" s="72" t="s">
        <v>332</v>
      </c>
      <c r="D164" s="73">
        <f>(59.14)*10.764</f>
        <v>636.58295999999996</v>
      </c>
      <c r="E164" s="63">
        <v>0</v>
      </c>
      <c r="F164" s="63">
        <f t="shared" si="10"/>
        <v>636.58295999999996</v>
      </c>
      <c r="G164" s="63">
        <v>0</v>
      </c>
      <c r="H164" s="63">
        <f t="shared" si="11"/>
        <v>954.87443999999994</v>
      </c>
      <c r="I164" s="33"/>
    </row>
    <row r="165" spans="1:20" s="34" customFormat="1" ht="15.75" customHeight="1" x14ac:dyDescent="0.25">
      <c r="A165" s="63">
        <f>A164+1</f>
        <v>4</v>
      </c>
      <c r="B165" s="72" t="s">
        <v>330</v>
      </c>
      <c r="C165" s="72" t="s">
        <v>332</v>
      </c>
      <c r="D165" s="73">
        <f>(58.32)*10.764</f>
        <v>627.75648000000001</v>
      </c>
      <c r="E165" s="50">
        <v>0</v>
      </c>
      <c r="F165" s="50">
        <f t="shared" si="10"/>
        <v>627.75648000000001</v>
      </c>
      <c r="G165" s="50">
        <v>0</v>
      </c>
      <c r="H165" s="50">
        <f t="shared" si="11"/>
        <v>941.63472000000002</v>
      </c>
      <c r="I165" s="33"/>
    </row>
    <row r="166" spans="1:20" s="34" customFormat="1" ht="15.75" customHeight="1" x14ac:dyDescent="0.25">
      <c r="A166" s="63">
        <f>A165+1</f>
        <v>5</v>
      </c>
      <c r="B166" s="72" t="s">
        <v>330</v>
      </c>
      <c r="C166" s="72" t="s">
        <v>370</v>
      </c>
      <c r="D166" s="73">
        <f>(46.32)*10.764</f>
        <v>498.58847999999995</v>
      </c>
      <c r="E166" s="50">
        <v>0</v>
      </c>
      <c r="F166" s="50">
        <f t="shared" si="10"/>
        <v>498.58847999999995</v>
      </c>
      <c r="G166" s="50">
        <v>0</v>
      </c>
      <c r="H166" s="50">
        <f t="shared" si="11"/>
        <v>747.88271999999995</v>
      </c>
      <c r="I166" s="33"/>
    </row>
    <row r="167" spans="1:20" s="32" customFormat="1" x14ac:dyDescent="0.25">
      <c r="A167" s="63">
        <v>6</v>
      </c>
      <c r="B167" s="72" t="s">
        <v>330</v>
      </c>
      <c r="C167" s="72" t="s">
        <v>332</v>
      </c>
      <c r="D167" s="73">
        <f>(56.42)*10.764</f>
        <v>607.30488000000003</v>
      </c>
      <c r="E167" s="50">
        <v>0</v>
      </c>
      <c r="F167" s="50">
        <f t="shared" si="10"/>
        <v>607.30488000000003</v>
      </c>
      <c r="G167" s="50">
        <v>0</v>
      </c>
      <c r="H167" s="50">
        <f t="shared" si="11"/>
        <v>910.95731999999998</v>
      </c>
      <c r="T167" s="34"/>
    </row>
    <row r="168" spans="1:20" s="32" customFormat="1" x14ac:dyDescent="0.25">
      <c r="A168" s="178" t="s">
        <v>334</v>
      </c>
      <c r="B168" s="179"/>
      <c r="C168" s="179"/>
      <c r="D168" s="179"/>
      <c r="E168" s="179"/>
      <c r="F168" s="179"/>
      <c r="G168" s="179"/>
      <c r="H168" s="180"/>
      <c r="T168" s="34"/>
    </row>
    <row r="169" spans="1:20" s="32" customFormat="1" x14ac:dyDescent="0.25">
      <c r="A169" s="63">
        <v>1</v>
      </c>
      <c r="B169" s="72" t="s">
        <v>336</v>
      </c>
      <c r="C169" s="72" t="s">
        <v>337</v>
      </c>
      <c r="D169" s="73">
        <f>(46.98)*10.764</f>
        <v>505.69271999999995</v>
      </c>
      <c r="E169" s="63">
        <v>0</v>
      </c>
      <c r="F169" s="63">
        <f>D169+E169</f>
        <v>505.69271999999995</v>
      </c>
      <c r="G169" s="63">
        <v>0</v>
      </c>
      <c r="H169" s="63">
        <f>F169*(($H$142)+1)+(IF(G169&lt;101,G169,IF(G169&lt;201,G169/2,IF(G169&lt;=301,G169/3,G169/4))))</f>
        <v>758.5390799999999</v>
      </c>
      <c r="T169" s="34"/>
    </row>
    <row r="170" spans="1:20" s="32" customFormat="1" x14ac:dyDescent="0.25">
      <c r="A170" s="63">
        <f>A169+1</f>
        <v>2</v>
      </c>
      <c r="B170" s="193" t="s">
        <v>335</v>
      </c>
      <c r="C170" s="194"/>
      <c r="D170" s="194"/>
      <c r="E170" s="194"/>
      <c r="F170" s="194"/>
      <c r="G170" s="194"/>
      <c r="H170" s="195"/>
      <c r="T170" s="34"/>
    </row>
    <row r="171" spans="1:20" s="32" customFormat="1" x14ac:dyDescent="0.25">
      <c r="A171" s="63">
        <f>A170+1</f>
        <v>3</v>
      </c>
      <c r="B171" s="72" t="s">
        <v>330</v>
      </c>
      <c r="C171" s="72" t="s">
        <v>332</v>
      </c>
      <c r="D171" s="73">
        <f>(59.14)*10.764</f>
        <v>636.58295999999996</v>
      </c>
      <c r="E171" s="63">
        <v>0</v>
      </c>
      <c r="F171" s="63">
        <f>D171+E171</f>
        <v>636.58295999999996</v>
      </c>
      <c r="G171" s="63">
        <v>0</v>
      </c>
      <c r="H171" s="63">
        <f>F171*(($H$142)+1)+(IF(G171&lt;101,G171,IF(G171&lt;201,G171/2,IF(G171&lt;=301,G171/3,G171/4))))</f>
        <v>954.87443999999994</v>
      </c>
      <c r="T171" s="34"/>
    </row>
    <row r="172" spans="1:20" s="32" customFormat="1" x14ac:dyDescent="0.25">
      <c r="A172" s="63">
        <f>A171+1</f>
        <v>4</v>
      </c>
      <c r="B172" s="72" t="s">
        <v>330</v>
      </c>
      <c r="C172" s="72" t="s">
        <v>332</v>
      </c>
      <c r="D172" s="73">
        <f>(62.63)*10.764</f>
        <v>674.14931999999999</v>
      </c>
      <c r="E172" s="63">
        <v>0</v>
      </c>
      <c r="F172" s="63">
        <f>D172+E172</f>
        <v>674.14931999999999</v>
      </c>
      <c r="G172" s="63">
        <v>0</v>
      </c>
      <c r="H172" s="63">
        <f>F172*(($H$142)+1)+(IF(G172&lt;101,G172,IF(G172&lt;201,G172/2,IF(G172&lt;=301,G172/3,G172/4))))</f>
        <v>1011.22398</v>
      </c>
      <c r="T172" s="34"/>
    </row>
    <row r="173" spans="1:20" s="32" customFormat="1" x14ac:dyDescent="0.25">
      <c r="A173" s="63">
        <f>A172+1</f>
        <v>5</v>
      </c>
      <c r="B173" s="72" t="s">
        <v>330</v>
      </c>
      <c r="C173" s="72" t="s">
        <v>370</v>
      </c>
      <c r="D173" s="73">
        <f>(52.41)*10.764</f>
        <v>564.14123999999993</v>
      </c>
      <c r="E173" s="63">
        <v>0</v>
      </c>
      <c r="F173" s="63">
        <f>D173+E173</f>
        <v>564.14123999999993</v>
      </c>
      <c r="G173" s="63">
        <v>0</v>
      </c>
      <c r="H173" s="63">
        <f>F173*(($H$142)+1)+(IF(G173&lt;101,G173,IF(G173&lt;201,G173/2,IF(G173&lt;=301,G173/3,G173/4))))</f>
        <v>846.21185999999989</v>
      </c>
    </row>
    <row r="174" spans="1:20" s="32" customFormat="1" x14ac:dyDescent="0.25">
      <c r="A174" s="63">
        <v>6</v>
      </c>
      <c r="B174" s="72" t="s">
        <v>330</v>
      </c>
      <c r="C174" s="72" t="s">
        <v>332</v>
      </c>
      <c r="D174" s="73">
        <f>(63.99)*10.764</f>
        <v>688.78836000000001</v>
      </c>
      <c r="E174" s="63">
        <v>0</v>
      </c>
      <c r="F174" s="63">
        <f>D174+E174</f>
        <v>688.78836000000001</v>
      </c>
      <c r="G174" s="63">
        <v>0</v>
      </c>
      <c r="H174" s="63">
        <f>F174*(($H$142)+1)+(IF(G174&lt;101,G174,IF(G174&lt;201,G174/2,IF(G174&lt;=301,G174/3,G174/4))))</f>
        <v>1033.18254</v>
      </c>
    </row>
    <row r="175" spans="1:20" s="32" customFormat="1" x14ac:dyDescent="0.25">
      <c r="A175" s="178" t="s">
        <v>338</v>
      </c>
      <c r="B175" s="179"/>
      <c r="C175" s="179"/>
      <c r="D175" s="179"/>
      <c r="E175" s="179"/>
      <c r="F175" s="179"/>
      <c r="G175" s="179"/>
      <c r="H175" s="180"/>
    </row>
    <row r="176" spans="1:20" s="32" customFormat="1" x14ac:dyDescent="0.25">
      <c r="A176" s="63">
        <v>1</v>
      </c>
      <c r="B176" s="72" t="s">
        <v>330</v>
      </c>
      <c r="C176" s="72" t="s">
        <v>331</v>
      </c>
      <c r="D176" s="73">
        <f>(77.33)*10.764</f>
        <v>832.38011999999992</v>
      </c>
      <c r="E176" s="63">
        <v>0</v>
      </c>
      <c r="F176" s="63">
        <f t="shared" ref="F176:F181" si="12">D176+E176</f>
        <v>832.38011999999992</v>
      </c>
      <c r="G176" s="63">
        <v>0</v>
      </c>
      <c r="H176" s="63">
        <f t="shared" ref="H176:H181" si="13">F176*(($H$142)+1)+(IF(G176&lt;101,G176,IF(G176&lt;201,G176/2,IF(G176&lt;=301,G176/3,G176/4))))</f>
        <v>1248.5701799999999</v>
      </c>
    </row>
    <row r="177" spans="1:20" s="65" customFormat="1" x14ac:dyDescent="0.25">
      <c r="A177" s="63">
        <f>A176+1</f>
        <v>2</v>
      </c>
      <c r="B177" s="72" t="s">
        <v>330</v>
      </c>
      <c r="C177" s="72" t="s">
        <v>331</v>
      </c>
      <c r="D177" s="73">
        <f>(88.24)*10.764</f>
        <v>949.81535999999994</v>
      </c>
      <c r="E177" s="63">
        <v>0</v>
      </c>
      <c r="F177" s="63">
        <f t="shared" si="12"/>
        <v>949.81535999999994</v>
      </c>
      <c r="G177" s="63">
        <v>0</v>
      </c>
      <c r="H177" s="63">
        <f t="shared" si="13"/>
        <v>1424.7230399999999</v>
      </c>
    </row>
    <row r="178" spans="1:20" s="65" customFormat="1" x14ac:dyDescent="0.25">
      <c r="A178" s="63">
        <f>A177+1</f>
        <v>3</v>
      </c>
      <c r="B178" s="72" t="s">
        <v>330</v>
      </c>
      <c r="C178" s="72" t="s">
        <v>332</v>
      </c>
      <c r="D178" s="73">
        <f>(64.09)*10.764</f>
        <v>689.86476000000005</v>
      </c>
      <c r="E178" s="63">
        <v>0</v>
      </c>
      <c r="F178" s="63">
        <f t="shared" si="12"/>
        <v>689.86476000000005</v>
      </c>
      <c r="G178" s="63">
        <v>0</v>
      </c>
      <c r="H178" s="63">
        <f t="shared" si="13"/>
        <v>1034.7971400000001</v>
      </c>
    </row>
    <row r="179" spans="1:20" ht="15.75" customHeight="1" x14ac:dyDescent="0.25">
      <c r="A179" s="63">
        <f>A178+1</f>
        <v>4</v>
      </c>
      <c r="B179" s="72" t="s">
        <v>330</v>
      </c>
      <c r="C179" s="72" t="s">
        <v>332</v>
      </c>
      <c r="D179" s="73">
        <f>(62.63)*10.764</f>
        <v>674.14931999999999</v>
      </c>
      <c r="E179" s="63">
        <v>0</v>
      </c>
      <c r="F179" s="63">
        <f t="shared" si="12"/>
        <v>674.14931999999999</v>
      </c>
      <c r="G179" s="63">
        <v>0</v>
      </c>
      <c r="H179" s="63">
        <f t="shared" si="13"/>
        <v>1011.22398</v>
      </c>
      <c r="T179" s="32"/>
    </row>
    <row r="180" spans="1:20" x14ac:dyDescent="0.25">
      <c r="A180" s="63">
        <f>A179+1</f>
        <v>5</v>
      </c>
      <c r="B180" s="72" t="s">
        <v>330</v>
      </c>
      <c r="C180" s="72" t="s">
        <v>370</v>
      </c>
      <c r="D180" s="73">
        <f>(56.06)*10.764</f>
        <v>603.42984000000001</v>
      </c>
      <c r="E180" s="63">
        <v>0</v>
      </c>
      <c r="F180" s="63">
        <f t="shared" si="12"/>
        <v>603.42984000000001</v>
      </c>
      <c r="G180" s="63">
        <v>0</v>
      </c>
      <c r="H180" s="63">
        <f t="shared" si="13"/>
        <v>905.14476000000002</v>
      </c>
      <c r="T180" s="32"/>
    </row>
    <row r="181" spans="1:20" ht="15.75" customHeight="1" x14ac:dyDescent="0.25">
      <c r="A181" s="63">
        <v>6</v>
      </c>
      <c r="B181" s="72" t="s">
        <v>330</v>
      </c>
      <c r="C181" s="72" t="s">
        <v>332</v>
      </c>
      <c r="D181" s="73">
        <f>(63.99)*10.764</f>
        <v>688.78836000000001</v>
      </c>
      <c r="E181" s="63">
        <v>0</v>
      </c>
      <c r="F181" s="63">
        <f t="shared" si="12"/>
        <v>688.78836000000001</v>
      </c>
      <c r="G181" s="63">
        <v>0</v>
      </c>
      <c r="H181" s="63">
        <f t="shared" si="13"/>
        <v>1033.18254</v>
      </c>
      <c r="T181" s="32"/>
    </row>
    <row r="182" spans="1:20" x14ac:dyDescent="0.25">
      <c r="A182" s="178" t="s">
        <v>339</v>
      </c>
      <c r="B182" s="179"/>
      <c r="C182" s="179"/>
      <c r="D182" s="179"/>
      <c r="E182" s="179"/>
      <c r="F182" s="179"/>
      <c r="G182" s="179"/>
      <c r="H182" s="180"/>
      <c r="T182" s="32"/>
    </row>
    <row r="183" spans="1:20" x14ac:dyDescent="0.25">
      <c r="A183" s="63">
        <v>1</v>
      </c>
      <c r="B183" s="74" t="s">
        <v>330</v>
      </c>
      <c r="C183" s="72" t="s">
        <v>331</v>
      </c>
      <c r="D183" s="73">
        <f>(77.33)*10.764</f>
        <v>832.38011999999992</v>
      </c>
      <c r="E183" s="63">
        <v>0</v>
      </c>
      <c r="F183" s="63">
        <f t="shared" ref="F183:F188" si="14">D183+E183</f>
        <v>832.38011999999992</v>
      </c>
      <c r="G183" s="63">
        <v>0</v>
      </c>
      <c r="H183" s="63">
        <f t="shared" ref="H183:H188" si="15">F183*(($H$142)+1)+(IF(G183&lt;101,G183,IF(G183&lt;201,G183/2,IF(G183&lt;=301,G183/3,G183/4))))</f>
        <v>1248.5701799999999</v>
      </c>
      <c r="T183" s="32"/>
    </row>
    <row r="184" spans="1:20" x14ac:dyDescent="0.25">
      <c r="A184" s="63">
        <f>A183+1</f>
        <v>2</v>
      </c>
      <c r="B184" s="74" t="s">
        <v>330</v>
      </c>
      <c r="C184" s="72" t="s">
        <v>331</v>
      </c>
      <c r="D184" s="73">
        <f>(88.24)*10.764</f>
        <v>949.81535999999994</v>
      </c>
      <c r="E184" s="63">
        <v>0</v>
      </c>
      <c r="F184" s="63">
        <f t="shared" si="14"/>
        <v>949.81535999999994</v>
      </c>
      <c r="G184" s="63">
        <v>0</v>
      </c>
      <c r="H184" s="63">
        <f t="shared" si="15"/>
        <v>1424.7230399999999</v>
      </c>
      <c r="T184" s="32"/>
    </row>
    <row r="185" spans="1:20" x14ac:dyDescent="0.25">
      <c r="A185" s="63">
        <f>A184+1</f>
        <v>3</v>
      </c>
      <c r="B185" s="74" t="s">
        <v>336</v>
      </c>
      <c r="C185" s="72" t="s">
        <v>332</v>
      </c>
      <c r="D185" s="73">
        <f>(64.09)*10.764</f>
        <v>689.86476000000005</v>
      </c>
      <c r="E185" s="63">
        <v>0</v>
      </c>
      <c r="F185" s="63">
        <f t="shared" si="14"/>
        <v>689.86476000000005</v>
      </c>
      <c r="G185" s="63">
        <v>0</v>
      </c>
      <c r="H185" s="63">
        <f t="shared" si="15"/>
        <v>1034.7971400000001</v>
      </c>
    </row>
    <row r="186" spans="1:20" x14ac:dyDescent="0.25">
      <c r="A186" s="63">
        <f>A185+1</f>
        <v>4</v>
      </c>
      <c r="B186" s="74" t="s">
        <v>330</v>
      </c>
      <c r="C186" s="72" t="s">
        <v>332</v>
      </c>
      <c r="D186" s="73">
        <f>(62.63)*10.764</f>
        <v>674.14931999999999</v>
      </c>
      <c r="E186" s="63">
        <v>0</v>
      </c>
      <c r="F186" s="63">
        <f t="shared" si="14"/>
        <v>674.14931999999999</v>
      </c>
      <c r="G186" s="63">
        <v>0</v>
      </c>
      <c r="H186" s="63">
        <f t="shared" si="15"/>
        <v>1011.22398</v>
      </c>
    </row>
    <row r="187" spans="1:20" x14ac:dyDescent="0.25">
      <c r="A187" s="63">
        <f>A186+1</f>
        <v>5</v>
      </c>
      <c r="B187" s="74" t="s">
        <v>336</v>
      </c>
      <c r="C187" s="72" t="s">
        <v>370</v>
      </c>
      <c r="D187" s="73">
        <f>(56.06)*10.764</f>
        <v>603.42984000000001</v>
      </c>
      <c r="E187" s="63">
        <v>0</v>
      </c>
      <c r="F187" s="63">
        <f t="shared" si="14"/>
        <v>603.42984000000001</v>
      </c>
      <c r="G187" s="63">
        <v>0</v>
      </c>
      <c r="H187" s="63">
        <f t="shared" si="15"/>
        <v>905.14476000000002</v>
      </c>
    </row>
    <row r="188" spans="1:20" x14ac:dyDescent="0.25">
      <c r="A188" s="63">
        <v>6</v>
      </c>
      <c r="B188" s="74" t="s">
        <v>330</v>
      </c>
      <c r="C188" s="72" t="s">
        <v>332</v>
      </c>
      <c r="D188" s="73">
        <f>(63.99)*10.764</f>
        <v>688.78836000000001</v>
      </c>
      <c r="E188" s="63">
        <v>0</v>
      </c>
      <c r="F188" s="63">
        <f t="shared" si="14"/>
        <v>688.78836000000001</v>
      </c>
      <c r="G188" s="63">
        <v>0</v>
      </c>
      <c r="H188" s="63">
        <f t="shared" si="15"/>
        <v>1033.18254</v>
      </c>
    </row>
    <row r="189" spans="1:20" x14ac:dyDescent="0.25">
      <c r="A189" s="178" t="s">
        <v>340</v>
      </c>
      <c r="B189" s="179"/>
      <c r="C189" s="179"/>
      <c r="D189" s="179"/>
      <c r="E189" s="179"/>
      <c r="F189" s="179"/>
      <c r="G189" s="179"/>
      <c r="H189" s="180"/>
    </row>
    <row r="190" spans="1:20" x14ac:dyDescent="0.25">
      <c r="A190" s="63">
        <v>1</v>
      </c>
      <c r="B190" s="72" t="s">
        <v>330</v>
      </c>
      <c r="C190" s="72" t="s">
        <v>331</v>
      </c>
      <c r="D190" s="73">
        <f>(77.33)*10.764</f>
        <v>832.38011999999992</v>
      </c>
      <c r="E190" s="63">
        <v>0</v>
      </c>
      <c r="F190" s="63">
        <f t="shared" ref="F190:F195" si="16">D190+E190</f>
        <v>832.38011999999992</v>
      </c>
      <c r="G190" s="63">
        <v>0</v>
      </c>
      <c r="H190" s="63">
        <f t="shared" ref="H190:H195" si="17">F190*(($H$142)+1)+(IF(G190&lt;101,G190,IF(G190&lt;201,G190/2,IF(G190&lt;=301,G190/3,G190/4))))</f>
        <v>1248.5701799999999</v>
      </c>
    </row>
    <row r="191" spans="1:20" x14ac:dyDescent="0.25">
      <c r="A191" s="63">
        <f>A190+1</f>
        <v>2</v>
      </c>
      <c r="B191" s="72" t="s">
        <v>330</v>
      </c>
      <c r="C191" s="72" t="s">
        <v>331</v>
      </c>
      <c r="D191" s="73">
        <f>(88.24)*10.764</f>
        <v>949.81535999999994</v>
      </c>
      <c r="E191" s="63">
        <v>0</v>
      </c>
      <c r="F191" s="63">
        <f t="shared" si="16"/>
        <v>949.81535999999994</v>
      </c>
      <c r="G191" s="63">
        <v>0</v>
      </c>
      <c r="H191" s="63">
        <f t="shared" si="17"/>
        <v>1424.7230399999999</v>
      </c>
    </row>
    <row r="192" spans="1:20" x14ac:dyDescent="0.25">
      <c r="A192" s="63">
        <f>A191+1</f>
        <v>3</v>
      </c>
      <c r="B192" s="74" t="s">
        <v>336</v>
      </c>
      <c r="C192" s="72" t="s">
        <v>332</v>
      </c>
      <c r="D192" s="73">
        <f>(64.09)*10.764</f>
        <v>689.86476000000005</v>
      </c>
      <c r="E192" s="63">
        <v>0</v>
      </c>
      <c r="F192" s="63">
        <f t="shared" si="16"/>
        <v>689.86476000000005</v>
      </c>
      <c r="G192" s="63">
        <v>0</v>
      </c>
      <c r="H192" s="63">
        <f t="shared" si="17"/>
        <v>1034.7971400000001</v>
      </c>
    </row>
    <row r="193" spans="1:8" x14ac:dyDescent="0.25">
      <c r="A193" s="63">
        <f>A192+1</f>
        <v>4</v>
      </c>
      <c r="B193" s="72" t="s">
        <v>330</v>
      </c>
      <c r="C193" s="72" t="s">
        <v>332</v>
      </c>
      <c r="D193" s="73">
        <f>(62.63)*10.764</f>
        <v>674.14931999999999</v>
      </c>
      <c r="E193" s="63">
        <v>0</v>
      </c>
      <c r="F193" s="63">
        <f t="shared" si="16"/>
        <v>674.14931999999999</v>
      </c>
      <c r="G193" s="63">
        <v>0</v>
      </c>
      <c r="H193" s="63">
        <f t="shared" si="17"/>
        <v>1011.22398</v>
      </c>
    </row>
    <row r="194" spans="1:8" ht="15" customHeight="1" x14ac:dyDescent="0.25">
      <c r="A194" s="63">
        <f>A193+1</f>
        <v>5</v>
      </c>
      <c r="B194" s="72" t="s">
        <v>330</v>
      </c>
      <c r="C194" s="72" t="s">
        <v>370</v>
      </c>
      <c r="D194" s="73">
        <f>(56.06)*10.764</f>
        <v>603.42984000000001</v>
      </c>
      <c r="E194" s="63">
        <v>0</v>
      </c>
      <c r="F194" s="63">
        <f t="shared" si="16"/>
        <v>603.42984000000001</v>
      </c>
      <c r="G194" s="63">
        <v>0</v>
      </c>
      <c r="H194" s="63">
        <f t="shared" si="17"/>
        <v>905.14476000000002</v>
      </c>
    </row>
    <row r="195" spans="1:8" x14ac:dyDescent="0.25">
      <c r="A195" s="63">
        <v>6</v>
      </c>
      <c r="B195" s="72" t="s">
        <v>330</v>
      </c>
      <c r="C195" s="72" t="s">
        <v>332</v>
      </c>
      <c r="D195" s="73">
        <f>(63.99)*10.764</f>
        <v>688.78836000000001</v>
      </c>
      <c r="E195" s="63">
        <v>0</v>
      </c>
      <c r="F195" s="63">
        <f t="shared" si="16"/>
        <v>688.78836000000001</v>
      </c>
      <c r="G195" s="63">
        <v>0</v>
      </c>
      <c r="H195" s="63">
        <f t="shared" si="17"/>
        <v>1033.18254</v>
      </c>
    </row>
    <row r="196" spans="1:8" x14ac:dyDescent="0.25">
      <c r="A196" s="178" t="s">
        <v>341</v>
      </c>
      <c r="B196" s="179"/>
      <c r="C196" s="179"/>
      <c r="D196" s="179"/>
      <c r="E196" s="179"/>
      <c r="F196" s="179"/>
      <c r="G196" s="179"/>
      <c r="H196" s="180"/>
    </row>
    <row r="197" spans="1:8" x14ac:dyDescent="0.25">
      <c r="A197" s="63">
        <v>1</v>
      </c>
      <c r="B197" s="72" t="s">
        <v>330</v>
      </c>
      <c r="C197" s="72" t="s">
        <v>331</v>
      </c>
      <c r="D197" s="73">
        <f>(81.72)*10.764</f>
        <v>879.63407999999993</v>
      </c>
      <c r="E197" s="63">
        <v>0</v>
      </c>
      <c r="F197" s="63">
        <f t="shared" ref="F197:F202" si="18">D197+E197</f>
        <v>879.63407999999993</v>
      </c>
      <c r="G197" s="63">
        <v>0</v>
      </c>
      <c r="H197" s="63">
        <f t="shared" ref="H197:H202" si="19">F197*(($H$142)+1)+(IF(G197&lt;101,G197,IF(G197&lt;201,G197/2,IF(G197&lt;=301,G197/3,G197/4))))</f>
        <v>1319.4511199999999</v>
      </c>
    </row>
    <row r="198" spans="1:8" x14ac:dyDescent="0.25">
      <c r="A198" s="63">
        <f>A197+1</f>
        <v>2</v>
      </c>
      <c r="B198" s="72" t="s">
        <v>330</v>
      </c>
      <c r="C198" s="72" t="s">
        <v>331</v>
      </c>
      <c r="D198" s="73">
        <f>(88.24)*10.764</f>
        <v>949.81535999999994</v>
      </c>
      <c r="E198" s="63">
        <v>0</v>
      </c>
      <c r="F198" s="63">
        <f t="shared" si="18"/>
        <v>949.81535999999994</v>
      </c>
      <c r="G198" s="63">
        <v>0</v>
      </c>
      <c r="H198" s="63">
        <f t="shared" si="19"/>
        <v>1424.7230399999999</v>
      </c>
    </row>
    <row r="199" spans="1:8" x14ac:dyDescent="0.25">
      <c r="A199" s="63">
        <f>A198+1</f>
        <v>3</v>
      </c>
      <c r="B199" s="72" t="s">
        <v>330</v>
      </c>
      <c r="C199" s="72" t="s">
        <v>332</v>
      </c>
      <c r="D199" s="73">
        <f>(64.09)*10.764</f>
        <v>689.86476000000005</v>
      </c>
      <c r="E199" s="63">
        <v>0</v>
      </c>
      <c r="F199" s="63">
        <f t="shared" si="18"/>
        <v>689.86476000000005</v>
      </c>
      <c r="G199" s="63">
        <v>0</v>
      </c>
      <c r="H199" s="63">
        <f t="shared" si="19"/>
        <v>1034.7971400000001</v>
      </c>
    </row>
    <row r="200" spans="1:8" x14ac:dyDescent="0.25">
      <c r="A200" s="63">
        <f>A199+1</f>
        <v>4</v>
      </c>
      <c r="B200" s="72" t="s">
        <v>330</v>
      </c>
      <c r="C200" s="72" t="s">
        <v>332</v>
      </c>
      <c r="D200" s="73">
        <f>(62.63)*10.764</f>
        <v>674.14931999999999</v>
      </c>
      <c r="E200" s="63">
        <v>0</v>
      </c>
      <c r="F200" s="63">
        <f t="shared" si="18"/>
        <v>674.14931999999999</v>
      </c>
      <c r="G200" s="63">
        <v>0</v>
      </c>
      <c r="H200" s="63">
        <f t="shared" si="19"/>
        <v>1011.22398</v>
      </c>
    </row>
    <row r="201" spans="1:8" x14ac:dyDescent="0.25">
      <c r="A201" s="63">
        <f>A200+1</f>
        <v>5</v>
      </c>
      <c r="B201" s="72" t="s">
        <v>330</v>
      </c>
      <c r="C201" s="72" t="s">
        <v>370</v>
      </c>
      <c r="D201" s="73">
        <f>(56.33)*10.764</f>
        <v>606.33611999999994</v>
      </c>
      <c r="E201" s="63">
        <v>0</v>
      </c>
      <c r="F201" s="63">
        <f t="shared" si="18"/>
        <v>606.33611999999994</v>
      </c>
      <c r="G201" s="63">
        <v>0</v>
      </c>
      <c r="H201" s="63">
        <f t="shared" si="19"/>
        <v>909.50417999999991</v>
      </c>
    </row>
    <row r="202" spans="1:8" x14ac:dyDescent="0.25">
      <c r="A202" s="63">
        <v>6</v>
      </c>
      <c r="B202" s="72" t="s">
        <v>330</v>
      </c>
      <c r="C202" s="72" t="s">
        <v>332</v>
      </c>
      <c r="D202" s="73">
        <f>(63.99)*10.764</f>
        <v>688.78836000000001</v>
      </c>
      <c r="E202" s="63">
        <v>0</v>
      </c>
      <c r="F202" s="63">
        <f t="shared" si="18"/>
        <v>688.78836000000001</v>
      </c>
      <c r="G202" s="63">
        <v>0</v>
      </c>
      <c r="H202" s="63">
        <f t="shared" si="19"/>
        <v>1033.18254</v>
      </c>
    </row>
    <row r="203" spans="1:8" x14ac:dyDescent="0.25">
      <c r="A203" s="178" t="s">
        <v>342</v>
      </c>
      <c r="B203" s="179"/>
      <c r="C203" s="179"/>
      <c r="D203" s="179"/>
      <c r="E203" s="179"/>
      <c r="F203" s="179"/>
      <c r="G203" s="179"/>
      <c r="H203" s="180"/>
    </row>
    <row r="204" spans="1:8" x14ac:dyDescent="0.25">
      <c r="A204" s="63">
        <v>1</v>
      </c>
      <c r="B204" s="72" t="s">
        <v>330</v>
      </c>
      <c r="C204" s="72" t="s">
        <v>331</v>
      </c>
      <c r="D204" s="73">
        <f>(81.72)*10.764</f>
        <v>879.63407999999993</v>
      </c>
      <c r="E204" s="63">
        <v>0</v>
      </c>
      <c r="F204" s="63">
        <f t="shared" ref="F204:F209" si="20">D204+E204</f>
        <v>879.63407999999993</v>
      </c>
      <c r="G204" s="63">
        <v>0</v>
      </c>
      <c r="H204" s="63">
        <f t="shared" ref="H204:H209" si="21">F204*(($H$142)+1)+(IF(G204&lt;101,G204,IF(G204&lt;201,G204/2,IF(G204&lt;=301,G204/3,G204/4))))</f>
        <v>1319.4511199999999</v>
      </c>
    </row>
    <row r="205" spans="1:8" x14ac:dyDescent="0.25">
      <c r="A205" s="63">
        <f>A204+1</f>
        <v>2</v>
      </c>
      <c r="B205" s="72" t="s">
        <v>330</v>
      </c>
      <c r="C205" s="72" t="s">
        <v>331</v>
      </c>
      <c r="D205" s="73">
        <f>(88.24)*10.764</f>
        <v>949.81535999999994</v>
      </c>
      <c r="E205" s="63">
        <v>0</v>
      </c>
      <c r="F205" s="63">
        <f t="shared" si="20"/>
        <v>949.81535999999994</v>
      </c>
      <c r="G205" s="63">
        <v>0</v>
      </c>
      <c r="H205" s="63">
        <f t="shared" si="21"/>
        <v>1424.7230399999999</v>
      </c>
    </row>
    <row r="206" spans="1:8" x14ac:dyDescent="0.25">
      <c r="A206" s="63">
        <f>A205+1</f>
        <v>3</v>
      </c>
      <c r="B206" s="74" t="s">
        <v>336</v>
      </c>
      <c r="C206" s="72" t="s">
        <v>332</v>
      </c>
      <c r="D206" s="73">
        <f>(64.09)*10.764</f>
        <v>689.86476000000005</v>
      </c>
      <c r="E206" s="63">
        <v>0</v>
      </c>
      <c r="F206" s="63">
        <f t="shared" si="20"/>
        <v>689.86476000000005</v>
      </c>
      <c r="G206" s="63">
        <v>0</v>
      </c>
      <c r="H206" s="63">
        <f t="shared" si="21"/>
        <v>1034.7971400000001</v>
      </c>
    </row>
    <row r="207" spans="1:8" x14ac:dyDescent="0.25">
      <c r="A207" s="63">
        <f>A206+1</f>
        <v>4</v>
      </c>
      <c r="B207" s="72" t="s">
        <v>330</v>
      </c>
      <c r="C207" s="72" t="s">
        <v>332</v>
      </c>
      <c r="D207" s="73">
        <f>(62.63)*10.764</f>
        <v>674.14931999999999</v>
      </c>
      <c r="E207" s="63">
        <v>0</v>
      </c>
      <c r="F207" s="63">
        <f t="shared" si="20"/>
        <v>674.14931999999999</v>
      </c>
      <c r="G207" s="63">
        <v>0</v>
      </c>
      <c r="H207" s="63">
        <f t="shared" si="21"/>
        <v>1011.22398</v>
      </c>
    </row>
    <row r="208" spans="1:8" x14ac:dyDescent="0.25">
      <c r="A208" s="63">
        <f>A207+1</f>
        <v>5</v>
      </c>
      <c r="B208" s="72" t="s">
        <v>330</v>
      </c>
      <c r="C208" s="72" t="s">
        <v>370</v>
      </c>
      <c r="D208" s="73">
        <f>(56.33)*10.764</f>
        <v>606.33611999999994</v>
      </c>
      <c r="E208" s="63">
        <v>0</v>
      </c>
      <c r="F208" s="63">
        <f t="shared" si="20"/>
        <v>606.33611999999994</v>
      </c>
      <c r="G208" s="63">
        <v>0</v>
      </c>
      <c r="H208" s="63">
        <f t="shared" si="21"/>
        <v>909.50417999999991</v>
      </c>
    </row>
    <row r="209" spans="1:8" x14ac:dyDescent="0.25">
      <c r="A209" s="63">
        <v>6</v>
      </c>
      <c r="B209" s="72" t="s">
        <v>330</v>
      </c>
      <c r="C209" s="72" t="s">
        <v>332</v>
      </c>
      <c r="D209" s="73">
        <f>(63.99)*10.764</f>
        <v>688.78836000000001</v>
      </c>
      <c r="E209" s="63">
        <v>0</v>
      </c>
      <c r="F209" s="63">
        <f t="shared" si="20"/>
        <v>688.78836000000001</v>
      </c>
      <c r="G209" s="63">
        <v>0</v>
      </c>
      <c r="H209" s="63">
        <f t="shared" si="21"/>
        <v>1033.18254</v>
      </c>
    </row>
    <row r="210" spans="1:8" x14ac:dyDescent="0.25">
      <c r="A210" s="178" t="s">
        <v>343</v>
      </c>
      <c r="B210" s="179"/>
      <c r="C210" s="179"/>
      <c r="D210" s="179"/>
      <c r="E210" s="179"/>
      <c r="F210" s="179"/>
      <c r="G210" s="179"/>
      <c r="H210" s="180"/>
    </row>
    <row r="211" spans="1:8" x14ac:dyDescent="0.25">
      <c r="A211" s="63">
        <v>1</v>
      </c>
      <c r="B211" s="72" t="s">
        <v>336</v>
      </c>
      <c r="C211" s="72" t="s">
        <v>337</v>
      </c>
      <c r="D211" s="73">
        <f>(51.37)*10.764</f>
        <v>552.9466799999999</v>
      </c>
      <c r="E211" s="63">
        <v>0</v>
      </c>
      <c r="F211" s="63">
        <f>D211+E211</f>
        <v>552.9466799999999</v>
      </c>
      <c r="G211" s="63">
        <v>0</v>
      </c>
      <c r="H211" s="63">
        <f>F211*(($H$142)+1)+(IF(G211&lt;101,G211,IF(G211&lt;201,G211/2,IF(G211&lt;=301,G211/3,G211/4))))</f>
        <v>829.42001999999979</v>
      </c>
    </row>
    <row r="212" spans="1:8" x14ac:dyDescent="0.25">
      <c r="A212" s="63">
        <f>A211+1</f>
        <v>2</v>
      </c>
      <c r="B212" s="193" t="s">
        <v>335</v>
      </c>
      <c r="C212" s="194"/>
      <c r="D212" s="194"/>
      <c r="E212" s="194"/>
      <c r="F212" s="194"/>
      <c r="G212" s="194"/>
      <c r="H212" s="195"/>
    </row>
    <row r="213" spans="1:8" x14ac:dyDescent="0.25">
      <c r="A213" s="63">
        <f>A212+1</f>
        <v>3</v>
      </c>
      <c r="B213" s="72" t="s">
        <v>336</v>
      </c>
      <c r="C213" s="72" t="s">
        <v>332</v>
      </c>
      <c r="D213" s="73">
        <f>(64.09)*10.764</f>
        <v>689.86476000000005</v>
      </c>
      <c r="E213" s="63">
        <v>0</v>
      </c>
      <c r="F213" s="63">
        <f>D213+E213</f>
        <v>689.86476000000005</v>
      </c>
      <c r="G213" s="63">
        <v>0</v>
      </c>
      <c r="H213" s="63">
        <f>F213*(($H$142)+1)+(IF(G213&lt;101,G213,IF(G213&lt;201,G213/2,IF(G213&lt;=301,G213/3,G213/4))))</f>
        <v>1034.7971400000001</v>
      </c>
    </row>
    <row r="214" spans="1:8" x14ac:dyDescent="0.25">
      <c r="A214" s="63">
        <f>A213+1</f>
        <v>4</v>
      </c>
      <c r="B214" s="72" t="s">
        <v>330</v>
      </c>
      <c r="C214" s="72" t="s">
        <v>332</v>
      </c>
      <c r="D214" s="73">
        <f>(62.63)*10.764</f>
        <v>674.14931999999999</v>
      </c>
      <c r="E214" s="63">
        <v>0</v>
      </c>
      <c r="F214" s="63">
        <f>D214+E214</f>
        <v>674.14931999999999</v>
      </c>
      <c r="G214" s="63">
        <v>0</v>
      </c>
      <c r="H214" s="63">
        <f>F214*(($H$142)+1)+(IF(G214&lt;101,G214,IF(G214&lt;201,G214/2,IF(G214&lt;=301,G214/3,G214/4))))</f>
        <v>1011.22398</v>
      </c>
    </row>
    <row r="215" spans="1:8" x14ac:dyDescent="0.25">
      <c r="A215" s="63">
        <f>A214+1</f>
        <v>5</v>
      </c>
      <c r="B215" s="72" t="s">
        <v>336</v>
      </c>
      <c r="C215" s="72" t="s">
        <v>370</v>
      </c>
      <c r="D215" s="73">
        <f>(56.33)*10.764</f>
        <v>606.33611999999994</v>
      </c>
      <c r="E215" s="63">
        <v>0</v>
      </c>
      <c r="F215" s="63">
        <f>D215+E215</f>
        <v>606.33611999999994</v>
      </c>
      <c r="G215" s="63">
        <v>0</v>
      </c>
      <c r="H215" s="63">
        <f>F215*(($H$142)+1)+(IF(G215&lt;101,G215,IF(G215&lt;201,G215/2,IF(G215&lt;=301,G215/3,G215/4))))</f>
        <v>909.50417999999991</v>
      </c>
    </row>
    <row r="216" spans="1:8" x14ac:dyDescent="0.25">
      <c r="A216" s="63">
        <v>6</v>
      </c>
      <c r="B216" s="72" t="s">
        <v>330</v>
      </c>
      <c r="C216" s="72" t="s">
        <v>332</v>
      </c>
      <c r="D216" s="73">
        <f>(63.99)*10.764</f>
        <v>688.78836000000001</v>
      </c>
      <c r="E216" s="63">
        <v>0</v>
      </c>
      <c r="F216" s="63">
        <f>D216+E216</f>
        <v>688.78836000000001</v>
      </c>
      <c r="G216" s="63">
        <v>0</v>
      </c>
      <c r="H216" s="63">
        <f>F216*(($H$142)+1)+(IF(G216&lt;101,G216,IF(G216&lt;201,G216/2,IF(G216&lt;=301,G216/3,G216/4))))</f>
        <v>1033.18254</v>
      </c>
    </row>
    <row r="217" spans="1:8" x14ac:dyDescent="0.25">
      <c r="A217" s="178" t="s">
        <v>344</v>
      </c>
      <c r="B217" s="179"/>
      <c r="C217" s="179"/>
      <c r="D217" s="179"/>
      <c r="E217" s="179"/>
      <c r="F217" s="179"/>
      <c r="G217" s="179"/>
      <c r="H217" s="180"/>
    </row>
    <row r="218" spans="1:8" x14ac:dyDescent="0.25">
      <c r="A218" s="63">
        <v>1</v>
      </c>
      <c r="B218" s="72" t="s">
        <v>330</v>
      </c>
      <c r="C218" s="72" t="s">
        <v>331</v>
      </c>
      <c r="D218" s="73">
        <f>(81.72)*10.764</f>
        <v>879.63407999999993</v>
      </c>
      <c r="E218" s="63">
        <v>0</v>
      </c>
      <c r="F218" s="63">
        <f t="shared" ref="F218:F223" si="22">D218+E218</f>
        <v>879.63407999999993</v>
      </c>
      <c r="G218" s="63">
        <v>0</v>
      </c>
      <c r="H218" s="63">
        <f t="shared" ref="H218:H223" si="23">F218*(($H$142)+1)+(IF(G218&lt;101,G218,IF(G218&lt;201,G218/2,IF(G218&lt;=301,G218/3,G218/4))))</f>
        <v>1319.4511199999999</v>
      </c>
    </row>
    <row r="219" spans="1:8" x14ac:dyDescent="0.25">
      <c r="A219" s="63">
        <f>A218+1</f>
        <v>2</v>
      </c>
      <c r="B219" s="72" t="s">
        <v>330</v>
      </c>
      <c r="C219" s="72" t="s">
        <v>331</v>
      </c>
      <c r="D219" s="73">
        <f>(88.24)*10.764</f>
        <v>949.81535999999994</v>
      </c>
      <c r="E219" s="63">
        <v>0</v>
      </c>
      <c r="F219" s="63">
        <f t="shared" si="22"/>
        <v>949.81535999999994</v>
      </c>
      <c r="G219" s="63">
        <v>0</v>
      </c>
      <c r="H219" s="63">
        <f t="shared" si="23"/>
        <v>1424.7230399999999</v>
      </c>
    </row>
    <row r="220" spans="1:8" x14ac:dyDescent="0.25">
      <c r="A220" s="63">
        <f>A219+1</f>
        <v>3</v>
      </c>
      <c r="B220" s="74" t="s">
        <v>336</v>
      </c>
      <c r="C220" s="72" t="s">
        <v>332</v>
      </c>
      <c r="D220" s="73">
        <f>(64.09)*10.764</f>
        <v>689.86476000000005</v>
      </c>
      <c r="E220" s="63">
        <v>0</v>
      </c>
      <c r="F220" s="63">
        <f t="shared" si="22"/>
        <v>689.86476000000005</v>
      </c>
      <c r="G220" s="63">
        <v>0</v>
      </c>
      <c r="H220" s="63">
        <f t="shared" si="23"/>
        <v>1034.7971400000001</v>
      </c>
    </row>
    <row r="221" spans="1:8" x14ac:dyDescent="0.25">
      <c r="A221" s="63">
        <f>A220+1</f>
        <v>4</v>
      </c>
      <c r="B221" s="74" t="s">
        <v>336</v>
      </c>
      <c r="C221" s="72" t="s">
        <v>332</v>
      </c>
      <c r="D221" s="73">
        <f>(62.63)*10.764</f>
        <v>674.14931999999999</v>
      </c>
      <c r="E221" s="63">
        <v>0</v>
      </c>
      <c r="F221" s="63">
        <f t="shared" si="22"/>
        <v>674.14931999999999</v>
      </c>
      <c r="G221" s="63">
        <v>0</v>
      </c>
      <c r="H221" s="63">
        <f t="shared" si="23"/>
        <v>1011.22398</v>
      </c>
    </row>
    <row r="222" spans="1:8" x14ac:dyDescent="0.25">
      <c r="A222" s="63">
        <f>A221+1</f>
        <v>5</v>
      </c>
      <c r="B222" s="74" t="s">
        <v>336</v>
      </c>
      <c r="C222" s="72" t="s">
        <v>370</v>
      </c>
      <c r="D222" s="73">
        <f>(56.33)*10.764</f>
        <v>606.33611999999994</v>
      </c>
      <c r="E222" s="63">
        <v>0</v>
      </c>
      <c r="F222" s="63">
        <f t="shared" si="22"/>
        <v>606.33611999999994</v>
      </c>
      <c r="G222" s="63">
        <v>0</v>
      </c>
      <c r="H222" s="63">
        <f t="shared" si="23"/>
        <v>909.50417999999991</v>
      </c>
    </row>
    <row r="223" spans="1:8" x14ac:dyDescent="0.25">
      <c r="A223" s="63">
        <v>6</v>
      </c>
      <c r="B223" s="74" t="s">
        <v>336</v>
      </c>
      <c r="C223" s="72" t="s">
        <v>332</v>
      </c>
      <c r="D223" s="73">
        <f>(63.99)*10.764</f>
        <v>688.78836000000001</v>
      </c>
      <c r="E223" s="63">
        <v>0</v>
      </c>
      <c r="F223" s="63">
        <f t="shared" si="22"/>
        <v>688.78836000000001</v>
      </c>
      <c r="G223" s="63">
        <v>0</v>
      </c>
      <c r="H223" s="63">
        <f t="shared" si="23"/>
        <v>1033.18254</v>
      </c>
    </row>
    <row r="224" spans="1:8" x14ac:dyDescent="0.25">
      <c r="A224" s="178" t="s">
        <v>345</v>
      </c>
      <c r="B224" s="179"/>
      <c r="C224" s="179"/>
      <c r="D224" s="179"/>
      <c r="E224" s="179"/>
      <c r="F224" s="179"/>
      <c r="G224" s="179"/>
      <c r="H224" s="180"/>
    </row>
    <row r="225" spans="1:8" x14ac:dyDescent="0.25">
      <c r="A225" s="63">
        <v>1</v>
      </c>
      <c r="B225" s="72" t="s">
        <v>330</v>
      </c>
      <c r="C225" s="72" t="s">
        <v>331</v>
      </c>
      <c r="D225" s="73">
        <f>(81.72)*10.764</f>
        <v>879.63407999999993</v>
      </c>
      <c r="E225" s="63">
        <v>0</v>
      </c>
      <c r="F225" s="63">
        <f t="shared" ref="F225:F230" si="24">D225+E225</f>
        <v>879.63407999999993</v>
      </c>
      <c r="G225" s="63">
        <v>0</v>
      </c>
      <c r="H225" s="63">
        <f t="shared" ref="H225:H230" si="25">F225*(($H$142)+1)+(IF(G225&lt;101,G225,IF(G225&lt;201,G225/2,IF(G225&lt;=301,G225/3,G225/4))))</f>
        <v>1319.4511199999999</v>
      </c>
    </row>
    <row r="226" spans="1:8" x14ac:dyDescent="0.25">
      <c r="A226" s="63">
        <f>A225+1</f>
        <v>2</v>
      </c>
      <c r="B226" s="72" t="s">
        <v>330</v>
      </c>
      <c r="C226" s="72" t="s">
        <v>331</v>
      </c>
      <c r="D226" s="73">
        <f>(88.24)*10.764</f>
        <v>949.81535999999994</v>
      </c>
      <c r="E226" s="63">
        <v>0</v>
      </c>
      <c r="F226" s="63">
        <f t="shared" si="24"/>
        <v>949.81535999999994</v>
      </c>
      <c r="G226" s="63">
        <v>0</v>
      </c>
      <c r="H226" s="63">
        <f t="shared" si="25"/>
        <v>1424.7230399999999</v>
      </c>
    </row>
    <row r="227" spans="1:8" x14ac:dyDescent="0.25">
      <c r="A227" s="63">
        <f>A226+1</f>
        <v>3</v>
      </c>
      <c r="B227" s="74" t="s">
        <v>336</v>
      </c>
      <c r="C227" s="72" t="s">
        <v>332</v>
      </c>
      <c r="D227" s="73">
        <f>(64.09)*10.764</f>
        <v>689.86476000000005</v>
      </c>
      <c r="E227" s="63">
        <v>0</v>
      </c>
      <c r="F227" s="63">
        <f t="shared" si="24"/>
        <v>689.86476000000005</v>
      </c>
      <c r="G227" s="63">
        <v>0</v>
      </c>
      <c r="H227" s="63">
        <f t="shared" si="25"/>
        <v>1034.7971400000001</v>
      </c>
    </row>
    <row r="228" spans="1:8" x14ac:dyDescent="0.25">
      <c r="A228" s="63">
        <f>A227+1</f>
        <v>4</v>
      </c>
      <c r="B228" s="74" t="s">
        <v>336</v>
      </c>
      <c r="C228" s="72" t="s">
        <v>332</v>
      </c>
      <c r="D228" s="73">
        <f>(62.63)*10.764</f>
        <v>674.14931999999999</v>
      </c>
      <c r="E228" s="63">
        <v>0</v>
      </c>
      <c r="F228" s="63">
        <f t="shared" si="24"/>
        <v>674.14931999999999</v>
      </c>
      <c r="G228" s="63">
        <v>0</v>
      </c>
      <c r="H228" s="63">
        <f t="shared" si="25"/>
        <v>1011.22398</v>
      </c>
    </row>
    <row r="229" spans="1:8" x14ac:dyDescent="0.25">
      <c r="A229" s="63">
        <f>A228+1</f>
        <v>5</v>
      </c>
      <c r="B229" s="74" t="s">
        <v>336</v>
      </c>
      <c r="C229" s="72" t="s">
        <v>370</v>
      </c>
      <c r="D229" s="73">
        <f>(56.33)*10.764</f>
        <v>606.33611999999994</v>
      </c>
      <c r="E229" s="63">
        <v>0</v>
      </c>
      <c r="F229" s="63">
        <f t="shared" si="24"/>
        <v>606.33611999999994</v>
      </c>
      <c r="G229" s="63">
        <v>0</v>
      </c>
      <c r="H229" s="63">
        <f t="shared" si="25"/>
        <v>909.50417999999991</v>
      </c>
    </row>
    <row r="230" spans="1:8" x14ac:dyDescent="0.25">
      <c r="A230" s="63">
        <v>6</v>
      </c>
      <c r="B230" s="72" t="s">
        <v>330</v>
      </c>
      <c r="C230" s="72" t="s">
        <v>332</v>
      </c>
      <c r="D230" s="73">
        <f>(63.99)*10.764</f>
        <v>688.78836000000001</v>
      </c>
      <c r="E230" s="63">
        <v>0</v>
      </c>
      <c r="F230" s="63">
        <f t="shared" si="24"/>
        <v>688.78836000000001</v>
      </c>
      <c r="G230" s="63">
        <v>0</v>
      </c>
      <c r="H230" s="63">
        <f t="shared" si="25"/>
        <v>1033.18254</v>
      </c>
    </row>
    <row r="231" spans="1:8" x14ac:dyDescent="0.25">
      <c r="A231" s="178" t="s">
        <v>346</v>
      </c>
      <c r="B231" s="179"/>
      <c r="C231" s="179"/>
      <c r="D231" s="179"/>
      <c r="E231" s="179"/>
      <c r="F231" s="179"/>
      <c r="G231" s="179"/>
      <c r="H231" s="180"/>
    </row>
    <row r="232" spans="1:8" x14ac:dyDescent="0.25">
      <c r="A232" s="63">
        <v>1</v>
      </c>
      <c r="B232" s="72" t="s">
        <v>336</v>
      </c>
      <c r="C232" s="72" t="s">
        <v>331</v>
      </c>
      <c r="D232" s="73">
        <f>(81.72)*10.764</f>
        <v>879.63407999999993</v>
      </c>
      <c r="E232" s="63">
        <v>0</v>
      </c>
      <c r="F232" s="63">
        <f t="shared" ref="F232:F237" si="26">D232+E232</f>
        <v>879.63407999999993</v>
      </c>
      <c r="G232" s="63">
        <v>0</v>
      </c>
      <c r="H232" s="63">
        <f t="shared" ref="H232:H237" si="27">F232*(($H$142)+1)+(IF(G232&lt;101,G232,IF(G232&lt;201,G232/2,IF(G232&lt;=301,G232/3,G232/4))))</f>
        <v>1319.4511199999999</v>
      </c>
    </row>
    <row r="233" spans="1:8" x14ac:dyDescent="0.25">
      <c r="A233" s="63">
        <f>A232+1</f>
        <v>2</v>
      </c>
      <c r="B233" s="72" t="s">
        <v>330</v>
      </c>
      <c r="C233" s="72" t="s">
        <v>331</v>
      </c>
      <c r="D233" s="73">
        <f>(88.24)*10.764</f>
        <v>949.81535999999994</v>
      </c>
      <c r="E233" s="63">
        <v>0</v>
      </c>
      <c r="F233" s="63">
        <f t="shared" si="26"/>
        <v>949.81535999999994</v>
      </c>
      <c r="G233" s="63">
        <v>0</v>
      </c>
      <c r="H233" s="63">
        <f t="shared" si="27"/>
        <v>1424.7230399999999</v>
      </c>
    </row>
    <row r="234" spans="1:8" x14ac:dyDescent="0.25">
      <c r="A234" s="63">
        <f>A233+1</f>
        <v>3</v>
      </c>
      <c r="B234" s="74" t="s">
        <v>336</v>
      </c>
      <c r="C234" s="72" t="s">
        <v>332</v>
      </c>
      <c r="D234" s="73">
        <f>(64.09)*10.764</f>
        <v>689.86476000000005</v>
      </c>
      <c r="E234" s="63">
        <v>0</v>
      </c>
      <c r="F234" s="63">
        <f t="shared" si="26"/>
        <v>689.86476000000005</v>
      </c>
      <c r="G234" s="63">
        <v>0</v>
      </c>
      <c r="H234" s="63">
        <f t="shared" si="27"/>
        <v>1034.7971400000001</v>
      </c>
    </row>
    <row r="235" spans="1:8" x14ac:dyDescent="0.25">
      <c r="A235" s="63">
        <f>A234+1</f>
        <v>4</v>
      </c>
      <c r="B235" s="74" t="s">
        <v>336</v>
      </c>
      <c r="C235" s="72" t="s">
        <v>332</v>
      </c>
      <c r="D235" s="73">
        <f>(62.63)*10.764</f>
        <v>674.14931999999999</v>
      </c>
      <c r="E235" s="63">
        <v>0</v>
      </c>
      <c r="F235" s="63">
        <f t="shared" si="26"/>
        <v>674.14931999999999</v>
      </c>
      <c r="G235" s="63">
        <v>0</v>
      </c>
      <c r="H235" s="63">
        <f t="shared" si="27"/>
        <v>1011.22398</v>
      </c>
    </row>
    <row r="236" spans="1:8" x14ac:dyDescent="0.25">
      <c r="A236" s="63">
        <f>A235+1</f>
        <v>5</v>
      </c>
      <c r="B236" s="74" t="s">
        <v>336</v>
      </c>
      <c r="C236" s="72" t="s">
        <v>370</v>
      </c>
      <c r="D236" s="73">
        <f>(56.33)*10.764</f>
        <v>606.33611999999994</v>
      </c>
      <c r="E236" s="63">
        <v>0</v>
      </c>
      <c r="F236" s="63">
        <f t="shared" si="26"/>
        <v>606.33611999999994</v>
      </c>
      <c r="G236" s="63">
        <v>0</v>
      </c>
      <c r="H236" s="63">
        <f t="shared" si="27"/>
        <v>909.50417999999991</v>
      </c>
    </row>
    <row r="237" spans="1:8" x14ac:dyDescent="0.25">
      <c r="A237" s="63">
        <v>6</v>
      </c>
      <c r="B237" s="72" t="s">
        <v>330</v>
      </c>
      <c r="C237" s="72" t="s">
        <v>332</v>
      </c>
      <c r="D237" s="73">
        <f>(63.99)*10.764</f>
        <v>688.78836000000001</v>
      </c>
      <c r="E237" s="63">
        <v>0</v>
      </c>
      <c r="F237" s="63">
        <f t="shared" si="26"/>
        <v>688.78836000000001</v>
      </c>
      <c r="G237" s="63">
        <v>0</v>
      </c>
      <c r="H237" s="63">
        <f t="shared" si="27"/>
        <v>1033.18254</v>
      </c>
    </row>
    <row r="238" spans="1:8" x14ac:dyDescent="0.25">
      <c r="A238" s="178" t="s">
        <v>347</v>
      </c>
      <c r="B238" s="179"/>
      <c r="C238" s="179"/>
      <c r="D238" s="179"/>
      <c r="E238" s="179"/>
      <c r="F238" s="179"/>
      <c r="G238" s="179"/>
      <c r="H238" s="180"/>
    </row>
    <row r="239" spans="1:8" x14ac:dyDescent="0.25">
      <c r="A239" s="63">
        <v>1</v>
      </c>
      <c r="B239" s="72" t="s">
        <v>336</v>
      </c>
      <c r="C239" s="72" t="s">
        <v>337</v>
      </c>
      <c r="D239" s="73">
        <f>(51.37)*10.764</f>
        <v>552.9466799999999</v>
      </c>
      <c r="E239" s="63">
        <v>0</v>
      </c>
      <c r="F239" s="63">
        <f>D239+E239</f>
        <v>552.9466799999999</v>
      </c>
      <c r="G239" s="63">
        <v>0</v>
      </c>
      <c r="H239" s="63">
        <f>F239*(($H$142)+1)+(IF(G239&lt;101,G239,IF(G239&lt;201,G239/2,IF(G239&lt;=301,G239/3,G239/4))))</f>
        <v>829.42001999999979</v>
      </c>
    </row>
    <row r="240" spans="1:8" x14ac:dyDescent="0.25">
      <c r="A240" s="63">
        <f>A239+1</f>
        <v>2</v>
      </c>
      <c r="B240" s="193" t="s">
        <v>335</v>
      </c>
      <c r="C240" s="194"/>
      <c r="D240" s="194"/>
      <c r="E240" s="194"/>
      <c r="F240" s="194"/>
      <c r="G240" s="194"/>
      <c r="H240" s="195"/>
    </row>
    <row r="241" spans="1:8" x14ac:dyDescent="0.25">
      <c r="A241" s="63">
        <f>A240+1</f>
        <v>3</v>
      </c>
      <c r="B241" s="72" t="s">
        <v>336</v>
      </c>
      <c r="C241" s="72" t="s">
        <v>332</v>
      </c>
      <c r="D241" s="73">
        <f>(64.09)*10.764</f>
        <v>689.86476000000005</v>
      </c>
      <c r="E241" s="63">
        <v>0</v>
      </c>
      <c r="F241" s="63">
        <f>D241+E241</f>
        <v>689.86476000000005</v>
      </c>
      <c r="G241" s="63">
        <v>0</v>
      </c>
      <c r="H241" s="63">
        <f>F241*(($H$142)+1)+(IF(G241&lt;101,G241,IF(G241&lt;201,G241/2,IF(G241&lt;=301,G241/3,G241/4))))</f>
        <v>1034.7971400000001</v>
      </c>
    </row>
    <row r="242" spans="1:8" x14ac:dyDescent="0.25">
      <c r="A242" s="63">
        <f>A241+1</f>
        <v>4</v>
      </c>
      <c r="B242" s="72" t="s">
        <v>336</v>
      </c>
      <c r="C242" s="72" t="s">
        <v>332</v>
      </c>
      <c r="D242" s="73">
        <f>(62.63)*10.764</f>
        <v>674.14931999999999</v>
      </c>
      <c r="E242" s="63">
        <v>0</v>
      </c>
      <c r="F242" s="63">
        <f>D242+E242</f>
        <v>674.14931999999999</v>
      </c>
      <c r="G242" s="63">
        <v>0</v>
      </c>
      <c r="H242" s="63">
        <f>F242*(($H$142)+1)+(IF(G242&lt;101,G242,IF(G242&lt;201,G242/2,IF(G242&lt;=301,G242/3,G242/4))))</f>
        <v>1011.22398</v>
      </c>
    </row>
    <row r="243" spans="1:8" x14ac:dyDescent="0.25">
      <c r="A243" s="63">
        <f>A242+1</f>
        <v>5</v>
      </c>
      <c r="B243" s="72" t="s">
        <v>336</v>
      </c>
      <c r="C243" s="72" t="s">
        <v>370</v>
      </c>
      <c r="D243" s="73">
        <f>(56.33)*10.764</f>
        <v>606.33611999999994</v>
      </c>
      <c r="E243" s="63">
        <v>0</v>
      </c>
      <c r="F243" s="63">
        <f>D243+E243</f>
        <v>606.33611999999994</v>
      </c>
      <c r="G243" s="63">
        <v>0</v>
      </c>
      <c r="H243" s="63">
        <f>F243*(($H$142)+1)+(IF(G243&lt;101,G243,IF(G243&lt;201,G243/2,IF(G243&lt;=301,G243/3,G243/4))))</f>
        <v>909.50417999999991</v>
      </c>
    </row>
    <row r="244" spans="1:8" x14ac:dyDescent="0.25">
      <c r="A244" s="63">
        <v>6</v>
      </c>
      <c r="B244" s="72" t="s">
        <v>330</v>
      </c>
      <c r="C244" s="72" t="s">
        <v>332</v>
      </c>
      <c r="D244" s="73">
        <f>(63.99)*10.764</f>
        <v>688.78836000000001</v>
      </c>
      <c r="E244" s="63">
        <v>0</v>
      </c>
      <c r="F244" s="63">
        <f>D244+E244</f>
        <v>688.78836000000001</v>
      </c>
      <c r="G244" s="63">
        <v>0</v>
      </c>
      <c r="H244" s="63">
        <f>F244*(($H$142)+1)+(IF(G244&lt;101,G244,IF(G244&lt;201,G244/2,IF(G244&lt;=301,G244/3,G244/4))))</f>
        <v>1033.18254</v>
      </c>
    </row>
    <row r="245" spans="1:8" x14ac:dyDescent="0.25">
      <c r="A245" s="178" t="s">
        <v>348</v>
      </c>
      <c r="B245" s="179"/>
      <c r="C245" s="179"/>
      <c r="D245" s="179"/>
      <c r="E245" s="179"/>
      <c r="F245" s="179"/>
      <c r="G245" s="179"/>
      <c r="H245" s="180"/>
    </row>
    <row r="246" spans="1:8" x14ac:dyDescent="0.25">
      <c r="A246" s="63">
        <v>1</v>
      </c>
      <c r="B246" s="72" t="s">
        <v>336</v>
      </c>
      <c r="C246" s="72" t="s">
        <v>331</v>
      </c>
      <c r="D246" s="73">
        <f>(81.72)*10.764</f>
        <v>879.63407999999993</v>
      </c>
      <c r="E246" s="63">
        <v>0</v>
      </c>
      <c r="F246" s="63">
        <f t="shared" ref="F246:F251" si="28">D246+E246</f>
        <v>879.63407999999993</v>
      </c>
      <c r="G246" s="63">
        <v>0</v>
      </c>
      <c r="H246" s="63">
        <f t="shared" ref="H246:H251" si="29">F246*(($H$142)+1)+(IF(G246&lt;101,G246,IF(G246&lt;201,G246/2,IF(G246&lt;=301,G246/3,G246/4))))</f>
        <v>1319.4511199999999</v>
      </c>
    </row>
    <row r="247" spans="1:8" x14ac:dyDescent="0.25">
      <c r="A247" s="63">
        <f>A246+1</f>
        <v>2</v>
      </c>
      <c r="B247" s="72" t="s">
        <v>330</v>
      </c>
      <c r="C247" s="72" t="s">
        <v>331</v>
      </c>
      <c r="D247" s="73">
        <f>(88.24)*10.764</f>
        <v>949.81535999999994</v>
      </c>
      <c r="E247" s="63">
        <v>0</v>
      </c>
      <c r="F247" s="63">
        <f t="shared" si="28"/>
        <v>949.81535999999994</v>
      </c>
      <c r="G247" s="63">
        <v>0</v>
      </c>
      <c r="H247" s="63">
        <f t="shared" si="29"/>
        <v>1424.7230399999999</v>
      </c>
    </row>
    <row r="248" spans="1:8" x14ac:dyDescent="0.25">
      <c r="A248" s="63">
        <f>A247+1</f>
        <v>3</v>
      </c>
      <c r="B248" s="72" t="s">
        <v>336</v>
      </c>
      <c r="C248" s="72" t="s">
        <v>332</v>
      </c>
      <c r="D248" s="73">
        <f>(64.09)*10.764</f>
        <v>689.86476000000005</v>
      </c>
      <c r="E248" s="63">
        <v>0</v>
      </c>
      <c r="F248" s="63">
        <f t="shared" si="28"/>
        <v>689.86476000000005</v>
      </c>
      <c r="G248" s="63">
        <v>0</v>
      </c>
      <c r="H248" s="63">
        <f t="shared" si="29"/>
        <v>1034.7971400000001</v>
      </c>
    </row>
    <row r="249" spans="1:8" x14ac:dyDescent="0.25">
      <c r="A249" s="63">
        <f>A248+1</f>
        <v>4</v>
      </c>
      <c r="B249" s="72" t="s">
        <v>336</v>
      </c>
      <c r="C249" s="72" t="s">
        <v>332</v>
      </c>
      <c r="D249" s="73">
        <f>(62.63)*10.764</f>
        <v>674.14931999999999</v>
      </c>
      <c r="E249" s="63">
        <v>0</v>
      </c>
      <c r="F249" s="63">
        <f t="shared" si="28"/>
        <v>674.14931999999999</v>
      </c>
      <c r="G249" s="63">
        <v>0</v>
      </c>
      <c r="H249" s="63">
        <f t="shared" si="29"/>
        <v>1011.22398</v>
      </c>
    </row>
    <row r="250" spans="1:8" x14ac:dyDescent="0.25">
      <c r="A250" s="63">
        <f>A249+1</f>
        <v>5</v>
      </c>
      <c r="B250" s="72" t="s">
        <v>336</v>
      </c>
      <c r="C250" s="72" t="s">
        <v>370</v>
      </c>
      <c r="D250" s="73">
        <f>(56.33)*10.764</f>
        <v>606.33611999999994</v>
      </c>
      <c r="E250" s="63">
        <v>0</v>
      </c>
      <c r="F250" s="63">
        <f t="shared" si="28"/>
        <v>606.33611999999994</v>
      </c>
      <c r="G250" s="63">
        <v>0</v>
      </c>
      <c r="H250" s="63">
        <f t="shared" si="29"/>
        <v>909.50417999999991</v>
      </c>
    </row>
    <row r="251" spans="1:8" x14ac:dyDescent="0.25">
      <c r="A251" s="63">
        <v>6</v>
      </c>
      <c r="B251" s="72" t="s">
        <v>336</v>
      </c>
      <c r="C251" s="72" t="s">
        <v>332</v>
      </c>
      <c r="D251" s="73">
        <f>(63.99)*10.764</f>
        <v>688.78836000000001</v>
      </c>
      <c r="E251" s="63">
        <v>0</v>
      </c>
      <c r="F251" s="63">
        <f t="shared" si="28"/>
        <v>688.78836000000001</v>
      </c>
      <c r="G251" s="63">
        <v>0</v>
      </c>
      <c r="H251" s="63">
        <f t="shared" si="29"/>
        <v>1033.18254</v>
      </c>
    </row>
    <row r="252" spans="1:8" x14ac:dyDescent="0.25">
      <c r="A252" s="178" t="s">
        <v>381</v>
      </c>
      <c r="B252" s="179"/>
      <c r="C252" s="179"/>
      <c r="D252" s="179"/>
      <c r="E252" s="179"/>
      <c r="F252" s="179"/>
      <c r="G252" s="179"/>
      <c r="H252" s="180"/>
    </row>
    <row r="253" spans="1:8" x14ac:dyDescent="0.25">
      <c r="A253" s="63">
        <v>1</v>
      </c>
      <c r="B253" s="72" t="s">
        <v>336</v>
      </c>
      <c r="C253" s="72" t="s">
        <v>331</v>
      </c>
      <c r="D253" s="73">
        <f>(81.72)*10.764</f>
        <v>879.63407999999993</v>
      </c>
      <c r="E253" s="63">
        <v>0</v>
      </c>
      <c r="F253" s="63">
        <f t="shared" ref="F253:F258" si="30">D253+E253</f>
        <v>879.63407999999993</v>
      </c>
      <c r="G253" s="63">
        <v>0</v>
      </c>
      <c r="H253" s="63">
        <f t="shared" ref="H253:H258" si="31">F253*(($H$142)+1)+(IF(G253&lt;101,G253,IF(G253&lt;201,G253/2,IF(G253&lt;=301,G253/3,G253/4))))</f>
        <v>1319.4511199999999</v>
      </c>
    </row>
    <row r="254" spans="1:8" x14ac:dyDescent="0.25">
      <c r="A254" s="63">
        <f>A253+1</f>
        <v>2</v>
      </c>
      <c r="B254" s="72" t="s">
        <v>336</v>
      </c>
      <c r="C254" s="72" t="s">
        <v>331</v>
      </c>
      <c r="D254" s="73">
        <f>(88.24)*10.764</f>
        <v>949.81535999999994</v>
      </c>
      <c r="E254" s="63">
        <v>0</v>
      </c>
      <c r="F254" s="63">
        <f t="shared" si="30"/>
        <v>949.81535999999994</v>
      </c>
      <c r="G254" s="63">
        <v>0</v>
      </c>
      <c r="H254" s="63">
        <f t="shared" si="31"/>
        <v>1424.7230399999999</v>
      </c>
    </row>
    <row r="255" spans="1:8" x14ac:dyDescent="0.25">
      <c r="A255" s="63">
        <f>A254+1</f>
        <v>3</v>
      </c>
      <c r="B255" s="72" t="s">
        <v>336</v>
      </c>
      <c r="C255" s="72" t="s">
        <v>332</v>
      </c>
      <c r="D255" s="73">
        <f>(64.09)*10.764</f>
        <v>689.86476000000005</v>
      </c>
      <c r="E255" s="63">
        <v>0</v>
      </c>
      <c r="F255" s="63">
        <f t="shared" si="30"/>
        <v>689.86476000000005</v>
      </c>
      <c r="G255" s="63">
        <v>0</v>
      </c>
      <c r="H255" s="63">
        <f t="shared" si="31"/>
        <v>1034.7971400000001</v>
      </c>
    </row>
    <row r="256" spans="1:8" x14ac:dyDescent="0.25">
      <c r="A256" s="63">
        <f>A255+1</f>
        <v>4</v>
      </c>
      <c r="B256" s="72" t="s">
        <v>336</v>
      </c>
      <c r="C256" s="72" t="s">
        <v>332</v>
      </c>
      <c r="D256" s="73">
        <f>(62.63)*10.764</f>
        <v>674.14931999999999</v>
      </c>
      <c r="E256" s="63">
        <v>0</v>
      </c>
      <c r="F256" s="63">
        <f t="shared" si="30"/>
        <v>674.14931999999999</v>
      </c>
      <c r="G256" s="63">
        <v>0</v>
      </c>
      <c r="H256" s="63">
        <f t="shared" si="31"/>
        <v>1011.22398</v>
      </c>
    </row>
    <row r="257" spans="1:8" x14ac:dyDescent="0.25">
      <c r="A257" s="63">
        <f>A256+1</f>
        <v>5</v>
      </c>
      <c r="B257" s="72" t="s">
        <v>336</v>
      </c>
      <c r="C257" s="72" t="s">
        <v>370</v>
      </c>
      <c r="D257" s="73">
        <f>(56.33)*10.764</f>
        <v>606.33611999999994</v>
      </c>
      <c r="E257" s="63">
        <v>0</v>
      </c>
      <c r="F257" s="63">
        <f t="shared" si="30"/>
        <v>606.33611999999994</v>
      </c>
      <c r="G257" s="63">
        <v>0</v>
      </c>
      <c r="H257" s="63">
        <f t="shared" si="31"/>
        <v>909.50417999999991</v>
      </c>
    </row>
    <row r="258" spans="1:8" x14ac:dyDescent="0.25">
      <c r="A258" s="63">
        <v>6</v>
      </c>
      <c r="B258" s="72" t="s">
        <v>336</v>
      </c>
      <c r="C258" s="72" t="s">
        <v>332</v>
      </c>
      <c r="D258" s="73">
        <f>(63.99)*10.764</f>
        <v>688.78836000000001</v>
      </c>
      <c r="E258" s="63">
        <v>0</v>
      </c>
      <c r="F258" s="63">
        <f t="shared" si="30"/>
        <v>688.78836000000001</v>
      </c>
      <c r="G258" s="63">
        <v>0</v>
      </c>
      <c r="H258" s="63">
        <f t="shared" si="31"/>
        <v>1033.18254</v>
      </c>
    </row>
    <row r="259" spans="1:8" x14ac:dyDescent="0.25">
      <c r="A259" s="178" t="s">
        <v>379</v>
      </c>
      <c r="B259" s="179"/>
      <c r="C259" s="179"/>
      <c r="D259" s="179"/>
      <c r="E259" s="179"/>
      <c r="F259" s="179"/>
      <c r="G259" s="179"/>
      <c r="H259" s="180"/>
    </row>
    <row r="260" spans="1:8" x14ac:dyDescent="0.25">
      <c r="A260" s="63">
        <v>1</v>
      </c>
      <c r="B260" s="72" t="s">
        <v>336</v>
      </c>
      <c r="C260" s="72" t="s">
        <v>331</v>
      </c>
      <c r="D260" s="73">
        <f>(81.72)*10.764</f>
        <v>879.63407999999993</v>
      </c>
      <c r="E260" s="63">
        <v>0</v>
      </c>
      <c r="F260" s="63">
        <f t="shared" ref="F260:F265" si="32">D260+E260</f>
        <v>879.63407999999993</v>
      </c>
      <c r="G260" s="63">
        <v>0</v>
      </c>
      <c r="H260" s="63">
        <f t="shared" ref="H260:H265" si="33">F260*(($H$142)+1)+(IF(G260&lt;101,G260,IF(G260&lt;201,G260/2,IF(G260&lt;=301,G260/3,G260/4))))</f>
        <v>1319.4511199999999</v>
      </c>
    </row>
    <row r="261" spans="1:8" x14ac:dyDescent="0.25">
      <c r="A261" s="63">
        <f>A260+1</f>
        <v>2</v>
      </c>
      <c r="B261" s="72" t="s">
        <v>336</v>
      </c>
      <c r="C261" s="72" t="s">
        <v>331</v>
      </c>
      <c r="D261" s="73">
        <f>(88.24)*10.764</f>
        <v>949.81535999999994</v>
      </c>
      <c r="E261" s="63">
        <v>0</v>
      </c>
      <c r="F261" s="63">
        <f t="shared" si="32"/>
        <v>949.81535999999994</v>
      </c>
      <c r="G261" s="63">
        <v>0</v>
      </c>
      <c r="H261" s="63">
        <f t="shared" si="33"/>
        <v>1424.7230399999999</v>
      </c>
    </row>
    <row r="262" spans="1:8" x14ac:dyDescent="0.25">
      <c r="A262" s="63">
        <f>A261+1</f>
        <v>3</v>
      </c>
      <c r="B262" s="72" t="s">
        <v>336</v>
      </c>
      <c r="C262" s="72" t="s">
        <v>332</v>
      </c>
      <c r="D262" s="73">
        <f>(64.09)*10.764</f>
        <v>689.86476000000005</v>
      </c>
      <c r="E262" s="63">
        <v>0</v>
      </c>
      <c r="F262" s="63">
        <f t="shared" si="32"/>
        <v>689.86476000000005</v>
      </c>
      <c r="G262" s="63">
        <v>0</v>
      </c>
      <c r="H262" s="63">
        <f t="shared" si="33"/>
        <v>1034.7971400000001</v>
      </c>
    </row>
    <row r="263" spans="1:8" x14ac:dyDescent="0.25">
      <c r="A263" s="63">
        <f>A262+1</f>
        <v>4</v>
      </c>
      <c r="B263" s="72" t="s">
        <v>336</v>
      </c>
      <c r="C263" s="72" t="s">
        <v>332</v>
      </c>
      <c r="D263" s="73">
        <f>(62.63)*10.764</f>
        <v>674.14931999999999</v>
      </c>
      <c r="E263" s="63">
        <v>0</v>
      </c>
      <c r="F263" s="63">
        <f t="shared" si="32"/>
        <v>674.14931999999999</v>
      </c>
      <c r="G263" s="63">
        <v>0</v>
      </c>
      <c r="H263" s="63">
        <f>F263*1.55</f>
        <v>1044.9314460000001</v>
      </c>
    </row>
    <row r="264" spans="1:8" x14ac:dyDescent="0.25">
      <c r="A264" s="63">
        <f>A263+1</f>
        <v>5</v>
      </c>
      <c r="B264" s="72" t="s">
        <v>336</v>
      </c>
      <c r="C264" s="72" t="s">
        <v>370</v>
      </c>
      <c r="D264" s="73">
        <f>(56.33)*10.764</f>
        <v>606.33611999999994</v>
      </c>
      <c r="E264" s="63">
        <v>0</v>
      </c>
      <c r="F264" s="63">
        <f t="shared" si="32"/>
        <v>606.33611999999994</v>
      </c>
      <c r="G264" s="63">
        <v>0</v>
      </c>
      <c r="H264" s="63">
        <f>F264*1.55</f>
        <v>939.82098599999995</v>
      </c>
    </row>
    <row r="265" spans="1:8" x14ac:dyDescent="0.25">
      <c r="A265" s="63">
        <v>6</v>
      </c>
      <c r="B265" s="72" t="s">
        <v>336</v>
      </c>
      <c r="C265" s="72" t="s">
        <v>332</v>
      </c>
      <c r="D265" s="73">
        <f>(63.99)*10.764</f>
        <v>688.78836000000001</v>
      </c>
      <c r="E265" s="63">
        <v>0</v>
      </c>
      <c r="F265" s="63">
        <f t="shared" si="32"/>
        <v>688.78836000000001</v>
      </c>
      <c r="G265" s="63">
        <v>0</v>
      </c>
      <c r="H265" s="63">
        <f t="shared" si="33"/>
        <v>1033.18254</v>
      </c>
    </row>
    <row r="266" spans="1:8" x14ac:dyDescent="0.25">
      <c r="A266" s="178" t="s">
        <v>349</v>
      </c>
      <c r="B266" s="179"/>
      <c r="C266" s="179"/>
      <c r="D266" s="179"/>
      <c r="E266" s="179"/>
      <c r="F266" s="179"/>
      <c r="G266" s="179"/>
      <c r="H266" s="180"/>
    </row>
    <row r="267" spans="1:8" x14ac:dyDescent="0.25">
      <c r="A267" s="63">
        <v>1</v>
      </c>
      <c r="B267" s="72" t="s">
        <v>336</v>
      </c>
      <c r="C267" s="72" t="s">
        <v>337</v>
      </c>
      <c r="D267" s="73">
        <f>(51.37)*10.764</f>
        <v>552.9466799999999</v>
      </c>
      <c r="E267" s="63">
        <v>0</v>
      </c>
      <c r="F267" s="63">
        <f>D267+E267</f>
        <v>552.9466799999999</v>
      </c>
      <c r="G267" s="63">
        <v>0</v>
      </c>
      <c r="H267" s="63">
        <f>F267*(($H$142)+1)+(IF(G267&lt;101,G267,IF(G267&lt;201,G267/2,IF(G267&lt;=301,G267/3,G267/4))))</f>
        <v>829.42001999999979</v>
      </c>
    </row>
    <row r="268" spans="1:8" x14ac:dyDescent="0.25">
      <c r="A268" s="63">
        <f>A267+1</f>
        <v>2</v>
      </c>
      <c r="B268" s="193" t="s">
        <v>335</v>
      </c>
      <c r="C268" s="194"/>
      <c r="D268" s="194"/>
      <c r="E268" s="194"/>
      <c r="F268" s="194"/>
      <c r="G268" s="194"/>
      <c r="H268" s="195"/>
    </row>
    <row r="269" spans="1:8" x14ac:dyDescent="0.25">
      <c r="A269" s="63">
        <f>A268+1</f>
        <v>3</v>
      </c>
      <c r="B269" s="72" t="s">
        <v>336</v>
      </c>
      <c r="C269" s="72" t="s">
        <v>332</v>
      </c>
      <c r="D269" s="73">
        <f>(64.09)*10.764</f>
        <v>689.86476000000005</v>
      </c>
      <c r="E269" s="63">
        <v>0</v>
      </c>
      <c r="F269" s="63">
        <f>D269+E269</f>
        <v>689.86476000000005</v>
      </c>
      <c r="G269" s="63">
        <v>0</v>
      </c>
      <c r="H269" s="63">
        <f>F269*(($H$142)+1)+(IF(G269&lt;101,G269,IF(G269&lt;201,G269/2,IF(G269&lt;=301,G269/3,G269/4))))</f>
        <v>1034.7971400000001</v>
      </c>
    </row>
    <row r="270" spans="1:8" x14ac:dyDescent="0.25">
      <c r="A270" s="63">
        <f>A269+1</f>
        <v>4</v>
      </c>
      <c r="B270" s="72" t="s">
        <v>336</v>
      </c>
      <c r="C270" s="72" t="s">
        <v>332</v>
      </c>
      <c r="D270" s="73">
        <f>(62.63)*10.764</f>
        <v>674.14931999999999</v>
      </c>
      <c r="E270" s="63">
        <v>0</v>
      </c>
      <c r="F270" s="63">
        <f>D270+E270</f>
        <v>674.14931999999999</v>
      </c>
      <c r="G270" s="63">
        <v>0</v>
      </c>
      <c r="H270" s="63">
        <f>F270*(($H$142)+1)+(IF(G270&lt;101,G270,IF(G270&lt;201,G270/2,IF(G270&lt;=301,G270/3,G270/4))))</f>
        <v>1011.22398</v>
      </c>
    </row>
    <row r="271" spans="1:8" x14ac:dyDescent="0.25">
      <c r="A271" s="63">
        <f>A270+1</f>
        <v>5</v>
      </c>
      <c r="B271" s="72" t="s">
        <v>336</v>
      </c>
      <c r="C271" s="72" t="s">
        <v>370</v>
      </c>
      <c r="D271" s="73">
        <f>(56.33)*10.764</f>
        <v>606.33611999999994</v>
      </c>
      <c r="E271" s="63">
        <v>0</v>
      </c>
      <c r="F271" s="63">
        <f>D271+E271</f>
        <v>606.33611999999994</v>
      </c>
      <c r="G271" s="63">
        <v>0</v>
      </c>
      <c r="H271" s="63">
        <f>F271*(($H$142)+1)+(IF(G271&lt;101,G271,IF(G271&lt;201,G271/2,IF(G271&lt;=301,G271/3,G271/4))))</f>
        <v>909.50417999999991</v>
      </c>
    </row>
    <row r="272" spans="1:8" x14ac:dyDescent="0.25">
      <c r="A272" s="63">
        <v>6</v>
      </c>
      <c r="B272" s="72" t="s">
        <v>336</v>
      </c>
      <c r="C272" s="72" t="s">
        <v>332</v>
      </c>
      <c r="D272" s="73">
        <f>(63.99)*10.764</f>
        <v>688.78836000000001</v>
      </c>
      <c r="E272" s="63">
        <v>0</v>
      </c>
      <c r="F272" s="63">
        <f>D272+E272</f>
        <v>688.78836000000001</v>
      </c>
      <c r="G272" s="63">
        <v>0</v>
      </c>
      <c r="H272" s="63">
        <f>F272*(($H$142)+1)+(IF(G272&lt;101,G272,IF(G272&lt;201,G272/2,IF(G272&lt;=301,G272/3,G272/4))))</f>
        <v>1033.18254</v>
      </c>
    </row>
    <row r="273" spans="1:8" x14ac:dyDescent="0.25">
      <c r="A273" s="178" t="s">
        <v>350</v>
      </c>
      <c r="B273" s="179"/>
      <c r="C273" s="179"/>
      <c r="D273" s="179"/>
      <c r="E273" s="179"/>
      <c r="F273" s="179"/>
      <c r="G273" s="179"/>
      <c r="H273" s="180"/>
    </row>
    <row r="274" spans="1:8" x14ac:dyDescent="0.25">
      <c r="A274" s="63">
        <v>1</v>
      </c>
      <c r="B274" s="72" t="s">
        <v>336</v>
      </c>
      <c r="C274" s="72" t="s">
        <v>331</v>
      </c>
      <c r="D274" s="73">
        <f>(81.72)*10.764</f>
        <v>879.63407999999993</v>
      </c>
      <c r="E274" s="63">
        <v>0</v>
      </c>
      <c r="F274" s="63">
        <f>D274+E274</f>
        <v>879.63407999999993</v>
      </c>
      <c r="G274" s="63">
        <v>0</v>
      </c>
      <c r="H274" s="63">
        <f>F274*(($H$142)+1)+(IF(G274&lt;101,G274,IF(G274&lt;201,G274/2,IF(G274&lt;=301,G274/3,G274/4))))</f>
        <v>1319.4511199999999</v>
      </c>
    </row>
    <row r="275" spans="1:8" x14ac:dyDescent="0.25">
      <c r="A275" s="63">
        <f>A274+1</f>
        <v>2</v>
      </c>
      <c r="B275" s="72" t="s">
        <v>336</v>
      </c>
      <c r="C275" s="72" t="s">
        <v>331</v>
      </c>
      <c r="D275" s="73">
        <f>(88.24)*10.764</f>
        <v>949.81535999999994</v>
      </c>
      <c r="E275" s="63">
        <v>0</v>
      </c>
      <c r="F275" s="63">
        <f>D275+E275</f>
        <v>949.81535999999994</v>
      </c>
      <c r="G275" s="63">
        <v>0</v>
      </c>
      <c r="H275" s="63">
        <f>F275*(($H$142)+1)+(IF(G275&lt;101,G275,IF(G275&lt;201,G275/2,IF(G275&lt;=301,G275/3,G275/4))))</f>
        <v>1424.7230399999999</v>
      </c>
    </row>
    <row r="276" spans="1:8" x14ac:dyDescent="0.25">
      <c r="A276" s="63">
        <f>A275+1</f>
        <v>3</v>
      </c>
      <c r="B276" s="72" t="s">
        <v>336</v>
      </c>
      <c r="C276" s="72" t="s">
        <v>332</v>
      </c>
      <c r="D276" s="73">
        <f>(64.09)*10.764</f>
        <v>689.86476000000005</v>
      </c>
      <c r="E276" s="63">
        <v>0</v>
      </c>
      <c r="F276" s="63">
        <f>D276+E276</f>
        <v>689.86476000000005</v>
      </c>
      <c r="G276" s="63">
        <v>0</v>
      </c>
      <c r="H276" s="63">
        <f>F276*(($H$142)+1)+(IF(G276&lt;101,G276,IF(G276&lt;201,G276/2,IF(G276&lt;=301,G276/3,G276/4))))</f>
        <v>1034.7971400000001</v>
      </c>
    </row>
    <row r="277" spans="1:8" x14ac:dyDescent="0.25">
      <c r="A277" s="63">
        <f>A276+1</f>
        <v>4</v>
      </c>
      <c r="B277" s="220" t="s">
        <v>365</v>
      </c>
      <c r="C277" s="221"/>
      <c r="D277" s="221"/>
      <c r="E277" s="221"/>
      <c r="F277" s="221"/>
      <c r="G277" s="221"/>
      <c r="H277" s="222"/>
    </row>
    <row r="278" spans="1:8" x14ac:dyDescent="0.25">
      <c r="A278" s="63">
        <f>A277+1</f>
        <v>5</v>
      </c>
      <c r="B278" s="223"/>
      <c r="C278" s="224"/>
      <c r="D278" s="224"/>
      <c r="E278" s="224"/>
      <c r="F278" s="224"/>
      <c r="G278" s="224"/>
      <c r="H278" s="225"/>
    </row>
    <row r="279" spans="1:8" x14ac:dyDescent="0.25">
      <c r="A279" s="63">
        <v>6</v>
      </c>
      <c r="B279" s="72" t="s">
        <v>336</v>
      </c>
      <c r="C279" s="72" t="s">
        <v>332</v>
      </c>
      <c r="D279" s="73">
        <f>(63.99)*10.764</f>
        <v>688.78836000000001</v>
      </c>
      <c r="E279" s="63">
        <v>0</v>
      </c>
      <c r="F279" s="63">
        <f>D279+E279</f>
        <v>688.78836000000001</v>
      </c>
      <c r="G279" s="63">
        <v>0</v>
      </c>
      <c r="H279" s="63">
        <f>F279*(($H$142)+1)+(IF(G279&lt;101,G279,IF(G279&lt;201,G279/2,IF(G279&lt;=301,G279/3,G279/4))))</f>
        <v>1033.18254</v>
      </c>
    </row>
    <row r="280" spans="1:8" x14ac:dyDescent="0.25">
      <c r="A280" s="178" t="s">
        <v>351</v>
      </c>
      <c r="B280" s="179"/>
      <c r="C280" s="179"/>
      <c r="D280" s="179"/>
      <c r="E280" s="179"/>
      <c r="F280" s="179"/>
      <c r="G280" s="179"/>
      <c r="H280" s="180"/>
    </row>
    <row r="281" spans="1:8" x14ac:dyDescent="0.25">
      <c r="A281" s="178" t="s">
        <v>325</v>
      </c>
      <c r="B281" s="179"/>
      <c r="C281" s="179"/>
      <c r="D281" s="179"/>
      <c r="E281" s="179"/>
      <c r="F281" s="179"/>
      <c r="G281" s="179"/>
      <c r="H281" s="180"/>
    </row>
    <row r="282" spans="1:8" x14ac:dyDescent="0.25">
      <c r="A282" s="178" t="s">
        <v>326</v>
      </c>
      <c r="B282" s="179"/>
      <c r="C282" s="179"/>
      <c r="D282" s="179"/>
      <c r="E282" s="179"/>
      <c r="F282" s="179"/>
      <c r="G282" s="179"/>
      <c r="H282" s="180"/>
    </row>
    <row r="283" spans="1:8" x14ac:dyDescent="0.25">
      <c r="A283" s="178" t="s">
        <v>327</v>
      </c>
      <c r="B283" s="179"/>
      <c r="C283" s="179"/>
      <c r="D283" s="179"/>
      <c r="E283" s="179"/>
      <c r="F283" s="179"/>
      <c r="G283" s="179"/>
      <c r="H283" s="180"/>
    </row>
    <row r="284" spans="1:8" x14ac:dyDescent="0.25">
      <c r="A284" s="178" t="s">
        <v>328</v>
      </c>
      <c r="B284" s="179"/>
      <c r="C284" s="179"/>
      <c r="D284" s="179"/>
      <c r="E284" s="179"/>
      <c r="F284" s="179"/>
      <c r="G284" s="179"/>
      <c r="H284" s="180"/>
    </row>
    <row r="285" spans="1:8" x14ac:dyDescent="0.25">
      <c r="A285" s="63">
        <v>1</v>
      </c>
      <c r="B285" s="72" t="s">
        <v>330</v>
      </c>
      <c r="C285" s="72" t="s">
        <v>331</v>
      </c>
      <c r="D285" s="73">
        <f>(77.33)*10.764</f>
        <v>832.38011999999992</v>
      </c>
      <c r="E285" s="63">
        <v>0</v>
      </c>
      <c r="F285" s="63">
        <f t="shared" ref="F285:F290" si="34">D285+E285</f>
        <v>832.38011999999992</v>
      </c>
      <c r="G285" s="63">
        <v>0</v>
      </c>
      <c r="H285" s="63">
        <f t="shared" ref="H285:H290" si="35">F285*(($H$142)+1)+(IF(G285&lt;101,G285,IF(G285&lt;201,G285/2,IF(G285&lt;=301,G285/3,G285/4))))</f>
        <v>1248.5701799999999</v>
      </c>
    </row>
    <row r="286" spans="1:8" x14ac:dyDescent="0.25">
      <c r="A286" s="63">
        <f>A285+1</f>
        <v>2</v>
      </c>
      <c r="B286" s="72" t="s">
        <v>330</v>
      </c>
      <c r="C286" s="72" t="s">
        <v>331</v>
      </c>
      <c r="D286" s="73">
        <f>(88.04)*10.764</f>
        <v>947.66255999999998</v>
      </c>
      <c r="E286" s="63">
        <v>0</v>
      </c>
      <c r="F286" s="63">
        <f t="shared" si="34"/>
        <v>947.66255999999998</v>
      </c>
      <c r="G286" s="63">
        <v>0</v>
      </c>
      <c r="H286" s="63">
        <f t="shared" si="35"/>
        <v>1421.4938400000001</v>
      </c>
    </row>
    <row r="287" spans="1:8" x14ac:dyDescent="0.25">
      <c r="A287" s="63">
        <f>A286+1</f>
        <v>3</v>
      </c>
      <c r="B287" s="72" t="s">
        <v>330</v>
      </c>
      <c r="C287" s="72" t="s">
        <v>332</v>
      </c>
      <c r="D287" s="73">
        <f>(59.13)*10.764</f>
        <v>636.47532000000001</v>
      </c>
      <c r="E287" s="63">
        <v>0</v>
      </c>
      <c r="F287" s="63">
        <f t="shared" si="34"/>
        <v>636.47532000000001</v>
      </c>
      <c r="G287" s="63">
        <v>0</v>
      </c>
      <c r="H287" s="63">
        <f t="shared" si="35"/>
        <v>954.71298000000002</v>
      </c>
    </row>
    <row r="288" spans="1:8" x14ac:dyDescent="0.25">
      <c r="A288" s="63">
        <f>A287+1</f>
        <v>4</v>
      </c>
      <c r="B288" s="72" t="s">
        <v>330</v>
      </c>
      <c r="C288" s="72" t="s">
        <v>332</v>
      </c>
      <c r="D288" s="73">
        <f>(58.32)*10.764</f>
        <v>627.75648000000001</v>
      </c>
      <c r="E288" s="63">
        <v>0</v>
      </c>
      <c r="F288" s="63">
        <f t="shared" si="34"/>
        <v>627.75648000000001</v>
      </c>
      <c r="G288" s="63">
        <v>0</v>
      </c>
      <c r="H288" s="63">
        <f t="shared" si="35"/>
        <v>941.63472000000002</v>
      </c>
    </row>
    <row r="289" spans="1:8" x14ac:dyDescent="0.25">
      <c r="A289" s="63">
        <f>A288+1</f>
        <v>5</v>
      </c>
      <c r="B289" s="72" t="s">
        <v>330</v>
      </c>
      <c r="C289" s="72" t="s">
        <v>370</v>
      </c>
      <c r="D289" s="73">
        <f>(42.25)*10.764</f>
        <v>454.779</v>
      </c>
      <c r="E289" s="63">
        <v>0</v>
      </c>
      <c r="F289" s="63">
        <f t="shared" si="34"/>
        <v>454.779</v>
      </c>
      <c r="G289" s="63">
        <v>0</v>
      </c>
      <c r="H289" s="63">
        <f t="shared" si="35"/>
        <v>682.16849999999999</v>
      </c>
    </row>
    <row r="290" spans="1:8" x14ac:dyDescent="0.25">
      <c r="A290" s="63">
        <v>6</v>
      </c>
      <c r="B290" s="72" t="s">
        <v>330</v>
      </c>
      <c r="C290" s="72" t="s">
        <v>332</v>
      </c>
      <c r="D290" s="73">
        <f>(56.42)*10.764</f>
        <v>607.30488000000003</v>
      </c>
      <c r="E290" s="63">
        <v>0</v>
      </c>
      <c r="F290" s="63">
        <f t="shared" si="34"/>
        <v>607.30488000000003</v>
      </c>
      <c r="G290" s="63">
        <v>0</v>
      </c>
      <c r="H290" s="63">
        <f t="shared" si="35"/>
        <v>910.95731999999998</v>
      </c>
    </row>
    <row r="291" spans="1:8" x14ac:dyDescent="0.25">
      <c r="A291" s="178" t="s">
        <v>115</v>
      </c>
      <c r="B291" s="179"/>
      <c r="C291" s="179"/>
      <c r="D291" s="179"/>
      <c r="E291" s="179"/>
      <c r="F291" s="179"/>
      <c r="G291" s="179"/>
      <c r="H291" s="180"/>
    </row>
    <row r="292" spans="1:8" x14ac:dyDescent="0.25">
      <c r="A292" s="63">
        <v>1</v>
      </c>
      <c r="B292" s="74" t="s">
        <v>330</v>
      </c>
      <c r="C292" s="72" t="s">
        <v>331</v>
      </c>
      <c r="D292" s="73">
        <f>(77.33)*10.764</f>
        <v>832.38011999999992</v>
      </c>
      <c r="E292" s="63">
        <v>0</v>
      </c>
      <c r="F292" s="63">
        <f t="shared" ref="F292:F297" si="36">D292+E292</f>
        <v>832.38011999999992</v>
      </c>
      <c r="G292" s="63">
        <v>0</v>
      </c>
      <c r="H292" s="63">
        <f t="shared" ref="H292:H297" si="37">F292*(($H$142)+1)+(IF(G292&lt;101,G292,IF(G292&lt;201,G292/2,IF(G292&lt;=301,G292/3,G292/4))))</f>
        <v>1248.5701799999999</v>
      </c>
    </row>
    <row r="293" spans="1:8" x14ac:dyDescent="0.25">
      <c r="A293" s="63">
        <f>A292+1</f>
        <v>2</v>
      </c>
      <c r="B293" s="74" t="s">
        <v>330</v>
      </c>
      <c r="C293" s="72" t="s">
        <v>331</v>
      </c>
      <c r="D293" s="73">
        <f>(88.04)*10.764</f>
        <v>947.66255999999998</v>
      </c>
      <c r="E293" s="63">
        <v>0</v>
      </c>
      <c r="F293" s="63">
        <f t="shared" si="36"/>
        <v>947.66255999999998</v>
      </c>
      <c r="G293" s="63">
        <v>0</v>
      </c>
      <c r="H293" s="63">
        <f t="shared" si="37"/>
        <v>1421.4938400000001</v>
      </c>
    </row>
    <row r="294" spans="1:8" x14ac:dyDescent="0.25">
      <c r="A294" s="63">
        <f>A293+1</f>
        <v>3</v>
      </c>
      <c r="B294" s="74" t="s">
        <v>336</v>
      </c>
      <c r="C294" s="72" t="s">
        <v>332</v>
      </c>
      <c r="D294" s="73">
        <f>(59.13)*10.764</f>
        <v>636.47532000000001</v>
      </c>
      <c r="E294" s="63">
        <v>0</v>
      </c>
      <c r="F294" s="63">
        <f t="shared" si="36"/>
        <v>636.47532000000001</v>
      </c>
      <c r="G294" s="63">
        <v>0</v>
      </c>
      <c r="H294" s="63">
        <f t="shared" si="37"/>
        <v>954.71298000000002</v>
      </c>
    </row>
    <row r="295" spans="1:8" x14ac:dyDescent="0.25">
      <c r="A295" s="63">
        <f>A294+1</f>
        <v>4</v>
      </c>
      <c r="B295" s="74" t="s">
        <v>330</v>
      </c>
      <c r="C295" s="72" t="s">
        <v>332</v>
      </c>
      <c r="D295" s="73">
        <f>(58.32)*10.764</f>
        <v>627.75648000000001</v>
      </c>
      <c r="E295" s="63">
        <v>0</v>
      </c>
      <c r="F295" s="63">
        <f t="shared" si="36"/>
        <v>627.75648000000001</v>
      </c>
      <c r="G295" s="63">
        <v>0</v>
      </c>
      <c r="H295" s="63">
        <f t="shared" si="37"/>
        <v>941.63472000000002</v>
      </c>
    </row>
    <row r="296" spans="1:8" x14ac:dyDescent="0.25">
      <c r="A296" s="63">
        <f>A295+1</f>
        <v>5</v>
      </c>
      <c r="B296" s="72" t="s">
        <v>330</v>
      </c>
      <c r="C296" s="72" t="s">
        <v>370</v>
      </c>
      <c r="D296" s="73">
        <f>(46.62)*10.764</f>
        <v>501.81767999999994</v>
      </c>
      <c r="E296" s="63">
        <v>0</v>
      </c>
      <c r="F296" s="63">
        <f t="shared" si="36"/>
        <v>501.81767999999994</v>
      </c>
      <c r="G296" s="63">
        <v>0</v>
      </c>
      <c r="H296" s="63">
        <f t="shared" si="37"/>
        <v>752.72651999999994</v>
      </c>
    </row>
    <row r="297" spans="1:8" x14ac:dyDescent="0.25">
      <c r="A297" s="63">
        <v>6</v>
      </c>
      <c r="B297" s="72" t="s">
        <v>330</v>
      </c>
      <c r="C297" s="72" t="s">
        <v>332</v>
      </c>
      <c r="D297" s="73">
        <f>(56.42)*10.764</f>
        <v>607.30488000000003</v>
      </c>
      <c r="E297" s="63">
        <v>0</v>
      </c>
      <c r="F297" s="63">
        <f t="shared" si="36"/>
        <v>607.30488000000003</v>
      </c>
      <c r="G297" s="63">
        <v>0</v>
      </c>
      <c r="H297" s="63">
        <f t="shared" si="37"/>
        <v>910.95731999999998</v>
      </c>
    </row>
    <row r="298" spans="1:8" x14ac:dyDescent="0.25">
      <c r="A298" s="178" t="s">
        <v>333</v>
      </c>
      <c r="B298" s="179"/>
      <c r="C298" s="179"/>
      <c r="D298" s="179"/>
      <c r="E298" s="179"/>
      <c r="F298" s="179"/>
      <c r="G298" s="179"/>
      <c r="H298" s="180"/>
    </row>
    <row r="299" spans="1:8" x14ac:dyDescent="0.25">
      <c r="A299" s="63">
        <v>1</v>
      </c>
      <c r="B299" s="72" t="s">
        <v>330</v>
      </c>
      <c r="C299" s="72" t="s">
        <v>331</v>
      </c>
      <c r="D299" s="73">
        <f>(77.33)*10.764</f>
        <v>832.38011999999992</v>
      </c>
      <c r="E299" s="63">
        <v>0</v>
      </c>
      <c r="F299" s="63">
        <f t="shared" ref="F299:F304" si="38">D299+E299</f>
        <v>832.38011999999992</v>
      </c>
      <c r="G299" s="63">
        <v>0</v>
      </c>
      <c r="H299" s="63">
        <f t="shared" ref="H299:H304" si="39">F299*(($H$142)+1)+(IF(G299&lt;101,G299,IF(G299&lt;201,G299/2,IF(G299&lt;=301,G299/3,G299/4))))</f>
        <v>1248.5701799999999</v>
      </c>
    </row>
    <row r="300" spans="1:8" x14ac:dyDescent="0.25">
      <c r="A300" s="63">
        <f>A299+1</f>
        <v>2</v>
      </c>
      <c r="B300" s="72" t="s">
        <v>330</v>
      </c>
      <c r="C300" s="72" t="s">
        <v>331</v>
      </c>
      <c r="D300" s="73">
        <f>(88.04)*10.764</f>
        <v>947.66255999999998</v>
      </c>
      <c r="E300" s="63">
        <v>0</v>
      </c>
      <c r="F300" s="63">
        <f t="shared" si="38"/>
        <v>947.66255999999998</v>
      </c>
      <c r="G300" s="63">
        <v>0</v>
      </c>
      <c r="H300" s="63">
        <f t="shared" si="39"/>
        <v>1421.4938400000001</v>
      </c>
    </row>
    <row r="301" spans="1:8" x14ac:dyDescent="0.25">
      <c r="A301" s="63">
        <f>A300+1</f>
        <v>3</v>
      </c>
      <c r="B301" s="72" t="s">
        <v>330</v>
      </c>
      <c r="C301" s="72" t="s">
        <v>332</v>
      </c>
      <c r="D301" s="73">
        <f>(59.13)*10.764</f>
        <v>636.47532000000001</v>
      </c>
      <c r="E301" s="63">
        <v>0</v>
      </c>
      <c r="F301" s="63">
        <f t="shared" si="38"/>
        <v>636.47532000000001</v>
      </c>
      <c r="G301" s="63">
        <v>0</v>
      </c>
      <c r="H301" s="63">
        <f t="shared" si="39"/>
        <v>954.71298000000002</v>
      </c>
    </row>
    <row r="302" spans="1:8" x14ac:dyDescent="0.25">
      <c r="A302" s="63">
        <f>A301+1</f>
        <v>4</v>
      </c>
      <c r="B302" s="72" t="s">
        <v>330</v>
      </c>
      <c r="C302" s="72" t="s">
        <v>332</v>
      </c>
      <c r="D302" s="73">
        <f>(62.63)*10.764</f>
        <v>674.14931999999999</v>
      </c>
      <c r="E302" s="63">
        <v>0</v>
      </c>
      <c r="F302" s="63">
        <f t="shared" si="38"/>
        <v>674.14931999999999</v>
      </c>
      <c r="G302" s="63">
        <v>0</v>
      </c>
      <c r="H302" s="63">
        <f t="shared" si="39"/>
        <v>1011.22398</v>
      </c>
    </row>
    <row r="303" spans="1:8" x14ac:dyDescent="0.25">
      <c r="A303" s="63">
        <f>A302+1</f>
        <v>5</v>
      </c>
      <c r="B303" s="72" t="s">
        <v>330</v>
      </c>
      <c r="C303" s="72" t="s">
        <v>370</v>
      </c>
      <c r="D303" s="73">
        <f>(46.62)*10.764</f>
        <v>501.81767999999994</v>
      </c>
      <c r="E303" s="63">
        <v>0</v>
      </c>
      <c r="F303" s="63">
        <f t="shared" si="38"/>
        <v>501.81767999999994</v>
      </c>
      <c r="G303" s="63">
        <v>0</v>
      </c>
      <c r="H303" s="63">
        <f t="shared" si="39"/>
        <v>752.72651999999994</v>
      </c>
    </row>
    <row r="304" spans="1:8" x14ac:dyDescent="0.25">
      <c r="A304" s="63">
        <v>6</v>
      </c>
      <c r="B304" s="72" t="s">
        <v>330</v>
      </c>
      <c r="C304" s="72" t="s">
        <v>332</v>
      </c>
      <c r="D304" s="73">
        <f>(56.42)*10.764</f>
        <v>607.30488000000003</v>
      </c>
      <c r="E304" s="63">
        <v>0</v>
      </c>
      <c r="F304" s="63">
        <f t="shared" si="38"/>
        <v>607.30488000000003</v>
      </c>
      <c r="G304" s="63">
        <v>0</v>
      </c>
      <c r="H304" s="63">
        <f t="shared" si="39"/>
        <v>910.95731999999998</v>
      </c>
    </row>
    <row r="305" spans="1:8" x14ac:dyDescent="0.25">
      <c r="A305" s="178" t="s">
        <v>334</v>
      </c>
      <c r="B305" s="179"/>
      <c r="C305" s="179"/>
      <c r="D305" s="179"/>
      <c r="E305" s="179"/>
      <c r="F305" s="179"/>
      <c r="G305" s="179"/>
      <c r="H305" s="180"/>
    </row>
    <row r="306" spans="1:8" x14ac:dyDescent="0.25">
      <c r="A306" s="63">
        <v>1</v>
      </c>
      <c r="B306" s="72" t="s">
        <v>336</v>
      </c>
      <c r="C306" s="72" t="s">
        <v>337</v>
      </c>
      <c r="D306" s="73">
        <f>(46.3)*10.764</f>
        <v>498.37319999999994</v>
      </c>
      <c r="E306" s="63">
        <v>0</v>
      </c>
      <c r="F306" s="63">
        <f>D306+E306</f>
        <v>498.37319999999994</v>
      </c>
      <c r="G306" s="63">
        <v>0</v>
      </c>
      <c r="H306" s="63">
        <f>F306*(($H$142)+1)+(IF(G306&lt;101,G306,IF(G306&lt;201,G306/2,IF(G306&lt;=301,G306/3,G306/4))))</f>
        <v>747.55979999999988</v>
      </c>
    </row>
    <row r="307" spans="1:8" x14ac:dyDescent="0.25">
      <c r="A307" s="63">
        <f>A306+1</f>
        <v>2</v>
      </c>
      <c r="B307" s="193" t="s">
        <v>335</v>
      </c>
      <c r="C307" s="194"/>
      <c r="D307" s="194"/>
      <c r="E307" s="194"/>
      <c r="F307" s="194"/>
      <c r="G307" s="194"/>
      <c r="H307" s="195"/>
    </row>
    <row r="308" spans="1:8" x14ac:dyDescent="0.25">
      <c r="A308" s="63">
        <f>A307+1</f>
        <v>3</v>
      </c>
      <c r="B308" s="72" t="s">
        <v>336</v>
      </c>
      <c r="C308" s="72" t="s">
        <v>332</v>
      </c>
      <c r="D308" s="73">
        <f>(59.13)*10.764</f>
        <v>636.47532000000001</v>
      </c>
      <c r="E308" s="63">
        <v>0</v>
      </c>
      <c r="F308" s="63">
        <f>D308+E308</f>
        <v>636.47532000000001</v>
      </c>
      <c r="G308" s="63">
        <v>0</v>
      </c>
      <c r="H308" s="63">
        <f>F308*(($H$142)+1)+(IF(G308&lt;101,G308,IF(G308&lt;201,G308/2,IF(G308&lt;=301,G308/3,G308/4))))</f>
        <v>954.71298000000002</v>
      </c>
    </row>
    <row r="309" spans="1:8" x14ac:dyDescent="0.25">
      <c r="A309" s="63">
        <f>A308+1</f>
        <v>4</v>
      </c>
      <c r="B309" s="72" t="s">
        <v>330</v>
      </c>
      <c r="C309" s="72" t="s">
        <v>332</v>
      </c>
      <c r="D309" s="73">
        <f>(62.63)*10.764</f>
        <v>674.14931999999999</v>
      </c>
      <c r="E309" s="63">
        <v>0</v>
      </c>
      <c r="F309" s="63">
        <f>D309+E309</f>
        <v>674.14931999999999</v>
      </c>
      <c r="G309" s="63">
        <v>0</v>
      </c>
      <c r="H309" s="63">
        <f>F309*(($H$142)+1)+(IF(G309&lt;101,G309,IF(G309&lt;201,G309/2,IF(G309&lt;=301,G309/3,G309/4))))</f>
        <v>1011.22398</v>
      </c>
    </row>
    <row r="310" spans="1:8" x14ac:dyDescent="0.25">
      <c r="A310" s="63">
        <f>A309+1</f>
        <v>5</v>
      </c>
      <c r="B310" s="72" t="s">
        <v>330</v>
      </c>
      <c r="C310" s="72" t="s">
        <v>370</v>
      </c>
      <c r="D310" s="73">
        <f>(46.62)*10.764</f>
        <v>501.81767999999994</v>
      </c>
      <c r="E310" s="63">
        <v>0</v>
      </c>
      <c r="F310" s="63">
        <f>D310+E310</f>
        <v>501.81767999999994</v>
      </c>
      <c r="G310" s="63">
        <v>0</v>
      </c>
      <c r="H310" s="63">
        <f>F310*(($H$142)+1)+(IF(G310&lt;101,G310,IF(G310&lt;201,G310/2,IF(G310&lt;=301,G310/3,G310/4))))</f>
        <v>752.72651999999994</v>
      </c>
    </row>
    <row r="311" spans="1:8" x14ac:dyDescent="0.25">
      <c r="A311" s="63">
        <v>6</v>
      </c>
      <c r="B311" s="72" t="s">
        <v>330</v>
      </c>
      <c r="C311" s="72" t="s">
        <v>332</v>
      </c>
      <c r="D311" s="73">
        <f>(63.99)*10.764</f>
        <v>688.78836000000001</v>
      </c>
      <c r="E311" s="63">
        <v>0</v>
      </c>
      <c r="F311" s="63">
        <f>D311+E311</f>
        <v>688.78836000000001</v>
      </c>
      <c r="G311" s="63">
        <v>0</v>
      </c>
      <c r="H311" s="63">
        <f>F311*(($H$142)+1)+(IF(G311&lt;101,G311,IF(G311&lt;201,G311/2,IF(G311&lt;=301,G311/3,G311/4))))</f>
        <v>1033.18254</v>
      </c>
    </row>
    <row r="312" spans="1:8" x14ac:dyDescent="0.25">
      <c r="A312" s="178" t="s">
        <v>338</v>
      </c>
      <c r="B312" s="179"/>
      <c r="C312" s="179"/>
      <c r="D312" s="179"/>
      <c r="E312" s="179"/>
      <c r="F312" s="179"/>
      <c r="G312" s="179"/>
      <c r="H312" s="180"/>
    </row>
    <row r="313" spans="1:8" x14ac:dyDescent="0.25">
      <c r="A313" s="63">
        <v>1</v>
      </c>
      <c r="B313" s="72" t="s">
        <v>330</v>
      </c>
      <c r="C313" s="72" t="s">
        <v>331</v>
      </c>
      <c r="D313" s="73">
        <f>(77.33)*10.764</f>
        <v>832.38011999999992</v>
      </c>
      <c r="E313" s="63">
        <v>0</v>
      </c>
      <c r="F313" s="63">
        <f t="shared" ref="F313:F318" si="40">D313+E313</f>
        <v>832.38011999999992</v>
      </c>
      <c r="G313" s="63">
        <v>0</v>
      </c>
      <c r="H313" s="63">
        <f t="shared" ref="H313:H318" si="41">F313*(($H$142)+1)+(IF(G313&lt;101,G313,IF(G313&lt;201,G313/2,IF(G313&lt;=301,G313/3,G313/4))))</f>
        <v>1248.5701799999999</v>
      </c>
    </row>
    <row r="314" spans="1:8" x14ac:dyDescent="0.25">
      <c r="A314" s="63">
        <f>A313+1</f>
        <v>2</v>
      </c>
      <c r="B314" s="72" t="s">
        <v>330</v>
      </c>
      <c r="C314" s="72" t="s">
        <v>331</v>
      </c>
      <c r="D314" s="73">
        <f>(88.04)*10.764</f>
        <v>947.66255999999998</v>
      </c>
      <c r="E314" s="63">
        <v>0</v>
      </c>
      <c r="F314" s="63">
        <f t="shared" si="40"/>
        <v>947.66255999999998</v>
      </c>
      <c r="G314" s="63">
        <v>0</v>
      </c>
      <c r="H314" s="63">
        <f t="shared" si="41"/>
        <v>1421.4938400000001</v>
      </c>
    </row>
    <row r="315" spans="1:8" x14ac:dyDescent="0.25">
      <c r="A315" s="63">
        <f>A314+1</f>
        <v>3</v>
      </c>
      <c r="B315" s="74" t="s">
        <v>336</v>
      </c>
      <c r="C315" s="72" t="s">
        <v>332</v>
      </c>
      <c r="D315" s="73">
        <f>(63.79)*10.764</f>
        <v>686.63555999999994</v>
      </c>
      <c r="E315" s="63">
        <v>0</v>
      </c>
      <c r="F315" s="63">
        <f t="shared" si="40"/>
        <v>686.63555999999994</v>
      </c>
      <c r="G315" s="63">
        <v>0</v>
      </c>
      <c r="H315" s="63">
        <f t="shared" si="41"/>
        <v>1029.95334</v>
      </c>
    </row>
    <row r="316" spans="1:8" x14ac:dyDescent="0.25">
      <c r="A316" s="63">
        <f>A315+1</f>
        <v>4</v>
      </c>
      <c r="B316" s="72" t="s">
        <v>330</v>
      </c>
      <c r="C316" s="72" t="s">
        <v>332</v>
      </c>
      <c r="D316" s="73">
        <f>(62.63)*10.764</f>
        <v>674.14931999999999</v>
      </c>
      <c r="E316" s="63">
        <v>0</v>
      </c>
      <c r="F316" s="63">
        <f t="shared" si="40"/>
        <v>674.14931999999999</v>
      </c>
      <c r="G316" s="63">
        <v>0</v>
      </c>
      <c r="H316" s="63">
        <f t="shared" si="41"/>
        <v>1011.22398</v>
      </c>
    </row>
    <row r="317" spans="1:8" x14ac:dyDescent="0.25">
      <c r="A317" s="63">
        <f>A316+1</f>
        <v>5</v>
      </c>
      <c r="B317" s="72" t="s">
        <v>330</v>
      </c>
      <c r="C317" s="72" t="s">
        <v>370</v>
      </c>
      <c r="D317" s="73">
        <f>(52.57)*10.764</f>
        <v>565.86347999999998</v>
      </c>
      <c r="E317" s="63">
        <v>0</v>
      </c>
      <c r="F317" s="63">
        <f t="shared" si="40"/>
        <v>565.86347999999998</v>
      </c>
      <c r="G317" s="63">
        <v>0</v>
      </c>
      <c r="H317" s="63">
        <f t="shared" si="41"/>
        <v>848.79521999999997</v>
      </c>
    </row>
    <row r="318" spans="1:8" x14ac:dyDescent="0.25">
      <c r="A318" s="63">
        <v>6</v>
      </c>
      <c r="B318" s="72" t="s">
        <v>330</v>
      </c>
      <c r="C318" s="72" t="s">
        <v>332</v>
      </c>
      <c r="D318" s="73">
        <f>(63.99)*10.764</f>
        <v>688.78836000000001</v>
      </c>
      <c r="E318" s="63">
        <v>0</v>
      </c>
      <c r="F318" s="63">
        <f t="shared" si="40"/>
        <v>688.78836000000001</v>
      </c>
      <c r="G318" s="63">
        <v>0</v>
      </c>
      <c r="H318" s="63">
        <f t="shared" si="41"/>
        <v>1033.18254</v>
      </c>
    </row>
    <row r="319" spans="1:8" x14ac:dyDescent="0.25">
      <c r="A319" s="178" t="s">
        <v>352</v>
      </c>
      <c r="B319" s="179"/>
      <c r="C319" s="179"/>
      <c r="D319" s="179"/>
      <c r="E319" s="179"/>
      <c r="F319" s="179"/>
      <c r="G319" s="179"/>
      <c r="H319" s="180"/>
    </row>
    <row r="320" spans="1:8" x14ac:dyDescent="0.25">
      <c r="A320" s="63">
        <v>1</v>
      </c>
      <c r="B320" s="72" t="s">
        <v>330</v>
      </c>
      <c r="C320" s="72" t="s">
        <v>331</v>
      </c>
      <c r="D320" s="73">
        <f>(77.33)*10.764</f>
        <v>832.38011999999992</v>
      </c>
      <c r="E320" s="63">
        <v>0</v>
      </c>
      <c r="F320" s="63">
        <f t="shared" ref="F320:F325" si="42">D320+E320</f>
        <v>832.38011999999992</v>
      </c>
      <c r="G320" s="63">
        <v>0</v>
      </c>
      <c r="H320" s="63">
        <f t="shared" ref="H320:H325" si="43">F320*(($H$142)+1)+(IF(G320&lt;101,G320,IF(G320&lt;201,G320/2,IF(G320&lt;=301,G320/3,G320/4))))</f>
        <v>1248.5701799999999</v>
      </c>
    </row>
    <row r="321" spans="1:8" x14ac:dyDescent="0.25">
      <c r="A321" s="63">
        <f>A320+1</f>
        <v>2</v>
      </c>
      <c r="B321" s="72" t="s">
        <v>330</v>
      </c>
      <c r="C321" s="72" t="s">
        <v>331</v>
      </c>
      <c r="D321" s="73">
        <f>(88.04)*10.764</f>
        <v>947.66255999999998</v>
      </c>
      <c r="E321" s="63">
        <v>0</v>
      </c>
      <c r="F321" s="63">
        <f t="shared" si="42"/>
        <v>947.66255999999998</v>
      </c>
      <c r="G321" s="63">
        <v>0</v>
      </c>
      <c r="H321" s="63">
        <f t="shared" si="43"/>
        <v>1421.4938400000001</v>
      </c>
    </row>
    <row r="322" spans="1:8" x14ac:dyDescent="0.25">
      <c r="A322" s="63">
        <f>A321+1</f>
        <v>3</v>
      </c>
      <c r="B322" s="74" t="s">
        <v>336</v>
      </c>
      <c r="C322" s="72" t="s">
        <v>332</v>
      </c>
      <c r="D322" s="73">
        <f>(63.79)*10.764</f>
        <v>686.63555999999994</v>
      </c>
      <c r="E322" s="63">
        <v>0</v>
      </c>
      <c r="F322" s="63">
        <f t="shared" si="42"/>
        <v>686.63555999999994</v>
      </c>
      <c r="G322" s="63">
        <v>0</v>
      </c>
      <c r="H322" s="63">
        <f t="shared" si="43"/>
        <v>1029.95334</v>
      </c>
    </row>
    <row r="323" spans="1:8" x14ac:dyDescent="0.25">
      <c r="A323" s="63">
        <f>A322+1</f>
        <v>4</v>
      </c>
      <c r="B323" s="72" t="s">
        <v>330</v>
      </c>
      <c r="C323" s="72" t="s">
        <v>332</v>
      </c>
      <c r="D323" s="73">
        <f>(62.63)*10.764</f>
        <v>674.14931999999999</v>
      </c>
      <c r="E323" s="63">
        <v>0</v>
      </c>
      <c r="F323" s="63">
        <f t="shared" si="42"/>
        <v>674.14931999999999</v>
      </c>
      <c r="G323" s="63">
        <v>0</v>
      </c>
      <c r="H323" s="63">
        <f t="shared" si="43"/>
        <v>1011.22398</v>
      </c>
    </row>
    <row r="324" spans="1:8" x14ac:dyDescent="0.25">
      <c r="A324" s="63">
        <f>A323+1</f>
        <v>5</v>
      </c>
      <c r="B324" s="72" t="s">
        <v>330</v>
      </c>
      <c r="C324" s="72" t="s">
        <v>370</v>
      </c>
      <c r="D324" s="73">
        <f>(56.33)*10.764</f>
        <v>606.33611999999994</v>
      </c>
      <c r="E324" s="63">
        <v>0</v>
      </c>
      <c r="F324" s="63">
        <f t="shared" si="42"/>
        <v>606.33611999999994</v>
      </c>
      <c r="G324" s="63">
        <v>0</v>
      </c>
      <c r="H324" s="63">
        <f t="shared" si="43"/>
        <v>909.50417999999991</v>
      </c>
    </row>
    <row r="325" spans="1:8" x14ac:dyDescent="0.25">
      <c r="A325" s="63">
        <v>6</v>
      </c>
      <c r="B325" s="72" t="s">
        <v>330</v>
      </c>
      <c r="C325" s="72" t="s">
        <v>332</v>
      </c>
      <c r="D325" s="73">
        <f>(63.99)*10.764</f>
        <v>688.78836000000001</v>
      </c>
      <c r="E325" s="63">
        <v>0</v>
      </c>
      <c r="F325" s="63">
        <f t="shared" si="42"/>
        <v>688.78836000000001</v>
      </c>
      <c r="G325" s="63">
        <v>0</v>
      </c>
      <c r="H325" s="63">
        <f t="shared" si="43"/>
        <v>1033.18254</v>
      </c>
    </row>
    <row r="326" spans="1:8" x14ac:dyDescent="0.25">
      <c r="A326" s="178" t="s">
        <v>353</v>
      </c>
      <c r="B326" s="179"/>
      <c r="C326" s="179"/>
      <c r="D326" s="179"/>
      <c r="E326" s="179"/>
      <c r="F326" s="179"/>
      <c r="G326" s="179"/>
      <c r="H326" s="180"/>
    </row>
    <row r="327" spans="1:8" x14ac:dyDescent="0.25">
      <c r="A327" s="63">
        <v>1</v>
      </c>
      <c r="B327" s="72" t="s">
        <v>330</v>
      </c>
      <c r="C327" s="72" t="s">
        <v>331</v>
      </c>
      <c r="D327" s="73">
        <f>(81.69)*10.764</f>
        <v>879.31115999999997</v>
      </c>
      <c r="E327" s="63">
        <v>0</v>
      </c>
      <c r="F327" s="63">
        <f t="shared" ref="F327:F332" si="44">D327+E327</f>
        <v>879.31115999999997</v>
      </c>
      <c r="G327" s="63">
        <v>0</v>
      </c>
      <c r="H327" s="63">
        <f t="shared" ref="H327:H332" si="45">F327*(($H$142)+1)+(IF(G327&lt;101,G327,IF(G327&lt;201,G327/2,IF(G327&lt;=301,G327/3,G327/4))))</f>
        <v>1318.9667399999998</v>
      </c>
    </row>
    <row r="328" spans="1:8" x14ac:dyDescent="0.25">
      <c r="A328" s="63">
        <f>A327+1</f>
        <v>2</v>
      </c>
      <c r="B328" s="72" t="s">
        <v>330</v>
      </c>
      <c r="C328" s="72" t="s">
        <v>331</v>
      </c>
      <c r="D328" s="73">
        <f>(88.04)*10.764</f>
        <v>947.66255999999998</v>
      </c>
      <c r="E328" s="63">
        <v>0</v>
      </c>
      <c r="F328" s="63">
        <f t="shared" si="44"/>
        <v>947.66255999999998</v>
      </c>
      <c r="G328" s="63">
        <v>0</v>
      </c>
      <c r="H328" s="63">
        <f t="shared" si="45"/>
        <v>1421.4938400000001</v>
      </c>
    </row>
    <row r="329" spans="1:8" x14ac:dyDescent="0.25">
      <c r="A329" s="63">
        <f>A328+1</f>
        <v>3</v>
      </c>
      <c r="B329" s="74" t="s">
        <v>336</v>
      </c>
      <c r="C329" s="72" t="s">
        <v>332</v>
      </c>
      <c r="D329" s="73">
        <f>(63.79)*10.764</f>
        <v>686.63555999999994</v>
      </c>
      <c r="E329" s="63">
        <v>0</v>
      </c>
      <c r="F329" s="63">
        <f t="shared" si="44"/>
        <v>686.63555999999994</v>
      </c>
      <c r="G329" s="63">
        <v>0</v>
      </c>
      <c r="H329" s="63">
        <f t="shared" si="45"/>
        <v>1029.95334</v>
      </c>
    </row>
    <row r="330" spans="1:8" x14ac:dyDescent="0.25">
      <c r="A330" s="63">
        <f>A329+1</f>
        <v>4</v>
      </c>
      <c r="B330" s="72" t="s">
        <v>330</v>
      </c>
      <c r="C330" s="72" t="s">
        <v>332</v>
      </c>
      <c r="D330" s="73">
        <f>(62.63)*10.764</f>
        <v>674.14931999999999</v>
      </c>
      <c r="E330" s="63">
        <v>0</v>
      </c>
      <c r="F330" s="63">
        <f t="shared" si="44"/>
        <v>674.14931999999999</v>
      </c>
      <c r="G330" s="63">
        <v>0</v>
      </c>
      <c r="H330" s="63">
        <f t="shared" si="45"/>
        <v>1011.22398</v>
      </c>
    </row>
    <row r="331" spans="1:8" x14ac:dyDescent="0.25">
      <c r="A331" s="63">
        <f>A330+1</f>
        <v>5</v>
      </c>
      <c r="B331" s="72" t="s">
        <v>330</v>
      </c>
      <c r="C331" s="72" t="s">
        <v>370</v>
      </c>
      <c r="D331" s="73">
        <f>(56.33)*10.764</f>
        <v>606.33611999999994</v>
      </c>
      <c r="E331" s="63">
        <v>0</v>
      </c>
      <c r="F331" s="63">
        <f t="shared" si="44"/>
        <v>606.33611999999994</v>
      </c>
      <c r="G331" s="63">
        <v>0</v>
      </c>
      <c r="H331" s="63">
        <f t="shared" si="45"/>
        <v>909.50417999999991</v>
      </c>
    </row>
    <row r="332" spans="1:8" x14ac:dyDescent="0.25">
      <c r="A332" s="63">
        <v>6</v>
      </c>
      <c r="B332" s="72" t="s">
        <v>330</v>
      </c>
      <c r="C332" s="72" t="s">
        <v>332</v>
      </c>
      <c r="D332" s="73">
        <f>(63.99)*10.764</f>
        <v>688.78836000000001</v>
      </c>
      <c r="E332" s="63">
        <v>0</v>
      </c>
      <c r="F332" s="63">
        <f t="shared" si="44"/>
        <v>688.78836000000001</v>
      </c>
      <c r="G332" s="63">
        <v>0</v>
      </c>
      <c r="H332" s="63">
        <f t="shared" si="45"/>
        <v>1033.18254</v>
      </c>
    </row>
    <row r="333" spans="1:8" x14ac:dyDescent="0.25">
      <c r="A333" s="178" t="s">
        <v>354</v>
      </c>
      <c r="B333" s="179"/>
      <c r="C333" s="179"/>
      <c r="D333" s="179"/>
      <c r="E333" s="179"/>
      <c r="F333" s="179"/>
      <c r="G333" s="179"/>
      <c r="H333" s="180"/>
    </row>
    <row r="334" spans="1:8" x14ac:dyDescent="0.25">
      <c r="A334" s="63">
        <v>1</v>
      </c>
      <c r="B334" s="72" t="s">
        <v>330</v>
      </c>
      <c r="C334" s="72" t="s">
        <v>331</v>
      </c>
      <c r="D334" s="73">
        <f>(81.69)*10.764</f>
        <v>879.31115999999997</v>
      </c>
      <c r="E334" s="63">
        <v>0</v>
      </c>
      <c r="F334" s="63">
        <f t="shared" ref="F334:F339" si="46">D334+E334</f>
        <v>879.31115999999997</v>
      </c>
      <c r="G334" s="63">
        <v>0</v>
      </c>
      <c r="H334" s="63">
        <f t="shared" ref="H334:H339" si="47">F334*(($H$142)+1)+(IF(G334&lt;101,G334,IF(G334&lt;201,G334/2,IF(G334&lt;=301,G334/3,G334/4))))</f>
        <v>1318.9667399999998</v>
      </c>
    </row>
    <row r="335" spans="1:8" x14ac:dyDescent="0.25">
      <c r="A335" s="63">
        <f>A334+1</f>
        <v>2</v>
      </c>
      <c r="B335" s="72" t="s">
        <v>330</v>
      </c>
      <c r="C335" s="72" t="s">
        <v>331</v>
      </c>
      <c r="D335" s="73">
        <f>(88.04)*10.764</f>
        <v>947.66255999999998</v>
      </c>
      <c r="E335" s="63">
        <v>0</v>
      </c>
      <c r="F335" s="63">
        <f t="shared" si="46"/>
        <v>947.66255999999998</v>
      </c>
      <c r="G335" s="63">
        <v>0</v>
      </c>
      <c r="H335" s="63">
        <f t="shared" si="47"/>
        <v>1421.4938400000001</v>
      </c>
    </row>
    <row r="336" spans="1:8" x14ac:dyDescent="0.25">
      <c r="A336" s="63">
        <f>A335+1</f>
        <v>3</v>
      </c>
      <c r="B336" s="74" t="s">
        <v>336</v>
      </c>
      <c r="C336" s="72" t="s">
        <v>332</v>
      </c>
      <c r="D336" s="73">
        <f>(63.79)*10.764</f>
        <v>686.63555999999994</v>
      </c>
      <c r="E336" s="63">
        <v>0</v>
      </c>
      <c r="F336" s="63">
        <f t="shared" si="46"/>
        <v>686.63555999999994</v>
      </c>
      <c r="G336" s="63">
        <v>0</v>
      </c>
      <c r="H336" s="63">
        <f t="shared" si="47"/>
        <v>1029.95334</v>
      </c>
    </row>
    <row r="337" spans="1:8" x14ac:dyDescent="0.25">
      <c r="A337" s="63">
        <f>A336+1</f>
        <v>4</v>
      </c>
      <c r="B337" s="72" t="s">
        <v>330</v>
      </c>
      <c r="C337" s="72" t="s">
        <v>332</v>
      </c>
      <c r="D337" s="73">
        <f>(62.63)*10.764</f>
        <v>674.14931999999999</v>
      </c>
      <c r="E337" s="63">
        <v>0</v>
      </c>
      <c r="F337" s="63">
        <f t="shared" si="46"/>
        <v>674.14931999999999</v>
      </c>
      <c r="G337" s="63">
        <v>0</v>
      </c>
      <c r="H337" s="63">
        <f t="shared" si="47"/>
        <v>1011.22398</v>
      </c>
    </row>
    <row r="338" spans="1:8" x14ac:dyDescent="0.25">
      <c r="A338" s="63">
        <f>A337+1</f>
        <v>5</v>
      </c>
      <c r="B338" s="72" t="s">
        <v>330</v>
      </c>
      <c r="C338" s="72" t="s">
        <v>370</v>
      </c>
      <c r="D338" s="73">
        <f>(56.33)*10.764</f>
        <v>606.33611999999994</v>
      </c>
      <c r="E338" s="63">
        <v>0</v>
      </c>
      <c r="F338" s="63">
        <f t="shared" si="46"/>
        <v>606.33611999999994</v>
      </c>
      <c r="G338" s="63">
        <v>0</v>
      </c>
      <c r="H338" s="63">
        <f t="shared" si="47"/>
        <v>909.50417999999991</v>
      </c>
    </row>
    <row r="339" spans="1:8" x14ac:dyDescent="0.25">
      <c r="A339" s="63">
        <v>6</v>
      </c>
      <c r="B339" s="72" t="s">
        <v>330</v>
      </c>
      <c r="C339" s="72" t="s">
        <v>332</v>
      </c>
      <c r="D339" s="73">
        <f>(63.99)*10.764</f>
        <v>688.78836000000001</v>
      </c>
      <c r="E339" s="63">
        <v>0</v>
      </c>
      <c r="F339" s="63">
        <f t="shared" si="46"/>
        <v>688.78836000000001</v>
      </c>
      <c r="G339" s="63">
        <v>0</v>
      </c>
      <c r="H339" s="63">
        <f t="shared" si="47"/>
        <v>1033.18254</v>
      </c>
    </row>
    <row r="340" spans="1:8" x14ac:dyDescent="0.25">
      <c r="A340" s="178" t="s">
        <v>343</v>
      </c>
      <c r="B340" s="179"/>
      <c r="C340" s="179"/>
      <c r="D340" s="179"/>
      <c r="E340" s="179"/>
      <c r="F340" s="179"/>
      <c r="G340" s="179"/>
      <c r="H340" s="180"/>
    </row>
    <row r="341" spans="1:8" x14ac:dyDescent="0.25">
      <c r="A341" s="63">
        <v>1</v>
      </c>
      <c r="B341" s="72" t="s">
        <v>336</v>
      </c>
      <c r="C341" s="72" t="s">
        <v>337</v>
      </c>
      <c r="D341" s="73">
        <f>(50.66)*10.764</f>
        <v>545.30423999999994</v>
      </c>
      <c r="E341" s="63">
        <v>0</v>
      </c>
      <c r="F341" s="63">
        <f>D341+E341</f>
        <v>545.30423999999994</v>
      </c>
      <c r="G341" s="63">
        <v>0</v>
      </c>
      <c r="H341" s="63">
        <f>F341*(($H$142)+1)+(IF(G341&lt;101,G341,IF(G341&lt;201,G341/2,IF(G341&lt;=301,G341/3,G341/4))))</f>
        <v>817.9563599999999</v>
      </c>
    </row>
    <row r="342" spans="1:8" x14ac:dyDescent="0.25">
      <c r="A342" s="63">
        <f>A341+1</f>
        <v>2</v>
      </c>
      <c r="B342" s="193" t="s">
        <v>335</v>
      </c>
      <c r="C342" s="194"/>
      <c r="D342" s="194"/>
      <c r="E342" s="194"/>
      <c r="F342" s="194"/>
      <c r="G342" s="194"/>
      <c r="H342" s="195"/>
    </row>
    <row r="343" spans="1:8" x14ac:dyDescent="0.25">
      <c r="A343" s="63">
        <f>A342+1</f>
        <v>3</v>
      </c>
      <c r="B343" s="72" t="s">
        <v>336</v>
      </c>
      <c r="C343" s="72" t="s">
        <v>332</v>
      </c>
      <c r="D343" s="73">
        <f>(63.79)*10.764</f>
        <v>686.63555999999994</v>
      </c>
      <c r="E343" s="63">
        <v>0</v>
      </c>
      <c r="F343" s="63">
        <f>D343+E343</f>
        <v>686.63555999999994</v>
      </c>
      <c r="G343" s="63">
        <v>0</v>
      </c>
      <c r="H343" s="63">
        <f>F343*(($H$142)+1)+(IF(G343&lt;101,G343,IF(G343&lt;201,G343/2,IF(G343&lt;=301,G343/3,G343/4))))</f>
        <v>1029.95334</v>
      </c>
    </row>
    <row r="344" spans="1:8" x14ac:dyDescent="0.25">
      <c r="A344" s="63">
        <f>A343+1</f>
        <v>4</v>
      </c>
      <c r="B344" s="72" t="s">
        <v>330</v>
      </c>
      <c r="C344" s="72" t="s">
        <v>332</v>
      </c>
      <c r="D344" s="73">
        <f>(62.63)*10.764</f>
        <v>674.14931999999999</v>
      </c>
      <c r="E344" s="63">
        <v>0</v>
      </c>
      <c r="F344" s="63">
        <f>D344+E344</f>
        <v>674.14931999999999</v>
      </c>
      <c r="G344" s="63">
        <v>0</v>
      </c>
      <c r="H344" s="63">
        <f>F344*(($H$142)+1)+(IF(G344&lt;101,G344,IF(G344&lt;201,G344/2,IF(G344&lt;=301,G344/3,G344/4))))</f>
        <v>1011.22398</v>
      </c>
    </row>
    <row r="345" spans="1:8" x14ac:dyDescent="0.25">
      <c r="A345" s="63">
        <f>A344+1</f>
        <v>5</v>
      </c>
      <c r="B345" s="72" t="s">
        <v>336</v>
      </c>
      <c r="C345" s="72" t="s">
        <v>370</v>
      </c>
      <c r="D345" s="73">
        <f>(56.33)*10.764</f>
        <v>606.33611999999994</v>
      </c>
      <c r="E345" s="63">
        <v>0</v>
      </c>
      <c r="F345" s="63">
        <f>D345+E345</f>
        <v>606.33611999999994</v>
      </c>
      <c r="G345" s="63">
        <v>0</v>
      </c>
      <c r="H345" s="63">
        <f>F345*(($H$142)+1)+(IF(G345&lt;101,G345,IF(G345&lt;201,G345/2,IF(G345&lt;=301,G345/3,G345/4))))</f>
        <v>909.50417999999991</v>
      </c>
    </row>
    <row r="346" spans="1:8" x14ac:dyDescent="0.25">
      <c r="A346" s="63">
        <v>6</v>
      </c>
      <c r="B346" s="72" t="s">
        <v>330</v>
      </c>
      <c r="C346" s="72" t="s">
        <v>332</v>
      </c>
      <c r="D346" s="73">
        <f>(63.99)*10.764</f>
        <v>688.78836000000001</v>
      </c>
      <c r="E346" s="63">
        <v>0</v>
      </c>
      <c r="F346" s="63">
        <f>D346+E346</f>
        <v>688.78836000000001</v>
      </c>
      <c r="G346" s="63">
        <v>0</v>
      </c>
      <c r="H346" s="63">
        <f>F346*(($H$142)+1)+(IF(G346&lt;101,G346,IF(G346&lt;201,G346/2,IF(G346&lt;=301,G346/3,G346/4))))</f>
        <v>1033.18254</v>
      </c>
    </row>
    <row r="347" spans="1:8" x14ac:dyDescent="0.25">
      <c r="A347" s="178" t="s">
        <v>344</v>
      </c>
      <c r="B347" s="179"/>
      <c r="C347" s="179"/>
      <c r="D347" s="179"/>
      <c r="E347" s="179"/>
      <c r="F347" s="179"/>
      <c r="G347" s="179"/>
      <c r="H347" s="180"/>
    </row>
    <row r="348" spans="1:8" x14ac:dyDescent="0.25">
      <c r="A348" s="63">
        <v>1</v>
      </c>
      <c r="B348" s="72" t="s">
        <v>330</v>
      </c>
      <c r="C348" s="72" t="s">
        <v>331</v>
      </c>
      <c r="D348" s="73">
        <f>(81.69)*10.764</f>
        <v>879.31115999999997</v>
      </c>
      <c r="E348" s="63">
        <v>0</v>
      </c>
      <c r="F348" s="63">
        <f t="shared" ref="F348:F353" si="48">D348+E348</f>
        <v>879.31115999999997</v>
      </c>
      <c r="G348" s="63">
        <v>0</v>
      </c>
      <c r="H348" s="63">
        <f t="shared" ref="H348:H353" si="49">F348*(($H$142)+1)+(IF(G348&lt;101,G348,IF(G348&lt;201,G348/2,IF(G348&lt;=301,G348/3,G348/4))))</f>
        <v>1318.9667399999998</v>
      </c>
    </row>
    <row r="349" spans="1:8" x14ac:dyDescent="0.25">
      <c r="A349" s="63">
        <f>A348+1</f>
        <v>2</v>
      </c>
      <c r="B349" s="72" t="s">
        <v>330</v>
      </c>
      <c r="C349" s="72" t="s">
        <v>331</v>
      </c>
      <c r="D349" s="73">
        <f>(88.04)*10.764</f>
        <v>947.66255999999998</v>
      </c>
      <c r="E349" s="63">
        <v>0</v>
      </c>
      <c r="F349" s="63">
        <f t="shared" si="48"/>
        <v>947.66255999999998</v>
      </c>
      <c r="G349" s="63">
        <v>0</v>
      </c>
      <c r="H349" s="63">
        <f t="shared" si="49"/>
        <v>1421.4938400000001</v>
      </c>
    </row>
    <row r="350" spans="1:8" x14ac:dyDescent="0.25">
      <c r="A350" s="63">
        <f>A349+1</f>
        <v>3</v>
      </c>
      <c r="B350" s="74" t="s">
        <v>336</v>
      </c>
      <c r="C350" s="72" t="s">
        <v>332</v>
      </c>
      <c r="D350" s="73">
        <f>(63.79)*10.764</f>
        <v>686.63555999999994</v>
      </c>
      <c r="E350" s="63">
        <v>0</v>
      </c>
      <c r="F350" s="63">
        <f t="shared" si="48"/>
        <v>686.63555999999994</v>
      </c>
      <c r="G350" s="63">
        <v>0</v>
      </c>
      <c r="H350" s="63">
        <f t="shared" si="49"/>
        <v>1029.95334</v>
      </c>
    </row>
    <row r="351" spans="1:8" x14ac:dyDescent="0.25">
      <c r="A351" s="63">
        <f>A350+1</f>
        <v>4</v>
      </c>
      <c r="B351" s="74" t="s">
        <v>336</v>
      </c>
      <c r="C351" s="72" t="s">
        <v>332</v>
      </c>
      <c r="D351" s="73">
        <f>(62.63)*10.764</f>
        <v>674.14931999999999</v>
      </c>
      <c r="E351" s="63">
        <v>0</v>
      </c>
      <c r="F351" s="63">
        <f t="shared" si="48"/>
        <v>674.14931999999999</v>
      </c>
      <c r="G351" s="63">
        <v>0</v>
      </c>
      <c r="H351" s="63">
        <f t="shared" si="49"/>
        <v>1011.22398</v>
      </c>
    </row>
    <row r="352" spans="1:8" x14ac:dyDescent="0.25">
      <c r="A352" s="63">
        <f>A351+1</f>
        <v>5</v>
      </c>
      <c r="B352" s="72" t="s">
        <v>330</v>
      </c>
      <c r="C352" s="72" t="s">
        <v>370</v>
      </c>
      <c r="D352" s="73">
        <f>(56.33)*10.764</f>
        <v>606.33611999999994</v>
      </c>
      <c r="E352" s="63">
        <v>0</v>
      </c>
      <c r="F352" s="63">
        <f t="shared" si="48"/>
        <v>606.33611999999994</v>
      </c>
      <c r="G352" s="63">
        <v>0</v>
      </c>
      <c r="H352" s="63">
        <f t="shared" si="49"/>
        <v>909.50417999999991</v>
      </c>
    </row>
    <row r="353" spans="1:8" x14ac:dyDescent="0.25">
      <c r="A353" s="63">
        <v>6</v>
      </c>
      <c r="B353" s="72" t="s">
        <v>330</v>
      </c>
      <c r="C353" s="72" t="s">
        <v>332</v>
      </c>
      <c r="D353" s="73">
        <f>(63.99)*10.764</f>
        <v>688.78836000000001</v>
      </c>
      <c r="E353" s="63">
        <v>0</v>
      </c>
      <c r="F353" s="63">
        <f t="shared" si="48"/>
        <v>688.78836000000001</v>
      </c>
      <c r="G353" s="63">
        <v>0</v>
      </c>
      <c r="H353" s="63">
        <f t="shared" si="49"/>
        <v>1033.18254</v>
      </c>
    </row>
    <row r="354" spans="1:8" x14ac:dyDescent="0.25">
      <c r="A354" s="178" t="s">
        <v>355</v>
      </c>
      <c r="B354" s="179"/>
      <c r="C354" s="179"/>
      <c r="D354" s="179"/>
      <c r="E354" s="179"/>
      <c r="F354" s="179"/>
      <c r="G354" s="179"/>
      <c r="H354" s="180"/>
    </row>
    <row r="355" spans="1:8" x14ac:dyDescent="0.25">
      <c r="A355" s="63">
        <v>1</v>
      </c>
      <c r="B355" s="72" t="s">
        <v>330</v>
      </c>
      <c r="C355" s="72" t="s">
        <v>331</v>
      </c>
      <c r="D355" s="73">
        <f>(81.69)*10.764</f>
        <v>879.31115999999997</v>
      </c>
      <c r="E355" s="63">
        <v>0</v>
      </c>
      <c r="F355" s="63">
        <f t="shared" ref="F355:F360" si="50">D355+E355</f>
        <v>879.31115999999997</v>
      </c>
      <c r="G355" s="63">
        <v>0</v>
      </c>
      <c r="H355" s="63">
        <f t="shared" ref="H355:H360" si="51">F355*(($H$142)+1)+(IF(G355&lt;101,G355,IF(G355&lt;201,G355/2,IF(G355&lt;=301,G355/3,G355/4))))</f>
        <v>1318.9667399999998</v>
      </c>
    </row>
    <row r="356" spans="1:8" x14ac:dyDescent="0.25">
      <c r="A356" s="63">
        <f>A355+1</f>
        <v>2</v>
      </c>
      <c r="B356" s="72" t="s">
        <v>330</v>
      </c>
      <c r="C356" s="72" t="s">
        <v>331</v>
      </c>
      <c r="D356" s="73">
        <f>(88.04)*10.764</f>
        <v>947.66255999999998</v>
      </c>
      <c r="E356" s="63">
        <v>0</v>
      </c>
      <c r="F356" s="63">
        <f t="shared" si="50"/>
        <v>947.66255999999998</v>
      </c>
      <c r="G356" s="63">
        <v>0</v>
      </c>
      <c r="H356" s="63">
        <f t="shared" si="51"/>
        <v>1421.4938400000001</v>
      </c>
    </row>
    <row r="357" spans="1:8" x14ac:dyDescent="0.25">
      <c r="A357" s="63">
        <f>A356+1</f>
        <v>3</v>
      </c>
      <c r="B357" s="72" t="s">
        <v>336</v>
      </c>
      <c r="C357" s="72" t="s">
        <v>332</v>
      </c>
      <c r="D357" s="73">
        <f>(63.79)*10.764</f>
        <v>686.63555999999994</v>
      </c>
      <c r="E357" s="63">
        <v>0</v>
      </c>
      <c r="F357" s="63">
        <f t="shared" si="50"/>
        <v>686.63555999999994</v>
      </c>
      <c r="G357" s="63">
        <v>0</v>
      </c>
      <c r="H357" s="63">
        <f t="shared" si="51"/>
        <v>1029.95334</v>
      </c>
    </row>
    <row r="358" spans="1:8" x14ac:dyDescent="0.25">
      <c r="A358" s="63">
        <f>A357+1</f>
        <v>4</v>
      </c>
      <c r="B358" s="72" t="s">
        <v>336</v>
      </c>
      <c r="C358" s="72" t="s">
        <v>332</v>
      </c>
      <c r="D358" s="73">
        <f>(62.63)*10.764</f>
        <v>674.14931999999999</v>
      </c>
      <c r="E358" s="63">
        <v>0</v>
      </c>
      <c r="F358" s="63">
        <f t="shared" si="50"/>
        <v>674.14931999999999</v>
      </c>
      <c r="G358" s="63">
        <v>0</v>
      </c>
      <c r="H358" s="63">
        <f t="shared" si="51"/>
        <v>1011.22398</v>
      </c>
    </row>
    <row r="359" spans="1:8" x14ac:dyDescent="0.25">
      <c r="A359" s="63">
        <f>A358+1</f>
        <v>5</v>
      </c>
      <c r="B359" s="72" t="s">
        <v>336</v>
      </c>
      <c r="C359" s="72" t="s">
        <v>370</v>
      </c>
      <c r="D359" s="73">
        <f>(56.33)*10.764</f>
        <v>606.33611999999994</v>
      </c>
      <c r="E359" s="63">
        <v>0</v>
      </c>
      <c r="F359" s="63">
        <f t="shared" si="50"/>
        <v>606.33611999999994</v>
      </c>
      <c r="G359" s="63">
        <v>0</v>
      </c>
      <c r="H359" s="63">
        <f t="shared" si="51"/>
        <v>909.50417999999991</v>
      </c>
    </row>
    <row r="360" spans="1:8" x14ac:dyDescent="0.25">
      <c r="A360" s="63">
        <v>6</v>
      </c>
      <c r="B360" s="72" t="s">
        <v>330</v>
      </c>
      <c r="C360" s="72" t="s">
        <v>332</v>
      </c>
      <c r="D360" s="73">
        <f>(63.99)*10.764</f>
        <v>688.78836000000001</v>
      </c>
      <c r="E360" s="63">
        <v>0</v>
      </c>
      <c r="F360" s="63">
        <f t="shared" si="50"/>
        <v>688.78836000000001</v>
      </c>
      <c r="G360" s="63">
        <v>0</v>
      </c>
      <c r="H360" s="63">
        <f t="shared" si="51"/>
        <v>1033.18254</v>
      </c>
    </row>
    <row r="361" spans="1:8" x14ac:dyDescent="0.25">
      <c r="A361" s="178" t="s">
        <v>356</v>
      </c>
      <c r="B361" s="179"/>
      <c r="C361" s="179"/>
      <c r="D361" s="179"/>
      <c r="E361" s="179"/>
      <c r="F361" s="179"/>
      <c r="G361" s="179"/>
      <c r="H361" s="180"/>
    </row>
    <row r="362" spans="1:8" x14ac:dyDescent="0.25">
      <c r="A362" s="63">
        <v>1</v>
      </c>
      <c r="B362" s="72" t="s">
        <v>336</v>
      </c>
      <c r="C362" s="72" t="s">
        <v>331</v>
      </c>
      <c r="D362" s="73">
        <f>(81.69)*10.764</f>
        <v>879.31115999999997</v>
      </c>
      <c r="E362" s="63">
        <v>0</v>
      </c>
      <c r="F362" s="63">
        <f t="shared" ref="F362:F367" si="52">D362+E362</f>
        <v>879.31115999999997</v>
      </c>
      <c r="G362" s="63">
        <v>0</v>
      </c>
      <c r="H362" s="63">
        <f t="shared" ref="H362:H367" si="53">F362*(($H$142)+1)+(IF(G362&lt;101,G362,IF(G362&lt;201,G362/2,IF(G362&lt;=301,G362/3,G362/4))))</f>
        <v>1318.9667399999998</v>
      </c>
    </row>
    <row r="363" spans="1:8" x14ac:dyDescent="0.25">
      <c r="A363" s="63">
        <f>A362+1</f>
        <v>2</v>
      </c>
      <c r="B363" s="72" t="s">
        <v>330</v>
      </c>
      <c r="C363" s="72" t="s">
        <v>331</v>
      </c>
      <c r="D363" s="73">
        <f>(88.04)*10.764</f>
        <v>947.66255999999998</v>
      </c>
      <c r="E363" s="63">
        <v>0</v>
      </c>
      <c r="F363" s="63">
        <f t="shared" si="52"/>
        <v>947.66255999999998</v>
      </c>
      <c r="G363" s="63">
        <v>0</v>
      </c>
      <c r="H363" s="63">
        <f t="shared" si="53"/>
        <v>1421.4938400000001</v>
      </c>
    </row>
    <row r="364" spans="1:8" x14ac:dyDescent="0.25">
      <c r="A364" s="63">
        <f>A363+1</f>
        <v>3</v>
      </c>
      <c r="B364" s="72" t="s">
        <v>336</v>
      </c>
      <c r="C364" s="72" t="s">
        <v>332</v>
      </c>
      <c r="D364" s="73">
        <f>(63.79)*10.764</f>
        <v>686.63555999999994</v>
      </c>
      <c r="E364" s="63">
        <v>0</v>
      </c>
      <c r="F364" s="63">
        <f t="shared" si="52"/>
        <v>686.63555999999994</v>
      </c>
      <c r="G364" s="63">
        <v>0</v>
      </c>
      <c r="H364" s="63">
        <f t="shared" si="53"/>
        <v>1029.95334</v>
      </c>
    </row>
    <row r="365" spans="1:8" x14ac:dyDescent="0.25">
      <c r="A365" s="63">
        <f>A364+1</f>
        <v>4</v>
      </c>
      <c r="B365" s="72" t="s">
        <v>336</v>
      </c>
      <c r="C365" s="72" t="s">
        <v>332</v>
      </c>
      <c r="D365" s="73">
        <f>(62.63)*10.764</f>
        <v>674.14931999999999</v>
      </c>
      <c r="E365" s="63">
        <v>0</v>
      </c>
      <c r="F365" s="63">
        <f t="shared" si="52"/>
        <v>674.14931999999999</v>
      </c>
      <c r="G365" s="63">
        <v>0</v>
      </c>
      <c r="H365" s="63">
        <f t="shared" si="53"/>
        <v>1011.22398</v>
      </c>
    </row>
    <row r="366" spans="1:8" x14ac:dyDescent="0.25">
      <c r="A366" s="63">
        <f>A365+1</f>
        <v>5</v>
      </c>
      <c r="B366" s="72" t="s">
        <v>336</v>
      </c>
      <c r="C366" s="72" t="s">
        <v>370</v>
      </c>
      <c r="D366" s="73">
        <f>(56.33)*10.764</f>
        <v>606.33611999999994</v>
      </c>
      <c r="E366" s="63">
        <v>0</v>
      </c>
      <c r="F366" s="63">
        <f t="shared" si="52"/>
        <v>606.33611999999994</v>
      </c>
      <c r="G366" s="63">
        <v>0</v>
      </c>
      <c r="H366" s="63">
        <f t="shared" si="53"/>
        <v>909.50417999999991</v>
      </c>
    </row>
    <row r="367" spans="1:8" x14ac:dyDescent="0.25">
      <c r="A367" s="63">
        <v>6</v>
      </c>
      <c r="B367" s="72" t="s">
        <v>330</v>
      </c>
      <c r="C367" s="72" t="s">
        <v>332</v>
      </c>
      <c r="D367" s="73">
        <f>(63.99)*10.764</f>
        <v>688.78836000000001</v>
      </c>
      <c r="E367" s="63">
        <v>0</v>
      </c>
      <c r="F367" s="63">
        <f t="shared" si="52"/>
        <v>688.78836000000001</v>
      </c>
      <c r="G367" s="63">
        <v>0</v>
      </c>
      <c r="H367" s="63">
        <f t="shared" si="53"/>
        <v>1033.18254</v>
      </c>
    </row>
    <row r="368" spans="1:8" x14ac:dyDescent="0.25">
      <c r="A368" s="178" t="s">
        <v>346</v>
      </c>
      <c r="B368" s="179"/>
      <c r="C368" s="179"/>
      <c r="D368" s="179"/>
      <c r="E368" s="179"/>
      <c r="F368" s="179"/>
      <c r="G368" s="179"/>
      <c r="H368" s="180"/>
    </row>
    <row r="369" spans="1:8" x14ac:dyDescent="0.25">
      <c r="A369" s="63">
        <v>1</v>
      </c>
      <c r="B369" s="72" t="s">
        <v>336</v>
      </c>
      <c r="C369" s="72" t="s">
        <v>331</v>
      </c>
      <c r="D369" s="73">
        <f>(81.69)*10.764</f>
        <v>879.31115999999997</v>
      </c>
      <c r="E369" s="63">
        <v>0</v>
      </c>
      <c r="F369" s="63">
        <f t="shared" ref="F369:F374" si="54">D369+E369</f>
        <v>879.31115999999997</v>
      </c>
      <c r="G369" s="63">
        <v>0</v>
      </c>
      <c r="H369" s="63">
        <f t="shared" ref="H369:H374" si="55">F369*(($H$142)+1)+(IF(G369&lt;101,G369,IF(G369&lt;201,G369/2,IF(G369&lt;=301,G369/3,G369/4))))</f>
        <v>1318.9667399999998</v>
      </c>
    </row>
    <row r="370" spans="1:8" x14ac:dyDescent="0.25">
      <c r="A370" s="63">
        <f>A369+1</f>
        <v>2</v>
      </c>
      <c r="B370" s="72" t="s">
        <v>330</v>
      </c>
      <c r="C370" s="72" t="s">
        <v>331</v>
      </c>
      <c r="D370" s="73">
        <f>(88.04)*10.764</f>
        <v>947.66255999999998</v>
      </c>
      <c r="E370" s="63">
        <v>0</v>
      </c>
      <c r="F370" s="63">
        <f t="shared" si="54"/>
        <v>947.66255999999998</v>
      </c>
      <c r="G370" s="63">
        <v>0</v>
      </c>
      <c r="H370" s="63">
        <f t="shared" si="55"/>
        <v>1421.4938400000001</v>
      </c>
    </row>
    <row r="371" spans="1:8" x14ac:dyDescent="0.25">
      <c r="A371" s="63">
        <f>A370+1</f>
        <v>3</v>
      </c>
      <c r="B371" s="72" t="s">
        <v>336</v>
      </c>
      <c r="C371" s="72" t="s">
        <v>332</v>
      </c>
      <c r="D371" s="73">
        <f>(63.79)*10.764</f>
        <v>686.63555999999994</v>
      </c>
      <c r="E371" s="63">
        <v>0</v>
      </c>
      <c r="F371" s="63">
        <f t="shared" si="54"/>
        <v>686.63555999999994</v>
      </c>
      <c r="G371" s="63">
        <v>0</v>
      </c>
      <c r="H371" s="63">
        <f t="shared" si="55"/>
        <v>1029.95334</v>
      </c>
    </row>
    <row r="372" spans="1:8" x14ac:dyDescent="0.25">
      <c r="A372" s="63">
        <f>A371+1</f>
        <v>4</v>
      </c>
      <c r="B372" s="72" t="s">
        <v>336</v>
      </c>
      <c r="C372" s="72" t="s">
        <v>332</v>
      </c>
      <c r="D372" s="73">
        <f>(62.63)*10.764</f>
        <v>674.14931999999999</v>
      </c>
      <c r="E372" s="63">
        <v>0</v>
      </c>
      <c r="F372" s="63">
        <f t="shared" si="54"/>
        <v>674.14931999999999</v>
      </c>
      <c r="G372" s="63">
        <v>0</v>
      </c>
      <c r="H372" s="63">
        <f t="shared" si="55"/>
        <v>1011.22398</v>
      </c>
    </row>
    <row r="373" spans="1:8" x14ac:dyDescent="0.25">
      <c r="A373" s="63">
        <f>A372+1</f>
        <v>5</v>
      </c>
      <c r="B373" s="72" t="s">
        <v>336</v>
      </c>
      <c r="C373" s="72" t="s">
        <v>370</v>
      </c>
      <c r="D373" s="73">
        <f>(56.33)*10.764</f>
        <v>606.33611999999994</v>
      </c>
      <c r="E373" s="63">
        <v>0</v>
      </c>
      <c r="F373" s="63">
        <f t="shared" si="54"/>
        <v>606.33611999999994</v>
      </c>
      <c r="G373" s="63">
        <v>0</v>
      </c>
      <c r="H373" s="63">
        <f t="shared" si="55"/>
        <v>909.50417999999991</v>
      </c>
    </row>
    <row r="374" spans="1:8" x14ac:dyDescent="0.25">
      <c r="A374" s="63">
        <v>6</v>
      </c>
      <c r="B374" s="72" t="s">
        <v>336</v>
      </c>
      <c r="C374" s="72" t="s">
        <v>332</v>
      </c>
      <c r="D374" s="73">
        <f>(63.99)*10.764</f>
        <v>688.78836000000001</v>
      </c>
      <c r="E374" s="63">
        <v>0</v>
      </c>
      <c r="F374" s="63">
        <f t="shared" si="54"/>
        <v>688.78836000000001</v>
      </c>
      <c r="G374" s="63">
        <v>0</v>
      </c>
      <c r="H374" s="63">
        <f t="shared" si="55"/>
        <v>1033.18254</v>
      </c>
    </row>
    <row r="375" spans="1:8" x14ac:dyDescent="0.25">
      <c r="A375" s="178" t="s">
        <v>347</v>
      </c>
      <c r="B375" s="179"/>
      <c r="C375" s="179"/>
      <c r="D375" s="179"/>
      <c r="E375" s="179"/>
      <c r="F375" s="179"/>
      <c r="G375" s="179"/>
      <c r="H375" s="180"/>
    </row>
    <row r="376" spans="1:8" x14ac:dyDescent="0.25">
      <c r="A376" s="63">
        <v>1</v>
      </c>
      <c r="B376" s="72" t="s">
        <v>336</v>
      </c>
      <c r="C376" s="72" t="s">
        <v>337</v>
      </c>
      <c r="D376" s="73">
        <f>(50.66)*10.764</f>
        <v>545.30423999999994</v>
      </c>
      <c r="E376" s="63">
        <v>0</v>
      </c>
      <c r="F376" s="63">
        <f>D376+E376</f>
        <v>545.30423999999994</v>
      </c>
      <c r="G376" s="63">
        <v>0</v>
      </c>
      <c r="H376" s="63">
        <f>F376*(($H$142)+1)+(IF(G376&lt;101,G376,IF(G376&lt;201,G376/2,IF(G376&lt;=301,G376/3,G376/4))))</f>
        <v>817.9563599999999</v>
      </c>
    </row>
    <row r="377" spans="1:8" x14ac:dyDescent="0.25">
      <c r="A377" s="63">
        <f>A376+1</f>
        <v>2</v>
      </c>
      <c r="B377" s="193" t="s">
        <v>335</v>
      </c>
      <c r="C377" s="194"/>
      <c r="D377" s="194"/>
      <c r="E377" s="194"/>
      <c r="F377" s="194"/>
      <c r="G377" s="194"/>
      <c r="H377" s="195"/>
    </row>
    <row r="378" spans="1:8" x14ac:dyDescent="0.25">
      <c r="A378" s="63">
        <f>A377+1</f>
        <v>3</v>
      </c>
      <c r="B378" s="72" t="s">
        <v>336</v>
      </c>
      <c r="C378" s="72" t="s">
        <v>332</v>
      </c>
      <c r="D378" s="73">
        <f>(63.79)*10.764</f>
        <v>686.63555999999994</v>
      </c>
      <c r="E378" s="63">
        <v>0</v>
      </c>
      <c r="F378" s="63">
        <f>D378+E378</f>
        <v>686.63555999999994</v>
      </c>
      <c r="G378" s="63">
        <v>0</v>
      </c>
      <c r="H378" s="63">
        <f>F378*(($H$142)+1)+(IF(G378&lt;101,G378,IF(G378&lt;201,G378/2,IF(G378&lt;=301,G378/3,G378/4))))</f>
        <v>1029.95334</v>
      </c>
    </row>
    <row r="379" spans="1:8" x14ac:dyDescent="0.25">
      <c r="A379" s="63">
        <f>A378+1</f>
        <v>4</v>
      </c>
      <c r="B379" s="72" t="s">
        <v>336</v>
      </c>
      <c r="C379" s="72" t="s">
        <v>332</v>
      </c>
      <c r="D379" s="73">
        <f>(62.63)*10.764</f>
        <v>674.14931999999999</v>
      </c>
      <c r="E379" s="63">
        <v>0</v>
      </c>
      <c r="F379" s="63">
        <f>D379+E379</f>
        <v>674.14931999999999</v>
      </c>
      <c r="G379" s="63">
        <v>0</v>
      </c>
      <c r="H379" s="63">
        <f>F379*(($H$142)+1)+(IF(G379&lt;101,G379,IF(G379&lt;201,G379/2,IF(G379&lt;=301,G379/3,G379/4))))</f>
        <v>1011.22398</v>
      </c>
    </row>
    <row r="380" spans="1:8" x14ac:dyDescent="0.25">
      <c r="A380" s="63">
        <f>A379+1</f>
        <v>5</v>
      </c>
      <c r="B380" s="72" t="s">
        <v>336</v>
      </c>
      <c r="C380" s="72" t="s">
        <v>370</v>
      </c>
      <c r="D380" s="73">
        <f>(56.33)*10.764</f>
        <v>606.33611999999994</v>
      </c>
      <c r="E380" s="63">
        <v>0</v>
      </c>
      <c r="F380" s="63">
        <f>D380+E380</f>
        <v>606.33611999999994</v>
      </c>
      <c r="G380" s="63">
        <v>0</v>
      </c>
      <c r="H380" s="63">
        <f>F380*(($H$142)+1)+(IF(G380&lt;101,G380,IF(G380&lt;201,G380/2,IF(G380&lt;=301,G380/3,G380/4))))</f>
        <v>909.50417999999991</v>
      </c>
    </row>
    <row r="381" spans="1:8" x14ac:dyDescent="0.25">
      <c r="A381" s="63">
        <v>6</v>
      </c>
      <c r="B381" s="72" t="s">
        <v>336</v>
      </c>
      <c r="C381" s="72" t="s">
        <v>332</v>
      </c>
      <c r="D381" s="73">
        <f>(63.99)*10.764</f>
        <v>688.78836000000001</v>
      </c>
      <c r="E381" s="63">
        <v>0</v>
      </c>
      <c r="F381" s="63">
        <f>D381+E381</f>
        <v>688.78836000000001</v>
      </c>
      <c r="G381" s="63">
        <v>0</v>
      </c>
      <c r="H381" s="63">
        <f>F381*(($H$142)+1)+(IF(G381&lt;101,G381,IF(G381&lt;201,G381/2,IF(G381&lt;=301,G381/3,G381/4))))</f>
        <v>1033.18254</v>
      </c>
    </row>
    <row r="382" spans="1:8" x14ac:dyDescent="0.25">
      <c r="A382" s="178" t="s">
        <v>357</v>
      </c>
      <c r="B382" s="179"/>
      <c r="C382" s="179"/>
      <c r="D382" s="179"/>
      <c r="E382" s="179"/>
      <c r="F382" s="179"/>
      <c r="G382" s="179"/>
      <c r="H382" s="180"/>
    </row>
    <row r="383" spans="1:8" x14ac:dyDescent="0.25">
      <c r="A383" s="63">
        <v>1</v>
      </c>
      <c r="B383" s="74" t="s">
        <v>336</v>
      </c>
      <c r="C383" s="74" t="s">
        <v>331</v>
      </c>
      <c r="D383" s="76">
        <f>(81.69)*10.764</f>
        <v>879.31115999999997</v>
      </c>
      <c r="E383" s="63">
        <v>0</v>
      </c>
      <c r="F383" s="63">
        <f t="shared" ref="F383:F388" si="56">D383+E383</f>
        <v>879.31115999999997</v>
      </c>
      <c r="G383" s="63">
        <v>0</v>
      </c>
      <c r="H383" s="63">
        <f t="shared" ref="H383:H388" si="57">F383*(($H$142)+1)+(IF(G383&lt;101,G383,IF(G383&lt;201,G383/2,IF(G383&lt;=301,G383/3,G383/4))))</f>
        <v>1318.9667399999998</v>
      </c>
    </row>
    <row r="384" spans="1:8" x14ac:dyDescent="0.25">
      <c r="A384" s="63">
        <f>A383+1</f>
        <v>2</v>
      </c>
      <c r="B384" s="74" t="s">
        <v>330</v>
      </c>
      <c r="C384" s="74" t="s">
        <v>331</v>
      </c>
      <c r="D384" s="76">
        <f>(88.04)*10.764</f>
        <v>947.66255999999998</v>
      </c>
      <c r="E384" s="63">
        <v>0</v>
      </c>
      <c r="F384" s="63">
        <f t="shared" si="56"/>
        <v>947.66255999999998</v>
      </c>
      <c r="G384" s="63">
        <v>0</v>
      </c>
      <c r="H384" s="63">
        <f t="shared" si="57"/>
        <v>1421.4938400000001</v>
      </c>
    </row>
    <row r="385" spans="1:8" x14ac:dyDescent="0.25">
      <c r="A385" s="63">
        <f>A384+1</f>
        <v>3</v>
      </c>
      <c r="B385" s="74" t="s">
        <v>336</v>
      </c>
      <c r="C385" s="74" t="s">
        <v>332</v>
      </c>
      <c r="D385" s="76">
        <f>(63.79)*10.764</f>
        <v>686.63555999999994</v>
      </c>
      <c r="E385" s="63">
        <v>0</v>
      </c>
      <c r="F385" s="63">
        <f t="shared" si="56"/>
        <v>686.63555999999994</v>
      </c>
      <c r="G385" s="63">
        <v>0</v>
      </c>
      <c r="H385" s="63">
        <f t="shared" si="57"/>
        <v>1029.95334</v>
      </c>
    </row>
    <row r="386" spans="1:8" x14ac:dyDescent="0.25">
      <c r="A386" s="63">
        <f>A385+1</f>
        <v>4</v>
      </c>
      <c r="B386" s="74" t="s">
        <v>336</v>
      </c>
      <c r="C386" s="74" t="s">
        <v>332</v>
      </c>
      <c r="D386" s="76">
        <f>(62.63)*10.764</f>
        <v>674.14931999999999</v>
      </c>
      <c r="E386" s="63">
        <v>0</v>
      </c>
      <c r="F386" s="63">
        <f t="shared" si="56"/>
        <v>674.14931999999999</v>
      </c>
      <c r="G386" s="63">
        <v>0</v>
      </c>
      <c r="H386" s="63">
        <f t="shared" si="57"/>
        <v>1011.22398</v>
      </c>
    </row>
    <row r="387" spans="1:8" x14ac:dyDescent="0.25">
      <c r="A387" s="63">
        <f>A386+1</f>
        <v>5</v>
      </c>
      <c r="B387" s="74" t="s">
        <v>336</v>
      </c>
      <c r="C387" s="72" t="s">
        <v>370</v>
      </c>
      <c r="D387" s="76">
        <f>(56.33)*10.764</f>
        <v>606.33611999999994</v>
      </c>
      <c r="E387" s="63">
        <v>0</v>
      </c>
      <c r="F387" s="63">
        <f t="shared" si="56"/>
        <v>606.33611999999994</v>
      </c>
      <c r="G387" s="63">
        <v>0</v>
      </c>
      <c r="H387" s="63">
        <f t="shared" si="57"/>
        <v>909.50417999999991</v>
      </c>
    </row>
    <row r="388" spans="1:8" x14ac:dyDescent="0.25">
      <c r="A388" s="63">
        <v>6</v>
      </c>
      <c r="B388" s="74" t="s">
        <v>336</v>
      </c>
      <c r="C388" s="74" t="s">
        <v>332</v>
      </c>
      <c r="D388" s="76">
        <f>(63.99)*10.764</f>
        <v>688.78836000000001</v>
      </c>
      <c r="E388" s="63">
        <v>0</v>
      </c>
      <c r="F388" s="63">
        <f t="shared" si="56"/>
        <v>688.78836000000001</v>
      </c>
      <c r="G388" s="63">
        <v>0</v>
      </c>
      <c r="H388" s="63">
        <f t="shared" si="57"/>
        <v>1033.18254</v>
      </c>
    </row>
    <row r="389" spans="1:8" x14ac:dyDescent="0.25">
      <c r="A389" s="178" t="s">
        <v>358</v>
      </c>
      <c r="B389" s="179"/>
      <c r="C389" s="179"/>
      <c r="D389" s="179"/>
      <c r="E389" s="179"/>
      <c r="F389" s="179"/>
      <c r="G389" s="179"/>
      <c r="H389" s="180"/>
    </row>
    <row r="390" spans="1:8" x14ac:dyDescent="0.25">
      <c r="A390" s="63">
        <v>1</v>
      </c>
      <c r="B390" s="72" t="s">
        <v>336</v>
      </c>
      <c r="C390" s="72" t="s">
        <v>331</v>
      </c>
      <c r="D390" s="73">
        <f>(81.69)*10.764</f>
        <v>879.31115999999997</v>
      </c>
      <c r="E390" s="63">
        <v>0</v>
      </c>
      <c r="F390" s="63">
        <f t="shared" ref="F390:F395" si="58">D390+E390</f>
        <v>879.31115999999997</v>
      </c>
      <c r="G390" s="63">
        <v>0</v>
      </c>
      <c r="H390" s="63">
        <f t="shared" ref="H390:H395" si="59">F390*(($H$142)+1)+(IF(G390&lt;101,G390,IF(G390&lt;201,G390/2,IF(G390&lt;=301,G390/3,G390/4))))</f>
        <v>1318.9667399999998</v>
      </c>
    </row>
    <row r="391" spans="1:8" x14ac:dyDescent="0.25">
      <c r="A391" s="63">
        <f>A390+1</f>
        <v>2</v>
      </c>
      <c r="B391" s="72" t="s">
        <v>330</v>
      </c>
      <c r="C391" s="72" t="s">
        <v>331</v>
      </c>
      <c r="D391" s="73">
        <f>(88.04)*10.764</f>
        <v>947.66255999999998</v>
      </c>
      <c r="E391" s="63">
        <v>0</v>
      </c>
      <c r="F391" s="63">
        <f t="shared" si="58"/>
        <v>947.66255999999998</v>
      </c>
      <c r="G391" s="63">
        <v>0</v>
      </c>
      <c r="H391" s="63">
        <f t="shared" si="59"/>
        <v>1421.4938400000001</v>
      </c>
    </row>
    <row r="392" spans="1:8" x14ac:dyDescent="0.25">
      <c r="A392" s="63">
        <f>A391+1</f>
        <v>3</v>
      </c>
      <c r="B392" s="72" t="s">
        <v>330</v>
      </c>
      <c r="C392" s="72" t="s">
        <v>332</v>
      </c>
      <c r="D392" s="73">
        <f>(63.79)*10.764</f>
        <v>686.63555999999994</v>
      </c>
      <c r="E392" s="63">
        <v>0</v>
      </c>
      <c r="F392" s="63">
        <f t="shared" si="58"/>
        <v>686.63555999999994</v>
      </c>
      <c r="G392" s="63">
        <v>0</v>
      </c>
      <c r="H392" s="63">
        <f t="shared" si="59"/>
        <v>1029.95334</v>
      </c>
    </row>
    <row r="393" spans="1:8" x14ac:dyDescent="0.25">
      <c r="A393" s="63">
        <f>A392+1</f>
        <v>4</v>
      </c>
      <c r="B393" s="72" t="s">
        <v>336</v>
      </c>
      <c r="C393" s="72" t="s">
        <v>332</v>
      </c>
      <c r="D393" s="73">
        <f>(62.63)*10.764</f>
        <v>674.14931999999999</v>
      </c>
      <c r="E393" s="63">
        <v>0</v>
      </c>
      <c r="F393" s="63">
        <f t="shared" si="58"/>
        <v>674.14931999999999</v>
      </c>
      <c r="G393" s="63">
        <v>0</v>
      </c>
      <c r="H393" s="63">
        <f t="shared" si="59"/>
        <v>1011.22398</v>
      </c>
    </row>
    <row r="394" spans="1:8" x14ac:dyDescent="0.25">
      <c r="A394" s="63">
        <f>A393+1</f>
        <v>5</v>
      </c>
      <c r="B394" s="72" t="s">
        <v>336</v>
      </c>
      <c r="C394" s="72" t="s">
        <v>370</v>
      </c>
      <c r="D394" s="73">
        <f>(56.33)*10.764</f>
        <v>606.33611999999994</v>
      </c>
      <c r="E394" s="63">
        <v>0</v>
      </c>
      <c r="F394" s="63">
        <f t="shared" si="58"/>
        <v>606.33611999999994</v>
      </c>
      <c r="G394" s="63">
        <v>0</v>
      </c>
      <c r="H394" s="63">
        <f t="shared" si="59"/>
        <v>909.50417999999991</v>
      </c>
    </row>
    <row r="395" spans="1:8" x14ac:dyDescent="0.25">
      <c r="A395" s="63">
        <v>6</v>
      </c>
      <c r="B395" s="72" t="s">
        <v>336</v>
      </c>
      <c r="C395" s="72" t="s">
        <v>332</v>
      </c>
      <c r="D395" s="73">
        <f>(63.99)*10.764</f>
        <v>688.78836000000001</v>
      </c>
      <c r="E395" s="63">
        <v>0</v>
      </c>
      <c r="F395" s="63">
        <f t="shared" si="58"/>
        <v>688.78836000000001</v>
      </c>
      <c r="G395" s="63">
        <v>0</v>
      </c>
      <c r="H395" s="63">
        <f t="shared" si="59"/>
        <v>1033.18254</v>
      </c>
    </row>
    <row r="396" spans="1:8" x14ac:dyDescent="0.25">
      <c r="A396" s="178" t="s">
        <v>359</v>
      </c>
      <c r="B396" s="179"/>
      <c r="C396" s="179"/>
      <c r="D396" s="179"/>
      <c r="E396" s="179"/>
      <c r="F396" s="179"/>
      <c r="G396" s="179"/>
      <c r="H396" s="180"/>
    </row>
    <row r="397" spans="1:8" x14ac:dyDescent="0.25">
      <c r="A397" s="63">
        <v>1</v>
      </c>
      <c r="B397" s="72" t="s">
        <v>336</v>
      </c>
      <c r="C397" s="72" t="s">
        <v>331</v>
      </c>
      <c r="D397" s="73">
        <f>(81.69)*10.764</f>
        <v>879.31115999999997</v>
      </c>
      <c r="E397" s="63">
        <v>0</v>
      </c>
      <c r="F397" s="63">
        <f t="shared" ref="F397:F402" si="60">D397+E397</f>
        <v>879.31115999999997</v>
      </c>
      <c r="G397" s="63">
        <v>0</v>
      </c>
      <c r="H397" s="63">
        <f t="shared" ref="H397:H402" si="61">F397*(($H$142)+1)+(IF(G397&lt;101,G397,IF(G397&lt;201,G397/2,IF(G397&lt;=301,G397/3,G397/4))))</f>
        <v>1318.9667399999998</v>
      </c>
    </row>
    <row r="398" spans="1:8" x14ac:dyDescent="0.25">
      <c r="A398" s="63">
        <f>A397+1</f>
        <v>2</v>
      </c>
      <c r="B398" s="72" t="s">
        <v>336</v>
      </c>
      <c r="C398" s="72" t="s">
        <v>331</v>
      </c>
      <c r="D398" s="73">
        <f>(88.04)*10.764</f>
        <v>947.66255999999998</v>
      </c>
      <c r="E398" s="63">
        <v>0</v>
      </c>
      <c r="F398" s="63">
        <f t="shared" si="60"/>
        <v>947.66255999999998</v>
      </c>
      <c r="G398" s="63">
        <v>0</v>
      </c>
      <c r="H398" s="63">
        <f t="shared" si="61"/>
        <v>1421.4938400000001</v>
      </c>
    </row>
    <row r="399" spans="1:8" x14ac:dyDescent="0.25">
      <c r="A399" s="63">
        <f>A398+1</f>
        <v>3</v>
      </c>
      <c r="B399" s="72" t="s">
        <v>336</v>
      </c>
      <c r="C399" s="72" t="s">
        <v>332</v>
      </c>
      <c r="D399" s="73">
        <f>(63.79)*10.764</f>
        <v>686.63555999999994</v>
      </c>
      <c r="E399" s="63">
        <v>0</v>
      </c>
      <c r="F399" s="63">
        <f t="shared" si="60"/>
        <v>686.63555999999994</v>
      </c>
      <c r="G399" s="63">
        <v>0</v>
      </c>
      <c r="H399" s="63">
        <f t="shared" si="61"/>
        <v>1029.95334</v>
      </c>
    </row>
    <row r="400" spans="1:8" x14ac:dyDescent="0.25">
      <c r="A400" s="63">
        <f>A399+1</f>
        <v>4</v>
      </c>
      <c r="B400" s="72" t="s">
        <v>336</v>
      </c>
      <c r="C400" s="72" t="s">
        <v>332</v>
      </c>
      <c r="D400" s="73">
        <f>(62.63)*10.764</f>
        <v>674.14931999999999</v>
      </c>
      <c r="E400" s="63">
        <v>0</v>
      </c>
      <c r="F400" s="63">
        <f t="shared" si="60"/>
        <v>674.14931999999999</v>
      </c>
      <c r="G400" s="63">
        <v>0</v>
      </c>
      <c r="H400" s="63">
        <f t="shared" si="61"/>
        <v>1011.22398</v>
      </c>
    </row>
    <row r="401" spans="1:8" x14ac:dyDescent="0.25">
      <c r="A401" s="63">
        <f>A400+1</f>
        <v>5</v>
      </c>
      <c r="B401" s="72" t="s">
        <v>336</v>
      </c>
      <c r="C401" s="72" t="s">
        <v>370</v>
      </c>
      <c r="D401" s="73">
        <f>(56.33)*10.764</f>
        <v>606.33611999999994</v>
      </c>
      <c r="E401" s="63">
        <v>0</v>
      </c>
      <c r="F401" s="63">
        <f t="shared" si="60"/>
        <v>606.33611999999994</v>
      </c>
      <c r="G401" s="63">
        <v>0</v>
      </c>
      <c r="H401" s="63">
        <f t="shared" si="61"/>
        <v>909.50417999999991</v>
      </c>
    </row>
    <row r="402" spans="1:8" x14ac:dyDescent="0.25">
      <c r="A402" s="63">
        <v>6</v>
      </c>
      <c r="B402" s="72" t="s">
        <v>336</v>
      </c>
      <c r="C402" s="72" t="s">
        <v>332</v>
      </c>
      <c r="D402" s="73">
        <f>(63.99)*10.764</f>
        <v>688.78836000000001</v>
      </c>
      <c r="E402" s="63">
        <v>0</v>
      </c>
      <c r="F402" s="63">
        <f t="shared" si="60"/>
        <v>688.78836000000001</v>
      </c>
      <c r="G402" s="63">
        <v>0</v>
      </c>
      <c r="H402" s="63">
        <f t="shared" si="61"/>
        <v>1033.18254</v>
      </c>
    </row>
    <row r="403" spans="1:8" x14ac:dyDescent="0.25">
      <c r="A403" s="178" t="s">
        <v>349</v>
      </c>
      <c r="B403" s="179"/>
      <c r="C403" s="179"/>
      <c r="D403" s="179"/>
      <c r="E403" s="179"/>
      <c r="F403" s="179"/>
      <c r="G403" s="179"/>
      <c r="H403" s="180"/>
    </row>
    <row r="404" spans="1:8" x14ac:dyDescent="0.25">
      <c r="A404" s="63">
        <v>1</v>
      </c>
      <c r="B404" s="74" t="s">
        <v>336</v>
      </c>
      <c r="C404" s="72" t="s">
        <v>332</v>
      </c>
      <c r="D404" s="73">
        <f>(66.23)*10.764</f>
        <v>712.89972</v>
      </c>
      <c r="E404" s="63">
        <v>0</v>
      </c>
      <c r="F404" s="63">
        <f>D404+E404</f>
        <v>712.89972</v>
      </c>
      <c r="G404" s="63">
        <v>0</v>
      </c>
      <c r="H404" s="63">
        <f>F404*(($H$142)+1)+(IF(G404&lt;101,G404,IF(G404&lt;201,G404/2,IF(G404&lt;=301,G404/3,G404/4))))</f>
        <v>1069.3495800000001</v>
      </c>
    </row>
    <row r="405" spans="1:8" x14ac:dyDescent="0.25">
      <c r="A405" s="63">
        <f>A404+1</f>
        <v>2</v>
      </c>
      <c r="B405" s="193" t="s">
        <v>335</v>
      </c>
      <c r="C405" s="194"/>
      <c r="D405" s="194"/>
      <c r="E405" s="194"/>
      <c r="F405" s="194"/>
      <c r="G405" s="194"/>
      <c r="H405" s="195"/>
    </row>
    <row r="406" spans="1:8" x14ac:dyDescent="0.25">
      <c r="A406" s="63">
        <f>A405+1</f>
        <v>3</v>
      </c>
      <c r="B406" s="74" t="s">
        <v>336</v>
      </c>
      <c r="C406" s="72" t="s">
        <v>332</v>
      </c>
      <c r="D406" s="73">
        <f>(63.79)*10.764</f>
        <v>686.63555999999994</v>
      </c>
      <c r="E406" s="63">
        <v>0</v>
      </c>
      <c r="F406" s="63">
        <f>D406+E406</f>
        <v>686.63555999999994</v>
      </c>
      <c r="G406" s="63">
        <v>0</v>
      </c>
      <c r="H406" s="63">
        <f>F406*(($H$142)+1)+(IF(G406&lt;101,G406,IF(G406&lt;201,G406/2,IF(G406&lt;=301,G406/3,G406/4))))</f>
        <v>1029.95334</v>
      </c>
    </row>
    <row r="407" spans="1:8" x14ac:dyDescent="0.25">
      <c r="A407" s="63">
        <f>A406+1</f>
        <v>4</v>
      </c>
      <c r="B407" s="74" t="s">
        <v>336</v>
      </c>
      <c r="C407" s="72" t="s">
        <v>332</v>
      </c>
      <c r="D407" s="73">
        <f>(62.63)*10.764</f>
        <v>674.14931999999999</v>
      </c>
      <c r="E407" s="63">
        <v>0</v>
      </c>
      <c r="F407" s="63">
        <f>D407+E407</f>
        <v>674.14931999999999</v>
      </c>
      <c r="G407" s="63">
        <v>0</v>
      </c>
      <c r="H407" s="63">
        <f>F407*(($H$142)+1)+(IF(G407&lt;101,G407,IF(G407&lt;201,G407/2,IF(G407&lt;=301,G407/3,G407/4))))</f>
        <v>1011.22398</v>
      </c>
    </row>
    <row r="408" spans="1:8" x14ac:dyDescent="0.25">
      <c r="A408" s="63">
        <f>A407+1</f>
        <v>5</v>
      </c>
      <c r="B408" s="74" t="s">
        <v>336</v>
      </c>
      <c r="C408" s="72" t="s">
        <v>370</v>
      </c>
      <c r="D408" s="73">
        <f>(56.33)*10.764</f>
        <v>606.33611999999994</v>
      </c>
      <c r="E408" s="63">
        <v>0</v>
      </c>
      <c r="F408" s="63">
        <f>D408+E408</f>
        <v>606.33611999999994</v>
      </c>
      <c r="G408" s="63">
        <v>0</v>
      </c>
      <c r="H408" s="63">
        <f>F408*(($H$142)+1)+(IF(G408&lt;101,G408,IF(G408&lt;201,G408/2,IF(G408&lt;=301,G408/3,G408/4))))</f>
        <v>909.50417999999991</v>
      </c>
    </row>
    <row r="409" spans="1:8" x14ac:dyDescent="0.25">
      <c r="A409" s="63">
        <v>6</v>
      </c>
      <c r="B409" s="74" t="s">
        <v>336</v>
      </c>
      <c r="C409" s="72" t="s">
        <v>332</v>
      </c>
      <c r="D409" s="73">
        <f>(63.99)*10.764</f>
        <v>688.78836000000001</v>
      </c>
      <c r="E409" s="63">
        <v>0</v>
      </c>
      <c r="F409" s="63">
        <f>D409+E409</f>
        <v>688.78836000000001</v>
      </c>
      <c r="G409" s="63">
        <v>0</v>
      </c>
      <c r="H409" s="63">
        <f>F409*(($H$142)+1)+(IF(G409&lt;101,G409,IF(G409&lt;201,G409/2,IF(G409&lt;=301,G409/3,G409/4))))</f>
        <v>1033.18254</v>
      </c>
    </row>
    <row r="410" spans="1:8" x14ac:dyDescent="0.25">
      <c r="A410" s="184" t="s">
        <v>65</v>
      </c>
      <c r="B410" s="185"/>
      <c r="C410" s="185"/>
      <c r="D410" s="185"/>
      <c r="E410" s="185"/>
      <c r="F410" s="185"/>
      <c r="G410" s="185"/>
      <c r="H410" s="186"/>
    </row>
    <row r="411" spans="1:8" x14ac:dyDescent="0.25">
      <c r="A411" s="41" t="s">
        <v>150</v>
      </c>
      <c r="B411" s="78" t="s">
        <v>397</v>
      </c>
      <c r="C411" s="79"/>
      <c r="D411" s="79"/>
      <c r="E411" s="79"/>
      <c r="F411" s="79"/>
      <c r="G411" s="79"/>
      <c r="H411" s="80"/>
    </row>
    <row r="412" spans="1:8" x14ac:dyDescent="0.25">
      <c r="A412" s="41" t="s">
        <v>150</v>
      </c>
      <c r="B412" s="78" t="str">
        <f>(IF(H141="Saleable area Loading :","We have considered Saleable area of Flats as per our Calculation.","We considered Saleable area of Flat as per Builder area Sheet."))</f>
        <v>We have considered Saleable area of Flats as per our Calculation.</v>
      </c>
      <c r="C412" s="79"/>
      <c r="D412" s="79"/>
      <c r="E412" s="79"/>
      <c r="F412" s="79"/>
      <c r="G412" s="79"/>
      <c r="H412" s="80"/>
    </row>
    <row r="413" spans="1:8" hidden="1" x14ac:dyDescent="0.25">
      <c r="A413" s="41" t="s">
        <v>150</v>
      </c>
      <c r="B413" s="78" t="str">
        <f>(IF(H133="Saleable area Loading :","We have considered Saleable area of Commercial as per our Calculation.","We considered Saleable area of Commercial as per Builder area Sheet."))</f>
        <v>We have considered Saleable area of Commercial as per our Calculation.</v>
      </c>
      <c r="C413" s="79"/>
      <c r="D413" s="79"/>
      <c r="E413" s="79"/>
      <c r="F413" s="79"/>
      <c r="G413" s="79"/>
      <c r="H413" s="80"/>
    </row>
    <row r="414" spans="1:8" x14ac:dyDescent="0.25">
      <c r="A414" s="41" t="s">
        <v>150</v>
      </c>
      <c r="B414" s="181" t="s">
        <v>120</v>
      </c>
      <c r="C414" s="182"/>
      <c r="D414" s="182"/>
      <c r="E414" s="182"/>
      <c r="F414" s="182"/>
      <c r="G414" s="182"/>
      <c r="H414" s="183"/>
    </row>
    <row r="415" spans="1:8" hidden="1" x14ac:dyDescent="0.25">
      <c r="A415" s="41" t="s">
        <v>150</v>
      </c>
      <c r="B415" s="181" t="s">
        <v>360</v>
      </c>
      <c r="C415" s="182"/>
      <c r="D415" s="182"/>
      <c r="E415" s="182"/>
      <c r="F415" s="182"/>
      <c r="G415" s="182"/>
      <c r="H415" s="183"/>
    </row>
    <row r="416" spans="1:8" x14ac:dyDescent="0.25">
      <c r="A416" s="41" t="s">
        <v>150</v>
      </c>
      <c r="B416" s="181" t="s">
        <v>149</v>
      </c>
      <c r="C416" s="182"/>
      <c r="D416" s="182"/>
      <c r="E416" s="182"/>
      <c r="F416" s="182"/>
      <c r="G416" s="182"/>
      <c r="H416" s="183"/>
    </row>
    <row r="417" spans="1:8" x14ac:dyDescent="0.25">
      <c r="A417" s="41" t="s">
        <v>150</v>
      </c>
      <c r="B417" s="181" t="s">
        <v>121</v>
      </c>
      <c r="C417" s="182"/>
      <c r="D417" s="182"/>
      <c r="E417" s="182"/>
      <c r="F417" s="182"/>
      <c r="G417" s="182"/>
      <c r="H417" s="183"/>
    </row>
    <row r="418" spans="1:8" ht="35.25" customHeight="1" x14ac:dyDescent="0.25">
      <c r="A418" s="41" t="s">
        <v>150</v>
      </c>
      <c r="B418" s="181" t="s">
        <v>151</v>
      </c>
      <c r="C418" s="182"/>
      <c r="D418" s="182"/>
      <c r="E418" s="182"/>
      <c r="F418" s="182"/>
      <c r="G418" s="182"/>
      <c r="H418" s="183"/>
    </row>
    <row r="419" spans="1:8" x14ac:dyDescent="0.25">
      <c r="A419" s="41" t="s">
        <v>150</v>
      </c>
      <c r="B419" s="181" t="s">
        <v>122</v>
      </c>
      <c r="C419" s="182"/>
      <c r="D419" s="182"/>
      <c r="E419" s="182"/>
      <c r="F419" s="182"/>
      <c r="G419" s="182"/>
      <c r="H419" s="183"/>
    </row>
    <row r="420" spans="1:8" hidden="1" x14ac:dyDescent="0.25">
      <c r="A420" s="64" t="s">
        <v>150</v>
      </c>
      <c r="B420" s="78" t="s">
        <v>174</v>
      </c>
      <c r="C420" s="79"/>
      <c r="D420" s="79"/>
      <c r="E420" s="79"/>
      <c r="F420" s="79"/>
      <c r="G420" s="79"/>
      <c r="H420" s="80"/>
    </row>
    <row r="421" spans="1:8" ht="15.75" customHeight="1" x14ac:dyDescent="0.25">
      <c r="A421" s="64" t="s">
        <v>150</v>
      </c>
      <c r="B421" s="78" t="s">
        <v>317</v>
      </c>
      <c r="C421" s="79"/>
      <c r="D421" s="79"/>
      <c r="E421" s="79"/>
      <c r="F421" s="79"/>
      <c r="G421" s="79"/>
      <c r="H421" s="80"/>
    </row>
    <row r="422" spans="1:8" hidden="1" x14ac:dyDescent="0.25">
      <c r="A422" s="64" t="s">
        <v>150</v>
      </c>
      <c r="B422" s="78" t="s">
        <v>366</v>
      </c>
      <c r="C422" s="79"/>
      <c r="D422" s="79"/>
      <c r="E422" s="79"/>
      <c r="F422" s="79"/>
      <c r="G422" s="79"/>
      <c r="H422" s="80"/>
    </row>
    <row r="423" spans="1:8" ht="15.75" customHeight="1" x14ac:dyDescent="0.25">
      <c r="A423" s="64" t="s">
        <v>150</v>
      </c>
      <c r="B423" s="78" t="s">
        <v>382</v>
      </c>
      <c r="C423" s="79"/>
      <c r="D423" s="79"/>
      <c r="E423" s="79"/>
      <c r="F423" s="79"/>
      <c r="G423" s="79"/>
      <c r="H423" s="80"/>
    </row>
    <row r="424" spans="1:8" ht="15.75" customHeight="1" x14ac:dyDescent="0.25">
      <c r="A424" s="64" t="s">
        <v>150</v>
      </c>
      <c r="B424" s="78" t="s">
        <v>387</v>
      </c>
      <c r="C424" s="79"/>
      <c r="D424" s="79"/>
      <c r="E424" s="79"/>
      <c r="F424" s="79"/>
      <c r="G424" s="79"/>
      <c r="H424" s="80"/>
    </row>
    <row r="425" spans="1:8" ht="15.75" customHeight="1" x14ac:dyDescent="0.25">
      <c r="A425" s="64" t="s">
        <v>150</v>
      </c>
      <c r="B425" s="78" t="s">
        <v>398</v>
      </c>
      <c r="C425" s="79"/>
      <c r="D425" s="79"/>
      <c r="E425" s="79"/>
      <c r="F425" s="79"/>
      <c r="G425" s="79"/>
      <c r="H425" s="80"/>
    </row>
    <row r="426" spans="1:8" x14ac:dyDescent="0.25">
      <c r="A426" s="177" t="s">
        <v>58</v>
      </c>
      <c r="B426" s="177"/>
      <c r="C426" s="177"/>
      <c r="D426" s="177"/>
      <c r="E426" s="177"/>
      <c r="F426" s="177"/>
      <c r="G426" s="177"/>
      <c r="H426" s="177"/>
    </row>
    <row r="427" spans="1:8" x14ac:dyDescent="0.25">
      <c r="A427" s="81" t="s">
        <v>59</v>
      </c>
      <c r="B427" s="81"/>
      <c r="C427" s="81"/>
      <c r="D427" s="81"/>
      <c r="E427" s="81"/>
      <c r="F427" s="81"/>
      <c r="G427" s="81"/>
      <c r="H427" s="81"/>
    </row>
    <row r="428" spans="1:8" x14ac:dyDescent="0.25">
      <c r="A428" s="196" t="s">
        <v>60</v>
      </c>
      <c r="B428" s="196"/>
      <c r="C428" s="196"/>
      <c r="D428" s="196"/>
      <c r="E428" s="196"/>
      <c r="F428" s="196"/>
      <c r="G428" s="196"/>
      <c r="H428" s="196"/>
    </row>
    <row r="429" spans="1:8" x14ac:dyDescent="0.25">
      <c r="A429" s="81" t="s">
        <v>61</v>
      </c>
      <c r="B429" s="81"/>
      <c r="C429" s="81"/>
      <c r="D429" s="81"/>
      <c r="E429" s="81"/>
      <c r="F429" s="81"/>
      <c r="G429" s="81"/>
      <c r="H429" s="81"/>
    </row>
    <row r="430" spans="1:8" x14ac:dyDescent="0.25">
      <c r="A430" s="81" t="s">
        <v>62</v>
      </c>
      <c r="B430" s="81"/>
      <c r="C430" s="81"/>
      <c r="D430" s="81"/>
      <c r="E430" s="81"/>
      <c r="F430" s="81"/>
      <c r="G430" s="81"/>
      <c r="H430" s="81"/>
    </row>
    <row r="431" spans="1:8" x14ac:dyDescent="0.25">
      <c r="A431" s="81" t="s">
        <v>123</v>
      </c>
      <c r="B431" s="81"/>
      <c r="C431" s="81"/>
      <c r="D431" s="81"/>
      <c r="E431" s="81"/>
      <c r="F431" s="81"/>
      <c r="G431" s="81"/>
      <c r="H431" s="81"/>
    </row>
    <row r="432" spans="1:8" x14ac:dyDescent="0.25">
      <c r="A432" s="135" t="s">
        <v>124</v>
      </c>
      <c r="B432" s="135"/>
      <c r="C432" s="135"/>
      <c r="D432" s="135"/>
      <c r="E432" s="135"/>
      <c r="F432" s="135"/>
      <c r="G432" s="135"/>
      <c r="H432" s="135"/>
    </row>
    <row r="433" spans="1:8" x14ac:dyDescent="0.25">
      <c r="A433" s="176" t="s">
        <v>73</v>
      </c>
      <c r="B433" s="176"/>
      <c r="C433" s="176" t="s">
        <v>391</v>
      </c>
      <c r="D433" s="176"/>
      <c r="E433" s="176" t="s">
        <v>101</v>
      </c>
      <c r="F433" s="176"/>
      <c r="G433" s="176" t="s">
        <v>396</v>
      </c>
      <c r="H433" s="176"/>
    </row>
    <row r="434" spans="1:8" x14ac:dyDescent="0.25">
      <c r="A434" s="175" t="s">
        <v>75</v>
      </c>
      <c r="B434" s="175"/>
      <c r="C434" s="175"/>
      <c r="D434" s="175"/>
      <c r="E434" s="175"/>
      <c r="F434" s="175"/>
      <c r="G434" s="175"/>
      <c r="H434" s="175"/>
    </row>
    <row r="435" spans="1:8" x14ac:dyDescent="0.25">
      <c r="A435" s="175"/>
      <c r="B435" s="175"/>
      <c r="C435" s="175"/>
      <c r="D435" s="175"/>
      <c r="E435" s="175"/>
      <c r="F435" s="175"/>
      <c r="G435" s="175"/>
      <c r="H435" s="175"/>
    </row>
    <row r="436" spans="1:8" x14ac:dyDescent="0.25">
      <c r="A436" s="175"/>
      <c r="B436" s="175"/>
      <c r="C436" s="175"/>
      <c r="D436" s="175"/>
      <c r="E436" s="175"/>
      <c r="F436" s="175"/>
      <c r="G436" s="175"/>
      <c r="H436" s="175"/>
    </row>
    <row r="437" spans="1:8" x14ac:dyDescent="0.25">
      <c r="A437" s="175"/>
      <c r="B437" s="175"/>
      <c r="C437" s="175"/>
      <c r="D437" s="175"/>
      <c r="E437" s="175"/>
      <c r="F437" s="175"/>
      <c r="G437" s="175"/>
      <c r="H437" s="175"/>
    </row>
    <row r="438" spans="1:8" x14ac:dyDescent="0.25">
      <c r="A438" s="35" t="s">
        <v>63</v>
      </c>
      <c r="B438" s="36"/>
      <c r="C438" s="36"/>
      <c r="D438" s="35" t="str">
        <f>E9</f>
        <v>Shraddha Paradise</v>
      </c>
      <c r="F438" s="36"/>
      <c r="G438" s="36"/>
      <c r="H438" s="36"/>
    </row>
    <row r="439" spans="1:8" x14ac:dyDescent="0.25">
      <c r="A439" s="36"/>
      <c r="B439" s="36"/>
      <c r="C439" s="36"/>
      <c r="D439" s="36"/>
      <c r="E439" s="36"/>
      <c r="F439" s="36"/>
      <c r="G439" s="36"/>
      <c r="H439" s="36"/>
    </row>
    <row r="440" spans="1:8" x14ac:dyDescent="0.25">
      <c r="A440" s="36"/>
      <c r="B440" s="36"/>
      <c r="C440" s="36"/>
      <c r="D440" s="36"/>
      <c r="E440" s="36"/>
      <c r="F440" s="36"/>
      <c r="G440" s="36"/>
      <c r="H440" s="36"/>
    </row>
    <row r="482" spans="1:1" x14ac:dyDescent="0.25">
      <c r="A482" s="38" t="s">
        <v>161</v>
      </c>
    </row>
    <row r="526" spans="1:1" x14ac:dyDescent="0.25">
      <c r="A526" s="38" t="s">
        <v>64</v>
      </c>
    </row>
  </sheetData>
  <mergeCells count="388">
    <mergeCell ref="B424:H424"/>
    <mergeCell ref="I11:L11"/>
    <mergeCell ref="A403:H403"/>
    <mergeCell ref="B405:H405"/>
    <mergeCell ref="A120:H120"/>
    <mergeCell ref="A121:B121"/>
    <mergeCell ref="C121:D121"/>
    <mergeCell ref="E121:F121"/>
    <mergeCell ref="G121:H121"/>
    <mergeCell ref="A122:B122"/>
    <mergeCell ref="C122:D122"/>
    <mergeCell ref="E122:F122"/>
    <mergeCell ref="G122:H122"/>
    <mergeCell ref="A123:B123"/>
    <mergeCell ref="C123:D123"/>
    <mergeCell ref="E123:F123"/>
    <mergeCell ref="G123:H123"/>
    <mergeCell ref="A124:B124"/>
    <mergeCell ref="C124:D124"/>
    <mergeCell ref="E124:F124"/>
    <mergeCell ref="G124:H124"/>
    <mergeCell ref="A305:H305"/>
    <mergeCell ref="A312:H312"/>
    <mergeCell ref="A319:H319"/>
    <mergeCell ref="B307:H307"/>
    <mergeCell ref="A375:H375"/>
    <mergeCell ref="B377:H377"/>
    <mergeCell ref="A382:H382"/>
    <mergeCell ref="A389:H389"/>
    <mergeCell ref="B240:H240"/>
    <mergeCell ref="B417:H417"/>
    <mergeCell ref="B413:H413"/>
    <mergeCell ref="B411:H411"/>
    <mergeCell ref="A245:H245"/>
    <mergeCell ref="A252:H252"/>
    <mergeCell ref="A266:H266"/>
    <mergeCell ref="B268:H268"/>
    <mergeCell ref="A273:H273"/>
    <mergeCell ref="B277:H278"/>
    <mergeCell ref="A280:H280"/>
    <mergeCell ref="A281:H281"/>
    <mergeCell ref="A282:H282"/>
    <mergeCell ref="A333:H333"/>
    <mergeCell ref="A340:H340"/>
    <mergeCell ref="B342:H342"/>
    <mergeCell ref="A347:H347"/>
    <mergeCell ref="A354:H354"/>
    <mergeCell ref="A361:H361"/>
    <mergeCell ref="A396:H396"/>
    <mergeCell ref="A284:H284"/>
    <mergeCell ref="A291:H291"/>
    <mergeCell ref="A298:H298"/>
    <mergeCell ref="A189:H189"/>
    <mergeCell ref="A196:H196"/>
    <mergeCell ref="A203:H203"/>
    <mergeCell ref="A210:H210"/>
    <mergeCell ref="B212:H212"/>
    <mergeCell ref="A217:H217"/>
    <mergeCell ref="A224:H224"/>
    <mergeCell ref="A231:H231"/>
    <mergeCell ref="A238:H238"/>
    <mergeCell ref="A259:H259"/>
    <mergeCell ref="C52:E52"/>
    <mergeCell ref="A63:C63"/>
    <mergeCell ref="D63:H63"/>
    <mergeCell ref="G60:H60"/>
    <mergeCell ref="A54:B55"/>
    <mergeCell ref="C54:E54"/>
    <mergeCell ref="G54:H54"/>
    <mergeCell ref="A56:B57"/>
    <mergeCell ref="C56:E56"/>
    <mergeCell ref="G56:H56"/>
    <mergeCell ref="A58:B59"/>
    <mergeCell ref="C58:E58"/>
    <mergeCell ref="G58:H58"/>
    <mergeCell ref="A62:C62"/>
    <mergeCell ref="I15:P15"/>
    <mergeCell ref="F112:H112"/>
    <mergeCell ref="F110:H110"/>
    <mergeCell ref="A132:H132"/>
    <mergeCell ref="G116:H116"/>
    <mergeCell ref="A111:E111"/>
    <mergeCell ref="A137:B137"/>
    <mergeCell ref="A60:B60"/>
    <mergeCell ref="C60:E60"/>
    <mergeCell ref="D62:H62"/>
    <mergeCell ref="F111:H111"/>
    <mergeCell ref="E116:F116"/>
    <mergeCell ref="A116:B116"/>
    <mergeCell ref="A118:B118"/>
    <mergeCell ref="C126:D126"/>
    <mergeCell ref="D71:H71"/>
    <mergeCell ref="A72:C72"/>
    <mergeCell ref="E43:H43"/>
    <mergeCell ref="A43:D43"/>
    <mergeCell ref="A88:B88"/>
    <mergeCell ref="C88:H88"/>
    <mergeCell ref="A83:B83"/>
    <mergeCell ref="A61:H61"/>
    <mergeCell ref="A50:B50"/>
    <mergeCell ref="A431:H431"/>
    <mergeCell ref="A428:H428"/>
    <mergeCell ref="A126:B126"/>
    <mergeCell ref="D141:D142"/>
    <mergeCell ref="E141:E142"/>
    <mergeCell ref="A96:B96"/>
    <mergeCell ref="A97:B97"/>
    <mergeCell ref="A98:B98"/>
    <mergeCell ref="F103:H103"/>
    <mergeCell ref="G117:H117"/>
    <mergeCell ref="F109:H109"/>
    <mergeCell ref="C116:D116"/>
    <mergeCell ref="C129:D129"/>
    <mergeCell ref="A143:H143"/>
    <mergeCell ref="A136:B136"/>
    <mergeCell ref="B420:H420"/>
    <mergeCell ref="A130:B130"/>
    <mergeCell ref="C130:D130"/>
    <mergeCell ref="E130:F130"/>
    <mergeCell ref="B419:H419"/>
    <mergeCell ref="B422:H422"/>
    <mergeCell ref="A144:H144"/>
    <mergeCell ref="A145:H145"/>
    <mergeCell ref="A146:H146"/>
    <mergeCell ref="B412:H412"/>
    <mergeCell ref="B414:H414"/>
    <mergeCell ref="B415:H415"/>
    <mergeCell ref="A410:H410"/>
    <mergeCell ref="F102:H102"/>
    <mergeCell ref="F107:H107"/>
    <mergeCell ref="A139:B139"/>
    <mergeCell ref="A138:B138"/>
    <mergeCell ref="A140:H140"/>
    <mergeCell ref="E126:F126"/>
    <mergeCell ref="A131:H131"/>
    <mergeCell ref="A141:A142"/>
    <mergeCell ref="F141:F142"/>
    <mergeCell ref="D133:D134"/>
    <mergeCell ref="A326:H326"/>
    <mergeCell ref="A147:H147"/>
    <mergeCell ref="A154:H154"/>
    <mergeCell ref="A161:H161"/>
    <mergeCell ref="A168:H168"/>
    <mergeCell ref="B170:H170"/>
    <mergeCell ref="A175:H175"/>
    <mergeCell ref="A182:H182"/>
    <mergeCell ref="A283:H283"/>
    <mergeCell ref="A368:H368"/>
    <mergeCell ref="E91:F91"/>
    <mergeCell ref="G91:H91"/>
    <mergeCell ref="A108:E108"/>
    <mergeCell ref="F108:H108"/>
    <mergeCell ref="A110:E110"/>
    <mergeCell ref="F105:H105"/>
    <mergeCell ref="A109:E109"/>
    <mergeCell ref="E92:F101"/>
    <mergeCell ref="A99:B99"/>
    <mergeCell ref="A100:B100"/>
    <mergeCell ref="A91:B91"/>
    <mergeCell ref="A104:E104"/>
    <mergeCell ref="A95:B95"/>
    <mergeCell ref="F104:H104"/>
    <mergeCell ref="A434:H437"/>
    <mergeCell ref="A433:B433"/>
    <mergeCell ref="E433:F433"/>
    <mergeCell ref="C433:D433"/>
    <mergeCell ref="G433:H433"/>
    <mergeCell ref="A115:H115"/>
    <mergeCell ref="A113:E113"/>
    <mergeCell ref="F113:H113"/>
    <mergeCell ref="A114:E114"/>
    <mergeCell ref="F114:H114"/>
    <mergeCell ref="A127:B127"/>
    <mergeCell ref="A117:B117"/>
    <mergeCell ref="A429:H429"/>
    <mergeCell ref="A125:H125"/>
    <mergeCell ref="A432:H432"/>
    <mergeCell ref="A430:H430"/>
    <mergeCell ref="A426:H426"/>
    <mergeCell ref="G126:H126"/>
    <mergeCell ref="C133:C134"/>
    <mergeCell ref="B141:B142"/>
    <mergeCell ref="A427:H427"/>
    <mergeCell ref="A135:H135"/>
    <mergeCell ref="B416:H416"/>
    <mergeCell ref="B418:H418"/>
    <mergeCell ref="A74:B74"/>
    <mergeCell ref="C74:H74"/>
    <mergeCell ref="A82:B82"/>
    <mergeCell ref="A69:C69"/>
    <mergeCell ref="D69:H69"/>
    <mergeCell ref="C76:H76"/>
    <mergeCell ref="A79:B79"/>
    <mergeCell ref="A81:B81"/>
    <mergeCell ref="E77:F77"/>
    <mergeCell ref="A70:C70"/>
    <mergeCell ref="D70:H70"/>
    <mergeCell ref="A73:C73"/>
    <mergeCell ref="D73:H73"/>
    <mergeCell ref="A71:C71"/>
    <mergeCell ref="D72:H72"/>
    <mergeCell ref="A78:B78"/>
    <mergeCell ref="G77:H77"/>
    <mergeCell ref="E78:F87"/>
    <mergeCell ref="G78:H87"/>
    <mergeCell ref="A86:B86"/>
    <mergeCell ref="A87:B87"/>
    <mergeCell ref="A76:B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31:D31"/>
    <mergeCell ref="E31:H31"/>
    <mergeCell ref="A32:D32"/>
    <mergeCell ref="E32:H32"/>
    <mergeCell ref="A28:D28"/>
    <mergeCell ref="E28:H28"/>
    <mergeCell ref="C33:E33"/>
    <mergeCell ref="F36:H36"/>
    <mergeCell ref="F33:H33"/>
    <mergeCell ref="E27:H27"/>
    <mergeCell ref="A29:D29"/>
    <mergeCell ref="E29:H29"/>
    <mergeCell ref="A26:D26"/>
    <mergeCell ref="E26:H26"/>
    <mergeCell ref="A25:D25"/>
    <mergeCell ref="E25:H25"/>
    <mergeCell ref="A30:D30"/>
    <mergeCell ref="E30:H30"/>
    <mergeCell ref="A27:D27"/>
    <mergeCell ref="A34:B34"/>
    <mergeCell ref="A33:B33"/>
    <mergeCell ref="C34:E34"/>
    <mergeCell ref="A35:B35"/>
    <mergeCell ref="C35:E35"/>
    <mergeCell ref="F34:H34"/>
    <mergeCell ref="F35:H35"/>
    <mergeCell ref="A38:H38"/>
    <mergeCell ref="A37:B37"/>
    <mergeCell ref="C37:E37"/>
    <mergeCell ref="F37:H37"/>
    <mergeCell ref="A36:B36"/>
    <mergeCell ref="C36:E36"/>
    <mergeCell ref="A42:D42"/>
    <mergeCell ref="E42:H42"/>
    <mergeCell ref="A41:H41"/>
    <mergeCell ref="A67:C67"/>
    <mergeCell ref="A68:C68"/>
    <mergeCell ref="D67:H67"/>
    <mergeCell ref="D68:H68"/>
    <mergeCell ref="A44:D44"/>
    <mergeCell ref="E44:H44"/>
    <mergeCell ref="E45:H45"/>
    <mergeCell ref="E46:H46"/>
    <mergeCell ref="E47:H47"/>
    <mergeCell ref="C57:H57"/>
    <mergeCell ref="C59:H59"/>
    <mergeCell ref="A65:C66"/>
    <mergeCell ref="D65:H65"/>
    <mergeCell ref="D66:H66"/>
    <mergeCell ref="C51:E51"/>
    <mergeCell ref="C53:E53"/>
    <mergeCell ref="G53:H53"/>
    <mergeCell ref="A51:B51"/>
    <mergeCell ref="G51:H51"/>
    <mergeCell ref="C50:E50"/>
    <mergeCell ref="A52:B53"/>
    <mergeCell ref="A39:B39"/>
    <mergeCell ref="C39:H39"/>
    <mergeCell ref="A46:D46"/>
    <mergeCell ref="L134:M134"/>
    <mergeCell ref="L133:M133"/>
    <mergeCell ref="L132:M132"/>
    <mergeCell ref="L131:M131"/>
    <mergeCell ref="A85:B85"/>
    <mergeCell ref="C127:D127"/>
    <mergeCell ref="E127:F127"/>
    <mergeCell ref="G127:H127"/>
    <mergeCell ref="A103:E103"/>
    <mergeCell ref="E133:E134"/>
    <mergeCell ref="A92:B92"/>
    <mergeCell ref="A47:D47"/>
    <mergeCell ref="A48:H48"/>
    <mergeCell ref="D64:H64"/>
    <mergeCell ref="A64:C64"/>
    <mergeCell ref="A84:B84"/>
    <mergeCell ref="C90:H90"/>
    <mergeCell ref="A45:D45"/>
    <mergeCell ref="E128:F128"/>
    <mergeCell ref="G128:H128"/>
    <mergeCell ref="G50:H50"/>
    <mergeCell ref="L143:M143"/>
    <mergeCell ref="A40:B40"/>
    <mergeCell ref="C40:H40"/>
    <mergeCell ref="F133:F134"/>
    <mergeCell ref="C117:D117"/>
    <mergeCell ref="E117:F117"/>
    <mergeCell ref="B133:B134"/>
    <mergeCell ref="A133:A134"/>
    <mergeCell ref="C141:C142"/>
    <mergeCell ref="G141:G142"/>
    <mergeCell ref="L142:M142"/>
    <mergeCell ref="L139:M139"/>
    <mergeCell ref="G130:H130"/>
    <mergeCell ref="L140:M140"/>
    <mergeCell ref="L141:M141"/>
    <mergeCell ref="C55:H55"/>
    <mergeCell ref="A77:B77"/>
    <mergeCell ref="A49:B49"/>
    <mergeCell ref="C49:H49"/>
    <mergeCell ref="G92:H101"/>
    <mergeCell ref="A93:B93"/>
    <mergeCell ref="A94:B94"/>
    <mergeCell ref="A90:B90"/>
    <mergeCell ref="G52:H52"/>
    <mergeCell ref="B425:H425"/>
    <mergeCell ref="B423:H423"/>
    <mergeCell ref="A106:E106"/>
    <mergeCell ref="A105:E105"/>
    <mergeCell ref="A102:E102"/>
    <mergeCell ref="F106:H106"/>
    <mergeCell ref="G133:G134"/>
    <mergeCell ref="A80:B80"/>
    <mergeCell ref="B421:H421"/>
    <mergeCell ref="A107:E107"/>
    <mergeCell ref="A101:B101"/>
    <mergeCell ref="A129:B129"/>
    <mergeCell ref="E129:F129"/>
    <mergeCell ref="A112:E112"/>
    <mergeCell ref="G129:H129"/>
    <mergeCell ref="C118:D118"/>
    <mergeCell ref="E118:F118"/>
    <mergeCell ref="G118:H118"/>
    <mergeCell ref="A119:B119"/>
    <mergeCell ref="C119:D119"/>
    <mergeCell ref="E119:F119"/>
    <mergeCell ref="G119:H119"/>
    <mergeCell ref="A128:B128"/>
    <mergeCell ref="C128:D128"/>
  </mergeCells>
  <conditionalFormatting sqref="B155:C158 B160:C160 B159">
    <cfRule type="uniqueValues" dxfId="2" priority="7"/>
  </conditionalFormatting>
  <conditionalFormatting sqref="B227:B229">
    <cfRule type="uniqueValues" dxfId="1" priority="5"/>
  </conditionalFormatting>
  <conditionalFormatting sqref="B234:B236">
    <cfRule type="uniqueValues" dxfId="0" priority="2"/>
  </conditionalFormatting>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3:E134">
      <formula1>"Attached Loft area,Attached Otla area,Attached Mezzanine area"</formula1>
    </dataValidation>
    <dataValidation type="list" allowBlank="1" showInputMessage="1" showErrorMessage="1" sqref="G433:H433">
      <formula1>"Gaurav Panchal, Kunal Kadam,Shruti Tathare,Pranita Mhatre,Shruti Fule,Pooja Kawale,Mansee Mohite,Anjali Kamble,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33:B134">
      <formula1>"Shop No. (Sale Plan),Sale / Rehab,Sale / Mhada"</formula1>
    </dataValidation>
    <dataValidation type="list" allowBlank="1" showInputMessage="1" showErrorMessage="1" sqref="B141:B14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1:E142">
      <formula1>"Fungible area,Balcony Area,Chajja Area,Cornice Area,AP Area,WS Area"</formula1>
    </dataValidation>
    <dataValidation type="list" allowBlank="1" showInputMessage="1" showErrorMessage="1" sqref="H134 H14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3" fitToHeight="0" orientation="portrait" r:id="rId2"/>
  <headerFooter>
    <oddHeader>&amp;C&amp;G</oddHeader>
    <oddFooter>&amp;L&amp;"Times New Roman,Bold"&amp;12Ref No: &amp;F&amp;C&amp;G&amp;R&amp;"Times New Roman,Bold"&amp;12&amp;P</oddFooter>
  </headerFooter>
  <rowBreaks count="3" manualBreakCount="3">
    <brk id="437" max="7" man="1"/>
    <brk id="481" max="7" man="1"/>
    <brk id="52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5" sqref="F5"/>
    </sheetView>
  </sheetViews>
  <sheetFormatPr defaultRowHeight="15" x14ac:dyDescent="0.25"/>
  <sheetData>
    <row r="1" spans="1:1" x14ac:dyDescent="0.25">
      <c r="A1" t="s">
        <v>324</v>
      </c>
    </row>
    <row r="2" spans="1:1" x14ac:dyDescent="0.25">
      <c r="A2" t="s">
        <v>380</v>
      </c>
    </row>
    <row r="3" spans="1:1" x14ac:dyDescent="0.25">
      <c r="A3" t="s">
        <v>383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6" t="s">
        <v>102</v>
      </c>
      <c r="C3" s="226"/>
      <c r="D3" s="226"/>
      <c r="E3" s="226"/>
      <c r="F3" s="226"/>
      <c r="G3" s="226"/>
      <c r="H3" s="226"/>
    </row>
    <row r="4" spans="1:9" x14ac:dyDescent="0.25">
      <c r="A4" s="2"/>
      <c r="B4" s="3" t="s">
        <v>103</v>
      </c>
      <c r="C4" s="3" t="s">
        <v>104</v>
      </c>
      <c r="D4" s="3" t="s">
        <v>66</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175</v>
      </c>
      <c r="E4" s="49" t="s">
        <v>185</v>
      </c>
      <c r="F4" s="49" t="s">
        <v>169</v>
      </c>
      <c r="G4" s="49" t="s">
        <v>190</v>
      </c>
      <c r="H4" s="49" t="s">
        <v>208</v>
      </c>
      <c r="J4" t="s">
        <v>190</v>
      </c>
      <c r="K4" t="s">
        <v>206</v>
      </c>
    </row>
    <row r="5" spans="2:11" x14ac:dyDescent="0.25">
      <c r="B5" s="48"/>
      <c r="C5" s="48"/>
      <c r="D5" s="49" t="s">
        <v>176</v>
      </c>
      <c r="E5" s="49" t="s">
        <v>183</v>
      </c>
      <c r="F5" s="49" t="s">
        <v>205</v>
      </c>
      <c r="G5" s="49" t="s">
        <v>191</v>
      </c>
      <c r="H5" s="49" t="s">
        <v>209</v>
      </c>
    </row>
    <row r="6" spans="2:11" x14ac:dyDescent="0.25">
      <c r="B6" s="48"/>
      <c r="C6" s="48"/>
      <c r="D6" s="49" t="s">
        <v>177</v>
      </c>
      <c r="E6" s="49" t="s">
        <v>184</v>
      </c>
      <c r="F6" s="49" t="s">
        <v>206</v>
      </c>
      <c r="G6" s="49" t="s">
        <v>192</v>
      </c>
      <c r="H6" s="49" t="s">
        <v>222</v>
      </c>
    </row>
    <row r="7" spans="2:11" x14ac:dyDescent="0.25">
      <c r="B7" s="48"/>
      <c r="C7" s="48"/>
      <c r="D7" s="49" t="s">
        <v>178</v>
      </c>
      <c r="E7" s="49" t="s">
        <v>186</v>
      </c>
      <c r="F7" s="49" t="s">
        <v>207</v>
      </c>
      <c r="G7" s="49" t="s">
        <v>193</v>
      </c>
      <c r="H7" s="49" t="s">
        <v>210</v>
      </c>
    </row>
    <row r="8" spans="2:11" x14ac:dyDescent="0.25">
      <c r="B8" s="48"/>
      <c r="C8" s="48"/>
      <c r="D8" s="49" t="s">
        <v>179</v>
      </c>
      <c r="E8" s="49" t="s">
        <v>187</v>
      </c>
      <c r="F8" s="49"/>
      <c r="G8" s="49" t="s">
        <v>194</v>
      </c>
      <c r="H8" s="49" t="s">
        <v>211</v>
      </c>
    </row>
    <row r="9" spans="2:11" x14ac:dyDescent="0.25">
      <c r="B9" s="48"/>
      <c r="C9" s="48"/>
      <c r="D9" s="49" t="s">
        <v>180</v>
      </c>
      <c r="E9" s="49" t="s">
        <v>185</v>
      </c>
      <c r="F9" s="49"/>
      <c r="G9" s="49" t="s">
        <v>195</v>
      </c>
      <c r="H9" s="49" t="s">
        <v>212</v>
      </c>
    </row>
    <row r="10" spans="2:11" x14ac:dyDescent="0.25">
      <c r="B10" s="48"/>
      <c r="C10" s="48"/>
      <c r="D10" s="49" t="s">
        <v>181</v>
      </c>
      <c r="E10" s="49" t="s">
        <v>188</v>
      </c>
      <c r="F10" s="49"/>
      <c r="G10" s="49" t="s">
        <v>196</v>
      </c>
      <c r="H10" s="49" t="s">
        <v>213</v>
      </c>
    </row>
    <row r="11" spans="2:11" x14ac:dyDescent="0.25">
      <c r="B11" s="48"/>
      <c r="C11" s="48"/>
      <c r="D11" s="49" t="s">
        <v>182</v>
      </c>
      <c r="E11" s="49" t="s">
        <v>189</v>
      </c>
      <c r="F11" s="49"/>
      <c r="G11" s="49" t="s">
        <v>197</v>
      </c>
      <c r="H11" s="49" t="s">
        <v>214</v>
      </c>
    </row>
    <row r="12" spans="2:11" x14ac:dyDescent="0.25">
      <c r="B12" s="48"/>
      <c r="C12" s="48"/>
      <c r="D12" s="49"/>
      <c r="E12" s="49"/>
      <c r="F12" s="49"/>
      <c r="G12" s="49" t="s">
        <v>198</v>
      </c>
      <c r="H12" s="49" t="s">
        <v>215</v>
      </c>
    </row>
    <row r="13" spans="2:11" x14ac:dyDescent="0.25">
      <c r="B13" s="48"/>
      <c r="C13" s="48"/>
      <c r="D13" s="49"/>
      <c r="E13" s="49"/>
      <c r="F13" s="49"/>
      <c r="G13" s="49" t="s">
        <v>199</v>
      </c>
      <c r="H13" s="49" t="s">
        <v>216</v>
      </c>
    </row>
    <row r="14" spans="2:11" x14ac:dyDescent="0.25">
      <c r="B14" s="48"/>
      <c r="C14" s="48"/>
      <c r="D14" s="49"/>
      <c r="E14" s="49"/>
      <c r="F14" s="49"/>
      <c r="G14" s="49" t="s">
        <v>200</v>
      </c>
      <c r="H14" s="49" t="s">
        <v>217</v>
      </c>
    </row>
    <row r="15" spans="2:11" x14ac:dyDescent="0.25">
      <c r="B15" s="48"/>
      <c r="C15" s="48"/>
      <c r="D15" s="49"/>
      <c r="E15" s="49"/>
      <c r="F15" s="49"/>
      <c r="G15" s="49" t="s">
        <v>201</v>
      </c>
      <c r="H15" s="49" t="s">
        <v>218</v>
      </c>
    </row>
    <row r="16" spans="2:11" x14ac:dyDescent="0.25">
      <c r="B16" s="48"/>
      <c r="C16" s="48"/>
      <c r="D16" s="49"/>
      <c r="E16" s="49"/>
      <c r="F16" s="49"/>
      <c r="G16" s="49" t="s">
        <v>202</v>
      </c>
      <c r="H16" s="49" t="s">
        <v>219</v>
      </c>
    </row>
    <row r="17" spans="2:8" x14ac:dyDescent="0.25">
      <c r="B17" s="48"/>
      <c r="C17" s="48"/>
      <c r="D17" s="49"/>
      <c r="E17" s="49"/>
      <c r="F17" s="49"/>
      <c r="G17" s="49" t="s">
        <v>203</v>
      </c>
      <c r="H17" s="49" t="s">
        <v>220</v>
      </c>
    </row>
    <row r="18" spans="2:8" x14ac:dyDescent="0.25">
      <c r="B18" s="48"/>
      <c r="C18" s="48"/>
      <c r="D18" s="49"/>
      <c r="E18" s="49"/>
      <c r="F18" s="49"/>
      <c r="G18" s="49" t="s">
        <v>204</v>
      </c>
      <c r="H18" s="49" t="s">
        <v>221</v>
      </c>
    </row>
    <row r="24" spans="2:8" x14ac:dyDescent="0.25">
      <c r="C24" t="s">
        <v>166</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166</v>
      </c>
    </row>
    <row r="33" spans="3:11" x14ac:dyDescent="0.25">
      <c r="J33">
        <v>1</v>
      </c>
      <c r="K33">
        <v>2</v>
      </c>
    </row>
    <row r="34" spans="3:11" x14ac:dyDescent="0.25">
      <c r="C34" s="53" t="s">
        <v>233</v>
      </c>
      <c r="D34" s="49" t="s">
        <v>231</v>
      </c>
      <c r="E34" s="49" t="s">
        <v>236</v>
      </c>
      <c r="F34" s="49" t="s">
        <v>234</v>
      </c>
      <c r="G34" s="49" t="s">
        <v>235</v>
      </c>
      <c r="H34" s="49" t="s">
        <v>237</v>
      </c>
      <c r="J34" t="s">
        <v>190</v>
      </c>
      <c r="K34" t="s">
        <v>206</v>
      </c>
    </row>
    <row r="35" spans="3:11" x14ac:dyDescent="0.25">
      <c r="C35" s="48" t="s">
        <v>232</v>
      </c>
      <c r="D35" s="49" t="s">
        <v>167</v>
      </c>
      <c r="E35" s="49" t="s">
        <v>241</v>
      </c>
      <c r="F35" s="49" t="s">
        <v>243</v>
      </c>
      <c r="G35" s="49" t="s">
        <v>245</v>
      </c>
      <c r="H35" s="49"/>
    </row>
    <row r="36" spans="3:11" x14ac:dyDescent="0.25">
      <c r="C36" s="48"/>
      <c r="D36" s="49" t="s">
        <v>238</v>
      </c>
      <c r="E36" s="49" t="s">
        <v>242</v>
      </c>
      <c r="F36" s="49" t="s">
        <v>244</v>
      </c>
      <c r="G36" s="49" t="s">
        <v>246</v>
      </c>
      <c r="H36" s="49"/>
    </row>
    <row r="37" spans="3:11" x14ac:dyDescent="0.25">
      <c r="C37" s="48"/>
      <c r="D37" s="49" t="s">
        <v>239</v>
      </c>
      <c r="E37" s="49"/>
      <c r="F37" s="49"/>
      <c r="G37" s="49" t="s">
        <v>247</v>
      </c>
      <c r="H37" s="49"/>
    </row>
    <row r="38" spans="3:11" x14ac:dyDescent="0.25">
      <c r="C38" s="48"/>
      <c r="D38" s="49" t="s">
        <v>240</v>
      </c>
      <c r="E38" s="49"/>
      <c r="F38" s="49"/>
      <c r="G38" s="49" t="s">
        <v>247</v>
      </c>
      <c r="H38" s="49"/>
    </row>
    <row r="39" spans="3:11" x14ac:dyDescent="0.25">
      <c r="C39" s="48"/>
      <c r="D39" s="49"/>
      <c r="E39" s="49"/>
      <c r="F39" s="49"/>
      <c r="G39" s="49" t="s">
        <v>248</v>
      </c>
      <c r="H39" s="49"/>
    </row>
    <row r="40" spans="3:11" x14ac:dyDescent="0.25">
      <c r="C40" s="48"/>
      <c r="D40" s="49"/>
      <c r="E40" s="49"/>
      <c r="F40" s="49"/>
      <c r="G40" s="49" t="s">
        <v>249</v>
      </c>
      <c r="H40" s="49"/>
    </row>
    <row r="41" spans="3:11" x14ac:dyDescent="0.25">
      <c r="C41" s="48"/>
      <c r="D41" s="49"/>
      <c r="E41" s="49"/>
      <c r="F41" s="49"/>
      <c r="G41" s="49"/>
      <c r="H41" s="49"/>
    </row>
    <row r="43" spans="3:11" x14ac:dyDescent="0.25">
      <c r="C43" t="s">
        <v>250</v>
      </c>
    </row>
    <row r="44" spans="3:11" x14ac:dyDescent="0.25">
      <c r="C44" t="s">
        <v>169</v>
      </c>
      <c r="D44" t="s">
        <v>251</v>
      </c>
    </row>
    <row r="45" spans="3:11" x14ac:dyDescent="0.25">
      <c r="D45" t="s">
        <v>252</v>
      </c>
    </row>
    <row r="46" spans="3:11" x14ac:dyDescent="0.25">
      <c r="D46" t="s">
        <v>253</v>
      </c>
    </row>
    <row r="47" spans="3:11" x14ac:dyDescent="0.25">
      <c r="D47" t="s">
        <v>254</v>
      </c>
    </row>
    <row r="48" spans="3:11" x14ac:dyDescent="0.25">
      <c r="D48" t="s">
        <v>255</v>
      </c>
    </row>
    <row r="49" spans="3:4" x14ac:dyDescent="0.25">
      <c r="C49" t="s">
        <v>175</v>
      </c>
      <c r="D49" t="s">
        <v>256</v>
      </c>
    </row>
    <row r="50" spans="3:4" x14ac:dyDescent="0.25">
      <c r="D50" t="s">
        <v>257</v>
      </c>
    </row>
    <row r="51" spans="3:4" x14ac:dyDescent="0.25">
      <c r="D51" t="s">
        <v>258</v>
      </c>
    </row>
    <row r="52" spans="3:4" x14ac:dyDescent="0.25">
      <c r="D52" t="s">
        <v>261</v>
      </c>
    </row>
    <row r="53" spans="3:4" x14ac:dyDescent="0.25">
      <c r="D53" t="s">
        <v>259</v>
      </c>
    </row>
    <row r="54" spans="3:4" x14ac:dyDescent="0.25">
      <c r="D54" t="s">
        <v>260</v>
      </c>
    </row>
    <row r="55" spans="3:4" x14ac:dyDescent="0.25">
      <c r="D55" t="s">
        <v>262</v>
      </c>
    </row>
    <row r="56" spans="3:4" x14ac:dyDescent="0.25">
      <c r="D56" t="s">
        <v>263</v>
      </c>
    </row>
    <row r="57" spans="3:4" x14ac:dyDescent="0.25">
      <c r="D57" t="s">
        <v>264</v>
      </c>
    </row>
    <row r="58" spans="3:4" x14ac:dyDescent="0.25">
      <c r="D58" t="s">
        <v>266</v>
      </c>
    </row>
    <row r="59" spans="3:4" x14ac:dyDescent="0.25">
      <c r="D59" t="s">
        <v>275</v>
      </c>
    </row>
    <row r="60" spans="3:4" x14ac:dyDescent="0.25">
      <c r="C60" t="s">
        <v>190</v>
      </c>
      <c r="D60" t="s">
        <v>267</v>
      </c>
    </row>
    <row r="61" spans="3:4" x14ac:dyDescent="0.25">
      <c r="D61" t="s">
        <v>265</v>
      </c>
    </row>
    <row r="62" spans="3:4" x14ac:dyDescent="0.25">
      <c r="D62" t="s">
        <v>255</v>
      </c>
    </row>
    <row r="63" spans="3:4" x14ac:dyDescent="0.25">
      <c r="D63" t="s">
        <v>268</v>
      </c>
    </row>
    <row r="64" spans="3:4" x14ac:dyDescent="0.25">
      <c r="D64" t="s">
        <v>269</v>
      </c>
    </row>
    <row r="65" spans="3:4" x14ac:dyDescent="0.25">
      <c r="D65" t="s">
        <v>270</v>
      </c>
    </row>
    <row r="66" spans="3:4" x14ac:dyDescent="0.25">
      <c r="D66" t="s">
        <v>271</v>
      </c>
    </row>
    <row r="67" spans="3:4" x14ac:dyDescent="0.25">
      <c r="C67" t="s">
        <v>185</v>
      </c>
      <c r="D67" t="s">
        <v>272</v>
      </c>
    </row>
    <row r="68" spans="3:4" x14ac:dyDescent="0.25">
      <c r="D68" t="s">
        <v>273</v>
      </c>
    </row>
    <row r="69" spans="3:4" x14ac:dyDescent="0.2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5" sqref="C5"/>
    </sheetView>
  </sheetViews>
  <sheetFormatPr defaultRowHeight="15" x14ac:dyDescent="0.25"/>
  <cols>
    <col min="2" max="2" width="3" bestFit="1" customWidth="1"/>
    <col min="3" max="3" width="130" customWidth="1"/>
  </cols>
  <sheetData>
    <row r="2" spans="2:3" ht="15" customHeight="1" x14ac:dyDescent="0.25">
      <c r="B2" s="54">
        <v>1</v>
      </c>
      <c r="C2" s="57" t="s">
        <v>281</v>
      </c>
    </row>
    <row r="3" spans="2:3" x14ac:dyDescent="0.25">
      <c r="B3" s="54">
        <v>2</v>
      </c>
      <c r="C3" s="55" t="s">
        <v>282</v>
      </c>
    </row>
    <row r="4" spans="2:3" x14ac:dyDescent="0.25">
      <c r="B4" s="54">
        <v>3</v>
      </c>
      <c r="C4" s="56" t="s">
        <v>283</v>
      </c>
    </row>
    <row r="5" spans="2:3" ht="30" x14ac:dyDescent="0.25">
      <c r="B5" s="54">
        <v>4</v>
      </c>
      <c r="C5" s="55" t="s">
        <v>284</v>
      </c>
    </row>
    <row r="6" spans="2:3" x14ac:dyDescent="0.25">
      <c r="B6" s="54">
        <v>5</v>
      </c>
      <c r="C6" s="56" t="s">
        <v>285</v>
      </c>
    </row>
    <row r="7" spans="2:3" ht="30" x14ac:dyDescent="0.25">
      <c r="B7" s="54">
        <v>6</v>
      </c>
      <c r="C7" s="55" t="s">
        <v>286</v>
      </c>
    </row>
    <row r="8" spans="2:3" ht="90" x14ac:dyDescent="0.25">
      <c r="B8" s="54">
        <v>7</v>
      </c>
      <c r="C8" s="55" t="s">
        <v>287</v>
      </c>
    </row>
    <row r="9" spans="2:3" x14ac:dyDescent="0.25">
      <c r="B9" s="54">
        <v>8</v>
      </c>
      <c r="C9" s="56" t="s">
        <v>288</v>
      </c>
    </row>
    <row r="10" spans="2:3" x14ac:dyDescent="0.25">
      <c r="B10" s="54">
        <v>9</v>
      </c>
      <c r="C10" s="56" t="s">
        <v>289</v>
      </c>
    </row>
    <row r="11" spans="2:3" x14ac:dyDescent="0.25">
      <c r="B11" s="54">
        <v>10</v>
      </c>
      <c r="C11" s="56" t="s">
        <v>290</v>
      </c>
    </row>
    <row r="12" spans="2:3" x14ac:dyDescent="0.25">
      <c r="B12" s="54">
        <v>11</v>
      </c>
      <c r="C12" s="56" t="s">
        <v>291</v>
      </c>
    </row>
    <row r="13" spans="2:3" x14ac:dyDescent="0.25">
      <c r="B13" s="54">
        <v>12</v>
      </c>
      <c r="C13" s="56" t="s">
        <v>292</v>
      </c>
    </row>
    <row r="14" spans="2:3" x14ac:dyDescent="0.25">
      <c r="B14" s="54">
        <v>13</v>
      </c>
      <c r="C14" s="56" t="s">
        <v>293</v>
      </c>
    </row>
    <row r="15" spans="2:3" x14ac:dyDescent="0.25">
      <c r="B15" s="54">
        <v>14</v>
      </c>
      <c r="C15" s="56"/>
    </row>
    <row r="16" spans="2:3" x14ac:dyDescent="0.25">
      <c r="B16" s="54">
        <v>15</v>
      </c>
      <c r="C16" s="56"/>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Note</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2025-08-10T18:58:33Z</cp:lastPrinted>
  <dcterms:created xsi:type="dcterms:W3CDTF">2019-07-16T09:29:46Z</dcterms:created>
  <dcterms:modified xsi:type="dcterms:W3CDTF">2025-08-10T19:00:42Z</dcterms:modified>
</cp:coreProperties>
</file>