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hruti\Aug 25\Dump\DUMP\New folder\"/>
    </mc:Choice>
  </mc:AlternateContent>
  <bookViews>
    <workbookView xWindow="0" yWindow="0" windowWidth="20490" windowHeight="7755" tabRatio="725"/>
  </bookViews>
  <sheets>
    <sheet name="Report" sheetId="1" r:id="rId1"/>
    <sheet name="Sheet3" sheetId="10" r:id="rId2"/>
    <sheet name="Sheet2" sheetId="9" r:id="rId3"/>
    <sheet name="Sheet1" sheetId="8" r:id="rId4"/>
    <sheet name="AXIS" sheetId="7" r:id="rId5"/>
    <sheet name="Flat detail" sheetId="3" r:id="rId6"/>
    <sheet name="valuation" sheetId="5" r:id="rId7"/>
    <sheet name="pICTURES" sheetId="4" r:id="rId8"/>
  </sheets>
  <definedNames>
    <definedName name="_xlnm.Print_Area" localSheetId="0">Report!$A$1:$H$699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5" i="1" l="1"/>
  <c r="C94" i="1" l="1"/>
  <c r="C80" i="1"/>
  <c r="C163" i="1" l="1"/>
  <c r="C149" i="1"/>
  <c r="C135" i="1"/>
  <c r="C121" i="1"/>
  <c r="C79" i="1"/>
  <c r="L175" i="1" l="1"/>
  <c r="C177" i="1" l="1"/>
  <c r="C179" i="1" l="1"/>
  <c r="C178" i="1"/>
  <c r="J83" i="1" l="1"/>
  <c r="J82" i="1"/>
  <c r="J81" i="1"/>
  <c r="J80" i="1"/>
  <c r="H73" i="1"/>
  <c r="D80" i="1" l="1"/>
  <c r="D78" i="1"/>
  <c r="J77" i="1"/>
  <c r="C76" i="1" s="1"/>
  <c r="D77" i="1"/>
  <c r="D82" i="1"/>
  <c r="D79" i="1"/>
  <c r="D85" i="1"/>
  <c r="J78" i="1"/>
  <c r="J79" i="1" s="1"/>
  <c r="J84" i="1" s="1"/>
  <c r="J85" i="1" s="1"/>
  <c r="J75" i="1"/>
  <c r="D84" i="1"/>
  <c r="D83" i="1"/>
  <c r="J76" i="1"/>
  <c r="C164" i="1"/>
  <c r="G76" i="1" l="1"/>
  <c r="D76" i="1"/>
  <c r="A608" i="1"/>
  <c r="A609" i="1" s="1"/>
  <c r="D81" i="1" l="1"/>
  <c r="E76" i="1"/>
  <c r="I72" i="1" s="1"/>
  <c r="C74" i="1" s="1"/>
  <c r="J153" i="1"/>
  <c r="J152" i="1"/>
  <c r="J151" i="1"/>
  <c r="J150" i="1"/>
  <c r="H143" i="1"/>
  <c r="D150" i="1" l="1"/>
  <c r="D155" i="1"/>
  <c r="J145" i="1"/>
  <c r="D154" i="1"/>
  <c r="D149" i="1"/>
  <c r="D153" i="1"/>
  <c r="J148" i="1"/>
  <c r="J149" i="1" s="1"/>
  <c r="J154" i="1" s="1"/>
  <c r="J155" i="1" s="1"/>
  <c r="D148" i="1"/>
  <c r="D152" i="1"/>
  <c r="J147" i="1"/>
  <c r="C146" i="1" s="1"/>
  <c r="G146" i="1" s="1"/>
  <c r="D147" i="1"/>
  <c r="D151" i="1"/>
  <c r="J146" i="1"/>
  <c r="E146" i="1"/>
  <c r="J111" i="1"/>
  <c r="J110" i="1"/>
  <c r="J109" i="1"/>
  <c r="J108" i="1"/>
  <c r="H101" i="1"/>
  <c r="D146" i="1" l="1"/>
  <c r="I142" i="1" s="1"/>
  <c r="C144" i="1" s="1"/>
  <c r="D108" i="1"/>
  <c r="D106" i="1"/>
  <c r="D105" i="1"/>
  <c r="J103" i="1"/>
  <c r="D113" i="1"/>
  <c r="D112" i="1"/>
  <c r="D111" i="1"/>
  <c r="D110" i="1"/>
  <c r="D109" i="1"/>
  <c r="D107" i="1"/>
  <c r="J106" i="1"/>
  <c r="J107" i="1" s="1"/>
  <c r="J112" i="1" s="1"/>
  <c r="J113" i="1" s="1"/>
  <c r="J105" i="1"/>
  <c r="C104" i="1" s="1"/>
  <c r="G104" i="1" s="1"/>
  <c r="J104" i="1"/>
  <c r="E104" i="1"/>
  <c r="J125" i="1"/>
  <c r="J124" i="1"/>
  <c r="J123" i="1"/>
  <c r="J122" i="1"/>
  <c r="J181" i="1"/>
  <c r="J180" i="1"/>
  <c r="J179" i="1"/>
  <c r="J178" i="1"/>
  <c r="H115" i="1"/>
  <c r="H171" i="1"/>
  <c r="D104" i="1" l="1"/>
  <c r="I100" i="1" s="1"/>
  <c r="C102" i="1" s="1"/>
  <c r="J120" i="1"/>
  <c r="J121" i="1" s="1"/>
  <c r="J126" i="1" s="1"/>
  <c r="J127" i="1" s="1"/>
  <c r="J118" i="1"/>
  <c r="D126" i="1"/>
  <c r="D124" i="1"/>
  <c r="D122" i="1"/>
  <c r="D120" i="1"/>
  <c r="J117" i="1"/>
  <c r="J119" i="1"/>
  <c r="C118" i="1" s="1"/>
  <c r="G118" i="1" s="1"/>
  <c r="E118" i="1"/>
  <c r="D127" i="1"/>
  <c r="D125" i="1"/>
  <c r="D123" i="1"/>
  <c r="D121" i="1"/>
  <c r="D119" i="1"/>
  <c r="J175" i="1"/>
  <c r="D183" i="1"/>
  <c r="D181" i="1"/>
  <c r="D179" i="1"/>
  <c r="D177" i="1"/>
  <c r="D174" i="1"/>
  <c r="J176" i="1"/>
  <c r="J174" i="1"/>
  <c r="J173" i="1"/>
  <c r="D182" i="1"/>
  <c r="D180" i="1"/>
  <c r="D178" i="1"/>
  <c r="D176" i="1"/>
  <c r="D549" i="1"/>
  <c r="F549" i="1" s="1"/>
  <c r="D548" i="1"/>
  <c r="F548" i="1" s="1"/>
  <c r="D547" i="1"/>
  <c r="F547" i="1" s="1"/>
  <c r="D546" i="1"/>
  <c r="F546" i="1" s="1"/>
  <c r="D544" i="1"/>
  <c r="F544" i="1" s="1"/>
  <c r="D543" i="1"/>
  <c r="F543" i="1" s="1"/>
  <c r="D542" i="1"/>
  <c r="F542" i="1" s="1"/>
  <c r="A542" i="1"/>
  <c r="A543" i="1" s="1"/>
  <c r="A544" i="1" s="1"/>
  <c r="A545" i="1" s="1"/>
  <c r="A546" i="1" s="1"/>
  <c r="A547" i="1" s="1"/>
  <c r="A548" i="1" s="1"/>
  <c r="A549" i="1" s="1"/>
  <c r="J541" i="1"/>
  <c r="I541" i="1"/>
  <c r="G541" i="1"/>
  <c r="G542" i="1" s="1"/>
  <c r="G543" i="1" s="1"/>
  <c r="G544" i="1" s="1"/>
  <c r="G545" i="1" s="1"/>
  <c r="G546" i="1" s="1"/>
  <c r="G547" i="1" s="1"/>
  <c r="G548" i="1" s="1"/>
  <c r="G549" i="1" s="1"/>
  <c r="D541" i="1"/>
  <c r="F541" i="1" s="1"/>
  <c r="D539" i="1"/>
  <c r="D538" i="1"/>
  <c r="D535" i="1"/>
  <c r="D534" i="1"/>
  <c r="D533" i="1"/>
  <c r="D532" i="1"/>
  <c r="D531" i="1"/>
  <c r="D529" i="1"/>
  <c r="D528" i="1"/>
  <c r="D527" i="1"/>
  <c r="D526" i="1"/>
  <c r="D524" i="1"/>
  <c r="D523" i="1"/>
  <c r="D522" i="1"/>
  <c r="D521" i="1"/>
  <c r="D519" i="1"/>
  <c r="D518" i="1"/>
  <c r="D517" i="1"/>
  <c r="D515" i="1"/>
  <c r="D514" i="1"/>
  <c r="D513" i="1"/>
  <c r="D512" i="1"/>
  <c r="D511" i="1"/>
  <c r="D508" i="1"/>
  <c r="D507" i="1"/>
  <c r="D505" i="1"/>
  <c r="D504" i="1"/>
  <c r="F504" i="1" s="1"/>
  <c r="D503" i="1"/>
  <c r="D502" i="1"/>
  <c r="K541" i="1" l="1"/>
  <c r="J177" i="1"/>
  <c r="J182" i="1" s="1"/>
  <c r="J183" i="1" s="1"/>
  <c r="C175" i="1" s="1"/>
  <c r="D118" i="1"/>
  <c r="I114" i="1" s="1"/>
  <c r="C116" i="1" s="1"/>
  <c r="D496" i="1"/>
  <c r="D495" i="1"/>
  <c r="D494" i="1"/>
  <c r="D493" i="1"/>
  <c r="D491" i="1"/>
  <c r="D490" i="1"/>
  <c r="D489" i="1"/>
  <c r="D488" i="1"/>
  <c r="D486" i="1"/>
  <c r="D485" i="1"/>
  <c r="D484" i="1"/>
  <c r="D483" i="1"/>
  <c r="D482" i="1"/>
  <c r="D481" i="1"/>
  <c r="D480" i="1"/>
  <c r="D479" i="1"/>
  <c r="D478" i="1"/>
  <c r="D476" i="1"/>
  <c r="D475" i="1"/>
  <c r="D474" i="1"/>
  <c r="D473" i="1"/>
  <c r="D471" i="1"/>
  <c r="D470" i="1"/>
  <c r="D469" i="1"/>
  <c r="D468" i="1"/>
  <c r="D466" i="1"/>
  <c r="D465" i="1"/>
  <c r="D464" i="1"/>
  <c r="D463" i="1"/>
  <c r="D462" i="1"/>
  <c r="D461" i="1"/>
  <c r="D460" i="1"/>
  <c r="D459" i="1"/>
  <c r="D458" i="1"/>
  <c r="D456" i="1"/>
  <c r="D455" i="1"/>
  <c r="D454" i="1"/>
  <c r="D453" i="1"/>
  <c r="D452" i="1"/>
  <c r="D450" i="1"/>
  <c r="D449" i="1"/>
  <c r="D448" i="1"/>
  <c r="E174" i="1" l="1"/>
  <c r="I170" i="1" s="1"/>
  <c r="C172" i="1" s="1"/>
  <c r="D175" i="1"/>
  <c r="G174" i="1"/>
  <c r="E3" i="1"/>
  <c r="E206" i="1" l="1"/>
  <c r="D597" i="1"/>
  <c r="F597" i="1" s="1"/>
  <c r="D596" i="1"/>
  <c r="F596" i="1" s="1"/>
  <c r="D595" i="1"/>
  <c r="F595" i="1" s="1"/>
  <c r="D594" i="1"/>
  <c r="F594" i="1" s="1"/>
  <c r="D593" i="1"/>
  <c r="F593" i="1" s="1"/>
  <c r="D592" i="1"/>
  <c r="F592" i="1" s="1"/>
  <c r="D591" i="1"/>
  <c r="F591" i="1" s="1"/>
  <c r="A591" i="1"/>
  <c r="A592" i="1" s="1"/>
  <c r="A593" i="1" s="1"/>
  <c r="A594" i="1" s="1"/>
  <c r="A595" i="1" s="1"/>
  <c r="A596" i="1" s="1"/>
  <c r="A597" i="1" s="1"/>
  <c r="J590" i="1"/>
  <c r="I590" i="1"/>
  <c r="G590" i="1"/>
  <c r="G591" i="1" s="1"/>
  <c r="G592" i="1" s="1"/>
  <c r="G593" i="1" s="1"/>
  <c r="G594" i="1" s="1"/>
  <c r="G595" i="1" s="1"/>
  <c r="G596" i="1" s="1"/>
  <c r="G597" i="1" s="1"/>
  <c r="D584" i="1"/>
  <c r="F584" i="1" s="1"/>
  <c r="D588" i="1"/>
  <c r="F588" i="1" s="1"/>
  <c r="D587" i="1"/>
  <c r="F587" i="1" s="1"/>
  <c r="D586" i="1"/>
  <c r="F586" i="1" s="1"/>
  <c r="D585" i="1"/>
  <c r="F585" i="1" s="1"/>
  <c r="D583" i="1"/>
  <c r="F583" i="1" s="1"/>
  <c r="D582" i="1"/>
  <c r="F582" i="1" s="1"/>
  <c r="D581" i="1"/>
  <c r="F581" i="1" s="1"/>
  <c r="A582" i="1"/>
  <c r="A583" i="1" s="1"/>
  <c r="A584" i="1" s="1"/>
  <c r="A585" i="1" s="1"/>
  <c r="A586" i="1" s="1"/>
  <c r="A587" i="1" s="1"/>
  <c r="A588" i="1" s="1"/>
  <c r="J581" i="1"/>
  <c r="I581" i="1"/>
  <c r="G581" i="1"/>
  <c r="G582" i="1" s="1"/>
  <c r="G583" i="1" s="1"/>
  <c r="G584" i="1" s="1"/>
  <c r="G585" i="1" s="1"/>
  <c r="G586" i="1" s="1"/>
  <c r="G587" i="1" s="1"/>
  <c r="G588" i="1" s="1"/>
  <c r="D579" i="1"/>
  <c r="F579" i="1" s="1"/>
  <c r="D578" i="1"/>
  <c r="F578" i="1" s="1"/>
  <c r="D577" i="1"/>
  <c r="F577" i="1" s="1"/>
  <c r="D576" i="1"/>
  <c r="F576" i="1" s="1"/>
  <c r="D575" i="1"/>
  <c r="F575" i="1" s="1"/>
  <c r="D574" i="1"/>
  <c r="F574" i="1" s="1"/>
  <c r="D573" i="1"/>
  <c r="F573" i="1" s="1"/>
  <c r="A573" i="1"/>
  <c r="A574" i="1" s="1"/>
  <c r="A575" i="1" s="1"/>
  <c r="A576" i="1" s="1"/>
  <c r="A577" i="1" s="1"/>
  <c r="A578" i="1" s="1"/>
  <c r="A579" i="1" s="1"/>
  <c r="J572" i="1"/>
  <c r="I572" i="1"/>
  <c r="G572" i="1"/>
  <c r="G573" i="1" s="1"/>
  <c r="G574" i="1" s="1"/>
  <c r="G575" i="1" s="1"/>
  <c r="G576" i="1" s="1"/>
  <c r="G577" i="1" s="1"/>
  <c r="G578" i="1" s="1"/>
  <c r="G579" i="1" s="1"/>
  <c r="D567" i="1"/>
  <c r="F567" i="1" s="1"/>
  <c r="D570" i="1"/>
  <c r="F570" i="1" s="1"/>
  <c r="D569" i="1"/>
  <c r="F569" i="1" s="1"/>
  <c r="D568" i="1"/>
  <c r="F568" i="1" s="1"/>
  <c r="D565" i="1"/>
  <c r="F565" i="1" s="1"/>
  <c r="D564" i="1"/>
  <c r="F564" i="1" s="1"/>
  <c r="D555" i="1"/>
  <c r="F555" i="1" s="1"/>
  <c r="D561" i="1"/>
  <c r="F561" i="1" s="1"/>
  <c r="D560" i="1"/>
  <c r="F560" i="1" s="1"/>
  <c r="D559" i="1"/>
  <c r="F559" i="1" s="1"/>
  <c r="D566" i="1"/>
  <c r="F566" i="1" s="1"/>
  <c r="D563" i="1"/>
  <c r="F563" i="1" s="1"/>
  <c r="D557" i="1"/>
  <c r="F557" i="1" s="1"/>
  <c r="D556" i="1"/>
  <c r="F556" i="1" s="1"/>
  <c r="D554" i="1"/>
  <c r="F554" i="1" s="1"/>
  <c r="A564" i="1"/>
  <c r="A565" i="1" s="1"/>
  <c r="A566" i="1" s="1"/>
  <c r="A567" i="1" s="1"/>
  <c r="A568" i="1" s="1"/>
  <c r="A569" i="1" s="1"/>
  <c r="A570" i="1" s="1"/>
  <c r="J563" i="1"/>
  <c r="I563" i="1"/>
  <c r="G563" i="1"/>
  <c r="G564" i="1" s="1"/>
  <c r="G565" i="1" s="1"/>
  <c r="G566" i="1" s="1"/>
  <c r="G567" i="1" s="1"/>
  <c r="G568" i="1" s="1"/>
  <c r="G569" i="1" s="1"/>
  <c r="G570" i="1" s="1"/>
  <c r="J554" i="1"/>
  <c r="I554" i="1"/>
  <c r="A555" i="1"/>
  <c r="A556" i="1" s="1"/>
  <c r="A557" i="1" s="1"/>
  <c r="A558" i="1" s="1"/>
  <c r="A559" i="1" s="1"/>
  <c r="A560" i="1" s="1"/>
  <c r="A561" i="1" s="1"/>
  <c r="G554" i="1"/>
  <c r="G555" i="1" s="1"/>
  <c r="G556" i="1" s="1"/>
  <c r="G557" i="1" s="1"/>
  <c r="G558" i="1" s="1"/>
  <c r="G559" i="1" s="1"/>
  <c r="G560" i="1" s="1"/>
  <c r="G561" i="1" s="1"/>
  <c r="K554" i="1" l="1"/>
  <c r="K581" i="1"/>
  <c r="K563" i="1"/>
  <c r="K572" i="1"/>
  <c r="K590" i="1"/>
  <c r="G208" i="1"/>
  <c r="C208" i="1"/>
  <c r="E208" i="1"/>
  <c r="J167" i="1"/>
  <c r="J166" i="1"/>
  <c r="J165" i="1"/>
  <c r="J164" i="1"/>
  <c r="F539" i="1"/>
  <c r="F538" i="1"/>
  <c r="D537" i="1"/>
  <c r="F537" i="1" s="1"/>
  <c r="D536" i="1"/>
  <c r="F536" i="1" s="1"/>
  <c r="F535" i="1"/>
  <c r="F534" i="1"/>
  <c r="F533" i="1"/>
  <c r="F532" i="1"/>
  <c r="F531" i="1"/>
  <c r="A532" i="1"/>
  <c r="A533" i="1" s="1"/>
  <c r="A534" i="1" s="1"/>
  <c r="A535" i="1" s="1"/>
  <c r="A536" i="1" s="1"/>
  <c r="A537" i="1" s="1"/>
  <c r="A538" i="1" s="1"/>
  <c r="A539" i="1" s="1"/>
  <c r="J531" i="1"/>
  <c r="I531" i="1"/>
  <c r="G531" i="1"/>
  <c r="G532" i="1" s="1"/>
  <c r="G533" i="1" s="1"/>
  <c r="G534" i="1" s="1"/>
  <c r="G535" i="1" s="1"/>
  <c r="G536" i="1" s="1"/>
  <c r="G537" i="1" s="1"/>
  <c r="G538" i="1" s="1"/>
  <c r="G539" i="1" s="1"/>
  <c r="F529" i="1"/>
  <c r="F528" i="1"/>
  <c r="F527" i="1"/>
  <c r="F526" i="1"/>
  <c r="F524" i="1"/>
  <c r="F523" i="1"/>
  <c r="F522" i="1"/>
  <c r="A522" i="1"/>
  <c r="A523" i="1" s="1"/>
  <c r="A524" i="1" s="1"/>
  <c r="A525" i="1" s="1"/>
  <c r="A526" i="1" s="1"/>
  <c r="A527" i="1" s="1"/>
  <c r="A528" i="1" s="1"/>
  <c r="A529" i="1" s="1"/>
  <c r="J521" i="1"/>
  <c r="I521" i="1"/>
  <c r="G521" i="1"/>
  <c r="G522" i="1" s="1"/>
  <c r="G523" i="1" s="1"/>
  <c r="G524" i="1" s="1"/>
  <c r="G525" i="1" s="1"/>
  <c r="G526" i="1" s="1"/>
  <c r="G527" i="1" s="1"/>
  <c r="G528" i="1" s="1"/>
  <c r="G529" i="1" s="1"/>
  <c r="F521" i="1"/>
  <c r="F519" i="1"/>
  <c r="F518" i="1"/>
  <c r="F517" i="1"/>
  <c r="D516" i="1"/>
  <c r="F516" i="1" s="1"/>
  <c r="F515" i="1"/>
  <c r="F514" i="1"/>
  <c r="F513" i="1"/>
  <c r="F512" i="1"/>
  <c r="F511" i="1"/>
  <c r="A512" i="1"/>
  <c r="A513" i="1" s="1"/>
  <c r="A514" i="1" s="1"/>
  <c r="A515" i="1" s="1"/>
  <c r="A516" i="1" s="1"/>
  <c r="A517" i="1" s="1"/>
  <c r="A518" i="1" s="1"/>
  <c r="A519" i="1" s="1"/>
  <c r="J511" i="1"/>
  <c r="I511" i="1"/>
  <c r="G511" i="1"/>
  <c r="G512" i="1" s="1"/>
  <c r="G513" i="1" s="1"/>
  <c r="G514" i="1" s="1"/>
  <c r="G515" i="1" s="1"/>
  <c r="G516" i="1" s="1"/>
  <c r="G517" i="1" s="1"/>
  <c r="G518" i="1" s="1"/>
  <c r="G519" i="1" s="1"/>
  <c r="D509" i="1"/>
  <c r="F509" i="1" s="1"/>
  <c r="F508" i="1"/>
  <c r="F507" i="1"/>
  <c r="D506" i="1"/>
  <c r="F505" i="1"/>
  <c r="F503" i="1"/>
  <c r="F502" i="1"/>
  <c r="J501" i="1"/>
  <c r="I501" i="1"/>
  <c r="A502" i="1"/>
  <c r="A503" i="1" s="1"/>
  <c r="A504" i="1" s="1"/>
  <c r="A505" i="1" s="1"/>
  <c r="A506" i="1" s="1"/>
  <c r="A507" i="1" s="1"/>
  <c r="A508" i="1" s="1"/>
  <c r="A509" i="1" s="1"/>
  <c r="G501" i="1"/>
  <c r="G502" i="1" s="1"/>
  <c r="G503" i="1" s="1"/>
  <c r="G504" i="1" s="1"/>
  <c r="G505" i="1" s="1"/>
  <c r="G506" i="1" s="1"/>
  <c r="G507" i="1" s="1"/>
  <c r="G508" i="1" s="1"/>
  <c r="G509" i="1" s="1"/>
  <c r="H157" i="1"/>
  <c r="F506" i="1" l="1"/>
  <c r="G207" i="1" s="1"/>
  <c r="E207" i="1"/>
  <c r="C207" i="1"/>
  <c r="K521" i="1"/>
  <c r="K501" i="1"/>
  <c r="K531" i="1"/>
  <c r="K511" i="1"/>
  <c r="J160" i="1"/>
  <c r="D168" i="1"/>
  <c r="D164" i="1"/>
  <c r="D167" i="1"/>
  <c r="D163" i="1"/>
  <c r="J161" i="1"/>
  <c r="D169" i="1"/>
  <c r="J162" i="1"/>
  <c r="D166" i="1"/>
  <c r="D162" i="1"/>
  <c r="J159" i="1"/>
  <c r="D165" i="1"/>
  <c r="F496" i="1"/>
  <c r="F495" i="1"/>
  <c r="F494" i="1"/>
  <c r="F493" i="1"/>
  <c r="F491" i="1"/>
  <c r="F490" i="1"/>
  <c r="F489" i="1"/>
  <c r="G488" i="1"/>
  <c r="F488" i="1"/>
  <c r="F486" i="1"/>
  <c r="F485" i="1"/>
  <c r="F484" i="1"/>
  <c r="F483" i="1"/>
  <c r="F482" i="1"/>
  <c r="F481" i="1"/>
  <c r="F480" i="1"/>
  <c r="F479" i="1"/>
  <c r="G478" i="1"/>
  <c r="F478" i="1"/>
  <c r="F476" i="1"/>
  <c r="F475" i="1"/>
  <c r="F474" i="1"/>
  <c r="F473" i="1"/>
  <c r="F471" i="1"/>
  <c r="F470" i="1"/>
  <c r="F469" i="1"/>
  <c r="G468" i="1"/>
  <c r="F468" i="1"/>
  <c r="F466" i="1"/>
  <c r="F465" i="1"/>
  <c r="F464" i="1"/>
  <c r="F463" i="1"/>
  <c r="F462" i="1"/>
  <c r="F461" i="1"/>
  <c r="F460" i="1"/>
  <c r="F459" i="1"/>
  <c r="G458" i="1"/>
  <c r="F458" i="1"/>
  <c r="F456" i="1"/>
  <c r="F455" i="1"/>
  <c r="F454" i="1"/>
  <c r="F453" i="1"/>
  <c r="F452" i="1"/>
  <c r="F450" i="1"/>
  <c r="A449" i="1"/>
  <c r="A450" i="1" s="1"/>
  <c r="A451" i="1" s="1"/>
  <c r="A452" i="1" s="1"/>
  <c r="A453" i="1" s="1"/>
  <c r="A454" i="1" s="1"/>
  <c r="A455" i="1" s="1"/>
  <c r="A456" i="1" s="1"/>
  <c r="G448" i="1"/>
  <c r="G449" i="1" s="1"/>
  <c r="G450" i="1" s="1"/>
  <c r="G451" i="1" s="1"/>
  <c r="G452" i="1" s="1"/>
  <c r="G453" i="1" s="1"/>
  <c r="G454" i="1" s="1"/>
  <c r="G455" i="1" s="1"/>
  <c r="G456" i="1" s="1"/>
  <c r="D443" i="1"/>
  <c r="F443" i="1" s="1"/>
  <c r="D442" i="1"/>
  <c r="F442" i="1" s="1"/>
  <c r="D441" i="1"/>
  <c r="F441" i="1" s="1"/>
  <c r="D440" i="1"/>
  <c r="F440" i="1" s="1"/>
  <c r="D438" i="1"/>
  <c r="F438" i="1" s="1"/>
  <c r="D437" i="1"/>
  <c r="F437" i="1" s="1"/>
  <c r="D436" i="1"/>
  <c r="F436" i="1" s="1"/>
  <c r="D435" i="1"/>
  <c r="F435" i="1" s="1"/>
  <c r="D432" i="1"/>
  <c r="F432" i="1" s="1"/>
  <c r="D431" i="1"/>
  <c r="F431" i="1" s="1"/>
  <c r="D429" i="1"/>
  <c r="F429" i="1" s="1"/>
  <c r="D428" i="1"/>
  <c r="F428" i="1" s="1"/>
  <c r="D425" i="1"/>
  <c r="F425" i="1" s="1"/>
  <c r="D423" i="1"/>
  <c r="F423" i="1" s="1"/>
  <c r="D422" i="1"/>
  <c r="F422" i="1" s="1"/>
  <c r="D421" i="1"/>
  <c r="F421" i="1" s="1"/>
  <c r="D420" i="1"/>
  <c r="F420" i="1" s="1"/>
  <c r="D418" i="1"/>
  <c r="F418" i="1" s="1"/>
  <c r="D417" i="1"/>
  <c r="F417" i="1" s="1"/>
  <c r="D416" i="1"/>
  <c r="F416" i="1" s="1"/>
  <c r="D415" i="1"/>
  <c r="F415" i="1" s="1"/>
  <c r="D407" i="1"/>
  <c r="F407" i="1" s="1"/>
  <c r="D406" i="1"/>
  <c r="F406" i="1" s="1"/>
  <c r="D413" i="1"/>
  <c r="F413" i="1" s="1"/>
  <c r="D412" i="1"/>
  <c r="F412" i="1" s="1"/>
  <c r="D411" i="1"/>
  <c r="F411" i="1" s="1"/>
  <c r="D410" i="1"/>
  <c r="F410" i="1" s="1"/>
  <c r="D409" i="1"/>
  <c r="F409" i="1" s="1"/>
  <c r="D405" i="1"/>
  <c r="F405" i="1" s="1"/>
  <c r="D408" i="1"/>
  <c r="F408" i="1" s="1"/>
  <c r="D402" i="1"/>
  <c r="F402" i="1" s="1"/>
  <c r="D401" i="1"/>
  <c r="F401" i="1" s="1"/>
  <c r="D400" i="1"/>
  <c r="F400" i="1" s="1"/>
  <c r="D399" i="1"/>
  <c r="F399" i="1" s="1"/>
  <c r="D395" i="1"/>
  <c r="F395" i="1" s="1"/>
  <c r="D396" i="1"/>
  <c r="F396" i="1" s="1"/>
  <c r="D397" i="1"/>
  <c r="F397" i="1" s="1"/>
  <c r="G435" i="1"/>
  <c r="D433" i="1"/>
  <c r="F433" i="1" s="1"/>
  <c r="D430" i="1"/>
  <c r="F430" i="1" s="1"/>
  <c r="D427" i="1"/>
  <c r="F427" i="1" s="1"/>
  <c r="D426" i="1"/>
  <c r="F426" i="1" s="1"/>
  <c r="G425" i="1"/>
  <c r="G415" i="1"/>
  <c r="G405" i="1"/>
  <c r="D403" i="1"/>
  <c r="F403" i="1" s="1"/>
  <c r="A396" i="1"/>
  <c r="A397" i="1" s="1"/>
  <c r="A398" i="1" s="1"/>
  <c r="A399" i="1" s="1"/>
  <c r="A400" i="1" s="1"/>
  <c r="A401" i="1" s="1"/>
  <c r="A402" i="1" s="1"/>
  <c r="A403" i="1" s="1"/>
  <c r="G395" i="1"/>
  <c r="G396" i="1" s="1"/>
  <c r="G397" i="1" s="1"/>
  <c r="G398" i="1" s="1"/>
  <c r="G399" i="1" s="1"/>
  <c r="G400" i="1" s="1"/>
  <c r="G401" i="1" s="1"/>
  <c r="G402" i="1" s="1"/>
  <c r="G403" i="1" s="1"/>
  <c r="O435" i="1"/>
  <c r="P415" i="1"/>
  <c r="O405" i="1"/>
  <c r="P425" i="1"/>
  <c r="P478" i="1"/>
  <c r="P435" i="1"/>
  <c r="O488" i="1"/>
  <c r="P458" i="1"/>
  <c r="O425" i="1"/>
  <c r="O478" i="1"/>
  <c r="P468" i="1"/>
  <c r="P488" i="1"/>
  <c r="P405" i="1"/>
  <c r="O415" i="1"/>
  <c r="O458" i="1"/>
  <c r="O468" i="1"/>
  <c r="J163" i="1" l="1"/>
  <c r="J168" i="1" s="1"/>
  <c r="F448" i="1"/>
  <c r="C206" i="1"/>
  <c r="C205" i="1"/>
  <c r="G205" i="1"/>
  <c r="F449" i="1"/>
  <c r="E205" i="1"/>
  <c r="O459" i="1"/>
  <c r="N458" i="1"/>
  <c r="O469" i="1"/>
  <c r="N468" i="1"/>
  <c r="O479" i="1"/>
  <c r="N478" i="1"/>
  <c r="O489" i="1"/>
  <c r="N488" i="1"/>
  <c r="P459" i="1"/>
  <c r="P460" i="1" s="1"/>
  <c r="P461" i="1" s="1"/>
  <c r="P462" i="1" s="1"/>
  <c r="P463" i="1" s="1"/>
  <c r="P464" i="1" s="1"/>
  <c r="P465" i="1" s="1"/>
  <c r="P466" i="1" s="1"/>
  <c r="P469" i="1"/>
  <c r="P470" i="1" s="1"/>
  <c r="P471" i="1" s="1"/>
  <c r="P472" i="1" s="1"/>
  <c r="P473" i="1" s="1"/>
  <c r="P474" i="1" s="1"/>
  <c r="P475" i="1" s="1"/>
  <c r="P476" i="1" s="1"/>
  <c r="P479" i="1"/>
  <c r="P480" i="1" s="1"/>
  <c r="P481" i="1" s="1"/>
  <c r="P482" i="1" s="1"/>
  <c r="P483" i="1" s="1"/>
  <c r="P484" i="1" s="1"/>
  <c r="P485" i="1" s="1"/>
  <c r="P486" i="1" s="1"/>
  <c r="P489" i="1"/>
  <c r="P490" i="1" s="1"/>
  <c r="P491" i="1" s="1"/>
  <c r="P492" i="1" s="1"/>
  <c r="P493" i="1" s="1"/>
  <c r="P494" i="1" s="1"/>
  <c r="P495" i="1" s="1"/>
  <c r="P496" i="1" s="1"/>
  <c r="O406" i="1"/>
  <c r="N405" i="1"/>
  <c r="O416" i="1"/>
  <c r="N415" i="1"/>
  <c r="O426" i="1"/>
  <c r="N425" i="1"/>
  <c r="O436" i="1"/>
  <c r="N435" i="1"/>
  <c r="P406" i="1"/>
  <c r="P407" i="1" s="1"/>
  <c r="P408" i="1" s="1"/>
  <c r="P409" i="1" s="1"/>
  <c r="P410" i="1" s="1"/>
  <c r="P411" i="1" s="1"/>
  <c r="P412" i="1" s="1"/>
  <c r="P413" i="1" s="1"/>
  <c r="P416" i="1"/>
  <c r="P417" i="1" s="1"/>
  <c r="P418" i="1" s="1"/>
  <c r="P419" i="1" s="1"/>
  <c r="P420" i="1" s="1"/>
  <c r="P421" i="1" s="1"/>
  <c r="P422" i="1" s="1"/>
  <c r="P423" i="1" s="1"/>
  <c r="P426" i="1"/>
  <c r="P427" i="1" s="1"/>
  <c r="P428" i="1" s="1"/>
  <c r="P429" i="1" s="1"/>
  <c r="P430" i="1" s="1"/>
  <c r="P431" i="1" s="1"/>
  <c r="P432" i="1" s="1"/>
  <c r="P433" i="1" s="1"/>
  <c r="P436" i="1"/>
  <c r="P437" i="1" s="1"/>
  <c r="P438" i="1" s="1"/>
  <c r="P439" i="1" s="1"/>
  <c r="P440" i="1" s="1"/>
  <c r="P441" i="1" s="1"/>
  <c r="P442" i="1" s="1"/>
  <c r="P443" i="1" s="1"/>
  <c r="I8" i="1"/>
  <c r="J169" i="1" l="1"/>
  <c r="E160" i="1"/>
  <c r="G206" i="1"/>
  <c r="D160" i="1"/>
  <c r="O490" i="1"/>
  <c r="N489" i="1"/>
  <c r="O480" i="1"/>
  <c r="N479" i="1"/>
  <c r="O470" i="1"/>
  <c r="N469" i="1"/>
  <c r="O460" i="1"/>
  <c r="N459" i="1"/>
  <c r="O437" i="1"/>
  <c r="N436" i="1"/>
  <c r="O427" i="1"/>
  <c r="N426" i="1"/>
  <c r="O417" i="1"/>
  <c r="N416" i="1"/>
  <c r="O407" i="1"/>
  <c r="N406" i="1"/>
  <c r="J139" i="1"/>
  <c r="J138" i="1"/>
  <c r="J137" i="1"/>
  <c r="J136" i="1"/>
  <c r="J97" i="1"/>
  <c r="J96" i="1"/>
  <c r="J95" i="1"/>
  <c r="J94" i="1"/>
  <c r="H87" i="1"/>
  <c r="G160" i="1" l="1"/>
  <c r="D161" i="1"/>
  <c r="I156" i="1"/>
  <c r="C158" i="1" s="1"/>
  <c r="O461" i="1"/>
  <c r="N460" i="1"/>
  <c r="O471" i="1"/>
  <c r="N470" i="1"/>
  <c r="O481" i="1"/>
  <c r="N480" i="1"/>
  <c r="O491" i="1"/>
  <c r="N490" i="1"/>
  <c r="O408" i="1"/>
  <c r="N407" i="1"/>
  <c r="O418" i="1"/>
  <c r="N417" i="1"/>
  <c r="O428" i="1"/>
  <c r="N427" i="1"/>
  <c r="O438" i="1"/>
  <c r="N437" i="1"/>
  <c r="D99" i="1"/>
  <c r="D95" i="1"/>
  <c r="J91" i="1"/>
  <c r="C90" i="1" s="1"/>
  <c r="D90" i="1" s="1"/>
  <c r="J89" i="1"/>
  <c r="J92" i="1"/>
  <c r="D98" i="1"/>
  <c r="D94" i="1"/>
  <c r="J90" i="1"/>
  <c r="D92" i="1"/>
  <c r="D97" i="1"/>
  <c r="D93" i="1"/>
  <c r="D96" i="1"/>
  <c r="O492" i="1" l="1"/>
  <c r="N491" i="1"/>
  <c r="O482" i="1"/>
  <c r="N481" i="1"/>
  <c r="O472" i="1"/>
  <c r="N471" i="1"/>
  <c r="O462" i="1"/>
  <c r="N461" i="1"/>
  <c r="O439" i="1"/>
  <c r="N438" i="1"/>
  <c r="O429" i="1"/>
  <c r="N428" i="1"/>
  <c r="O419" i="1"/>
  <c r="N418" i="1"/>
  <c r="O409" i="1"/>
  <c r="N408" i="1"/>
  <c r="J93" i="1"/>
  <c r="J98" i="1" s="1"/>
  <c r="J99" i="1" s="1"/>
  <c r="G90" i="1"/>
  <c r="N462" i="1" l="1"/>
  <c r="O463" i="1"/>
  <c r="N472" i="1"/>
  <c r="O473" i="1"/>
  <c r="N482" i="1"/>
  <c r="O483" i="1"/>
  <c r="N492" i="1"/>
  <c r="O493" i="1"/>
  <c r="N409" i="1"/>
  <c r="O410" i="1"/>
  <c r="N419" i="1"/>
  <c r="O420" i="1"/>
  <c r="N429" i="1"/>
  <c r="O430" i="1"/>
  <c r="N439" i="1"/>
  <c r="O440" i="1"/>
  <c r="D91" i="1"/>
  <c r="E90" i="1"/>
  <c r="I86" i="1" s="1"/>
  <c r="C88" i="1" s="1"/>
  <c r="D376" i="1"/>
  <c r="D357" i="1"/>
  <c r="H129" i="1"/>
  <c r="O494" i="1" l="1"/>
  <c r="N493" i="1"/>
  <c r="O484" i="1"/>
  <c r="N483" i="1"/>
  <c r="O474" i="1"/>
  <c r="N473" i="1"/>
  <c r="O464" i="1"/>
  <c r="N463" i="1"/>
  <c r="O441" i="1"/>
  <c r="N440" i="1"/>
  <c r="O431" i="1"/>
  <c r="N430" i="1"/>
  <c r="O421" i="1"/>
  <c r="N420" i="1"/>
  <c r="O411" i="1"/>
  <c r="N410" i="1"/>
  <c r="J133" i="1"/>
  <c r="D141" i="1"/>
  <c r="D137" i="1"/>
  <c r="D134" i="1"/>
  <c r="J132" i="1"/>
  <c r="D138" i="1"/>
  <c r="D140" i="1"/>
  <c r="D136" i="1"/>
  <c r="J131" i="1"/>
  <c r="D139" i="1"/>
  <c r="D135" i="1"/>
  <c r="J134" i="1"/>
  <c r="J135" i="1" s="1"/>
  <c r="J140" i="1" s="1"/>
  <c r="D346" i="1"/>
  <c r="F346" i="1" s="1"/>
  <c r="D390" i="1"/>
  <c r="F390" i="1" s="1"/>
  <c r="D389" i="1"/>
  <c r="F389" i="1" s="1"/>
  <c r="D388" i="1"/>
  <c r="F388" i="1" s="1"/>
  <c r="D382" i="1"/>
  <c r="F382" i="1" s="1"/>
  <c r="D380" i="1"/>
  <c r="F380" i="1" s="1"/>
  <c r="D379" i="1"/>
  <c r="F379" i="1" s="1"/>
  <c r="D378" i="1"/>
  <c r="F378" i="1" s="1"/>
  <c r="F376" i="1"/>
  <c r="D372" i="1"/>
  <c r="F372" i="1" s="1"/>
  <c r="D362" i="1"/>
  <c r="F362" i="1" s="1"/>
  <c r="D356" i="1"/>
  <c r="F356" i="1" s="1"/>
  <c r="D352" i="1"/>
  <c r="F352" i="1" s="1"/>
  <c r="D349" i="1"/>
  <c r="F349" i="1" s="1"/>
  <c r="D348" i="1"/>
  <c r="F348" i="1" s="1"/>
  <c r="D347" i="1"/>
  <c r="F347" i="1" s="1"/>
  <c r="D342" i="1"/>
  <c r="F342" i="1" s="1"/>
  <c r="D387" i="1"/>
  <c r="F387" i="1" s="1"/>
  <c r="D385" i="1"/>
  <c r="F385" i="1" s="1"/>
  <c r="D384" i="1"/>
  <c r="F384" i="1" s="1"/>
  <c r="D383" i="1"/>
  <c r="F383" i="1" s="1"/>
  <c r="G382" i="1"/>
  <c r="D377" i="1"/>
  <c r="F377" i="1" s="1"/>
  <c r="D375" i="1"/>
  <c r="F375" i="1" s="1"/>
  <c r="D374" i="1"/>
  <c r="F374" i="1" s="1"/>
  <c r="D373" i="1"/>
  <c r="F373" i="1" s="1"/>
  <c r="G372" i="1"/>
  <c r="D370" i="1"/>
  <c r="F370" i="1" s="1"/>
  <c r="D369" i="1"/>
  <c r="F369" i="1" s="1"/>
  <c r="D368" i="1"/>
  <c r="F368" i="1" s="1"/>
  <c r="D367" i="1"/>
  <c r="F367" i="1" s="1"/>
  <c r="D365" i="1"/>
  <c r="F365" i="1" s="1"/>
  <c r="D364" i="1"/>
  <c r="F364" i="1" s="1"/>
  <c r="D363" i="1"/>
  <c r="F363" i="1" s="1"/>
  <c r="G362" i="1"/>
  <c r="D360" i="1"/>
  <c r="F360" i="1" s="1"/>
  <c r="D359" i="1"/>
  <c r="F359" i="1" s="1"/>
  <c r="D358" i="1"/>
  <c r="F358" i="1" s="1"/>
  <c r="F357" i="1"/>
  <c r="D355" i="1"/>
  <c r="F355" i="1" s="1"/>
  <c r="D354" i="1"/>
  <c r="F354" i="1" s="1"/>
  <c r="D353" i="1"/>
  <c r="F353" i="1" s="1"/>
  <c r="G352" i="1"/>
  <c r="D350" i="1"/>
  <c r="F350" i="1" s="1"/>
  <c r="D344" i="1"/>
  <c r="F344" i="1" s="1"/>
  <c r="D343" i="1"/>
  <c r="F343" i="1" s="1"/>
  <c r="A343" i="1"/>
  <c r="A344" i="1" s="1"/>
  <c r="A345" i="1" s="1"/>
  <c r="A346" i="1" s="1"/>
  <c r="A347" i="1" s="1"/>
  <c r="A348" i="1" s="1"/>
  <c r="A349" i="1" s="1"/>
  <c r="A350" i="1" s="1"/>
  <c r="G342" i="1"/>
  <c r="G343" i="1" s="1"/>
  <c r="G344" i="1" s="1"/>
  <c r="G345" i="1" s="1"/>
  <c r="G346" i="1" s="1"/>
  <c r="G347" i="1" s="1"/>
  <c r="G348" i="1" s="1"/>
  <c r="G349" i="1" s="1"/>
  <c r="G350" i="1" s="1"/>
  <c r="D337" i="1"/>
  <c r="F337" i="1" s="1"/>
  <c r="D336" i="1"/>
  <c r="F336" i="1" s="1"/>
  <c r="I336" i="1" s="1"/>
  <c r="D335" i="1"/>
  <c r="F335" i="1" s="1"/>
  <c r="D334" i="1"/>
  <c r="F334" i="1" s="1"/>
  <c r="I334" i="1" s="1"/>
  <c r="D332" i="1"/>
  <c r="F332" i="1" s="1"/>
  <c r="D331" i="1"/>
  <c r="F331" i="1" s="1"/>
  <c r="D330" i="1"/>
  <c r="F330" i="1" s="1"/>
  <c r="D329" i="1"/>
  <c r="F329" i="1" s="1"/>
  <c r="G329" i="1"/>
  <c r="D327" i="1"/>
  <c r="F327" i="1" s="1"/>
  <c r="D326" i="1"/>
  <c r="F326" i="1" s="1"/>
  <c r="I326" i="1" s="1"/>
  <c r="D325" i="1"/>
  <c r="F325" i="1" s="1"/>
  <c r="D324" i="1"/>
  <c r="F324" i="1" s="1"/>
  <c r="I324" i="1" s="1"/>
  <c r="D323" i="1"/>
  <c r="F323" i="1" s="1"/>
  <c r="D322" i="1"/>
  <c r="F322" i="1" s="1"/>
  <c r="D321" i="1"/>
  <c r="F321" i="1" s="1"/>
  <c r="D320" i="1"/>
  <c r="F320" i="1" s="1"/>
  <c r="D319" i="1"/>
  <c r="F319" i="1" s="1"/>
  <c r="G319" i="1"/>
  <c r="D302" i="1"/>
  <c r="F302" i="1" s="1"/>
  <c r="D304" i="1"/>
  <c r="F304" i="1" s="1"/>
  <c r="I304" i="1" s="1"/>
  <c r="D314" i="1"/>
  <c r="F314" i="1" s="1"/>
  <c r="I314" i="1" s="1"/>
  <c r="D312" i="1"/>
  <c r="F312" i="1" s="1"/>
  <c r="D317" i="1"/>
  <c r="F317" i="1" s="1"/>
  <c r="D316" i="1"/>
  <c r="F316" i="1" s="1"/>
  <c r="I316" i="1" s="1"/>
  <c r="D315" i="1"/>
  <c r="F315" i="1" s="1"/>
  <c r="D311" i="1"/>
  <c r="F311" i="1" s="1"/>
  <c r="D310" i="1"/>
  <c r="F310" i="1" s="1"/>
  <c r="G309" i="1"/>
  <c r="D309" i="1"/>
  <c r="F309" i="1" s="1"/>
  <c r="D303" i="1"/>
  <c r="F303" i="1" s="1"/>
  <c r="D307" i="1"/>
  <c r="F307" i="1" s="1"/>
  <c r="D306" i="1"/>
  <c r="F306" i="1" s="1"/>
  <c r="I306" i="1" s="1"/>
  <c r="D305" i="1"/>
  <c r="F305" i="1" s="1"/>
  <c r="D301" i="1"/>
  <c r="F301" i="1" s="1"/>
  <c r="D300" i="1"/>
  <c r="F300" i="1" s="1"/>
  <c r="D299" i="1"/>
  <c r="F299" i="1" s="1"/>
  <c r="D289" i="1"/>
  <c r="F289" i="1" s="1"/>
  <c r="D297" i="1"/>
  <c r="F297" i="1" s="1"/>
  <c r="D296" i="1"/>
  <c r="F296" i="1" s="1"/>
  <c r="D295" i="1"/>
  <c r="F295" i="1" s="1"/>
  <c r="D294" i="1"/>
  <c r="F294" i="1" s="1"/>
  <c r="D293" i="1"/>
  <c r="F293" i="1" s="1"/>
  <c r="D291" i="1"/>
  <c r="F291" i="1" s="1"/>
  <c r="D290" i="1"/>
  <c r="F290" i="1" s="1"/>
  <c r="G55" i="1"/>
  <c r="C55" i="1"/>
  <c r="G299" i="1"/>
  <c r="G289" i="1"/>
  <c r="G290" i="1" s="1"/>
  <c r="G291" i="1" s="1"/>
  <c r="G292" i="1" s="1"/>
  <c r="G293" i="1" s="1"/>
  <c r="G294" i="1" s="1"/>
  <c r="G295" i="1" s="1"/>
  <c r="G296" i="1" s="1"/>
  <c r="G297" i="1" s="1"/>
  <c r="A290" i="1"/>
  <c r="A291" i="1" s="1"/>
  <c r="A292" i="1" s="1"/>
  <c r="A293" i="1" s="1"/>
  <c r="A294" i="1" s="1"/>
  <c r="A295" i="1" s="1"/>
  <c r="A296" i="1" s="1"/>
  <c r="A297" i="1" s="1"/>
  <c r="P309" i="1"/>
  <c r="O362" i="1"/>
  <c r="P352" i="1"/>
  <c r="O299" i="1"/>
  <c r="P299" i="1"/>
  <c r="O372" i="1"/>
  <c r="P329" i="1"/>
  <c r="O329" i="1"/>
  <c r="O382" i="1"/>
  <c r="O309" i="1"/>
  <c r="P372" i="1"/>
  <c r="P382" i="1"/>
  <c r="P362" i="1"/>
  <c r="O352" i="1"/>
  <c r="P319" i="1"/>
  <c r="O319" i="1"/>
  <c r="J141" i="1" l="1"/>
  <c r="G132" i="1"/>
  <c r="O465" i="1"/>
  <c r="N464" i="1"/>
  <c r="O475" i="1"/>
  <c r="N474" i="1"/>
  <c r="O485" i="1"/>
  <c r="N484" i="1"/>
  <c r="O495" i="1"/>
  <c r="N494" i="1"/>
  <c r="O412" i="1"/>
  <c r="N411" i="1"/>
  <c r="O422" i="1"/>
  <c r="N421" i="1"/>
  <c r="O432" i="1"/>
  <c r="N431" i="1"/>
  <c r="O442" i="1"/>
  <c r="N441" i="1"/>
  <c r="D132" i="1"/>
  <c r="G204" i="1"/>
  <c r="G203" i="1"/>
  <c r="C203" i="1"/>
  <c r="E203" i="1"/>
  <c r="C204" i="1"/>
  <c r="E204" i="1"/>
  <c r="N362" i="1"/>
  <c r="O363" i="1"/>
  <c r="P353" i="1"/>
  <c r="P354" i="1" s="1"/>
  <c r="P355" i="1" s="1"/>
  <c r="P356" i="1" s="1"/>
  <c r="P357" i="1" s="1"/>
  <c r="P358" i="1" s="1"/>
  <c r="P359" i="1" s="1"/>
  <c r="P360" i="1" s="1"/>
  <c r="P363" i="1"/>
  <c r="P364" i="1" s="1"/>
  <c r="P365" i="1" s="1"/>
  <c r="P366" i="1" s="1"/>
  <c r="P367" i="1" s="1"/>
  <c r="P368" i="1" s="1"/>
  <c r="P369" i="1" s="1"/>
  <c r="P370" i="1" s="1"/>
  <c r="O373" i="1"/>
  <c r="N372" i="1"/>
  <c r="O383" i="1"/>
  <c r="N382" i="1"/>
  <c r="N352" i="1"/>
  <c r="O353" i="1"/>
  <c r="P373" i="1"/>
  <c r="P374" i="1" s="1"/>
  <c r="P375" i="1" s="1"/>
  <c r="P376" i="1" s="1"/>
  <c r="P377" i="1" s="1"/>
  <c r="P378" i="1" s="1"/>
  <c r="P379" i="1" s="1"/>
  <c r="P380" i="1" s="1"/>
  <c r="P383" i="1"/>
  <c r="P384" i="1" s="1"/>
  <c r="P385" i="1" s="1"/>
  <c r="P386" i="1" s="1"/>
  <c r="P387" i="1" s="1"/>
  <c r="P388" i="1" s="1"/>
  <c r="P389" i="1" s="1"/>
  <c r="P390" i="1" s="1"/>
  <c r="O330" i="1"/>
  <c r="N329" i="1"/>
  <c r="P330" i="1"/>
  <c r="P331" i="1" s="1"/>
  <c r="P332" i="1" s="1"/>
  <c r="P333" i="1" s="1"/>
  <c r="P334" i="1" s="1"/>
  <c r="P335" i="1" s="1"/>
  <c r="P336" i="1" s="1"/>
  <c r="P337" i="1" s="1"/>
  <c r="N319" i="1"/>
  <c r="O320" i="1"/>
  <c r="P320" i="1"/>
  <c r="P321" i="1" s="1"/>
  <c r="P322" i="1" s="1"/>
  <c r="P323" i="1" s="1"/>
  <c r="P324" i="1" s="1"/>
  <c r="P325" i="1" s="1"/>
  <c r="P326" i="1" s="1"/>
  <c r="P327" i="1" s="1"/>
  <c r="P310" i="1"/>
  <c r="P311" i="1" s="1"/>
  <c r="P312" i="1" s="1"/>
  <c r="P313" i="1" s="1"/>
  <c r="P314" i="1" s="1"/>
  <c r="P315" i="1" s="1"/>
  <c r="P316" i="1" s="1"/>
  <c r="P317" i="1" s="1"/>
  <c r="N309" i="1"/>
  <c r="O310" i="1"/>
  <c r="N299" i="1"/>
  <c r="O300" i="1"/>
  <c r="P300" i="1"/>
  <c r="P301" i="1" s="1"/>
  <c r="P302" i="1" s="1"/>
  <c r="P303" i="1" s="1"/>
  <c r="P304" i="1" s="1"/>
  <c r="P305" i="1" s="1"/>
  <c r="P306" i="1" s="1"/>
  <c r="P307" i="1" s="1"/>
  <c r="F198" i="1"/>
  <c r="D283" i="1"/>
  <c r="F283" i="1" s="1"/>
  <c r="D282" i="1"/>
  <c r="F282" i="1" s="1"/>
  <c r="D281" i="1"/>
  <c r="F281" i="1" s="1"/>
  <c r="D280" i="1"/>
  <c r="F280" i="1" s="1"/>
  <c r="D279" i="1"/>
  <c r="F279" i="1" s="1"/>
  <c r="D278" i="1"/>
  <c r="F278" i="1" s="1"/>
  <c r="D277" i="1"/>
  <c r="F277" i="1" s="1"/>
  <c r="D276" i="1"/>
  <c r="D275" i="1"/>
  <c r="F275" i="1" s="1"/>
  <c r="D273" i="1"/>
  <c r="F273" i="1" s="1"/>
  <c r="D272" i="1"/>
  <c r="F272" i="1" s="1"/>
  <c r="D271" i="1"/>
  <c r="F271" i="1" s="1"/>
  <c r="I271" i="1" s="1"/>
  <c r="D266" i="1"/>
  <c r="F266" i="1" s="1"/>
  <c r="D265" i="1"/>
  <c r="F265" i="1" s="1"/>
  <c r="D270" i="1"/>
  <c r="F270" i="1" s="1"/>
  <c r="D269" i="1"/>
  <c r="F269" i="1" s="1"/>
  <c r="I269" i="1" s="1"/>
  <c r="D268" i="1"/>
  <c r="F268" i="1" s="1"/>
  <c r="D267" i="1"/>
  <c r="F267" i="1" s="1"/>
  <c r="D264" i="1"/>
  <c r="F264" i="1" s="1"/>
  <c r="D261" i="1"/>
  <c r="F261" i="1" s="1"/>
  <c r="D260" i="1"/>
  <c r="F260" i="1" s="1"/>
  <c r="D259" i="1"/>
  <c r="F259" i="1" s="1"/>
  <c r="D258" i="1"/>
  <c r="F258" i="1" s="1"/>
  <c r="D257" i="1"/>
  <c r="F257" i="1" s="1"/>
  <c r="D255" i="1"/>
  <c r="F255" i="1" s="1"/>
  <c r="D254" i="1"/>
  <c r="F254" i="1" s="1"/>
  <c r="D253" i="1"/>
  <c r="F253" i="1" s="1"/>
  <c r="G275" i="1"/>
  <c r="G264" i="1"/>
  <c r="D256" i="1"/>
  <c r="F256" i="1" s="1"/>
  <c r="G253" i="1"/>
  <c r="G254" i="1" s="1"/>
  <c r="G255" i="1" s="1"/>
  <c r="G256" i="1" s="1"/>
  <c r="G257" i="1" s="1"/>
  <c r="G258" i="1" s="1"/>
  <c r="G259" i="1" s="1"/>
  <c r="G260" i="1" s="1"/>
  <c r="G261" i="1" s="1"/>
  <c r="G262" i="1" s="1"/>
  <c r="A253" i="1"/>
  <c r="A254" i="1" s="1"/>
  <c r="A255" i="1" s="1"/>
  <c r="A256" i="1" s="1"/>
  <c r="A257" i="1" s="1"/>
  <c r="A258" i="1" s="1"/>
  <c r="A259" i="1" s="1"/>
  <c r="A260" i="1" s="1"/>
  <c r="A261" i="1" s="1"/>
  <c r="A262" i="1" s="1"/>
  <c r="D227" i="1"/>
  <c r="F227" i="1" s="1"/>
  <c r="D226" i="1"/>
  <c r="F226" i="1" s="1"/>
  <c r="D225" i="1"/>
  <c r="F225" i="1" s="1"/>
  <c r="D224" i="1"/>
  <c r="F224" i="1" s="1"/>
  <c r="D223" i="1"/>
  <c r="D221" i="1"/>
  <c r="D220" i="1"/>
  <c r="D219" i="1"/>
  <c r="D218" i="1"/>
  <c r="D248" i="1"/>
  <c r="F248" i="1" s="1"/>
  <c r="D247" i="1"/>
  <c r="F247" i="1" s="1"/>
  <c r="D246" i="1"/>
  <c r="F246" i="1" s="1"/>
  <c r="D245" i="1"/>
  <c r="F245" i="1" s="1"/>
  <c r="D244" i="1"/>
  <c r="F244" i="1" s="1"/>
  <c r="D243" i="1"/>
  <c r="F243" i="1" s="1"/>
  <c r="D242" i="1"/>
  <c r="F242" i="1" s="1"/>
  <c r="D241" i="1"/>
  <c r="F241" i="1" s="1"/>
  <c r="G240" i="1"/>
  <c r="D240" i="1"/>
  <c r="F240" i="1" s="1"/>
  <c r="D233" i="1"/>
  <c r="D231" i="1"/>
  <c r="D230" i="1"/>
  <c r="D238" i="1"/>
  <c r="F238" i="1" s="1"/>
  <c r="D237" i="1"/>
  <c r="F237" i="1" s="1"/>
  <c r="D236" i="1"/>
  <c r="F236" i="1" s="1"/>
  <c r="D235" i="1"/>
  <c r="F235" i="1" s="1"/>
  <c r="D234" i="1"/>
  <c r="D232" i="1"/>
  <c r="D229" i="1"/>
  <c r="G52" i="1"/>
  <c r="E45" i="1"/>
  <c r="E46" i="1" s="1"/>
  <c r="P240" i="1"/>
  <c r="P264" i="1"/>
  <c r="P275" i="1"/>
  <c r="O240" i="1"/>
  <c r="O264" i="1"/>
  <c r="O275" i="1"/>
  <c r="D133" i="1" l="1"/>
  <c r="E132" i="1"/>
  <c r="I128" i="1" s="1"/>
  <c r="C130" i="1" s="1"/>
  <c r="O496" i="1"/>
  <c r="N496" i="1" s="1"/>
  <c r="N495" i="1"/>
  <c r="O486" i="1"/>
  <c r="N486" i="1" s="1"/>
  <c r="N485" i="1"/>
  <c r="O476" i="1"/>
  <c r="N476" i="1" s="1"/>
  <c r="N475" i="1"/>
  <c r="O466" i="1"/>
  <c r="N466" i="1" s="1"/>
  <c r="N465" i="1"/>
  <c r="O443" i="1"/>
  <c r="N443" i="1" s="1"/>
  <c r="N442" i="1"/>
  <c r="O433" i="1"/>
  <c r="N433" i="1" s="1"/>
  <c r="N432" i="1"/>
  <c r="O423" i="1"/>
  <c r="N423" i="1" s="1"/>
  <c r="N422" i="1"/>
  <c r="O413" i="1"/>
  <c r="N413" i="1" s="1"/>
  <c r="N412" i="1"/>
  <c r="N383" i="1"/>
  <c r="O384" i="1"/>
  <c r="N373" i="1"/>
  <c r="O374" i="1"/>
  <c r="O354" i="1"/>
  <c r="N353" i="1"/>
  <c r="O364" i="1"/>
  <c r="N363" i="1"/>
  <c r="N330" i="1"/>
  <c r="O331" i="1"/>
  <c r="O321" i="1"/>
  <c r="N320" i="1"/>
  <c r="O311" i="1"/>
  <c r="N310" i="1"/>
  <c r="E201" i="1"/>
  <c r="O301" i="1"/>
  <c r="N300" i="1"/>
  <c r="C201" i="1"/>
  <c r="C202" i="1"/>
  <c r="E202" i="1"/>
  <c r="F276" i="1"/>
  <c r="G202" i="1" s="1"/>
  <c r="O276" i="1"/>
  <c r="N275" i="1"/>
  <c r="A275" i="1" s="1"/>
  <c r="P276" i="1"/>
  <c r="P277" i="1" s="1"/>
  <c r="P278" i="1" s="1"/>
  <c r="P279" i="1" s="1"/>
  <c r="P280" i="1" s="1"/>
  <c r="P281" i="1" s="1"/>
  <c r="P282" i="1" s="1"/>
  <c r="P283" i="1" s="1"/>
  <c r="P284" i="1" s="1"/>
  <c r="P265" i="1"/>
  <c r="P266" i="1" s="1"/>
  <c r="P267" i="1" s="1"/>
  <c r="P268" i="1" s="1"/>
  <c r="P269" i="1" s="1"/>
  <c r="P270" i="1" s="1"/>
  <c r="P271" i="1" s="1"/>
  <c r="P272" i="1" s="1"/>
  <c r="P273" i="1" s="1"/>
  <c r="N264" i="1"/>
  <c r="O265" i="1"/>
  <c r="P241" i="1"/>
  <c r="P242" i="1" s="1"/>
  <c r="P243" i="1" s="1"/>
  <c r="P244" i="1" s="1"/>
  <c r="P245" i="1" s="1"/>
  <c r="P246" i="1" s="1"/>
  <c r="P247" i="1" s="1"/>
  <c r="P248" i="1" s="1"/>
  <c r="P249" i="1" s="1"/>
  <c r="O241" i="1"/>
  <c r="N240" i="1"/>
  <c r="A240" i="1" s="1"/>
  <c r="C209" i="1" l="1"/>
  <c r="E209" i="1"/>
  <c r="O355" i="1"/>
  <c r="N354" i="1"/>
  <c r="N374" i="1"/>
  <c r="O375" i="1"/>
  <c r="O365" i="1"/>
  <c r="N364" i="1"/>
  <c r="N384" i="1"/>
  <c r="O385" i="1"/>
  <c r="N331" i="1"/>
  <c r="O332" i="1"/>
  <c r="O322" i="1"/>
  <c r="N321" i="1"/>
  <c r="O312" i="1"/>
  <c r="N311" i="1"/>
  <c r="O302" i="1"/>
  <c r="N301" i="1"/>
  <c r="O266" i="1"/>
  <c r="N265" i="1"/>
  <c r="O277" i="1"/>
  <c r="N276" i="1"/>
  <c r="A276" i="1" s="1"/>
  <c r="O242" i="1"/>
  <c r="N241" i="1"/>
  <c r="A241" i="1" s="1"/>
  <c r="O386" i="1" l="1"/>
  <c r="N385" i="1"/>
  <c r="O376" i="1"/>
  <c r="N375" i="1"/>
  <c r="O366" i="1"/>
  <c r="N365" i="1"/>
  <c r="N355" i="1"/>
  <c r="O356" i="1"/>
  <c r="O333" i="1"/>
  <c r="N332" i="1"/>
  <c r="N322" i="1"/>
  <c r="O323" i="1"/>
  <c r="N312" i="1"/>
  <c r="O313" i="1"/>
  <c r="N302" i="1"/>
  <c r="O303" i="1"/>
  <c r="O278" i="1"/>
  <c r="N277" i="1"/>
  <c r="A277" i="1" s="1"/>
  <c r="O267" i="1"/>
  <c r="N266" i="1"/>
  <c r="O243" i="1"/>
  <c r="N242" i="1"/>
  <c r="A242" i="1" s="1"/>
  <c r="N356" i="1" l="1"/>
  <c r="O357" i="1"/>
  <c r="N376" i="1"/>
  <c r="O377" i="1"/>
  <c r="N366" i="1"/>
  <c r="O367" i="1"/>
  <c r="N386" i="1"/>
  <c r="O387" i="1"/>
  <c r="N333" i="1"/>
  <c r="O334" i="1"/>
  <c r="N323" i="1"/>
  <c r="O324" i="1"/>
  <c r="N313" i="1"/>
  <c r="O314" i="1"/>
  <c r="N303" i="1"/>
  <c r="O304" i="1"/>
  <c r="N267" i="1"/>
  <c r="O268" i="1"/>
  <c r="O279" i="1"/>
  <c r="N278" i="1"/>
  <c r="A278" i="1" s="1"/>
  <c r="O244" i="1"/>
  <c r="N243" i="1"/>
  <c r="A243" i="1" s="1"/>
  <c r="O388" i="1" l="1"/>
  <c r="N387" i="1"/>
  <c r="N377" i="1"/>
  <c r="O378" i="1"/>
  <c r="N367" i="1"/>
  <c r="O368" i="1"/>
  <c r="O358" i="1"/>
  <c r="N357" i="1"/>
  <c r="O335" i="1"/>
  <c r="N334" i="1"/>
  <c r="O325" i="1"/>
  <c r="N324" i="1"/>
  <c r="O315" i="1"/>
  <c r="N314" i="1"/>
  <c r="O305" i="1"/>
  <c r="N304" i="1"/>
  <c r="O280" i="1"/>
  <c r="N279" i="1"/>
  <c r="A279" i="1" s="1"/>
  <c r="N268" i="1"/>
  <c r="O269" i="1"/>
  <c r="O245" i="1"/>
  <c r="N244" i="1"/>
  <c r="A244" i="1" s="1"/>
  <c r="O379" i="1" l="1"/>
  <c r="N378" i="1"/>
  <c r="N358" i="1"/>
  <c r="O359" i="1"/>
  <c r="O369" i="1"/>
  <c r="N368" i="1"/>
  <c r="N388" i="1"/>
  <c r="O389" i="1"/>
  <c r="N335" i="1"/>
  <c r="O336" i="1"/>
  <c r="N325" i="1"/>
  <c r="O326" i="1"/>
  <c r="N315" i="1"/>
  <c r="O316" i="1"/>
  <c r="N305" i="1"/>
  <c r="O306" i="1"/>
  <c r="O281" i="1"/>
  <c r="N280" i="1"/>
  <c r="A280" i="1" s="1"/>
  <c r="O270" i="1"/>
  <c r="N269" i="1"/>
  <c r="O246" i="1"/>
  <c r="N245" i="1"/>
  <c r="A245" i="1" s="1"/>
  <c r="O390" i="1" l="1"/>
  <c r="N390" i="1" s="1"/>
  <c r="N389" i="1"/>
  <c r="O360" i="1"/>
  <c r="N360" i="1" s="1"/>
  <c r="N359" i="1"/>
  <c r="N369" i="1"/>
  <c r="O370" i="1"/>
  <c r="N370" i="1" s="1"/>
  <c r="N379" i="1"/>
  <c r="O380" i="1"/>
  <c r="N380" i="1" s="1"/>
  <c r="O337" i="1"/>
  <c r="N337" i="1" s="1"/>
  <c r="N336" i="1"/>
  <c r="O327" i="1"/>
  <c r="N327" i="1" s="1"/>
  <c r="N326" i="1"/>
  <c r="O317" i="1"/>
  <c r="N317" i="1" s="1"/>
  <c r="N316" i="1"/>
  <c r="O307" i="1"/>
  <c r="N306" i="1"/>
  <c r="O271" i="1"/>
  <c r="N270" i="1"/>
  <c r="O282" i="1"/>
  <c r="N281" i="1"/>
  <c r="A281" i="1" s="1"/>
  <c r="O247" i="1"/>
  <c r="N246" i="1"/>
  <c r="A246" i="1" s="1"/>
  <c r="N307" i="1" l="1"/>
  <c r="N271" i="1"/>
  <c r="O272" i="1"/>
  <c r="O283" i="1"/>
  <c r="N282" i="1"/>
  <c r="A282" i="1" s="1"/>
  <c r="O248" i="1"/>
  <c r="N247" i="1"/>
  <c r="A247" i="1" s="1"/>
  <c r="O284" i="1" l="1"/>
  <c r="N284" i="1" s="1"/>
  <c r="A284" i="1" s="1"/>
  <c r="N283" i="1"/>
  <c r="A283" i="1" s="1"/>
  <c r="N272" i="1"/>
  <c r="O273" i="1"/>
  <c r="N273" i="1" s="1"/>
  <c r="O249" i="1"/>
  <c r="N249" i="1" s="1"/>
  <c r="A249" i="1" s="1"/>
  <c r="N248" i="1"/>
  <c r="A248" i="1" s="1"/>
  <c r="A600" i="1" l="1"/>
  <c r="A601" i="1" s="1"/>
  <c r="A602" i="1" s="1"/>
  <c r="A603" i="1" s="1"/>
  <c r="A604" i="1" s="1"/>
  <c r="A605" i="1" s="1"/>
  <c r="A606" i="1" l="1"/>
  <c r="A218" i="1"/>
  <c r="A219" i="1" s="1"/>
  <c r="A220" i="1" s="1"/>
  <c r="A221" i="1" s="1"/>
  <c r="A222" i="1" s="1"/>
  <c r="A223" i="1" s="1"/>
  <c r="A224" i="1" s="1"/>
  <c r="A225" i="1" s="1"/>
  <c r="A226" i="1" s="1"/>
  <c r="A227" i="1" s="1"/>
  <c r="O229" i="1"/>
  <c r="P229" i="1"/>
  <c r="N229" i="1" l="1"/>
  <c r="E12" i="7" l="1"/>
  <c r="C12" i="7"/>
  <c r="E27" i="7"/>
  <c r="C27" i="7"/>
  <c r="F10" i="7" l="1"/>
  <c r="F8" i="7"/>
  <c r="F7" i="7"/>
  <c r="F5" i="7"/>
  <c r="F9" i="7" s="1"/>
  <c r="F11" i="7" l="1"/>
  <c r="I11" i="7" s="1"/>
  <c r="I10" i="7"/>
  <c r="I9" i="7"/>
  <c r="I8" i="7"/>
  <c r="H7" i="7"/>
  <c r="I6" i="7"/>
  <c r="H6" i="7"/>
  <c r="I5" i="7"/>
  <c r="I4" i="7"/>
  <c r="E44" i="7"/>
  <c r="C44" i="7"/>
  <c r="F43" i="7"/>
  <c r="I43" i="7" s="1"/>
  <c r="F42" i="7"/>
  <c r="I42" i="7" s="1"/>
  <c r="F40" i="7"/>
  <c r="I40" i="7" s="1"/>
  <c r="F38" i="7"/>
  <c r="I38" i="7" s="1"/>
  <c r="F37" i="7"/>
  <c r="I37" i="7" s="1"/>
  <c r="I36" i="7"/>
  <c r="H36" i="7"/>
  <c r="B36" i="7" s="1"/>
  <c r="F35" i="7"/>
  <c r="F39" i="7" s="1"/>
  <c r="I39" i="7" s="1"/>
  <c r="I34" i="7"/>
  <c r="F26" i="7"/>
  <c r="I26" i="7" s="1"/>
  <c r="F25" i="7"/>
  <c r="I25" i="7" s="1"/>
  <c r="F22" i="7"/>
  <c r="I22" i="7" s="1"/>
  <c r="F23" i="7"/>
  <c r="I23" i="7" s="1"/>
  <c r="F20" i="7"/>
  <c r="I20" i="7" s="1"/>
  <c r="I19" i="7"/>
  <c r="H19" i="7"/>
  <c r="B19" i="7" s="1"/>
  <c r="F18" i="7"/>
  <c r="F21" i="7" s="1"/>
  <c r="I17" i="7"/>
  <c r="D71" i="1" l="1"/>
  <c r="F184" i="1"/>
  <c r="H40" i="7"/>
  <c r="F41" i="7"/>
  <c r="I41" i="7" s="1"/>
  <c r="I7" i="7"/>
  <c r="I12" i="7" s="1"/>
  <c r="H8" i="7"/>
  <c r="H35" i="7"/>
  <c r="I35" i="7"/>
  <c r="D35" i="7" s="1"/>
  <c r="D36" i="7" s="1"/>
  <c r="D37" i="7" s="1"/>
  <c r="D38" i="7" s="1"/>
  <c r="D39" i="7" s="1"/>
  <c r="D40" i="7" s="1"/>
  <c r="D41" i="7" s="1"/>
  <c r="D42" i="7" s="1"/>
  <c r="H11" i="7"/>
  <c r="H9" i="7"/>
  <c r="H5" i="7"/>
  <c r="H10" i="7"/>
  <c r="H43" i="7"/>
  <c r="H38" i="7"/>
  <c r="H39" i="7"/>
  <c r="H37" i="7"/>
  <c r="B37" i="7" s="1"/>
  <c r="H42" i="7"/>
  <c r="F24" i="7"/>
  <c r="H25" i="7"/>
  <c r="H21" i="7"/>
  <c r="I21" i="7"/>
  <c r="H23" i="7"/>
  <c r="H20" i="7"/>
  <c r="B20" i="7" s="1"/>
  <c r="B21" i="7" s="1"/>
  <c r="H18" i="7"/>
  <c r="H22" i="7"/>
  <c r="I18" i="7"/>
  <c r="D18" i="7" s="1"/>
  <c r="D19" i="7" s="1"/>
  <c r="D20" i="7" s="1"/>
  <c r="H26" i="7"/>
  <c r="D21" i="7" l="1"/>
  <c r="D22" i="7" s="1"/>
  <c r="D23" i="7" s="1"/>
  <c r="B22" i="7"/>
  <c r="B23" i="7" s="1"/>
  <c r="H41" i="7"/>
  <c r="H44" i="7" s="1"/>
  <c r="B38" i="7"/>
  <c r="B39" i="7" s="1"/>
  <c r="B40" i="7" s="1"/>
  <c r="B41" i="7" s="1"/>
  <c r="B42" i="7" s="1"/>
  <c r="I44" i="7"/>
  <c r="H12" i="7"/>
  <c r="H24" i="7"/>
  <c r="I24" i="7"/>
  <c r="I27" i="7" s="1"/>
  <c r="D24" i="7" l="1"/>
  <c r="D25" i="7" s="1"/>
  <c r="B24" i="7"/>
  <c r="B25" i="7" s="1"/>
  <c r="H27" i="7"/>
  <c r="C18" i="1" l="1"/>
  <c r="F234" i="1" l="1"/>
  <c r="F233" i="1"/>
  <c r="F232" i="1"/>
  <c r="F231" i="1"/>
  <c r="F230" i="1"/>
  <c r="F229" i="1"/>
  <c r="F219" i="1"/>
  <c r="F220" i="1"/>
  <c r="F221" i="1"/>
  <c r="F223" i="1"/>
  <c r="F218" i="1"/>
  <c r="G201" i="1" l="1"/>
  <c r="G209" i="1" s="1"/>
  <c r="O230" i="1"/>
  <c r="P230" i="1" l="1"/>
  <c r="P231" i="1" s="1"/>
  <c r="P232" i="1" s="1"/>
  <c r="P233" i="1" s="1"/>
  <c r="P234" i="1" s="1"/>
  <c r="P235" i="1" s="1"/>
  <c r="P236" i="1" s="1"/>
  <c r="P237" i="1" s="1"/>
  <c r="P238" i="1" s="1"/>
  <c r="O231" i="1"/>
  <c r="G229" i="1"/>
  <c r="G218" i="1"/>
  <c r="G219" i="1" s="1"/>
  <c r="G220" i="1" s="1"/>
  <c r="G221" i="1" s="1"/>
  <c r="G222" i="1" s="1"/>
  <c r="G223" i="1" s="1"/>
  <c r="G224" i="1" s="1"/>
  <c r="G225" i="1" s="1"/>
  <c r="G226" i="1" s="1"/>
  <c r="G227" i="1" s="1"/>
  <c r="E29" i="1"/>
  <c r="E27" i="1"/>
  <c r="N230" i="1" l="1"/>
  <c r="N231" i="1"/>
  <c r="O232" i="1"/>
  <c r="N232" i="1" s="1"/>
  <c r="F6" i="5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O233" i="1" l="1"/>
  <c r="N233" i="1" s="1"/>
  <c r="G12" i="5"/>
  <c r="O234" i="1" l="1"/>
  <c r="N234" i="1" l="1"/>
  <c r="O235" i="1"/>
  <c r="N235" i="1" l="1"/>
  <c r="O236" i="1"/>
  <c r="E7" i="1"/>
  <c r="N236" i="1" l="1"/>
  <c r="O237" i="1"/>
  <c r="D623" i="1"/>
  <c r="C52" i="1"/>
  <c r="D64" i="1"/>
  <c r="N237" i="1" l="1"/>
  <c r="O238" i="1"/>
  <c r="N238" i="1" s="1"/>
  <c r="L33" i="3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comments1.xml><?xml version="1.0" encoding="utf-8"?>
<comments xmlns="http://schemas.openxmlformats.org/spreadsheetml/2006/main">
  <authors>
    <author xml:space="preserve"> </author>
  </authors>
  <commentList>
    <comment ref="F4" authorId="0" shapeId="0">
      <text>
        <r>
          <rPr>
            <sz val="10"/>
            <rFont val="Arial"/>
            <family val="2"/>
          </rPr>
          <t>No of habitable floors</t>
        </r>
      </text>
    </comment>
    <comment ref="F6" authorId="0" shapeId="0">
      <text>
        <r>
          <rPr>
            <sz val="10"/>
            <rFont val="Arial"/>
            <family val="2"/>
          </rPr>
          <t>No of RCC slabs including podiums</t>
        </r>
      </text>
    </comment>
    <comment ref="G6" authorId="0" shapeId="0">
      <text>
        <r>
          <rPr>
            <sz val="10"/>
            <rFont val="Arial"/>
            <family val="2"/>
          </rPr>
          <t>No of constructed RCC slabs including podium</t>
        </r>
      </text>
    </comment>
    <comment ref="F17" authorId="0" shapeId="0">
      <text>
        <r>
          <rPr>
            <sz val="10"/>
            <rFont val="Arial"/>
            <family val="2"/>
          </rPr>
          <t>No of habitable floors</t>
        </r>
      </text>
    </comment>
    <comment ref="F19" authorId="0" shapeId="0">
      <text>
        <r>
          <rPr>
            <sz val="10"/>
            <rFont val="Arial"/>
            <family val="2"/>
          </rPr>
          <t>No of RCC slabs including podiums</t>
        </r>
      </text>
    </comment>
    <comment ref="G19" authorId="0" shapeId="0">
      <text>
        <r>
          <rPr>
            <sz val="10"/>
            <rFont val="Arial"/>
            <family val="2"/>
          </rPr>
          <t>No of constructed RCC slabs including podium</t>
        </r>
      </text>
    </comment>
    <comment ref="F34" authorId="0" shapeId="0">
      <text>
        <r>
          <rPr>
            <sz val="10"/>
            <rFont val="Arial"/>
            <family val="2"/>
          </rPr>
          <t>No of habitable floors</t>
        </r>
      </text>
    </comment>
    <comment ref="F36" authorId="0" shapeId="0">
      <text>
        <r>
          <rPr>
            <sz val="10"/>
            <rFont val="Arial"/>
            <family val="2"/>
          </rPr>
          <t>No of RCC slabs including podiums</t>
        </r>
      </text>
    </comment>
    <comment ref="G36" authorId="0" shapeId="0">
      <text>
        <r>
          <rPr>
            <sz val="10"/>
            <rFont val="Arial"/>
            <family val="2"/>
          </rPr>
          <t>No of constructed RCC slabs including podium</t>
        </r>
      </text>
    </comment>
  </commentList>
</comments>
</file>

<file path=xl/sharedStrings.xml><?xml version="1.0" encoding="utf-8"?>
<sst xmlns="http://schemas.openxmlformats.org/spreadsheetml/2006/main" count="1059" uniqueCount="318">
  <si>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</si>
  <si>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</si>
  <si>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</si>
  <si>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</si>
  <si>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</si>
  <si>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</si>
  <si>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</si>
  <si>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</si>
  <si>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</si>
  <si>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</si>
  <si>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</si>
  <si>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</si>
  <si>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</si>
  <si>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</si>
  <si>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</si>
  <si>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</si>
  <si>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</si>
  <si>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</si>
  <si>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</si>
  <si>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</si>
  <si>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</si>
  <si>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</si>
  <si>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</si>
  <si>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</si>
  <si>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</si>
  <si>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</si>
  <si>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</si>
  <si>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</si>
  <si>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</si>
  <si>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</si>
  <si>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</si>
  <si>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</si>
  <si>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</si>
  <si>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</si>
  <si>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</si>
  <si>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</si>
  <si>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</si>
  <si>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</si>
  <si>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</si>
  <si>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</si>
  <si>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</si>
  <si>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</si>
  <si>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</si>
  <si>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</si>
  <si>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</si>
  <si>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</si>
  <si>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</si>
  <si>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</si>
  <si>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</si>
  <si>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</si>
  <si>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</si>
  <si>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</si>
  <si>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</si>
  <si>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</si>
  <si>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</si>
  <si>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</si>
  <si>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</si>
  <si>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</si>
  <si>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</si>
  <si>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</si>
  <si>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</si>
  <si>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</si>
  <si>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</si>
  <si>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</si>
  <si>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</si>
  <si>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</si>
  <si>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</si>
  <si>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</si>
  <si>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</si>
  <si>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</si>
  <si>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</si>
  <si>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</si>
  <si>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</si>
  <si>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</si>
  <si>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</si>
  <si>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</si>
  <si>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</si>
  <si>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</si>
  <si>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</si>
  <si>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</si>
  <si>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</si>
  <si>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</si>
  <si>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</si>
  <si>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</si>
  <si>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</si>
  <si>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</si>
  <si>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</si>
  <si>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</si>
  <si>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</si>
  <si>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</si>
  <si>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</si>
  <si>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</si>
  <si>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</si>
  <si>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</si>
  <si>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</si>
  <si>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</si>
  <si>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</si>
  <si>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</si>
  <si>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</si>
  <si>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</si>
  <si>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</si>
  <si>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</si>
  <si>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</si>
  <si>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</si>
  <si>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</si>
  <si>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</si>
  <si>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</si>
  <si>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</si>
  <si>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</si>
  <si>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</si>
  <si>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</si>
  <si>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</si>
  <si>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</si>
  <si>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</si>
  <si>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</si>
  <si>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</si>
  <si>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</si>
  <si>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</si>
  <si>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</si>
  <si>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</si>
  <si>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</si>
  <si>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</si>
  <si>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</si>
  <si>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</si>
  <si>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</si>
  <si>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</si>
  <si>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</si>
  <si>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</si>
  <si>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</si>
  <si>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</si>
  <si>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</si>
  <si>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</si>
  <si>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</si>
  <si>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</si>
  <si>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</si>
  <si>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</si>
  <si>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</si>
  <si>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</si>
  <si>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</si>
  <si>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</si>
  <si>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</si>
  <si>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</si>
  <si>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</si>
  <si>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</si>
  <si>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</si>
  <si>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</si>
  <si>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</si>
  <si>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</si>
  <si>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</si>
  <si>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</si>
  <si>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</si>
  <si>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</si>
  <si>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Saleable area
Loading :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</si>
  <si>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</si>
  <si>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</si>
  <si>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</si>
  <si>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</si>
  <si>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</si>
  <si>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</si>
  <si>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</si>
  <si>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</si>
  <si>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</si>
  <si>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Stage calculator as per Revised Valuation Manual</t>
  </si>
  <si>
    <t>Completed</t>
  </si>
  <si>
    <t>Net completed</t>
  </si>
  <si>
    <t>Recommended</t>
  </si>
  <si>
    <t>Net recommended</t>
  </si>
  <si>
    <t>No of floors in building</t>
  </si>
  <si>
    <t>No of constructed floors</t>
  </si>
  <si>
    <t>Completed (%)</t>
  </si>
  <si>
    <t>Recommended (%)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</si>
  <si>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</si>
  <si>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</si>
  <si>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</si>
  <si>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</si>
  <si>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</si>
  <si>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</si>
  <si>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</si>
  <si>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Final Stage (%)</t>
  </si>
  <si>
    <t>Ext. Plaster &amp; Plumbing</t>
  </si>
  <si>
    <t>Brickwork</t>
  </si>
  <si>
    <t>Internal Plaster</t>
  </si>
  <si>
    <t>Painting &amp; Wooden</t>
  </si>
  <si>
    <t>ASMITA recommendation</t>
  </si>
  <si>
    <t>Actual Stage Provided by AXIS Bank</t>
  </si>
  <si>
    <t>Split % by Asmita ---OK By Ajinkya</t>
  </si>
  <si>
    <t>Slab/Floor</t>
  </si>
  <si>
    <t>Construction details:</t>
  </si>
  <si>
    <t>Piling Work in process</t>
  </si>
  <si>
    <t>Basement</t>
  </si>
  <si>
    <t>Basement 1</t>
  </si>
  <si>
    <t>Basement 2</t>
  </si>
  <si>
    <t>Basement 3</t>
  </si>
  <si>
    <t>Building Common Amenities &amp; Painting</t>
  </si>
  <si>
    <t>Basement 4</t>
  </si>
  <si>
    <t>M/s.Runwal Residency Private Limited</t>
  </si>
  <si>
    <t>Axis Sanpada</t>
  </si>
  <si>
    <t>Survey No</t>
  </si>
  <si>
    <t>Kalyan - Shilphata Road</t>
  </si>
  <si>
    <t>Sagoan</t>
  </si>
  <si>
    <t>Nilaje</t>
  </si>
  <si>
    <t>Thane</t>
  </si>
  <si>
    <t>Kalyan</t>
  </si>
  <si>
    <t>Premiere colony ground</t>
  </si>
  <si>
    <t>4.1Km from Nilaje Railway Station</t>
  </si>
  <si>
    <t>Building U/C</t>
  </si>
  <si>
    <t>Open Plot</t>
  </si>
  <si>
    <t>As per RERA - 31/12/2025</t>
  </si>
  <si>
    <t>Approved Plans, CC, Sale Plans, Cost Sheet</t>
  </si>
  <si>
    <t>4/1, 4/2, 4/3, 4/4, 4/5, 4/6, 4/9, 4/10, 4/11, 5/1, 5/2, 5/3, 5/4, 5/5, 5/6, 6/1, 6/2, 6/3, 7/1, 7/2A, 7/2B, 7/2C, 7/3A, 7/3B, 8/1, 8/2, 8/3, 8/4, 8/5, 8/6, 8/7, 8/8, 8/9, 9/1, 9/2, 9/3, 9/4, 9/5, 9/6, 9/7, 9/8, 10, 11, 12/1, 12/2, 12/3, 12/4, 12/5, 12/6, 12/7, 12/8, 12/9, 12/10, 12/11, 12/12, 12/13, 12/14, 13, 14/1, 14/2A, 14/2B, 14/3, 14/4, 14/5, 15, 17/1, 17/2, 17/3, 17/4, 17/5, 17/6, 17/7, 17/8, 17/9, 17/10, 17/11, 18, 19, 22, 23/1, 23/2, 23/3, 23/10, 37/1, 37/2B, 37/2C, 37/2D, 37/3, 37/4, 37/21, 38/1, 38/2, 39/1, 39/2, 39/3, 40, 41/1A, 41/1B, 41/2, 41/3, 41/4, 44/1, 44/4,44/5A, 44/5B, 44/6A, 44/6B, 44/7, 44/8, 44/9, 44/10, 44/11, 44/12, 44/13, 44/14, 44/15, 44/16, 44/17, 44/18, 44/19, 49, 50/1, 50/2, 50/3 at Village Gharivali and bearing S. Nos. 44/1, 44/2, 44/3, 44/4, 44/5, 44/6, 44/7, 44/8, 44/9, 44/10, 44/11, 44/12, 45/1, 45/2, 45/3, 45/4, 45/5A, 45/5B, 45/6, 46/1, 46/2A, 46/2B, 46/3, 47, 49, 50, 51(pt), 52/1, 52/2, 53/1A, 53/1B, 53/2A, 53/2B, 53/3A, 53/3B, 94(pt), at Village Usarghar</t>
  </si>
  <si>
    <t>Building No.31</t>
  </si>
  <si>
    <t>Refuge Area</t>
  </si>
  <si>
    <t>1st Floor</t>
  </si>
  <si>
    <t>Ground Floor for Parking</t>
  </si>
  <si>
    <t>Double Height</t>
  </si>
  <si>
    <t>2nd to 7th, 9th to 13th, 15th to 18th, 20th to 23rd, 25th to 28th, 30th to 32nd Floor</t>
  </si>
  <si>
    <t>8th, 14th, 19th, 24th &amp; 29th Floor</t>
  </si>
  <si>
    <t>201,..,3201</t>
  </si>
  <si>
    <t>202,..,3202</t>
  </si>
  <si>
    <t>203,..,3203</t>
  </si>
  <si>
    <t>204,..,3204</t>
  </si>
  <si>
    <t>205,..,3205</t>
  </si>
  <si>
    <t>206,..,3206</t>
  </si>
  <si>
    <t>207,..,3207</t>
  </si>
  <si>
    <t>208,..,3208</t>
  </si>
  <si>
    <t>209,..,3209</t>
  </si>
  <si>
    <t>210,..,3210</t>
  </si>
  <si>
    <t>1BHK</t>
  </si>
  <si>
    <t>2BHK</t>
  </si>
  <si>
    <t>Building No.32</t>
  </si>
  <si>
    <t>We considered  Saleable area  as per our calculation.</t>
  </si>
  <si>
    <t>Residential</t>
  </si>
  <si>
    <t>12/04/2021.</t>
  </si>
  <si>
    <t>SROT/Growth Center/2401/BP/ITP-Usarghar-Gharivali-Sagaon-01/Site-A/Vol.XXVI/383/2021</t>
  </si>
  <si>
    <t>Building No.33</t>
  </si>
  <si>
    <t xml:space="preserve">Building No.31 &amp; 32 = P51700029155
</t>
  </si>
  <si>
    <t xml:space="preserve">Building No.33 &amp; 34 = P51700030533
</t>
  </si>
  <si>
    <t>SROT/Growth Center/2401/BP/ITP-Usarghar-Gharivali-Sagaon-01/Site-A/Vol.31/720/2021</t>
  </si>
  <si>
    <t>Basement Floor for Parking</t>
  </si>
  <si>
    <t>2.5BHK</t>
  </si>
  <si>
    <t>1.5BHK</t>
  </si>
  <si>
    <t>2nd to 7th, 9th to 13th, 15th  Floor</t>
  </si>
  <si>
    <t>8th &amp; 14th Floor (Part Refuge Area)</t>
  </si>
  <si>
    <t>16th to 18th, 20th to 23rd, 25th to 28th &amp; 30th to 32nd Floor</t>
  </si>
  <si>
    <t>19th, 24th &amp; 29th Floor (Part Refuge Area)</t>
  </si>
  <si>
    <t>2nd to 7th, 9th to 13th &amp; 15th  Floor</t>
  </si>
  <si>
    <t>Building No.34</t>
  </si>
  <si>
    <t>05/08/2021.</t>
  </si>
  <si>
    <t>Building No.31 &amp; 32</t>
  </si>
  <si>
    <t>Building No.35</t>
  </si>
  <si>
    <t>Building No.36</t>
  </si>
  <si>
    <t>We update Approved Plans of Building No.33 &amp; 34 (on 23/09/2021).</t>
  </si>
  <si>
    <t>We considered Gross carpet area = Net carpet + Enclose balcony.</t>
  </si>
  <si>
    <t xml:space="preserve">Building No.35 &amp; 36 = P51700031319
</t>
  </si>
  <si>
    <t>SROT/Growth Center/2401/BP/ITP-Usarghar-Gharivali-Sagaon-01/Site-A/Vol.33/1319/2021</t>
  </si>
  <si>
    <t>4,50,000/-</t>
  </si>
  <si>
    <t xml:space="preserve">3,50,000/-
</t>
  </si>
  <si>
    <t>Rate has changed from 6700/- to 7400/- as per cosheeet(8flats have been matched)</t>
  </si>
  <si>
    <t>Other Charges has also Changed From 40,000/- to 4,50,000/- &amp;</t>
  </si>
  <si>
    <t>All these Above Changes are done by Ajiyankya Sir (on 09/03/2022).</t>
  </si>
  <si>
    <t xml:space="preserve">Recommended rate of the flat Per Sq. Ft. (on Saleable area)
</t>
  </si>
  <si>
    <t>Building No 37 = P51700033206</t>
  </si>
  <si>
    <t>Building No.37</t>
  </si>
  <si>
    <t>60 Years After Completion</t>
  </si>
  <si>
    <t>SROT/Growth Center/2401/BP/ITP-Usarghar-Gharivali-Sagaon-01/Site-A/Vol.34/973/2022</t>
  </si>
  <si>
    <t>08 Buildings</t>
  </si>
  <si>
    <t>Building No.31 to 38</t>
  </si>
  <si>
    <t>Runwal Gardens Phase 4 Bldg No.31 to 38</t>
  </si>
  <si>
    <t>Building No 38 = P51700046550</t>
  </si>
  <si>
    <t>Valid Up to: Bs + Stilt + 1st to 32nd Floor.</t>
  </si>
  <si>
    <t>Approved Floor plan No.  
Building No.33 &amp; 34</t>
  </si>
  <si>
    <t>2nd to 7th, 9th to 13th &amp; 15th Floor</t>
  </si>
  <si>
    <t>Building No.38</t>
  </si>
  <si>
    <t>Building No.31 to 38 = B + G + 1st to 32nd Floor</t>
  </si>
  <si>
    <t>Ground Floor for Parking &amp; Meter Rooms</t>
  </si>
  <si>
    <t>Double height Lobby</t>
  </si>
  <si>
    <t>16th to 18th, 20th to 23th, 25th to 28th, 30th to 32nd Floor</t>
  </si>
  <si>
    <t>We have updated approved floor plans &amp; CC for building no.38 ( on 08/09/2022).</t>
  </si>
  <si>
    <t>Approved Floor plan No.  
Building No.35</t>
  </si>
  <si>
    <t>We have updated approved floor plans &amp; CC for building no.36 ( on 22/12/2022).</t>
  </si>
  <si>
    <t>We have updated approved floor plans &amp; CC for building no.37 ( on 23/12/2022).</t>
  </si>
  <si>
    <t>Commencement Certificate No.
Building No.31 to 38</t>
  </si>
  <si>
    <t>Building No.31 = G + 1st to 32nd Floor
Building No.32 = G + 1st to 32nd Floor
Building No.33 to 38= B + G + 1st to 32nd Floor
Building No.37 = B + G + 1st to 17th Floor</t>
  </si>
  <si>
    <t>Ground Floor for Parking, Society Office, Electrical Room, Letter Box Room &amp; Entrance Lobby</t>
  </si>
  <si>
    <t>Double Entrance Lobby</t>
  </si>
  <si>
    <t>19th 24th &amp; 29th Floor (Part Refuge Area)</t>
  </si>
  <si>
    <t>Flats - 2288</t>
  </si>
  <si>
    <t>Latitude, Longitude</t>
  </si>
  <si>
    <t>Location Link</t>
  </si>
  <si>
    <t>https://goo.gl/maps/oy52gH4yWTsWf3yT7</t>
  </si>
  <si>
    <t>Building No. 38 = B + G + 1st to 32nd Floor</t>
  </si>
  <si>
    <t>Building No. 37 = B + G + 1st to 32nd Floor</t>
  </si>
  <si>
    <t>Building No. 35 = B + G + 1st to 32nd Floor</t>
  </si>
  <si>
    <t>Other Charges (Except 1BHK)</t>
  </si>
  <si>
    <t>7400 to 7500</t>
  </si>
  <si>
    <t>smith</t>
  </si>
  <si>
    <t>IGR</t>
  </si>
  <si>
    <t>Building No. 33 = B + G + 1st to 32nd Floor</t>
  </si>
  <si>
    <t>Office No. 1031, Wing J, Akshar Business Park, Plot No. 03 Sector 25, Near APMC Market,
Vashi, Navi Mumbai, Maharashtra 400703 TEL: 022-46090378/79/80                                                                                                     E mail : vsjcapf@gmail.com. Web site : www.vsjadon.com</t>
  </si>
  <si>
    <t>19.181996,73.084572</t>
  </si>
  <si>
    <t>Building No.36 = B + G + 1st to 32nd Floor</t>
  </si>
  <si>
    <t>Building No.34 = B + G + 1st to 32nd Floor</t>
  </si>
  <si>
    <t>Site Meet Person Contact Details ( Name &amp; Contact No.)</t>
  </si>
  <si>
    <t>Building No.31 = B + G + 1st to 32nd Floor</t>
  </si>
  <si>
    <t>Building No.32 = B + G + 1st to 32nd Floor</t>
  </si>
  <si>
    <t>Mr.Atul Manusare 9029015131</t>
  </si>
  <si>
    <t>Other Charges has also Changed From 40,000/- to 4,50,000/- &amp; Parking From 3,00,000/- to 3,50,000/-</t>
  </si>
  <si>
    <t>7500 to 7900 bhargav Verbal 20/12/2024</t>
  </si>
  <si>
    <t>Recommended Rates of the Property have been revised on 09/03/2022 &amp; 11/12/2024.</t>
  </si>
  <si>
    <t>Ms. Megha : 9321909708</t>
  </si>
  <si>
    <t>34 36</t>
  </si>
  <si>
    <t>34 36 37</t>
  </si>
  <si>
    <t>Building No. 33 to 35</t>
  </si>
  <si>
    <t>Building No. 36 to 38</t>
  </si>
  <si>
    <t>We update Approved Plans of Building No.35 &amp; CC For Building No.31 to 35 (on 31/12/2021).</t>
  </si>
  <si>
    <t>Shruti Tathare</t>
  </si>
  <si>
    <t>Gangaram parshuram Lambore</t>
  </si>
  <si>
    <t>Bldg 31 to 33 = Construction work was in process at the time of visit. Internal photos was not allowed.
Bldg 33 to 38 = Construction work was in process at the time of visit.(Slow Speed)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</si>
</sst>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  <numFmt numFmtId="168" formatCode="0.000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5"/>
      <color rgb="FF000000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6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13"/>
        <bgColor indexed="34"/>
      </patternFill>
    </fill>
    <fill>
      <patternFill patternType="solid">
        <fgColor indexed="45"/>
        <bgColor indexed="29"/>
      </patternFill>
    </fill>
    <fill>
      <patternFill patternType="solid">
        <fgColor indexed="27"/>
        <bgColor indexed="41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4" fillId="0" borderId="0"/>
    <xf numFmtId="0" fontId="6" fillId="0" borderId="0"/>
    <xf numFmtId="0" fontId="3" fillId="0" borderId="0"/>
    <xf numFmtId="0" fontId="6" fillId="0" borderId="0"/>
    <xf numFmtId="0" fontId="2" fillId="0" borderId="0"/>
    <xf numFmtId="165" fontId="6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29" fillId="0" borderId="0" applyNumberFormat="0" applyFill="0" applyBorder="0" applyAlignment="0" applyProtection="0"/>
  </cellStyleXfs>
  <cellXfs count="256">
    <xf numFmtId="0" fontId="0" fillId="0" borderId="0" xfId="0"/>
    <xf numFmtId="0" fontId="0" fillId="2" borderId="1" xfId="0" applyFill="1" applyBorder="1"/>
    <xf numFmtId="0" fontId="0" fillId="0" borderId="2" xfId="0" applyBorder="1" applyAlignment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0" fillId="0" borderId="1" xfId="0" applyBorder="1"/>
    <xf numFmtId="0" fontId="6" fillId="0" borderId="0" xfId="4" applyFont="1"/>
    <xf numFmtId="0" fontId="6" fillId="0" borderId="0" xfId="4"/>
    <xf numFmtId="0" fontId="2" fillId="0" borderId="0" xfId="5"/>
    <xf numFmtId="0" fontId="10" fillId="0" borderId="1" xfId="5" applyFont="1" applyBorder="1" applyAlignment="1">
      <alignment horizontal="center" vertical="top" wrapText="1"/>
    </xf>
    <xf numFmtId="0" fontId="20" fillId="0" borderId="0" xfId="4" applyFont="1"/>
    <xf numFmtId="0" fontId="2" fillId="0" borderId="1" xfId="5" applyBorder="1" applyAlignment="1">
      <alignment horizontal="center" vertical="center"/>
    </xf>
    <xf numFmtId="0" fontId="2" fillId="0" borderId="1" xfId="5" applyBorder="1" applyAlignment="1">
      <alignment horizontal="left" vertical="center"/>
    </xf>
    <xf numFmtId="1" fontId="2" fillId="0" borderId="1" xfId="5" applyNumberFormat="1" applyBorder="1" applyAlignment="1">
      <alignment horizontal="center" vertical="center"/>
    </xf>
    <xf numFmtId="166" fontId="2" fillId="0" borderId="1" xfId="6" applyNumberFormat="1" applyFont="1" applyBorder="1" applyAlignment="1">
      <alignment horizontal="right" vertical="center"/>
    </xf>
    <xf numFmtId="0" fontId="2" fillId="0" borderId="1" xfId="5" applyBorder="1" applyAlignment="1">
      <alignment horizontal="left" vertical="center" wrapText="1"/>
    </xf>
    <xf numFmtId="0" fontId="10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2" fillId="0" borderId="1" xfId="5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18" fillId="0" borderId="0" xfId="0" applyFont="1" applyFill="1" applyBorder="1" applyProtection="1">
      <protection hidden="1"/>
    </xf>
    <xf numFmtId="0" fontId="25" fillId="3" borderId="23" xfId="0" applyFont="1" applyFill="1" applyBorder="1" applyAlignment="1">
      <alignment horizontal="center" vertical="center" wrapText="1"/>
    </xf>
    <xf numFmtId="0" fontId="25" fillId="4" borderId="23" xfId="0" applyFont="1" applyFill="1" applyBorder="1" applyAlignment="1">
      <alignment horizontal="center" vertical="center" wrapText="1"/>
    </xf>
    <xf numFmtId="0" fontId="25" fillId="4" borderId="23" xfId="0" applyFont="1" applyFill="1" applyBorder="1" applyAlignment="1" applyProtection="1">
      <alignment horizontal="center" vertical="center" wrapText="1"/>
      <protection locked="0"/>
    </xf>
    <xf numFmtId="164" fontId="25" fillId="4" borderId="23" xfId="0" applyNumberFormat="1" applyFont="1" applyFill="1" applyBorder="1" applyAlignment="1">
      <alignment horizontal="center" vertical="center" wrapText="1"/>
    </xf>
    <xf numFmtId="0" fontId="25" fillId="5" borderId="23" xfId="0" applyFont="1" applyFill="1" applyBorder="1" applyAlignment="1" applyProtection="1">
      <alignment horizontal="center" vertical="center" wrapText="1"/>
      <protection locked="0"/>
    </xf>
    <xf numFmtId="0" fontId="25" fillId="6" borderId="23" xfId="0" applyFont="1" applyFill="1" applyBorder="1" applyAlignment="1" applyProtection="1">
      <alignment horizontal="center" vertical="center" wrapText="1"/>
      <protection locked="0"/>
    </xf>
    <xf numFmtId="0" fontId="25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23" xfId="0" applyFont="1" applyBorder="1" applyAlignment="1">
      <alignment horizontal="center" vertical="center" wrapText="1"/>
    </xf>
    <xf numFmtId="0" fontId="25" fillId="7" borderId="23" xfId="0" applyFont="1" applyFill="1" applyBorder="1" applyAlignment="1">
      <alignment horizontal="center" vertical="center" wrapText="1"/>
    </xf>
    <xf numFmtId="1" fontId="25" fillId="7" borderId="23" xfId="0" applyNumberFormat="1" applyFont="1" applyFill="1" applyBorder="1" applyAlignment="1">
      <alignment horizontal="center" vertical="center" wrapText="1"/>
    </xf>
    <xf numFmtId="0" fontId="8" fillId="0" borderId="10" xfId="1" applyFont="1" applyFill="1" applyBorder="1" applyProtection="1">
      <protection hidden="1"/>
    </xf>
    <xf numFmtId="0" fontId="8" fillId="0" borderId="0" xfId="1" applyFont="1" applyFill="1" applyBorder="1" applyProtection="1">
      <protection hidden="1"/>
    </xf>
    <xf numFmtId="1" fontId="25" fillId="4" borderId="23" xfId="0" applyNumberFormat="1" applyFont="1" applyFill="1" applyBorder="1" applyAlignment="1">
      <alignment horizontal="center" vertical="center" wrapText="1"/>
    </xf>
    <xf numFmtId="0" fontId="25" fillId="3" borderId="23" xfId="0" applyFont="1" applyFill="1" applyBorder="1" applyAlignment="1">
      <alignment horizontal="left" vertical="top" wrapText="1"/>
    </xf>
    <xf numFmtId="0" fontId="25" fillId="4" borderId="23" xfId="0" applyFont="1" applyFill="1" applyBorder="1" applyAlignment="1">
      <alignment horizontal="center" vertical="top" wrapText="1"/>
    </xf>
    <xf numFmtId="0" fontId="25" fillId="4" borderId="23" xfId="0" applyFont="1" applyFill="1" applyBorder="1" applyAlignment="1" applyProtection="1">
      <alignment horizontal="center" vertical="top" wrapText="1"/>
      <protection locked="0"/>
    </xf>
    <xf numFmtId="164" fontId="25" fillId="4" borderId="23" xfId="0" applyNumberFormat="1" applyFont="1" applyFill="1" applyBorder="1" applyAlignment="1">
      <alignment horizontal="center" vertical="top" wrapText="1"/>
    </xf>
    <xf numFmtId="0" fontId="26" fillId="3" borderId="23" xfId="0" applyFont="1" applyFill="1" applyBorder="1" applyAlignment="1">
      <alignment horizontal="center" vertical="center" wrapText="1"/>
    </xf>
    <xf numFmtId="0" fontId="0" fillId="2" borderId="0" xfId="0" applyFill="1"/>
    <xf numFmtId="0" fontId="13" fillId="0" borderId="4" xfId="1" applyFont="1" applyFill="1" applyBorder="1" applyAlignment="1" applyProtection="1">
      <alignment horizontal="center" vertical="top"/>
      <protection locked="0"/>
    </xf>
    <xf numFmtId="0" fontId="18" fillId="0" borderId="13" xfId="0" applyFont="1" applyFill="1" applyBorder="1" applyProtection="1">
      <protection hidden="1"/>
    </xf>
    <xf numFmtId="14" fontId="0" fillId="0" borderId="0" xfId="0" applyNumberFormat="1"/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1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1" xfId="0" applyNumberFormat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vertical="top"/>
      <protection locked="0"/>
    </xf>
    <xf numFmtId="0" fontId="8" fillId="0" borderId="0" xfId="1" applyFont="1" applyFill="1"/>
    <xf numFmtId="0" fontId="16" fillId="0" borderId="0" xfId="1" applyFont="1" applyFill="1"/>
    <xf numFmtId="0" fontId="13" fillId="0" borderId="0" xfId="1" applyFont="1" applyFill="1"/>
    <xf numFmtId="1" fontId="8" fillId="0" borderId="0" xfId="1" applyNumberFormat="1" applyFont="1" applyFill="1"/>
    <xf numFmtId="0" fontId="8" fillId="0" borderId="0" xfId="1" applyNumberFormat="1" applyFont="1" applyFill="1"/>
    <xf numFmtId="14" fontId="8" fillId="0" borderId="0" xfId="1" applyNumberFormat="1" applyFont="1" applyFill="1"/>
    <xf numFmtId="0" fontId="8" fillId="0" borderId="0" xfId="1" applyFont="1" applyFill="1" applyProtection="1">
      <protection hidden="1"/>
    </xf>
    <xf numFmtId="0" fontId="8" fillId="0" borderId="11" xfId="1" applyFont="1" applyFill="1" applyBorder="1" applyProtection="1">
      <protection hidden="1"/>
    </xf>
    <xf numFmtId="0" fontId="8" fillId="0" borderId="12" xfId="1" applyFont="1" applyFill="1" applyBorder="1" applyProtection="1">
      <protection hidden="1"/>
    </xf>
    <xf numFmtId="0" fontId="8" fillId="0" borderId="12" xfId="1" applyFont="1" applyFill="1" applyBorder="1"/>
    <xf numFmtId="0" fontId="13" fillId="0" borderId="1" xfId="1" applyFont="1" applyFill="1" applyBorder="1" applyAlignment="1" applyProtection="1">
      <alignment horizontal="center" wrapText="1"/>
      <protection locked="0"/>
    </xf>
    <xf numFmtId="0" fontId="18" fillId="0" borderId="12" xfId="0" applyNumberFormat="1" applyFont="1" applyFill="1" applyBorder="1" applyProtection="1">
      <protection hidden="1"/>
    </xf>
    <xf numFmtId="1" fontId="13" fillId="0" borderId="1" xfId="1" applyNumberFormat="1" applyFont="1" applyFill="1" applyBorder="1" applyAlignment="1" applyProtection="1">
      <alignment horizontal="center" wrapText="1"/>
      <protection locked="0"/>
    </xf>
    <xf numFmtId="1" fontId="0" fillId="0" borderId="12" xfId="0" applyNumberFormat="1" applyFill="1" applyBorder="1"/>
    <xf numFmtId="1" fontId="0" fillId="0" borderId="12" xfId="0" applyNumberFormat="1" applyFill="1" applyBorder="1" applyAlignment="1">
      <alignment horizontal="right"/>
    </xf>
    <xf numFmtId="0" fontId="13" fillId="0" borderId="6" xfId="1" applyFont="1" applyFill="1" applyBorder="1" applyAlignment="1" applyProtection="1">
      <alignment horizontal="center" wrapText="1"/>
      <protection locked="0"/>
    </xf>
    <xf numFmtId="1" fontId="0" fillId="0" borderId="14" xfId="0" applyNumberFormat="1" applyFill="1" applyBorder="1"/>
    <xf numFmtId="0" fontId="11" fillId="0" borderId="0" xfId="1" applyFont="1" applyFill="1"/>
    <xf numFmtId="0" fontId="8" fillId="0" borderId="1" xfId="1" applyFont="1" applyFill="1" applyBorder="1"/>
    <xf numFmtId="0" fontId="17" fillId="0" borderId="1" xfId="1" applyFont="1" applyFill="1" applyBorder="1"/>
    <xf numFmtId="0" fontId="17" fillId="0" borderId="0" xfId="1" applyFont="1" applyFill="1"/>
    <xf numFmtId="0" fontId="8" fillId="0" borderId="0" xfId="0" applyFont="1" applyFill="1" applyAlignment="1">
      <alignment horizontal="center" vertical="center"/>
    </xf>
    <xf numFmtId="0" fontId="7" fillId="0" borderId="0" xfId="2" applyFont="1" applyFill="1"/>
    <xf numFmtId="1" fontId="8" fillId="0" borderId="0" xfId="1" applyNumberFormat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8" fillId="0" borderId="0" xfId="1" applyNumberFormat="1" applyFont="1" applyFill="1" applyAlignment="1">
      <alignment horizontal="center" vertical="center"/>
    </xf>
    <xf numFmtId="0" fontId="9" fillId="0" borderId="0" xfId="1" applyFont="1" applyFill="1" applyBorder="1" applyAlignment="1" applyProtection="1">
      <alignment vertical="top"/>
      <protection locked="0"/>
    </xf>
    <xf numFmtId="0" fontId="9" fillId="0" borderId="0" xfId="1" applyFont="1" applyFill="1" applyBorder="1" applyAlignment="1" applyProtection="1">
      <alignment vertical="top" wrapText="1"/>
      <protection locked="0"/>
    </xf>
    <xf numFmtId="0" fontId="8" fillId="0" borderId="0" xfId="1" applyFont="1" applyFill="1" applyProtection="1">
      <protection locked="0"/>
    </xf>
    <xf numFmtId="0" fontId="11" fillId="0" borderId="0" xfId="1" applyFont="1" applyFill="1" applyProtection="1">
      <protection locked="0"/>
    </xf>
    <xf numFmtId="0" fontId="9" fillId="0" borderId="1" xfId="11" applyFont="1" applyFill="1" applyBorder="1" applyAlignment="1" applyProtection="1">
      <alignment vertical="top"/>
      <protection locked="0"/>
    </xf>
    <xf numFmtId="0" fontId="8" fillId="0" borderId="0" xfId="11" applyFont="1" applyFill="1"/>
    <xf numFmtId="0" fontId="13" fillId="0" borderId="1" xfId="1" applyFont="1" applyFill="1" applyBorder="1" applyAlignment="1" applyProtection="1">
      <alignment horizontal="left" vertical="top"/>
      <protection locked="0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Alignment="1">
      <alignment horizontal="center" vertical="center"/>
    </xf>
    <xf numFmtId="168" fontId="8" fillId="0" borderId="0" xfId="1" applyNumberFormat="1" applyFont="1" applyFill="1" applyAlignment="1">
      <alignment horizontal="center" vertical="center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Alignment="1">
      <alignment horizontal="center" vertical="center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9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9" fontId="13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3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8" fillId="2" borderId="0" xfId="0" applyFont="1" applyFill="1" applyAlignment="1">
      <alignment horizontal="center" vertical="center"/>
    </xf>
    <xf numFmtId="14" fontId="8" fillId="2" borderId="0" xfId="0" applyNumberFormat="1" applyFont="1" applyFill="1" applyAlignment="1">
      <alignment horizontal="center" vertical="center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3" fillId="0" borderId="3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1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>
      <alignment vertical="top"/>
    </xf>
    <xf numFmtId="1" fontId="9" fillId="8" borderId="1" xfId="0" applyNumberFormat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9" fillId="0" borderId="1" xfId="1" applyNumberFormat="1" applyFont="1" applyFill="1" applyBorder="1" applyAlignment="1" applyProtection="1">
      <alignment horizontal="center" vertical="top" wrapText="1"/>
      <protection locked="0"/>
    </xf>
    <xf numFmtId="9" fontId="9" fillId="0" borderId="1" xfId="8" applyFont="1" applyFill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9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1" xfId="1" applyFont="1" applyFill="1" applyBorder="1" applyAlignment="1" applyProtection="1">
      <alignment horizontal="center" vertical="top"/>
      <protection locked="0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1" fontId="13" fillId="0" borderId="1" xfId="1" applyNumberFormat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left" vertical="top"/>
      <protection locked="0"/>
    </xf>
    <xf numFmtId="0" fontId="14" fillId="0" borderId="1" xfId="1" applyFont="1" applyFill="1" applyBorder="1" applyAlignment="1" applyProtection="1">
      <alignment horizontal="left" vertical="top" wrapText="1"/>
      <protection locked="0"/>
    </xf>
    <xf numFmtId="9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3" fillId="0" borderId="3" xfId="1" applyFont="1" applyFill="1" applyBorder="1" applyAlignment="1" applyProtection="1">
      <alignment horizontal="center" vertical="top" wrapText="1"/>
      <protection locked="0"/>
    </xf>
    <xf numFmtId="9" fontId="13" fillId="0" borderId="6" xfId="1" applyNumberFormat="1" applyFont="1" applyFill="1" applyBorder="1" applyAlignment="1" applyProtection="1">
      <alignment horizontal="center" vertical="center" wrapText="1"/>
      <protection hidden="1"/>
    </xf>
    <xf numFmtId="9" fontId="13" fillId="0" borderId="4" xfId="1" applyNumberFormat="1" applyFont="1" applyFill="1" applyBorder="1" applyAlignment="1" applyProtection="1">
      <alignment horizontal="center" vertical="center" wrapText="1"/>
      <protection hidden="1"/>
    </xf>
    <xf numFmtId="9" fontId="13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5" xfId="1" applyFont="1" applyFill="1" applyBorder="1" applyAlignment="1" applyProtection="1">
      <alignment horizontal="center" vertical="top" wrapText="1"/>
      <protection locked="0"/>
    </xf>
    <xf numFmtId="0" fontId="13" fillId="0" borderId="6" xfId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left"/>
      <protection locked="0"/>
    </xf>
    <xf numFmtId="0" fontId="9" fillId="0" borderId="1" xfId="1" applyFont="1" applyFill="1" applyBorder="1" applyAlignment="1" applyProtection="1">
      <alignment horizontal="center" vertical="top"/>
      <protection locked="0"/>
    </xf>
    <xf numFmtId="0" fontId="29" fillId="0" borderId="1" xfId="14" applyFill="1" applyBorder="1" applyAlignment="1" applyProtection="1">
      <alignment horizontal="left"/>
      <protection locked="0"/>
    </xf>
    <xf numFmtId="0" fontId="14" fillId="0" borderId="29" xfId="1" applyFont="1" applyFill="1" applyBorder="1" applyAlignment="1" applyProtection="1">
      <alignment horizontal="left" vertical="top" wrapText="1"/>
      <protection locked="0"/>
    </xf>
    <xf numFmtId="0" fontId="14" fillId="0" borderId="21" xfId="1" applyFont="1" applyFill="1" applyBorder="1" applyAlignment="1" applyProtection="1">
      <alignment horizontal="left" vertical="top" wrapText="1"/>
      <protection locked="0"/>
    </xf>
    <xf numFmtId="0" fontId="14" fillId="0" borderId="20" xfId="1" applyFont="1" applyFill="1" applyBorder="1" applyAlignment="1" applyProtection="1">
      <alignment horizontal="left" vertical="top" wrapText="1"/>
      <protection locked="0"/>
    </xf>
    <xf numFmtId="0" fontId="14" fillId="0" borderId="2" xfId="1" applyFont="1" applyFill="1" applyBorder="1" applyAlignment="1" applyProtection="1">
      <alignment horizontal="left" vertical="top" wrapText="1"/>
      <protection locked="0"/>
    </xf>
    <xf numFmtId="0" fontId="14" fillId="0" borderId="30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9" fillId="0" borderId="8" xfId="11" applyFont="1" applyFill="1" applyBorder="1" applyAlignment="1" applyProtection="1">
      <alignment horizontal="left" vertical="top" wrapText="1"/>
      <protection locked="0"/>
    </xf>
    <xf numFmtId="0" fontId="9" fillId="0" borderId="9" xfId="11" applyFont="1" applyFill="1" applyBorder="1" applyAlignment="1" applyProtection="1">
      <alignment horizontal="left" vertical="top" wrapText="1"/>
      <protection locked="0"/>
    </xf>
    <xf numFmtId="0" fontId="7" fillId="0" borderId="1" xfId="1" applyFont="1" applyFill="1" applyBorder="1" applyAlignment="1" applyProtection="1">
      <alignment horizontal="left" vertical="top"/>
      <protection locked="0"/>
    </xf>
    <xf numFmtId="14" fontId="13" fillId="0" borderId="1" xfId="1" applyNumberFormat="1" applyFont="1" applyFill="1" applyBorder="1" applyAlignment="1" applyProtection="1">
      <alignment horizontal="left" vertical="top" wrapText="1"/>
      <protection locked="0"/>
    </xf>
    <xf numFmtId="0" fontId="7" fillId="0" borderId="1" xfId="1" applyFont="1" applyFill="1" applyBorder="1" applyAlignment="1" applyProtection="1">
      <alignment horizontal="left" vertical="top" wrapText="1"/>
      <protection locked="0"/>
    </xf>
    <xf numFmtId="167" fontId="13" fillId="0" borderId="1" xfId="1" applyNumberFormat="1" applyFont="1" applyFill="1" applyBorder="1" applyAlignment="1" applyProtection="1">
      <alignment horizontal="left" vertical="top" wrapText="1"/>
      <protection locked="0"/>
    </xf>
    <xf numFmtId="0" fontId="8" fillId="0" borderId="1" xfId="1" applyFont="1" applyFill="1" applyBorder="1" applyAlignment="1" applyProtection="1">
      <alignment horizontal="left" vertical="top" wrapText="1"/>
      <protection locked="0"/>
    </xf>
    <xf numFmtId="0" fontId="13" fillId="0" borderId="4" xfId="1" applyFont="1" applyFill="1" applyBorder="1" applyAlignment="1" applyProtection="1">
      <alignment horizontal="center" vertical="top" wrapText="1"/>
      <protection locked="0"/>
    </xf>
    <xf numFmtId="0" fontId="14" fillId="0" borderId="3" xfId="1" applyFont="1" applyFill="1" applyBorder="1" applyAlignment="1" applyProtection="1">
      <alignment horizontal="left" vertical="top"/>
      <protection locked="0"/>
    </xf>
    <xf numFmtId="0" fontId="14" fillId="0" borderId="4" xfId="1" applyFont="1" applyFill="1" applyBorder="1" applyAlignment="1" applyProtection="1">
      <alignment horizontal="left" vertical="top" wrapText="1"/>
      <protection locked="0"/>
    </xf>
    <xf numFmtId="1" fontId="14" fillId="0" borderId="8" xfId="0" applyNumberFormat="1" applyFont="1" applyFill="1" applyBorder="1" applyAlignment="1" applyProtection="1">
      <alignment vertical="top" wrapText="1"/>
      <protection locked="0"/>
    </xf>
    <xf numFmtId="1" fontId="14" fillId="0" borderId="22" xfId="0" applyNumberFormat="1" applyFont="1" applyFill="1" applyBorder="1" applyAlignment="1" applyProtection="1">
      <alignment vertical="top" wrapText="1"/>
      <protection locked="0"/>
    </xf>
    <xf numFmtId="1" fontId="14" fillId="0" borderId="9" xfId="0" applyNumberFormat="1" applyFont="1" applyFill="1" applyBorder="1" applyAlignment="1" applyProtection="1">
      <alignment vertical="top" wrapText="1"/>
      <protection locked="0"/>
    </xf>
    <xf numFmtId="0" fontId="13" fillId="0" borderId="8" xfId="1" applyFont="1" applyFill="1" applyBorder="1" applyAlignment="1" applyProtection="1">
      <alignment horizontal="left" vertical="top" wrapText="1"/>
      <protection locked="0"/>
    </xf>
    <xf numFmtId="0" fontId="13" fillId="0" borderId="22" xfId="1" applyFont="1" applyFill="1" applyBorder="1" applyAlignment="1" applyProtection="1">
      <alignment horizontal="left" vertical="top" wrapText="1"/>
      <protection locked="0"/>
    </xf>
    <xf numFmtId="0" fontId="13" fillId="0" borderId="9" xfId="1" applyFont="1" applyFill="1" applyBorder="1" applyAlignment="1" applyProtection="1">
      <alignment horizontal="left" vertical="top" wrapText="1"/>
      <protection locked="0"/>
    </xf>
    <xf numFmtId="0" fontId="7" fillId="0" borderId="18" xfId="1" applyFont="1" applyFill="1" applyBorder="1" applyAlignment="1" applyProtection="1">
      <alignment horizontal="left" vertical="top"/>
      <protection locked="0"/>
    </xf>
    <xf numFmtId="0" fontId="7" fillId="0" borderId="26" xfId="1" applyFont="1" applyFill="1" applyBorder="1" applyAlignment="1" applyProtection="1">
      <alignment horizontal="left" vertical="top"/>
      <protection locked="0"/>
    </xf>
    <xf numFmtId="0" fontId="7" fillId="0" borderId="19" xfId="1" applyFont="1" applyFill="1" applyBorder="1" applyAlignment="1" applyProtection="1">
      <alignment horizontal="left" vertical="top"/>
      <protection locked="0"/>
    </xf>
    <xf numFmtId="0" fontId="7" fillId="0" borderId="27" xfId="1" applyFont="1" applyFill="1" applyBorder="1" applyAlignment="1" applyProtection="1">
      <alignment horizontal="left" vertical="top"/>
      <protection locked="0"/>
    </xf>
    <xf numFmtId="0" fontId="7" fillId="0" borderId="0" xfId="1" applyFont="1" applyFill="1" applyBorder="1" applyAlignment="1" applyProtection="1">
      <alignment horizontal="left" vertical="top"/>
      <protection locked="0"/>
    </xf>
    <xf numFmtId="0" fontId="7" fillId="0" borderId="28" xfId="1" applyFont="1" applyFill="1" applyBorder="1" applyAlignment="1" applyProtection="1">
      <alignment horizontal="left" vertical="top"/>
      <protection locked="0"/>
    </xf>
    <xf numFmtId="0" fontId="7" fillId="0" borderId="20" xfId="1" applyFont="1" applyFill="1" applyBorder="1" applyAlignment="1" applyProtection="1">
      <alignment horizontal="left" vertical="top"/>
      <protection locked="0"/>
    </xf>
    <xf numFmtId="0" fontId="7" fillId="0" borderId="2" xfId="1" applyFont="1" applyFill="1" applyBorder="1" applyAlignment="1" applyProtection="1">
      <alignment horizontal="left" vertical="top"/>
      <protection locked="0"/>
    </xf>
    <xf numFmtId="0" fontId="7" fillId="0" borderId="21" xfId="1" applyFont="1" applyFill="1" applyBorder="1" applyAlignment="1" applyProtection="1">
      <alignment horizontal="left" vertical="top"/>
      <protection locked="0"/>
    </xf>
    <xf numFmtId="0" fontId="9" fillId="8" borderId="1" xfId="1" applyFont="1" applyFill="1" applyBorder="1" applyAlignment="1" applyProtection="1">
      <alignment horizontal="center" vertical="top"/>
      <protection locked="0"/>
    </xf>
    <xf numFmtId="0" fontId="8" fillId="0" borderId="8" xfId="1" applyFont="1" applyFill="1" applyBorder="1" applyAlignment="1" applyProtection="1">
      <alignment horizontal="left" vertical="top" wrapText="1"/>
      <protection locked="0"/>
    </xf>
    <xf numFmtId="0" fontId="8" fillId="0" borderId="22" xfId="1" applyFont="1" applyFill="1" applyBorder="1" applyAlignment="1" applyProtection="1">
      <alignment horizontal="left" vertical="top" wrapText="1"/>
      <protection locked="0"/>
    </xf>
    <xf numFmtId="0" fontId="8" fillId="0" borderId="9" xfId="1" applyFont="1" applyFill="1" applyBorder="1" applyAlignment="1" applyProtection="1">
      <alignment horizontal="left" vertical="top" wrapText="1"/>
      <protection locked="0"/>
    </xf>
    <xf numFmtId="14" fontId="13" fillId="0" borderId="8" xfId="1" applyNumberFormat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Alignment="1">
      <alignment horizontal="center" vertical="center"/>
    </xf>
    <xf numFmtId="1" fontId="7" fillId="0" borderId="22" xfId="1" applyNumberFormat="1" applyFont="1" applyFill="1" applyBorder="1" applyAlignment="1" applyProtection="1">
      <alignment horizontal="center" vertical="center" wrapText="1"/>
      <protection locked="0"/>
    </xf>
    <xf numFmtId="1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9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9" fillId="0" borderId="22" xfId="1" applyNumberFormat="1" applyFont="1" applyFill="1" applyBorder="1" applyAlignment="1" applyProtection="1">
      <alignment horizontal="center" vertical="center" wrapText="1"/>
      <protection locked="0"/>
    </xf>
    <xf numFmtId="1" fontId="9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18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19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27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28" xfId="1" applyNumberFormat="1" applyFont="1" applyFill="1" applyBorder="1" applyAlignment="1" applyProtection="1">
      <alignment horizontal="center" vertical="center" wrapText="1"/>
      <protection locked="0"/>
    </xf>
    <xf numFmtId="1" fontId="14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14" fillId="0" borderId="22" xfId="1" applyNumberFormat="1" applyFont="1" applyFill="1" applyBorder="1" applyAlignment="1" applyProtection="1">
      <alignment horizontal="center" vertical="center" wrapText="1"/>
      <protection locked="0"/>
    </xf>
    <xf numFmtId="1" fontId="14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9" fillId="0" borderId="8" xfId="1" applyNumberFormat="1" applyFont="1" applyFill="1" applyBorder="1" applyAlignment="1" applyProtection="1">
      <alignment horizontal="center" vertical="center"/>
      <protection locked="0"/>
    </xf>
    <xf numFmtId="1" fontId="9" fillId="0" borderId="22" xfId="1" applyNumberFormat="1" applyFont="1" applyFill="1" applyBorder="1" applyAlignment="1" applyProtection="1">
      <alignment horizontal="center" vertical="center"/>
      <protection locked="0"/>
    </xf>
    <xf numFmtId="1" fontId="9" fillId="0" borderId="9" xfId="1" applyNumberFormat="1" applyFont="1" applyFill="1" applyBorder="1" applyAlignment="1" applyProtection="1">
      <alignment horizontal="center" vertical="center"/>
      <protection locked="0"/>
    </xf>
    <xf numFmtId="0" fontId="7" fillId="0" borderId="8" xfId="1" applyFont="1" applyFill="1" applyBorder="1" applyAlignment="1" applyProtection="1">
      <alignment horizontal="left" vertical="top" wrapText="1"/>
      <protection locked="0"/>
    </xf>
    <xf numFmtId="0" fontId="7" fillId="0" borderId="22" xfId="1" applyFont="1" applyFill="1" applyBorder="1" applyAlignment="1" applyProtection="1">
      <alignment horizontal="left" vertical="top"/>
      <protection locked="0"/>
    </xf>
    <xf numFmtId="0" fontId="7" fillId="0" borderId="9" xfId="1" applyFont="1" applyFill="1" applyBorder="1" applyAlignment="1" applyProtection="1">
      <alignment horizontal="left" vertical="top"/>
      <protection locked="0"/>
    </xf>
    <xf numFmtId="1" fontId="9" fillId="0" borderId="1" xfId="1" applyNumberFormat="1" applyFont="1" applyFill="1" applyBorder="1" applyAlignment="1" applyProtection="1">
      <alignment horizontal="center" vertical="top" wrapText="1"/>
      <protection locked="0"/>
    </xf>
    <xf numFmtId="0" fontId="13" fillId="0" borderId="8" xfId="1" applyFont="1" applyFill="1" applyBorder="1" applyAlignment="1" applyProtection="1">
      <alignment horizontal="left" vertical="top"/>
      <protection locked="0"/>
    </xf>
    <xf numFmtId="0" fontId="13" fillId="0" borderId="22" xfId="1" applyFont="1" applyFill="1" applyBorder="1" applyAlignment="1" applyProtection="1">
      <alignment horizontal="left" vertical="top"/>
      <protection locked="0"/>
    </xf>
    <xf numFmtId="0" fontId="13" fillId="0" borderId="9" xfId="1" applyFont="1" applyFill="1" applyBorder="1" applyAlignment="1" applyProtection="1">
      <alignment horizontal="left" vertical="top"/>
      <protection locked="0"/>
    </xf>
    <xf numFmtId="0" fontId="7" fillId="0" borderId="8" xfId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1" fontId="8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1" fontId="11" fillId="0" borderId="1" xfId="0" applyNumberFormat="1" applyFont="1" applyFill="1" applyBorder="1" applyAlignment="1" applyProtection="1">
      <alignment horizontal="center" vertical="center"/>
      <protection locked="0"/>
    </xf>
    <xf numFmtId="1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top" wrapText="1"/>
      <protection locked="0"/>
    </xf>
    <xf numFmtId="1" fontId="9" fillId="0" borderId="1" xfId="0" applyNumberFormat="1" applyFont="1" applyFill="1" applyBorder="1" applyAlignment="1" applyProtection="1">
      <alignment horizontal="center" vertical="top" wrapText="1"/>
      <protection locked="0"/>
    </xf>
    <xf numFmtId="164" fontId="7" fillId="0" borderId="8" xfId="1" applyNumberFormat="1" applyFont="1" applyFill="1" applyBorder="1" applyAlignment="1" applyProtection="1">
      <alignment horizontal="left" vertical="top"/>
      <protection locked="0"/>
    </xf>
    <xf numFmtId="164" fontId="7" fillId="0" borderId="22" xfId="1" applyNumberFormat="1" applyFont="1" applyFill="1" applyBorder="1" applyAlignment="1" applyProtection="1">
      <alignment horizontal="left" vertical="top"/>
      <protection locked="0"/>
    </xf>
    <xf numFmtId="164" fontId="7" fillId="0" borderId="9" xfId="1" applyNumberFormat="1" applyFont="1" applyFill="1" applyBorder="1" applyAlignment="1" applyProtection="1">
      <alignment horizontal="left" vertical="top"/>
      <protection locked="0"/>
    </xf>
    <xf numFmtId="164" fontId="13" fillId="0" borderId="8" xfId="1" applyNumberFormat="1" applyFont="1" applyFill="1" applyBorder="1" applyAlignment="1" applyProtection="1">
      <alignment horizontal="left" vertical="top"/>
      <protection locked="0"/>
    </xf>
    <xf numFmtId="164" fontId="13" fillId="0" borderId="22" xfId="1" applyNumberFormat="1" applyFont="1" applyFill="1" applyBorder="1" applyAlignment="1" applyProtection="1">
      <alignment horizontal="left" vertical="top"/>
      <protection locked="0"/>
    </xf>
    <xf numFmtId="164" fontId="13" fillId="0" borderId="9" xfId="1" applyNumberFormat="1" applyFont="1" applyFill="1" applyBorder="1" applyAlignment="1" applyProtection="1">
      <alignment horizontal="left" vertical="top"/>
      <protection locked="0"/>
    </xf>
    <xf numFmtId="2" fontId="13" fillId="0" borderId="8" xfId="1" applyNumberFormat="1" applyFont="1" applyFill="1" applyBorder="1" applyAlignment="1" applyProtection="1">
      <alignment horizontal="left" vertical="top"/>
      <protection locked="0"/>
    </xf>
    <xf numFmtId="2" fontId="13" fillId="0" borderId="22" xfId="1" applyNumberFormat="1" applyFont="1" applyFill="1" applyBorder="1" applyAlignment="1" applyProtection="1">
      <alignment horizontal="left" vertical="top"/>
      <protection locked="0"/>
    </xf>
    <xf numFmtId="2" fontId="13" fillId="0" borderId="9" xfId="1" applyNumberFormat="1" applyFont="1" applyFill="1" applyBorder="1" applyAlignment="1" applyProtection="1">
      <alignment horizontal="left" vertical="top"/>
      <protection locked="0"/>
    </xf>
    <xf numFmtId="0" fontId="9" fillId="0" borderId="1" xfId="1" applyFont="1" applyFill="1" applyBorder="1" applyAlignment="1" applyProtection="1">
      <alignment horizontal="left" vertical="top"/>
      <protection locked="0"/>
    </xf>
    <xf numFmtId="0" fontId="9" fillId="0" borderId="1" xfId="1" applyFont="1" applyFill="1" applyBorder="1" applyAlignment="1" applyProtection="1">
      <alignment vertical="top"/>
      <protection locked="0"/>
    </xf>
    <xf numFmtId="0" fontId="14" fillId="0" borderId="1" xfId="1" applyFont="1" applyFill="1" applyBorder="1" applyAlignment="1" applyProtection="1">
      <alignment horizontal="center" vertical="top"/>
      <protection locked="0"/>
    </xf>
    <xf numFmtId="2" fontId="7" fillId="0" borderId="8" xfId="1" applyNumberFormat="1" applyFont="1" applyFill="1" applyBorder="1" applyAlignment="1" applyProtection="1">
      <alignment horizontal="left" vertical="top" wrapText="1"/>
      <protection locked="0"/>
    </xf>
    <xf numFmtId="2" fontId="7" fillId="0" borderId="22" xfId="1" applyNumberFormat="1" applyFont="1" applyFill="1" applyBorder="1" applyAlignment="1" applyProtection="1">
      <alignment horizontal="left" vertical="top" wrapText="1"/>
      <protection locked="0"/>
    </xf>
    <xf numFmtId="2" fontId="7" fillId="0" borderId="9" xfId="1" applyNumberFormat="1" applyFont="1" applyFill="1" applyBorder="1" applyAlignment="1" applyProtection="1">
      <alignment horizontal="left" vertical="top" wrapText="1"/>
      <protection locked="0"/>
    </xf>
    <xf numFmtId="0" fontId="14" fillId="0" borderId="1" xfId="1" applyFont="1" applyFill="1" applyBorder="1" applyAlignment="1" applyProtection="1">
      <alignment horizontal="center"/>
      <protection locked="0"/>
    </xf>
    <xf numFmtId="167" fontId="7" fillId="0" borderId="1" xfId="1" applyNumberFormat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center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9" fillId="0" borderId="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left"/>
      <protection locked="0"/>
    </xf>
    <xf numFmtId="0" fontId="9" fillId="0" borderId="8" xfId="1" applyFont="1" applyFill="1" applyBorder="1" applyAlignment="1" applyProtection="1">
      <alignment horizontal="left" vertical="top"/>
      <protection locked="0"/>
    </xf>
    <xf numFmtId="0" fontId="9" fillId="0" borderId="22" xfId="1" applyFont="1" applyFill="1" applyBorder="1" applyAlignment="1" applyProtection="1">
      <alignment horizontal="left" vertical="top"/>
      <protection locked="0"/>
    </xf>
    <xf numFmtId="0" fontId="9" fillId="0" borderId="9" xfId="1" applyFont="1" applyFill="1" applyBorder="1" applyAlignment="1" applyProtection="1">
      <alignment horizontal="left" vertical="top"/>
      <protection locked="0"/>
    </xf>
    <xf numFmtId="0" fontId="13" fillId="0" borderId="15" xfId="1" applyFont="1" applyFill="1" applyBorder="1" applyAlignment="1" applyProtection="1">
      <alignment horizontal="left" vertical="top"/>
      <protection locked="0"/>
    </xf>
    <xf numFmtId="0" fontId="13" fillId="0" borderId="16" xfId="1" applyFont="1" applyFill="1" applyBorder="1" applyAlignment="1" applyProtection="1">
      <alignment horizontal="left" vertical="top"/>
      <protection locked="0"/>
    </xf>
    <xf numFmtId="0" fontId="13" fillId="0" borderId="17" xfId="1" applyFont="1" applyFill="1" applyBorder="1" applyAlignment="1" applyProtection="1">
      <alignment horizontal="left" vertical="top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0" fontId="15" fillId="0" borderId="1" xfId="1" applyFont="1" applyFill="1" applyBorder="1" applyAlignment="1" applyProtection="1">
      <alignment horizontal="center" vertical="top" wrapText="1"/>
      <protection locked="0"/>
    </xf>
    <xf numFmtId="1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1" xfId="0" applyNumberFormat="1" applyFont="1" applyFill="1" applyBorder="1" applyAlignment="1" applyProtection="1">
      <alignment horizontal="left" vertical="top" wrapText="1"/>
      <protection locked="0"/>
    </xf>
    <xf numFmtId="1" fontId="7" fillId="0" borderId="1" xfId="1" applyNumberFormat="1" applyFont="1" applyFill="1" applyBorder="1" applyAlignment="1" applyProtection="1">
      <alignment horizontal="left" vertical="top" wrapText="1"/>
      <protection locked="0"/>
    </xf>
    <xf numFmtId="0" fontId="9" fillId="0" borderId="22" xfId="11" applyFont="1" applyFill="1" applyBorder="1" applyAlignment="1" applyProtection="1">
      <alignment horizontal="left" vertical="top" wrapText="1"/>
      <protection locked="0"/>
    </xf>
    <xf numFmtId="0" fontId="9" fillId="0" borderId="8" xfId="11" applyFont="1" applyFill="1" applyBorder="1" applyAlignment="1" applyProtection="1">
      <alignment horizontal="left" vertical="top"/>
      <protection locked="0"/>
    </xf>
    <xf numFmtId="0" fontId="9" fillId="0" borderId="9" xfId="11" applyFont="1" applyFill="1" applyBorder="1" applyAlignment="1" applyProtection="1">
      <alignment horizontal="left" vertical="top"/>
      <protection locked="0"/>
    </xf>
    <xf numFmtId="0" fontId="7" fillId="0" borderId="1" xfId="1" applyFont="1" applyFill="1" applyBorder="1" applyAlignment="1" applyProtection="1">
      <alignment vertical="top"/>
      <protection locked="0"/>
    </xf>
    <xf numFmtId="1" fontId="5" fillId="0" borderId="1" xfId="1" applyNumberFormat="1" applyFont="1" applyFill="1" applyBorder="1" applyAlignment="1" applyProtection="1">
      <alignment horizontal="center" vertical="top" wrapText="1"/>
      <protection locked="0"/>
    </xf>
    <xf numFmtId="1" fontId="7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9" fillId="0" borderId="8" xfId="0" applyNumberFormat="1" applyFont="1" applyFill="1" applyBorder="1" applyAlignment="1" applyProtection="1">
      <alignment vertical="top" wrapText="1"/>
      <protection locked="0"/>
    </xf>
    <xf numFmtId="1" fontId="9" fillId="0" borderId="22" xfId="0" applyNumberFormat="1" applyFont="1" applyFill="1" applyBorder="1" applyAlignment="1" applyProtection="1">
      <alignment vertical="top" wrapText="1"/>
      <protection locked="0"/>
    </xf>
    <xf numFmtId="1" fontId="9" fillId="0" borderId="9" xfId="0" applyNumberFormat="1" applyFont="1" applyFill="1" applyBorder="1" applyAlignment="1" applyProtection="1">
      <alignment vertical="top" wrapText="1"/>
      <protection locked="0"/>
    </xf>
    <xf numFmtId="0" fontId="8" fillId="0" borderId="1" xfId="1" applyFont="1" applyFill="1" applyBorder="1" applyAlignment="1">
      <alignment horizontal="left" vertical="top"/>
    </xf>
    <xf numFmtId="0" fontId="8" fillId="0" borderId="27" xfId="1" applyFont="1" applyFill="1" applyBorder="1" applyAlignment="1">
      <alignment horizontal="center" vertical="top" wrapText="1"/>
    </xf>
    <xf numFmtId="0" fontId="8" fillId="0" borderId="0" xfId="1" applyFont="1" applyFill="1" applyBorder="1" applyAlignment="1">
      <alignment horizontal="center" vertical="top" wrapText="1"/>
    </xf>
    <xf numFmtId="1" fontId="14" fillId="8" borderId="8" xfId="0" applyNumberFormat="1" applyFont="1" applyFill="1" applyBorder="1" applyAlignment="1" applyProtection="1">
      <alignment vertical="top" wrapText="1"/>
      <protection locked="0"/>
    </xf>
    <xf numFmtId="1" fontId="14" fillId="8" borderId="22" xfId="0" applyNumberFormat="1" applyFont="1" applyFill="1" applyBorder="1" applyAlignment="1" applyProtection="1">
      <alignment vertical="top" wrapText="1"/>
      <protection locked="0"/>
    </xf>
    <xf numFmtId="1" fontId="14" fillId="8" borderId="9" xfId="0" applyNumberFormat="1" applyFont="1" applyFill="1" applyBorder="1" applyAlignment="1" applyProtection="1">
      <alignment vertical="top" wrapText="1"/>
      <protection locked="0"/>
    </xf>
    <xf numFmtId="0" fontId="24" fillId="3" borderId="23" xfId="0" applyFont="1" applyFill="1" applyBorder="1" applyAlignment="1">
      <alignment horizontal="center" vertical="center" wrapText="1"/>
    </xf>
    <xf numFmtId="0" fontId="24" fillId="3" borderId="25" xfId="0" applyFont="1" applyFill="1" applyBorder="1" applyAlignment="1">
      <alignment horizontal="center" vertical="center" wrapText="1"/>
    </xf>
    <xf numFmtId="0" fontId="27" fillId="2" borderId="24" xfId="0" applyFont="1" applyFill="1" applyBorder="1" applyAlignment="1">
      <alignment horizontal="center"/>
    </xf>
    <xf numFmtId="0" fontId="27" fillId="2" borderId="8" xfId="0" applyFont="1" applyFill="1" applyBorder="1" applyAlignment="1">
      <alignment horizontal="center"/>
    </xf>
    <xf numFmtId="0" fontId="27" fillId="2" borderId="22" xfId="0" applyFont="1" applyFill="1" applyBorder="1" applyAlignment="1">
      <alignment horizontal="center"/>
    </xf>
    <xf numFmtId="0" fontId="27" fillId="2" borderId="9" xfId="0" applyFon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0" fillId="0" borderId="1" xfId="5" applyFont="1" applyBorder="1" applyAlignment="1">
      <alignment horizontal="left"/>
    </xf>
  </cellXfs>
  <cellStyles count="15">
    <cellStyle name="Comma 2" xfId="6"/>
    <cellStyle name="Comma 2 2" xfId="13"/>
    <cellStyle name="Excel Built-in Normal" xfId="2"/>
    <cellStyle name="Excel Built-in Normal 2" xfId="4"/>
    <cellStyle name="Hyperlink" xfId="14" builtinId="8"/>
    <cellStyle name="Normal" xfId="0" builtinId="0"/>
    <cellStyle name="Normal 2" xfId="3"/>
    <cellStyle name="Normal 3" xfId="1"/>
    <cellStyle name="Normal 3 2" xfId="11"/>
    <cellStyle name="Normal 3 3" xfId="7"/>
    <cellStyle name="Normal 4" xfId="5"/>
    <cellStyle name="Normal 4 2" xfId="12"/>
    <cellStyle name="Normal 5" xfId="9"/>
    <cellStyle name="Percent" xfId="8" builtinId="5"/>
    <cellStyle name="Percent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jpeg"/><Relationship Id="rId2" Type="http://schemas.openxmlformats.org/officeDocument/2006/relationships/image" Target="../media/image16.jpeg"/><Relationship Id="rId1" Type="http://schemas.openxmlformats.org/officeDocument/2006/relationships/image" Target="../media/image15.jpeg"/><Relationship Id="rId6" Type="http://schemas.openxmlformats.org/officeDocument/2006/relationships/image" Target="../media/image20.jpeg"/><Relationship Id="rId5" Type="http://schemas.openxmlformats.org/officeDocument/2006/relationships/image" Target="../media/image19.jpeg"/><Relationship Id="rId4" Type="http://schemas.openxmlformats.org/officeDocument/2006/relationships/image" Target="../media/image18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343387</xdr:colOff>
      <xdr:row>682</xdr:row>
      <xdr:rowOff>70</xdr:rowOff>
    </xdr:from>
    <xdr:to>
      <xdr:col>6</xdr:col>
      <xdr:colOff>532927</xdr:colOff>
      <xdr:row>696</xdr:row>
      <xdr:rowOff>53266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5387" y="136431200"/>
          <a:ext cx="4339127" cy="2836152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347870</xdr:colOff>
      <xdr:row>667</xdr:row>
      <xdr:rowOff>9743</xdr:rowOff>
    </xdr:from>
    <xdr:to>
      <xdr:col>6</xdr:col>
      <xdr:colOff>555339</xdr:colOff>
      <xdr:row>681</xdr:row>
      <xdr:rowOff>65860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9870" y="133459134"/>
          <a:ext cx="4357056" cy="283907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oneCellAnchor>
    <xdr:from>
      <xdr:col>9</xdr:col>
      <xdr:colOff>182218</xdr:colOff>
      <xdr:row>625</xdr:row>
      <xdr:rowOff>99391</xdr:rowOff>
    </xdr:from>
    <xdr:ext cx="421822" cy="342786"/>
    <xdr:sp macro="" textlink="">
      <xdr:nvSpPr>
        <xdr:cNvPr id="32" name="TextBox 31"/>
        <xdr:cNvSpPr txBox="1"/>
      </xdr:nvSpPr>
      <xdr:spPr>
        <a:xfrm>
          <a:off x="7752522" y="131643782"/>
          <a:ext cx="421822" cy="342786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IN" sz="1600" b="1"/>
            <a:t>31</a:t>
          </a:r>
        </a:p>
      </xdr:txBody>
    </xdr:sp>
    <xdr:clientData/>
  </xdr:oneCellAnchor>
  <xdr:oneCellAnchor>
    <xdr:from>
      <xdr:col>9</xdr:col>
      <xdr:colOff>699052</xdr:colOff>
      <xdr:row>625</xdr:row>
      <xdr:rowOff>94421</xdr:rowOff>
    </xdr:from>
    <xdr:ext cx="421822" cy="342786"/>
    <xdr:sp macro="" textlink="">
      <xdr:nvSpPr>
        <xdr:cNvPr id="33" name="TextBox 32"/>
        <xdr:cNvSpPr txBox="1"/>
      </xdr:nvSpPr>
      <xdr:spPr>
        <a:xfrm>
          <a:off x="8269356" y="131638812"/>
          <a:ext cx="421822" cy="342786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IN" sz="1600" b="1"/>
            <a:t>32</a:t>
          </a:r>
        </a:p>
      </xdr:txBody>
    </xdr:sp>
    <xdr:clientData/>
  </xdr:oneCellAnchor>
  <xdr:oneCellAnchor>
    <xdr:from>
      <xdr:col>10</xdr:col>
      <xdr:colOff>531929</xdr:colOff>
      <xdr:row>625</xdr:row>
      <xdr:rowOff>57979</xdr:rowOff>
    </xdr:from>
    <xdr:ext cx="421822" cy="342786"/>
    <xdr:sp macro="" textlink="">
      <xdr:nvSpPr>
        <xdr:cNvPr id="34" name="TextBox 33"/>
        <xdr:cNvSpPr txBox="1"/>
      </xdr:nvSpPr>
      <xdr:spPr>
        <a:xfrm>
          <a:off x="8864233" y="131602370"/>
          <a:ext cx="421822" cy="342786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IN" sz="1600" b="1"/>
            <a:t>33</a:t>
          </a:r>
        </a:p>
      </xdr:txBody>
    </xdr:sp>
    <xdr:clientData/>
  </xdr:oneCellAnchor>
  <xdr:oneCellAnchor>
    <xdr:from>
      <xdr:col>8</xdr:col>
      <xdr:colOff>679176</xdr:colOff>
      <xdr:row>639</xdr:row>
      <xdr:rowOff>168127</xdr:rowOff>
    </xdr:from>
    <xdr:ext cx="421822" cy="342786"/>
    <xdr:sp macro="" textlink="">
      <xdr:nvSpPr>
        <xdr:cNvPr id="35" name="TextBox 34"/>
        <xdr:cNvSpPr txBox="1"/>
      </xdr:nvSpPr>
      <xdr:spPr>
        <a:xfrm>
          <a:off x="7197589" y="134487192"/>
          <a:ext cx="421822" cy="342786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IN" sz="1600" b="1"/>
            <a:t>34</a:t>
          </a:r>
        </a:p>
      </xdr:txBody>
    </xdr:sp>
    <xdr:clientData/>
  </xdr:oneCellAnchor>
  <xdr:oneCellAnchor>
    <xdr:from>
      <xdr:col>9</xdr:col>
      <xdr:colOff>158216</xdr:colOff>
      <xdr:row>639</xdr:row>
      <xdr:rowOff>85301</xdr:rowOff>
    </xdr:from>
    <xdr:ext cx="421822" cy="342786"/>
    <xdr:sp macro="" textlink="">
      <xdr:nvSpPr>
        <xdr:cNvPr id="36" name="TextBox 35"/>
        <xdr:cNvSpPr txBox="1"/>
      </xdr:nvSpPr>
      <xdr:spPr>
        <a:xfrm>
          <a:off x="7728520" y="134404366"/>
          <a:ext cx="421822" cy="342786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IN" sz="1600" b="1"/>
            <a:t>35</a:t>
          </a:r>
        </a:p>
      </xdr:txBody>
    </xdr:sp>
    <xdr:clientData/>
  </xdr:oneCellAnchor>
  <xdr:oneCellAnchor>
    <xdr:from>
      <xdr:col>9</xdr:col>
      <xdr:colOff>595219</xdr:colOff>
      <xdr:row>639</xdr:row>
      <xdr:rowOff>22803</xdr:rowOff>
    </xdr:from>
    <xdr:ext cx="421822" cy="342786"/>
    <xdr:sp macro="" textlink="">
      <xdr:nvSpPr>
        <xdr:cNvPr id="37" name="TextBox 36"/>
        <xdr:cNvSpPr txBox="1"/>
      </xdr:nvSpPr>
      <xdr:spPr>
        <a:xfrm>
          <a:off x="8165523" y="134341868"/>
          <a:ext cx="421822" cy="342786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IN" sz="1600" b="1"/>
            <a:t>36</a:t>
          </a:r>
        </a:p>
      </xdr:txBody>
    </xdr:sp>
    <xdr:clientData/>
  </xdr:oneCellAnchor>
  <xdr:oneCellAnchor>
    <xdr:from>
      <xdr:col>8</xdr:col>
      <xdr:colOff>822241</xdr:colOff>
      <xdr:row>642</xdr:row>
      <xdr:rowOff>161562</xdr:rowOff>
    </xdr:from>
    <xdr:ext cx="421822" cy="342786"/>
    <xdr:sp macro="" textlink="">
      <xdr:nvSpPr>
        <xdr:cNvPr id="38" name="TextBox 37"/>
        <xdr:cNvSpPr txBox="1"/>
      </xdr:nvSpPr>
      <xdr:spPr>
        <a:xfrm>
          <a:off x="7340654" y="135076975"/>
          <a:ext cx="421822" cy="342786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IN" sz="1600" b="1"/>
            <a:t>37</a:t>
          </a:r>
        </a:p>
      </xdr:txBody>
    </xdr:sp>
    <xdr:clientData/>
  </xdr:oneCellAnchor>
  <xdr:oneCellAnchor>
    <xdr:from>
      <xdr:col>9</xdr:col>
      <xdr:colOff>419707</xdr:colOff>
      <xdr:row>642</xdr:row>
      <xdr:rowOff>115179</xdr:rowOff>
    </xdr:from>
    <xdr:ext cx="421822" cy="342786"/>
    <xdr:sp macro="" textlink="">
      <xdr:nvSpPr>
        <xdr:cNvPr id="40" name="TextBox 39"/>
        <xdr:cNvSpPr txBox="1"/>
      </xdr:nvSpPr>
      <xdr:spPr>
        <a:xfrm>
          <a:off x="7990011" y="135030592"/>
          <a:ext cx="421822" cy="342786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IN" sz="1600" b="1"/>
            <a:t>38</a:t>
          </a:r>
        </a:p>
      </xdr:txBody>
    </xdr:sp>
    <xdr:clientData/>
  </xdr:oneCellAnchor>
  <xdr:twoCellAnchor>
    <xdr:from>
      <xdr:col>21</xdr:col>
      <xdr:colOff>273424</xdr:colOff>
      <xdr:row>664</xdr:row>
      <xdr:rowOff>115980</xdr:rowOff>
    </xdr:from>
    <xdr:to>
      <xdr:col>22</xdr:col>
      <xdr:colOff>316006</xdr:colOff>
      <xdr:row>665</xdr:row>
      <xdr:rowOff>0</xdr:rowOff>
    </xdr:to>
    <xdr:sp macro="" textlink="">
      <xdr:nvSpPr>
        <xdr:cNvPr id="50" name="TextBox 49"/>
        <xdr:cNvSpPr txBox="1"/>
      </xdr:nvSpPr>
      <xdr:spPr>
        <a:xfrm>
          <a:off x="13104159" y="145971745"/>
          <a:ext cx="647700" cy="4129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800" b="1"/>
            <a:t>38</a:t>
          </a:r>
        </a:p>
      </xdr:txBody>
    </xdr:sp>
    <xdr:clientData/>
  </xdr:twoCellAnchor>
  <xdr:twoCellAnchor>
    <xdr:from>
      <xdr:col>10</xdr:col>
      <xdr:colOff>742951</xdr:colOff>
      <xdr:row>664</xdr:row>
      <xdr:rowOff>115980</xdr:rowOff>
    </xdr:from>
    <xdr:to>
      <xdr:col>11</xdr:col>
      <xdr:colOff>639857</xdr:colOff>
      <xdr:row>665</xdr:row>
      <xdr:rowOff>0</xdr:rowOff>
    </xdr:to>
    <xdr:sp macro="" textlink="">
      <xdr:nvSpPr>
        <xdr:cNvPr id="51" name="TextBox 50"/>
        <xdr:cNvSpPr txBox="1"/>
      </xdr:nvSpPr>
      <xdr:spPr>
        <a:xfrm>
          <a:off x="9091333" y="145971745"/>
          <a:ext cx="647700" cy="4129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800" b="1"/>
            <a:t>37</a:t>
          </a:r>
        </a:p>
      </xdr:txBody>
    </xdr:sp>
    <xdr:clientData/>
  </xdr:twoCellAnchor>
  <xdr:twoCellAnchor>
    <xdr:from>
      <xdr:col>0</xdr:col>
      <xdr:colOff>132790</xdr:colOff>
      <xdr:row>623</xdr:row>
      <xdr:rowOff>74077</xdr:rowOff>
    </xdr:from>
    <xdr:to>
      <xdr:col>7</xdr:col>
      <xdr:colOff>739589</xdr:colOff>
      <xdr:row>660</xdr:row>
      <xdr:rowOff>68981</xdr:rowOff>
    </xdr:to>
    <xdr:grpSp>
      <xdr:nvGrpSpPr>
        <xdr:cNvPr id="4" name="Group 3"/>
        <xdr:cNvGrpSpPr/>
      </xdr:nvGrpSpPr>
      <xdr:grpSpPr>
        <a:xfrm>
          <a:off x="132790" y="137884018"/>
          <a:ext cx="6310593" cy="7446816"/>
          <a:chOff x="121584" y="137715930"/>
          <a:chExt cx="6310593" cy="7446816"/>
        </a:xfrm>
      </xdr:grpSpPr>
      <xdr:pic>
        <xdr:nvPicPr>
          <xdr:cNvPr id="24" name="Picture 23" descr="https://vsjcllp.vsjadon.com/upload/insp-243339-844.jpeg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722344" y="137735422"/>
            <a:ext cx="1506810" cy="255693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24" descr="https://vsjcllp.vsjadon.com/upload/insp-243339-848.jpeg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920503" y="137742705"/>
            <a:ext cx="1511674" cy="255692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Picture 25" descr="https://vsjcllp.vsjadon.com/upload/insp-243339-850.jpe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78733" y="140389536"/>
            <a:ext cx="1465163" cy="248826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7" name="Picture 26" descr="https://vsjcllp.vsjadon.com/upload/insp-243339-852.jpe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750919" y="140390096"/>
            <a:ext cx="1468530" cy="248826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Picture 27" descr="https://vsjcllp.vsjadon.com/upload/insp-243339-861.jpe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28147" y="140391777"/>
            <a:ext cx="1458428" cy="248634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9" name="Picture 28" descr="https://vsjcllp.vsjadon.com/upload/insp-243339-1046.jpe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885205" y="140397940"/>
            <a:ext cx="1468530" cy="248826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" name="Picture 30" descr="https://vsjcllp.vsjadon.com/upload/insp-243339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43274" y="142984257"/>
            <a:ext cx="1631786" cy="217848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1" name="Picture 40" descr="https://vsjcllp.vsjadon.com/upload/insp-243339-846.jpe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21584" y="137715930"/>
            <a:ext cx="1507505" cy="255693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3" name="Picture 42" descr="https://vsjcllp.vsjadon.com/upload/insp-243339-847.jpeg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25387" y="137732060"/>
            <a:ext cx="1505418" cy="255692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5" name="Picture 44" descr="https://vsjcllp.vsjadon.com/upload/insp-243339-85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624853" y="142998264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606748</xdr:colOff>
      <xdr:row>19</xdr:row>
      <xdr:rowOff>126504</xdr:rowOff>
    </xdr:from>
    <xdr:to>
      <xdr:col>10</xdr:col>
      <xdr:colOff>498847</xdr:colOff>
      <xdr:row>27</xdr:row>
      <xdr:rowOff>42504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9523" y="3746004"/>
          <a:ext cx="2940099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</xdr:colOff>
      <xdr:row>11</xdr:row>
      <xdr:rowOff>63252</xdr:rowOff>
    </xdr:from>
    <xdr:to>
      <xdr:col>5</xdr:col>
      <xdr:colOff>396927</xdr:colOff>
      <xdr:row>18</xdr:row>
      <xdr:rowOff>169752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9602" y="2158752"/>
          <a:ext cx="29401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3</xdr:colOff>
      <xdr:row>3</xdr:row>
      <xdr:rowOff>0</xdr:rowOff>
    </xdr:from>
    <xdr:to>
      <xdr:col>5</xdr:col>
      <xdr:colOff>396928</xdr:colOff>
      <xdr:row>10</xdr:row>
      <xdr:rowOff>106500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9603" y="571500"/>
          <a:ext cx="29401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</xdr:row>
      <xdr:rowOff>126504</xdr:rowOff>
    </xdr:from>
    <xdr:to>
      <xdr:col>5</xdr:col>
      <xdr:colOff>396925</xdr:colOff>
      <xdr:row>27</xdr:row>
      <xdr:rowOff>42504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9600" y="3746004"/>
          <a:ext cx="29401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606748</xdr:colOff>
      <xdr:row>3</xdr:row>
      <xdr:rowOff>0</xdr:rowOff>
    </xdr:from>
    <xdr:to>
      <xdr:col>10</xdr:col>
      <xdr:colOff>498848</xdr:colOff>
      <xdr:row>10</xdr:row>
      <xdr:rowOff>106500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9523" y="571500"/>
          <a:ext cx="2940100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606748</xdr:colOff>
      <xdr:row>11</xdr:row>
      <xdr:rowOff>63252</xdr:rowOff>
    </xdr:from>
    <xdr:to>
      <xdr:col>10</xdr:col>
      <xdr:colOff>498848</xdr:colOff>
      <xdr:row>18</xdr:row>
      <xdr:rowOff>169752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9523" y="2158752"/>
          <a:ext cx="2940100" cy="1440000"/>
        </a:xfrm>
        <a:prstGeom prst="rect">
          <a:avLst/>
        </a:prstGeom>
      </xdr:spPr>
    </xdr:pic>
    <xdr:clientData/>
  </xdr:twoCellAnchor>
  <xdr:twoCellAnchor>
    <xdr:from>
      <xdr:col>3</xdr:col>
      <xdr:colOff>193310</xdr:colOff>
      <xdr:row>7</xdr:row>
      <xdr:rowOff>166851</xdr:rowOff>
    </xdr:from>
    <xdr:to>
      <xdr:col>4</xdr:col>
      <xdr:colOff>185157</xdr:colOff>
      <xdr:row>10</xdr:row>
      <xdr:rowOff>180126</xdr:rowOff>
    </xdr:to>
    <xdr:sp macro="" textlink="">
      <xdr:nvSpPr>
        <xdr:cNvPr id="8" name="TextBox 8"/>
        <xdr:cNvSpPr txBox="1"/>
      </xdr:nvSpPr>
      <xdr:spPr>
        <a:xfrm>
          <a:off x="2126885" y="1500351"/>
          <a:ext cx="601447" cy="58477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3200" b="1">
              <a:solidFill>
                <a:srgbClr val="FFFF00"/>
              </a:solidFill>
            </a:rPr>
            <a:t>31</a:t>
          </a:r>
          <a:endParaRPr lang="en-IN" sz="3200" b="1">
            <a:solidFill>
              <a:srgbClr val="FFFF00"/>
            </a:solidFill>
          </a:endParaRPr>
        </a:p>
      </xdr:txBody>
    </xdr:sp>
    <xdr:clientData/>
  </xdr:twoCellAnchor>
  <xdr:twoCellAnchor>
    <xdr:from>
      <xdr:col>2</xdr:col>
      <xdr:colOff>201463</xdr:colOff>
      <xdr:row>16</xdr:row>
      <xdr:rowOff>23712</xdr:rowOff>
    </xdr:from>
    <xdr:to>
      <xdr:col>3</xdr:col>
      <xdr:colOff>193310</xdr:colOff>
      <xdr:row>19</xdr:row>
      <xdr:rowOff>36987</xdr:rowOff>
    </xdr:to>
    <xdr:sp macro="" textlink="">
      <xdr:nvSpPr>
        <xdr:cNvPr id="9" name="TextBox 9"/>
        <xdr:cNvSpPr txBox="1"/>
      </xdr:nvSpPr>
      <xdr:spPr>
        <a:xfrm>
          <a:off x="1525438" y="3071712"/>
          <a:ext cx="601447" cy="58477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3200" b="1">
              <a:solidFill>
                <a:srgbClr val="FFFF00"/>
              </a:solidFill>
            </a:rPr>
            <a:t>32</a:t>
          </a:r>
          <a:endParaRPr lang="en-IN" sz="3200" b="1">
            <a:solidFill>
              <a:srgbClr val="FFFF00"/>
            </a:solidFill>
          </a:endParaRPr>
        </a:p>
      </xdr:txBody>
    </xdr:sp>
    <xdr:clientData/>
  </xdr:twoCellAnchor>
  <xdr:twoCellAnchor>
    <xdr:from>
      <xdr:col>4</xdr:col>
      <xdr:colOff>171211</xdr:colOff>
      <xdr:row>20</xdr:row>
      <xdr:rowOff>9630</xdr:rowOff>
    </xdr:from>
    <xdr:to>
      <xdr:col>5</xdr:col>
      <xdr:colOff>163058</xdr:colOff>
      <xdr:row>23</xdr:row>
      <xdr:rowOff>22905</xdr:rowOff>
    </xdr:to>
    <xdr:sp macro="" textlink="">
      <xdr:nvSpPr>
        <xdr:cNvPr id="10" name="TextBox 10"/>
        <xdr:cNvSpPr txBox="1"/>
      </xdr:nvSpPr>
      <xdr:spPr>
        <a:xfrm>
          <a:off x="2714386" y="3819630"/>
          <a:ext cx="601447" cy="58477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3200" b="1">
              <a:solidFill>
                <a:srgbClr val="FFFF00"/>
              </a:solidFill>
            </a:rPr>
            <a:t>33</a:t>
          </a:r>
          <a:endParaRPr lang="en-IN" sz="3200" b="1">
            <a:solidFill>
              <a:srgbClr val="FFFF00"/>
            </a:solidFill>
          </a:endParaRPr>
        </a:p>
      </xdr:txBody>
    </xdr:sp>
    <xdr:clientData/>
  </xdr:twoCellAnchor>
  <xdr:twoCellAnchor>
    <xdr:from>
      <xdr:col>9</xdr:col>
      <xdr:colOff>202275</xdr:colOff>
      <xdr:row>3</xdr:row>
      <xdr:rowOff>138219</xdr:rowOff>
    </xdr:from>
    <xdr:to>
      <xdr:col>10</xdr:col>
      <xdr:colOff>194122</xdr:colOff>
      <xdr:row>6</xdr:row>
      <xdr:rowOff>151494</xdr:rowOff>
    </xdr:to>
    <xdr:sp macro="" textlink="">
      <xdr:nvSpPr>
        <xdr:cNvPr id="11" name="TextBox 11"/>
        <xdr:cNvSpPr txBox="1"/>
      </xdr:nvSpPr>
      <xdr:spPr>
        <a:xfrm>
          <a:off x="5793450" y="709719"/>
          <a:ext cx="601447" cy="58477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3200" b="1">
              <a:solidFill>
                <a:srgbClr val="FFFF00"/>
              </a:solidFill>
            </a:rPr>
            <a:t>34</a:t>
          </a:r>
          <a:endParaRPr lang="en-IN" sz="3200" b="1">
            <a:solidFill>
              <a:srgbClr val="FFFF00"/>
            </a:solidFill>
          </a:endParaRPr>
        </a:p>
      </xdr:txBody>
    </xdr:sp>
    <xdr:clientData/>
  </xdr:twoCellAnchor>
  <xdr:twoCellAnchor>
    <xdr:from>
      <xdr:col>9</xdr:col>
      <xdr:colOff>202275</xdr:colOff>
      <xdr:row>15</xdr:row>
      <xdr:rowOff>21252</xdr:rowOff>
    </xdr:from>
    <xdr:to>
      <xdr:col>10</xdr:col>
      <xdr:colOff>194122</xdr:colOff>
      <xdr:row>18</xdr:row>
      <xdr:rowOff>34527</xdr:rowOff>
    </xdr:to>
    <xdr:sp macro="" textlink="">
      <xdr:nvSpPr>
        <xdr:cNvPr id="12" name="TextBox 12"/>
        <xdr:cNvSpPr txBox="1"/>
      </xdr:nvSpPr>
      <xdr:spPr>
        <a:xfrm>
          <a:off x="5793450" y="2878752"/>
          <a:ext cx="601447" cy="58477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3200" b="1">
              <a:solidFill>
                <a:srgbClr val="FFFF00"/>
              </a:solidFill>
            </a:rPr>
            <a:t>35</a:t>
          </a:r>
          <a:endParaRPr lang="en-IN" sz="3200" b="1">
            <a:solidFill>
              <a:srgbClr val="FFFF00"/>
            </a:solidFill>
          </a:endParaRPr>
        </a:p>
      </xdr:txBody>
    </xdr:sp>
    <xdr:clientData/>
  </xdr:twoCellAnchor>
  <xdr:twoCellAnchor>
    <xdr:from>
      <xdr:col>9</xdr:col>
      <xdr:colOff>202275</xdr:colOff>
      <xdr:row>21</xdr:row>
      <xdr:rowOff>168091</xdr:rowOff>
    </xdr:from>
    <xdr:to>
      <xdr:col>10</xdr:col>
      <xdr:colOff>194122</xdr:colOff>
      <xdr:row>24</xdr:row>
      <xdr:rowOff>181366</xdr:rowOff>
    </xdr:to>
    <xdr:sp macro="" textlink="">
      <xdr:nvSpPr>
        <xdr:cNvPr id="13" name="TextBox 13"/>
        <xdr:cNvSpPr txBox="1"/>
      </xdr:nvSpPr>
      <xdr:spPr>
        <a:xfrm>
          <a:off x="5793450" y="4168591"/>
          <a:ext cx="601447" cy="58477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3200" b="1">
              <a:solidFill>
                <a:srgbClr val="FFFF00"/>
              </a:solidFill>
            </a:rPr>
            <a:t>36</a:t>
          </a:r>
          <a:endParaRPr lang="en-IN" sz="3200" b="1">
            <a:solidFill>
              <a:srgbClr val="FFFF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oy52gH4yWTsWf3yT7" TargetMode="Externa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S666"/>
  <sheetViews>
    <sheetView tabSelected="1" view="pageBreakPreview" topLeftCell="A277" zoomScale="85" zoomScaleNormal="100" zoomScaleSheetLayoutView="85" zoomScalePageLayoutView="85" workbookViewId="0">
      <selection activeCell="I293" sqref="I293"/>
    </sheetView>
  </sheetViews>
  <sheetFormatPr defaultColWidth="9.140625" defaultRowHeight="15.75" x14ac:dyDescent="0.25"/>
  <cols>
    <col min="1" max="1" width="11.42578125" style="76" customWidth="1"/>
    <col min="2" max="2" width="12" style="76" customWidth="1"/>
    <col min="3" max="3" width="12.7109375" style="76" customWidth="1"/>
    <col min="4" max="4" width="14.140625" style="76" customWidth="1"/>
    <col min="5" max="7" width="11.7109375" style="76" customWidth="1"/>
    <col min="8" max="8" width="12.42578125" style="76" customWidth="1"/>
    <col min="9" max="9" width="15.7109375" style="48" customWidth="1"/>
    <col min="10" max="10" width="11.42578125" style="48" customWidth="1"/>
    <col min="11" max="11" width="11.28515625" style="48" bestFit="1" customWidth="1"/>
    <col min="12" max="12" width="10.5703125" style="48" customWidth="1"/>
    <col min="13" max="13" width="11.85546875" style="48" hidden="1" customWidth="1"/>
    <col min="14" max="14" width="12.5703125" style="48" hidden="1" customWidth="1"/>
    <col min="15" max="15" width="9.85546875" style="48" hidden="1" customWidth="1"/>
    <col min="16" max="16" width="10.42578125" style="48" hidden="1" customWidth="1"/>
    <col min="17" max="247" width="9.140625" style="48"/>
    <col min="248" max="248" width="8.7109375" style="48" customWidth="1"/>
    <col min="249" max="249" width="9.85546875" style="48" customWidth="1"/>
    <col min="250" max="250" width="14.42578125" style="48" customWidth="1"/>
    <col min="251" max="251" width="7.28515625" style="48" customWidth="1"/>
    <col min="252" max="252" width="5.5703125" style="48" customWidth="1"/>
    <col min="253" max="253" width="9" style="48" customWidth="1"/>
    <col min="254" max="255" width="9.85546875" style="48" customWidth="1"/>
    <col min="256" max="256" width="11.140625" style="48" customWidth="1"/>
    <col min="257" max="257" width="2.85546875" style="48" customWidth="1"/>
    <col min="258" max="258" width="3.5703125" style="48" customWidth="1"/>
    <col min="259" max="503" width="9.140625" style="48"/>
    <col min="504" max="504" width="8.7109375" style="48" customWidth="1"/>
    <col min="505" max="505" width="9.85546875" style="48" customWidth="1"/>
    <col min="506" max="506" width="14.42578125" style="48" customWidth="1"/>
    <col min="507" max="507" width="7.28515625" style="48" customWidth="1"/>
    <col min="508" max="508" width="5.5703125" style="48" customWidth="1"/>
    <col min="509" max="509" width="9" style="48" customWidth="1"/>
    <col min="510" max="511" width="9.85546875" style="48" customWidth="1"/>
    <col min="512" max="512" width="11.140625" style="48" customWidth="1"/>
    <col min="513" max="513" width="2.85546875" style="48" customWidth="1"/>
    <col min="514" max="514" width="3.5703125" style="48" customWidth="1"/>
    <col min="515" max="759" width="9.140625" style="48"/>
    <col min="760" max="760" width="8.7109375" style="48" customWidth="1"/>
    <col min="761" max="761" width="9.85546875" style="48" customWidth="1"/>
    <col min="762" max="762" width="14.42578125" style="48" customWidth="1"/>
    <col min="763" max="763" width="7.28515625" style="48" customWidth="1"/>
    <col min="764" max="764" width="5.5703125" style="48" customWidth="1"/>
    <col min="765" max="765" width="9" style="48" customWidth="1"/>
    <col min="766" max="767" width="9.85546875" style="48" customWidth="1"/>
    <col min="768" max="768" width="11.140625" style="48" customWidth="1"/>
    <col min="769" max="769" width="2.85546875" style="48" customWidth="1"/>
    <col min="770" max="770" width="3.5703125" style="48" customWidth="1"/>
    <col min="771" max="1015" width="9.140625" style="48"/>
    <col min="1016" max="1016" width="8.7109375" style="48" customWidth="1"/>
    <col min="1017" max="1017" width="9.85546875" style="48" customWidth="1"/>
    <col min="1018" max="1018" width="14.42578125" style="48" customWidth="1"/>
    <col min="1019" max="1019" width="7.28515625" style="48" customWidth="1"/>
    <col min="1020" max="1020" width="5.5703125" style="48" customWidth="1"/>
    <col min="1021" max="1021" width="9" style="48" customWidth="1"/>
    <col min="1022" max="1023" width="9.85546875" style="48" customWidth="1"/>
    <col min="1024" max="1024" width="11.140625" style="48" customWidth="1"/>
    <col min="1025" max="1025" width="2.85546875" style="48" customWidth="1"/>
    <col min="1026" max="1026" width="3.5703125" style="48" customWidth="1"/>
    <col min="1027" max="1271" width="9.140625" style="48"/>
    <col min="1272" max="1272" width="8.7109375" style="48" customWidth="1"/>
    <col min="1273" max="1273" width="9.85546875" style="48" customWidth="1"/>
    <col min="1274" max="1274" width="14.42578125" style="48" customWidth="1"/>
    <col min="1275" max="1275" width="7.28515625" style="48" customWidth="1"/>
    <col min="1276" max="1276" width="5.5703125" style="48" customWidth="1"/>
    <col min="1277" max="1277" width="9" style="48" customWidth="1"/>
    <col min="1278" max="1279" width="9.85546875" style="48" customWidth="1"/>
    <col min="1280" max="1280" width="11.140625" style="48" customWidth="1"/>
    <col min="1281" max="1281" width="2.85546875" style="48" customWidth="1"/>
    <col min="1282" max="1282" width="3.5703125" style="48" customWidth="1"/>
    <col min="1283" max="1527" width="9.140625" style="48"/>
    <col min="1528" max="1528" width="8.7109375" style="48" customWidth="1"/>
    <col min="1529" max="1529" width="9.85546875" style="48" customWidth="1"/>
    <col min="1530" max="1530" width="14.42578125" style="48" customWidth="1"/>
    <col min="1531" max="1531" width="7.28515625" style="48" customWidth="1"/>
    <col min="1532" max="1532" width="5.5703125" style="48" customWidth="1"/>
    <col min="1533" max="1533" width="9" style="48" customWidth="1"/>
    <col min="1534" max="1535" width="9.85546875" style="48" customWidth="1"/>
    <col min="1536" max="1536" width="11.140625" style="48" customWidth="1"/>
    <col min="1537" max="1537" width="2.85546875" style="48" customWidth="1"/>
    <col min="1538" max="1538" width="3.5703125" style="48" customWidth="1"/>
    <col min="1539" max="1783" width="9.140625" style="48"/>
    <col min="1784" max="1784" width="8.7109375" style="48" customWidth="1"/>
    <col min="1785" max="1785" width="9.85546875" style="48" customWidth="1"/>
    <col min="1786" max="1786" width="14.42578125" style="48" customWidth="1"/>
    <col min="1787" max="1787" width="7.28515625" style="48" customWidth="1"/>
    <col min="1788" max="1788" width="5.5703125" style="48" customWidth="1"/>
    <col min="1789" max="1789" width="9" style="48" customWidth="1"/>
    <col min="1790" max="1791" width="9.85546875" style="48" customWidth="1"/>
    <col min="1792" max="1792" width="11.140625" style="48" customWidth="1"/>
    <col min="1793" max="1793" width="2.85546875" style="48" customWidth="1"/>
    <col min="1794" max="1794" width="3.5703125" style="48" customWidth="1"/>
    <col min="1795" max="2039" width="9.140625" style="48"/>
    <col min="2040" max="2040" width="8.7109375" style="48" customWidth="1"/>
    <col min="2041" max="2041" width="9.85546875" style="48" customWidth="1"/>
    <col min="2042" max="2042" width="14.42578125" style="48" customWidth="1"/>
    <col min="2043" max="2043" width="7.28515625" style="48" customWidth="1"/>
    <col min="2044" max="2044" width="5.5703125" style="48" customWidth="1"/>
    <col min="2045" max="2045" width="9" style="48" customWidth="1"/>
    <col min="2046" max="2047" width="9.85546875" style="48" customWidth="1"/>
    <col min="2048" max="2048" width="11.140625" style="48" customWidth="1"/>
    <col min="2049" max="2049" width="2.85546875" style="48" customWidth="1"/>
    <col min="2050" max="2050" width="3.5703125" style="48" customWidth="1"/>
    <col min="2051" max="2295" width="9.140625" style="48"/>
    <col min="2296" max="2296" width="8.7109375" style="48" customWidth="1"/>
    <col min="2297" max="2297" width="9.85546875" style="48" customWidth="1"/>
    <col min="2298" max="2298" width="14.42578125" style="48" customWidth="1"/>
    <col min="2299" max="2299" width="7.28515625" style="48" customWidth="1"/>
    <col min="2300" max="2300" width="5.5703125" style="48" customWidth="1"/>
    <col min="2301" max="2301" width="9" style="48" customWidth="1"/>
    <col min="2302" max="2303" width="9.85546875" style="48" customWidth="1"/>
    <col min="2304" max="2304" width="11.140625" style="48" customWidth="1"/>
    <col min="2305" max="2305" width="2.85546875" style="48" customWidth="1"/>
    <col min="2306" max="2306" width="3.5703125" style="48" customWidth="1"/>
    <col min="2307" max="2551" width="9.140625" style="48"/>
    <col min="2552" max="2552" width="8.7109375" style="48" customWidth="1"/>
    <col min="2553" max="2553" width="9.85546875" style="48" customWidth="1"/>
    <col min="2554" max="2554" width="14.42578125" style="48" customWidth="1"/>
    <col min="2555" max="2555" width="7.28515625" style="48" customWidth="1"/>
    <col min="2556" max="2556" width="5.5703125" style="48" customWidth="1"/>
    <col min="2557" max="2557" width="9" style="48" customWidth="1"/>
    <col min="2558" max="2559" width="9.85546875" style="48" customWidth="1"/>
    <col min="2560" max="2560" width="11.140625" style="48" customWidth="1"/>
    <col min="2561" max="2561" width="2.85546875" style="48" customWidth="1"/>
    <col min="2562" max="2562" width="3.5703125" style="48" customWidth="1"/>
    <col min="2563" max="2807" width="9.140625" style="48"/>
    <col min="2808" max="2808" width="8.7109375" style="48" customWidth="1"/>
    <col min="2809" max="2809" width="9.85546875" style="48" customWidth="1"/>
    <col min="2810" max="2810" width="14.42578125" style="48" customWidth="1"/>
    <col min="2811" max="2811" width="7.28515625" style="48" customWidth="1"/>
    <col min="2812" max="2812" width="5.5703125" style="48" customWidth="1"/>
    <col min="2813" max="2813" width="9" style="48" customWidth="1"/>
    <col min="2814" max="2815" width="9.85546875" style="48" customWidth="1"/>
    <col min="2816" max="2816" width="11.140625" style="48" customWidth="1"/>
    <col min="2817" max="2817" width="2.85546875" style="48" customWidth="1"/>
    <col min="2818" max="2818" width="3.5703125" style="48" customWidth="1"/>
    <col min="2819" max="3063" width="9.140625" style="48"/>
    <col min="3064" max="3064" width="8.7109375" style="48" customWidth="1"/>
    <col min="3065" max="3065" width="9.85546875" style="48" customWidth="1"/>
    <col min="3066" max="3066" width="14.42578125" style="48" customWidth="1"/>
    <col min="3067" max="3067" width="7.28515625" style="48" customWidth="1"/>
    <col min="3068" max="3068" width="5.5703125" style="48" customWidth="1"/>
    <col min="3069" max="3069" width="9" style="48" customWidth="1"/>
    <col min="3070" max="3071" width="9.85546875" style="48" customWidth="1"/>
    <col min="3072" max="3072" width="11.140625" style="48" customWidth="1"/>
    <col min="3073" max="3073" width="2.85546875" style="48" customWidth="1"/>
    <col min="3074" max="3074" width="3.5703125" style="48" customWidth="1"/>
    <col min="3075" max="3319" width="9.140625" style="48"/>
    <col min="3320" max="3320" width="8.7109375" style="48" customWidth="1"/>
    <col min="3321" max="3321" width="9.85546875" style="48" customWidth="1"/>
    <col min="3322" max="3322" width="14.42578125" style="48" customWidth="1"/>
    <col min="3323" max="3323" width="7.28515625" style="48" customWidth="1"/>
    <col min="3324" max="3324" width="5.5703125" style="48" customWidth="1"/>
    <col min="3325" max="3325" width="9" style="48" customWidth="1"/>
    <col min="3326" max="3327" width="9.85546875" style="48" customWidth="1"/>
    <col min="3328" max="3328" width="11.140625" style="48" customWidth="1"/>
    <col min="3329" max="3329" width="2.85546875" style="48" customWidth="1"/>
    <col min="3330" max="3330" width="3.5703125" style="48" customWidth="1"/>
    <col min="3331" max="3575" width="9.140625" style="48"/>
    <col min="3576" max="3576" width="8.7109375" style="48" customWidth="1"/>
    <col min="3577" max="3577" width="9.85546875" style="48" customWidth="1"/>
    <col min="3578" max="3578" width="14.42578125" style="48" customWidth="1"/>
    <col min="3579" max="3579" width="7.28515625" style="48" customWidth="1"/>
    <col min="3580" max="3580" width="5.5703125" style="48" customWidth="1"/>
    <col min="3581" max="3581" width="9" style="48" customWidth="1"/>
    <col min="3582" max="3583" width="9.85546875" style="48" customWidth="1"/>
    <col min="3584" max="3584" width="11.140625" style="48" customWidth="1"/>
    <col min="3585" max="3585" width="2.85546875" style="48" customWidth="1"/>
    <col min="3586" max="3586" width="3.5703125" style="48" customWidth="1"/>
    <col min="3587" max="3831" width="9.140625" style="48"/>
    <col min="3832" max="3832" width="8.7109375" style="48" customWidth="1"/>
    <col min="3833" max="3833" width="9.85546875" style="48" customWidth="1"/>
    <col min="3834" max="3834" width="14.42578125" style="48" customWidth="1"/>
    <col min="3835" max="3835" width="7.28515625" style="48" customWidth="1"/>
    <col min="3836" max="3836" width="5.5703125" style="48" customWidth="1"/>
    <col min="3837" max="3837" width="9" style="48" customWidth="1"/>
    <col min="3838" max="3839" width="9.85546875" style="48" customWidth="1"/>
    <col min="3840" max="3840" width="11.140625" style="48" customWidth="1"/>
    <col min="3841" max="3841" width="2.85546875" style="48" customWidth="1"/>
    <col min="3842" max="3842" width="3.5703125" style="48" customWidth="1"/>
    <col min="3843" max="4087" width="9.140625" style="48"/>
    <col min="4088" max="4088" width="8.7109375" style="48" customWidth="1"/>
    <col min="4089" max="4089" width="9.85546875" style="48" customWidth="1"/>
    <col min="4090" max="4090" width="14.42578125" style="48" customWidth="1"/>
    <col min="4091" max="4091" width="7.28515625" style="48" customWidth="1"/>
    <col min="4092" max="4092" width="5.5703125" style="48" customWidth="1"/>
    <col min="4093" max="4093" width="9" style="48" customWidth="1"/>
    <col min="4094" max="4095" width="9.85546875" style="48" customWidth="1"/>
    <col min="4096" max="4096" width="11.140625" style="48" customWidth="1"/>
    <col min="4097" max="4097" width="2.85546875" style="48" customWidth="1"/>
    <col min="4098" max="4098" width="3.5703125" style="48" customWidth="1"/>
    <col min="4099" max="4343" width="9.140625" style="48"/>
    <col min="4344" max="4344" width="8.7109375" style="48" customWidth="1"/>
    <col min="4345" max="4345" width="9.85546875" style="48" customWidth="1"/>
    <col min="4346" max="4346" width="14.42578125" style="48" customWidth="1"/>
    <col min="4347" max="4347" width="7.28515625" style="48" customWidth="1"/>
    <col min="4348" max="4348" width="5.5703125" style="48" customWidth="1"/>
    <col min="4349" max="4349" width="9" style="48" customWidth="1"/>
    <col min="4350" max="4351" width="9.85546875" style="48" customWidth="1"/>
    <col min="4352" max="4352" width="11.140625" style="48" customWidth="1"/>
    <col min="4353" max="4353" width="2.85546875" style="48" customWidth="1"/>
    <col min="4354" max="4354" width="3.5703125" style="48" customWidth="1"/>
    <col min="4355" max="4599" width="9.140625" style="48"/>
    <col min="4600" max="4600" width="8.7109375" style="48" customWidth="1"/>
    <col min="4601" max="4601" width="9.85546875" style="48" customWidth="1"/>
    <col min="4602" max="4602" width="14.42578125" style="48" customWidth="1"/>
    <col min="4603" max="4603" width="7.28515625" style="48" customWidth="1"/>
    <col min="4604" max="4604" width="5.5703125" style="48" customWidth="1"/>
    <col min="4605" max="4605" width="9" style="48" customWidth="1"/>
    <col min="4606" max="4607" width="9.85546875" style="48" customWidth="1"/>
    <col min="4608" max="4608" width="11.140625" style="48" customWidth="1"/>
    <col min="4609" max="4609" width="2.85546875" style="48" customWidth="1"/>
    <col min="4610" max="4610" width="3.5703125" style="48" customWidth="1"/>
    <col min="4611" max="4855" width="9.140625" style="48"/>
    <col min="4856" max="4856" width="8.7109375" style="48" customWidth="1"/>
    <col min="4857" max="4857" width="9.85546875" style="48" customWidth="1"/>
    <col min="4858" max="4858" width="14.42578125" style="48" customWidth="1"/>
    <col min="4859" max="4859" width="7.28515625" style="48" customWidth="1"/>
    <col min="4860" max="4860" width="5.5703125" style="48" customWidth="1"/>
    <col min="4861" max="4861" width="9" style="48" customWidth="1"/>
    <col min="4862" max="4863" width="9.85546875" style="48" customWidth="1"/>
    <col min="4864" max="4864" width="11.140625" style="48" customWidth="1"/>
    <col min="4865" max="4865" width="2.85546875" style="48" customWidth="1"/>
    <col min="4866" max="4866" width="3.5703125" style="48" customWidth="1"/>
    <col min="4867" max="5111" width="9.140625" style="48"/>
    <col min="5112" max="5112" width="8.7109375" style="48" customWidth="1"/>
    <col min="5113" max="5113" width="9.85546875" style="48" customWidth="1"/>
    <col min="5114" max="5114" width="14.42578125" style="48" customWidth="1"/>
    <col min="5115" max="5115" width="7.28515625" style="48" customWidth="1"/>
    <col min="5116" max="5116" width="5.5703125" style="48" customWidth="1"/>
    <col min="5117" max="5117" width="9" style="48" customWidth="1"/>
    <col min="5118" max="5119" width="9.85546875" style="48" customWidth="1"/>
    <col min="5120" max="5120" width="11.140625" style="48" customWidth="1"/>
    <col min="5121" max="5121" width="2.85546875" style="48" customWidth="1"/>
    <col min="5122" max="5122" width="3.5703125" style="48" customWidth="1"/>
    <col min="5123" max="5367" width="9.140625" style="48"/>
    <col min="5368" max="5368" width="8.7109375" style="48" customWidth="1"/>
    <col min="5369" max="5369" width="9.85546875" style="48" customWidth="1"/>
    <col min="5370" max="5370" width="14.42578125" style="48" customWidth="1"/>
    <col min="5371" max="5371" width="7.28515625" style="48" customWidth="1"/>
    <col min="5372" max="5372" width="5.5703125" style="48" customWidth="1"/>
    <col min="5373" max="5373" width="9" style="48" customWidth="1"/>
    <col min="5374" max="5375" width="9.85546875" style="48" customWidth="1"/>
    <col min="5376" max="5376" width="11.140625" style="48" customWidth="1"/>
    <col min="5377" max="5377" width="2.85546875" style="48" customWidth="1"/>
    <col min="5378" max="5378" width="3.5703125" style="48" customWidth="1"/>
    <col min="5379" max="5623" width="9.140625" style="48"/>
    <col min="5624" max="5624" width="8.7109375" style="48" customWidth="1"/>
    <col min="5625" max="5625" width="9.85546875" style="48" customWidth="1"/>
    <col min="5626" max="5626" width="14.42578125" style="48" customWidth="1"/>
    <col min="5627" max="5627" width="7.28515625" style="48" customWidth="1"/>
    <col min="5628" max="5628" width="5.5703125" style="48" customWidth="1"/>
    <col min="5629" max="5629" width="9" style="48" customWidth="1"/>
    <col min="5630" max="5631" width="9.85546875" style="48" customWidth="1"/>
    <col min="5632" max="5632" width="11.140625" style="48" customWidth="1"/>
    <col min="5633" max="5633" width="2.85546875" style="48" customWidth="1"/>
    <col min="5634" max="5634" width="3.5703125" style="48" customWidth="1"/>
    <col min="5635" max="5879" width="9.140625" style="48"/>
    <col min="5880" max="5880" width="8.7109375" style="48" customWidth="1"/>
    <col min="5881" max="5881" width="9.85546875" style="48" customWidth="1"/>
    <col min="5882" max="5882" width="14.42578125" style="48" customWidth="1"/>
    <col min="5883" max="5883" width="7.28515625" style="48" customWidth="1"/>
    <col min="5884" max="5884" width="5.5703125" style="48" customWidth="1"/>
    <col min="5885" max="5885" width="9" style="48" customWidth="1"/>
    <col min="5886" max="5887" width="9.85546875" style="48" customWidth="1"/>
    <col min="5888" max="5888" width="11.140625" style="48" customWidth="1"/>
    <col min="5889" max="5889" width="2.85546875" style="48" customWidth="1"/>
    <col min="5890" max="5890" width="3.5703125" style="48" customWidth="1"/>
    <col min="5891" max="6135" width="9.140625" style="48"/>
    <col min="6136" max="6136" width="8.7109375" style="48" customWidth="1"/>
    <col min="6137" max="6137" width="9.85546875" style="48" customWidth="1"/>
    <col min="6138" max="6138" width="14.42578125" style="48" customWidth="1"/>
    <col min="6139" max="6139" width="7.28515625" style="48" customWidth="1"/>
    <col min="6140" max="6140" width="5.5703125" style="48" customWidth="1"/>
    <col min="6141" max="6141" width="9" style="48" customWidth="1"/>
    <col min="6142" max="6143" width="9.85546875" style="48" customWidth="1"/>
    <col min="6144" max="6144" width="11.140625" style="48" customWidth="1"/>
    <col min="6145" max="6145" width="2.85546875" style="48" customWidth="1"/>
    <col min="6146" max="6146" width="3.5703125" style="48" customWidth="1"/>
    <col min="6147" max="6391" width="9.140625" style="48"/>
    <col min="6392" max="6392" width="8.7109375" style="48" customWidth="1"/>
    <col min="6393" max="6393" width="9.85546875" style="48" customWidth="1"/>
    <col min="6394" max="6394" width="14.42578125" style="48" customWidth="1"/>
    <col min="6395" max="6395" width="7.28515625" style="48" customWidth="1"/>
    <col min="6396" max="6396" width="5.5703125" style="48" customWidth="1"/>
    <col min="6397" max="6397" width="9" style="48" customWidth="1"/>
    <col min="6398" max="6399" width="9.85546875" style="48" customWidth="1"/>
    <col min="6400" max="6400" width="11.140625" style="48" customWidth="1"/>
    <col min="6401" max="6401" width="2.85546875" style="48" customWidth="1"/>
    <col min="6402" max="6402" width="3.5703125" style="48" customWidth="1"/>
    <col min="6403" max="6647" width="9.140625" style="48"/>
    <col min="6648" max="6648" width="8.7109375" style="48" customWidth="1"/>
    <col min="6649" max="6649" width="9.85546875" style="48" customWidth="1"/>
    <col min="6650" max="6650" width="14.42578125" style="48" customWidth="1"/>
    <col min="6651" max="6651" width="7.28515625" style="48" customWidth="1"/>
    <col min="6652" max="6652" width="5.5703125" style="48" customWidth="1"/>
    <col min="6653" max="6653" width="9" style="48" customWidth="1"/>
    <col min="6654" max="6655" width="9.85546875" style="48" customWidth="1"/>
    <col min="6656" max="6656" width="11.140625" style="48" customWidth="1"/>
    <col min="6657" max="6657" width="2.85546875" style="48" customWidth="1"/>
    <col min="6658" max="6658" width="3.5703125" style="48" customWidth="1"/>
    <col min="6659" max="6903" width="9.140625" style="48"/>
    <col min="6904" max="6904" width="8.7109375" style="48" customWidth="1"/>
    <col min="6905" max="6905" width="9.85546875" style="48" customWidth="1"/>
    <col min="6906" max="6906" width="14.42578125" style="48" customWidth="1"/>
    <col min="6907" max="6907" width="7.28515625" style="48" customWidth="1"/>
    <col min="6908" max="6908" width="5.5703125" style="48" customWidth="1"/>
    <col min="6909" max="6909" width="9" style="48" customWidth="1"/>
    <col min="6910" max="6911" width="9.85546875" style="48" customWidth="1"/>
    <col min="6912" max="6912" width="11.140625" style="48" customWidth="1"/>
    <col min="6913" max="6913" width="2.85546875" style="48" customWidth="1"/>
    <col min="6914" max="6914" width="3.5703125" style="48" customWidth="1"/>
    <col min="6915" max="7159" width="9.140625" style="48"/>
    <col min="7160" max="7160" width="8.7109375" style="48" customWidth="1"/>
    <col min="7161" max="7161" width="9.85546875" style="48" customWidth="1"/>
    <col min="7162" max="7162" width="14.42578125" style="48" customWidth="1"/>
    <col min="7163" max="7163" width="7.28515625" style="48" customWidth="1"/>
    <col min="7164" max="7164" width="5.5703125" style="48" customWidth="1"/>
    <col min="7165" max="7165" width="9" style="48" customWidth="1"/>
    <col min="7166" max="7167" width="9.85546875" style="48" customWidth="1"/>
    <col min="7168" max="7168" width="11.140625" style="48" customWidth="1"/>
    <col min="7169" max="7169" width="2.85546875" style="48" customWidth="1"/>
    <col min="7170" max="7170" width="3.5703125" style="48" customWidth="1"/>
    <col min="7171" max="7415" width="9.140625" style="48"/>
    <col min="7416" max="7416" width="8.7109375" style="48" customWidth="1"/>
    <col min="7417" max="7417" width="9.85546875" style="48" customWidth="1"/>
    <col min="7418" max="7418" width="14.42578125" style="48" customWidth="1"/>
    <col min="7419" max="7419" width="7.28515625" style="48" customWidth="1"/>
    <col min="7420" max="7420" width="5.5703125" style="48" customWidth="1"/>
    <col min="7421" max="7421" width="9" style="48" customWidth="1"/>
    <col min="7422" max="7423" width="9.85546875" style="48" customWidth="1"/>
    <col min="7424" max="7424" width="11.140625" style="48" customWidth="1"/>
    <col min="7425" max="7425" width="2.85546875" style="48" customWidth="1"/>
    <col min="7426" max="7426" width="3.5703125" style="48" customWidth="1"/>
    <col min="7427" max="7671" width="9.140625" style="48"/>
    <col min="7672" max="7672" width="8.7109375" style="48" customWidth="1"/>
    <col min="7673" max="7673" width="9.85546875" style="48" customWidth="1"/>
    <col min="7674" max="7674" width="14.42578125" style="48" customWidth="1"/>
    <col min="7675" max="7675" width="7.28515625" style="48" customWidth="1"/>
    <col min="7676" max="7676" width="5.5703125" style="48" customWidth="1"/>
    <col min="7677" max="7677" width="9" style="48" customWidth="1"/>
    <col min="7678" max="7679" width="9.85546875" style="48" customWidth="1"/>
    <col min="7680" max="7680" width="11.140625" style="48" customWidth="1"/>
    <col min="7681" max="7681" width="2.85546875" style="48" customWidth="1"/>
    <col min="7682" max="7682" width="3.5703125" style="48" customWidth="1"/>
    <col min="7683" max="7927" width="9.140625" style="48"/>
    <col min="7928" max="7928" width="8.7109375" style="48" customWidth="1"/>
    <col min="7929" max="7929" width="9.85546875" style="48" customWidth="1"/>
    <col min="7930" max="7930" width="14.42578125" style="48" customWidth="1"/>
    <col min="7931" max="7931" width="7.28515625" style="48" customWidth="1"/>
    <col min="7932" max="7932" width="5.5703125" style="48" customWidth="1"/>
    <col min="7933" max="7933" width="9" style="48" customWidth="1"/>
    <col min="7934" max="7935" width="9.85546875" style="48" customWidth="1"/>
    <col min="7936" max="7936" width="11.140625" style="48" customWidth="1"/>
    <col min="7937" max="7937" width="2.85546875" style="48" customWidth="1"/>
    <col min="7938" max="7938" width="3.5703125" style="48" customWidth="1"/>
    <col min="7939" max="8183" width="9.140625" style="48"/>
    <col min="8184" max="8184" width="8.7109375" style="48" customWidth="1"/>
    <col min="8185" max="8185" width="9.85546875" style="48" customWidth="1"/>
    <col min="8186" max="8186" width="14.42578125" style="48" customWidth="1"/>
    <col min="8187" max="8187" width="7.28515625" style="48" customWidth="1"/>
    <col min="8188" max="8188" width="5.5703125" style="48" customWidth="1"/>
    <col min="8189" max="8189" width="9" style="48" customWidth="1"/>
    <col min="8190" max="8191" width="9.85546875" style="48" customWidth="1"/>
    <col min="8192" max="8192" width="11.140625" style="48" customWidth="1"/>
    <col min="8193" max="8193" width="2.85546875" style="48" customWidth="1"/>
    <col min="8194" max="8194" width="3.5703125" style="48" customWidth="1"/>
    <col min="8195" max="8439" width="9.140625" style="48"/>
    <col min="8440" max="8440" width="8.7109375" style="48" customWidth="1"/>
    <col min="8441" max="8441" width="9.85546875" style="48" customWidth="1"/>
    <col min="8442" max="8442" width="14.42578125" style="48" customWidth="1"/>
    <col min="8443" max="8443" width="7.28515625" style="48" customWidth="1"/>
    <col min="8444" max="8444" width="5.5703125" style="48" customWidth="1"/>
    <col min="8445" max="8445" width="9" style="48" customWidth="1"/>
    <col min="8446" max="8447" width="9.85546875" style="48" customWidth="1"/>
    <col min="8448" max="8448" width="11.140625" style="48" customWidth="1"/>
    <col min="8449" max="8449" width="2.85546875" style="48" customWidth="1"/>
    <col min="8450" max="8450" width="3.5703125" style="48" customWidth="1"/>
    <col min="8451" max="8695" width="9.140625" style="48"/>
    <col min="8696" max="8696" width="8.7109375" style="48" customWidth="1"/>
    <col min="8697" max="8697" width="9.85546875" style="48" customWidth="1"/>
    <col min="8698" max="8698" width="14.42578125" style="48" customWidth="1"/>
    <col min="8699" max="8699" width="7.28515625" style="48" customWidth="1"/>
    <col min="8700" max="8700" width="5.5703125" style="48" customWidth="1"/>
    <col min="8701" max="8701" width="9" style="48" customWidth="1"/>
    <col min="8702" max="8703" width="9.85546875" style="48" customWidth="1"/>
    <col min="8704" max="8704" width="11.140625" style="48" customWidth="1"/>
    <col min="8705" max="8705" width="2.85546875" style="48" customWidth="1"/>
    <col min="8706" max="8706" width="3.5703125" style="48" customWidth="1"/>
    <col min="8707" max="8951" width="9.140625" style="48"/>
    <col min="8952" max="8952" width="8.7109375" style="48" customWidth="1"/>
    <col min="8953" max="8953" width="9.85546875" style="48" customWidth="1"/>
    <col min="8954" max="8954" width="14.42578125" style="48" customWidth="1"/>
    <col min="8955" max="8955" width="7.28515625" style="48" customWidth="1"/>
    <col min="8956" max="8956" width="5.5703125" style="48" customWidth="1"/>
    <col min="8957" max="8957" width="9" style="48" customWidth="1"/>
    <col min="8958" max="8959" width="9.85546875" style="48" customWidth="1"/>
    <col min="8960" max="8960" width="11.140625" style="48" customWidth="1"/>
    <col min="8961" max="8961" width="2.85546875" style="48" customWidth="1"/>
    <col min="8962" max="8962" width="3.5703125" style="48" customWidth="1"/>
    <col min="8963" max="9207" width="9.140625" style="48"/>
    <col min="9208" max="9208" width="8.7109375" style="48" customWidth="1"/>
    <col min="9209" max="9209" width="9.85546875" style="48" customWidth="1"/>
    <col min="9210" max="9210" width="14.42578125" style="48" customWidth="1"/>
    <col min="9211" max="9211" width="7.28515625" style="48" customWidth="1"/>
    <col min="9212" max="9212" width="5.5703125" style="48" customWidth="1"/>
    <col min="9213" max="9213" width="9" style="48" customWidth="1"/>
    <col min="9214" max="9215" width="9.85546875" style="48" customWidth="1"/>
    <col min="9216" max="9216" width="11.140625" style="48" customWidth="1"/>
    <col min="9217" max="9217" width="2.85546875" style="48" customWidth="1"/>
    <col min="9218" max="9218" width="3.5703125" style="48" customWidth="1"/>
    <col min="9219" max="9463" width="9.140625" style="48"/>
    <col min="9464" max="9464" width="8.7109375" style="48" customWidth="1"/>
    <col min="9465" max="9465" width="9.85546875" style="48" customWidth="1"/>
    <col min="9466" max="9466" width="14.42578125" style="48" customWidth="1"/>
    <col min="9467" max="9467" width="7.28515625" style="48" customWidth="1"/>
    <col min="9468" max="9468" width="5.5703125" style="48" customWidth="1"/>
    <col min="9469" max="9469" width="9" style="48" customWidth="1"/>
    <col min="9470" max="9471" width="9.85546875" style="48" customWidth="1"/>
    <col min="9472" max="9472" width="11.140625" style="48" customWidth="1"/>
    <col min="9473" max="9473" width="2.85546875" style="48" customWidth="1"/>
    <col min="9474" max="9474" width="3.5703125" style="48" customWidth="1"/>
    <col min="9475" max="9719" width="9.140625" style="48"/>
    <col min="9720" max="9720" width="8.7109375" style="48" customWidth="1"/>
    <col min="9721" max="9721" width="9.85546875" style="48" customWidth="1"/>
    <col min="9722" max="9722" width="14.42578125" style="48" customWidth="1"/>
    <col min="9723" max="9723" width="7.28515625" style="48" customWidth="1"/>
    <col min="9724" max="9724" width="5.5703125" style="48" customWidth="1"/>
    <col min="9725" max="9725" width="9" style="48" customWidth="1"/>
    <col min="9726" max="9727" width="9.85546875" style="48" customWidth="1"/>
    <col min="9728" max="9728" width="11.140625" style="48" customWidth="1"/>
    <col min="9729" max="9729" width="2.85546875" style="48" customWidth="1"/>
    <col min="9730" max="9730" width="3.5703125" style="48" customWidth="1"/>
    <col min="9731" max="9975" width="9.140625" style="48"/>
    <col min="9976" max="9976" width="8.7109375" style="48" customWidth="1"/>
    <col min="9977" max="9977" width="9.85546875" style="48" customWidth="1"/>
    <col min="9978" max="9978" width="14.42578125" style="48" customWidth="1"/>
    <col min="9979" max="9979" width="7.28515625" style="48" customWidth="1"/>
    <col min="9980" max="9980" width="5.5703125" style="48" customWidth="1"/>
    <col min="9981" max="9981" width="9" style="48" customWidth="1"/>
    <col min="9982" max="9983" width="9.85546875" style="48" customWidth="1"/>
    <col min="9984" max="9984" width="11.140625" style="48" customWidth="1"/>
    <col min="9985" max="9985" width="2.85546875" style="48" customWidth="1"/>
    <col min="9986" max="9986" width="3.5703125" style="48" customWidth="1"/>
    <col min="9987" max="10231" width="9.140625" style="48"/>
    <col min="10232" max="10232" width="8.7109375" style="48" customWidth="1"/>
    <col min="10233" max="10233" width="9.85546875" style="48" customWidth="1"/>
    <col min="10234" max="10234" width="14.42578125" style="48" customWidth="1"/>
    <col min="10235" max="10235" width="7.28515625" style="48" customWidth="1"/>
    <col min="10236" max="10236" width="5.5703125" style="48" customWidth="1"/>
    <col min="10237" max="10237" width="9" style="48" customWidth="1"/>
    <col min="10238" max="10239" width="9.85546875" style="48" customWidth="1"/>
    <col min="10240" max="10240" width="11.140625" style="48" customWidth="1"/>
    <col min="10241" max="10241" width="2.85546875" style="48" customWidth="1"/>
    <col min="10242" max="10242" width="3.5703125" style="48" customWidth="1"/>
    <col min="10243" max="10487" width="9.140625" style="48"/>
    <col min="10488" max="10488" width="8.7109375" style="48" customWidth="1"/>
    <col min="10489" max="10489" width="9.85546875" style="48" customWidth="1"/>
    <col min="10490" max="10490" width="14.42578125" style="48" customWidth="1"/>
    <col min="10491" max="10491" width="7.28515625" style="48" customWidth="1"/>
    <col min="10492" max="10492" width="5.5703125" style="48" customWidth="1"/>
    <col min="10493" max="10493" width="9" style="48" customWidth="1"/>
    <col min="10494" max="10495" width="9.85546875" style="48" customWidth="1"/>
    <col min="10496" max="10496" width="11.140625" style="48" customWidth="1"/>
    <col min="10497" max="10497" width="2.85546875" style="48" customWidth="1"/>
    <col min="10498" max="10498" width="3.5703125" style="48" customWidth="1"/>
    <col min="10499" max="10743" width="9.140625" style="48"/>
    <col min="10744" max="10744" width="8.7109375" style="48" customWidth="1"/>
    <col min="10745" max="10745" width="9.85546875" style="48" customWidth="1"/>
    <col min="10746" max="10746" width="14.42578125" style="48" customWidth="1"/>
    <col min="10747" max="10747" width="7.28515625" style="48" customWidth="1"/>
    <col min="10748" max="10748" width="5.5703125" style="48" customWidth="1"/>
    <col min="10749" max="10749" width="9" style="48" customWidth="1"/>
    <col min="10750" max="10751" width="9.85546875" style="48" customWidth="1"/>
    <col min="10752" max="10752" width="11.140625" style="48" customWidth="1"/>
    <col min="10753" max="10753" width="2.85546875" style="48" customWidth="1"/>
    <col min="10754" max="10754" width="3.5703125" style="48" customWidth="1"/>
    <col min="10755" max="10999" width="9.140625" style="48"/>
    <col min="11000" max="11000" width="8.7109375" style="48" customWidth="1"/>
    <col min="11001" max="11001" width="9.85546875" style="48" customWidth="1"/>
    <col min="11002" max="11002" width="14.42578125" style="48" customWidth="1"/>
    <col min="11003" max="11003" width="7.28515625" style="48" customWidth="1"/>
    <col min="11004" max="11004" width="5.5703125" style="48" customWidth="1"/>
    <col min="11005" max="11005" width="9" style="48" customWidth="1"/>
    <col min="11006" max="11007" width="9.85546875" style="48" customWidth="1"/>
    <col min="11008" max="11008" width="11.140625" style="48" customWidth="1"/>
    <col min="11009" max="11009" width="2.85546875" style="48" customWidth="1"/>
    <col min="11010" max="11010" width="3.5703125" style="48" customWidth="1"/>
    <col min="11011" max="11255" width="9.140625" style="48"/>
    <col min="11256" max="11256" width="8.7109375" style="48" customWidth="1"/>
    <col min="11257" max="11257" width="9.85546875" style="48" customWidth="1"/>
    <col min="11258" max="11258" width="14.42578125" style="48" customWidth="1"/>
    <col min="11259" max="11259" width="7.28515625" style="48" customWidth="1"/>
    <col min="11260" max="11260" width="5.5703125" style="48" customWidth="1"/>
    <col min="11261" max="11261" width="9" style="48" customWidth="1"/>
    <col min="11262" max="11263" width="9.85546875" style="48" customWidth="1"/>
    <col min="11264" max="11264" width="11.140625" style="48" customWidth="1"/>
    <col min="11265" max="11265" width="2.85546875" style="48" customWidth="1"/>
    <col min="11266" max="11266" width="3.5703125" style="48" customWidth="1"/>
    <col min="11267" max="11511" width="9.140625" style="48"/>
    <col min="11512" max="11512" width="8.7109375" style="48" customWidth="1"/>
    <col min="11513" max="11513" width="9.85546875" style="48" customWidth="1"/>
    <col min="11514" max="11514" width="14.42578125" style="48" customWidth="1"/>
    <col min="11515" max="11515" width="7.28515625" style="48" customWidth="1"/>
    <col min="11516" max="11516" width="5.5703125" style="48" customWidth="1"/>
    <col min="11517" max="11517" width="9" style="48" customWidth="1"/>
    <col min="11518" max="11519" width="9.85546875" style="48" customWidth="1"/>
    <col min="11520" max="11520" width="11.140625" style="48" customWidth="1"/>
    <col min="11521" max="11521" width="2.85546875" style="48" customWidth="1"/>
    <col min="11522" max="11522" width="3.5703125" style="48" customWidth="1"/>
    <col min="11523" max="11767" width="9.140625" style="48"/>
    <col min="11768" max="11768" width="8.7109375" style="48" customWidth="1"/>
    <col min="11769" max="11769" width="9.85546875" style="48" customWidth="1"/>
    <col min="11770" max="11770" width="14.42578125" style="48" customWidth="1"/>
    <col min="11771" max="11771" width="7.28515625" style="48" customWidth="1"/>
    <col min="11772" max="11772" width="5.5703125" style="48" customWidth="1"/>
    <col min="11773" max="11773" width="9" style="48" customWidth="1"/>
    <col min="11774" max="11775" width="9.85546875" style="48" customWidth="1"/>
    <col min="11776" max="11776" width="11.140625" style="48" customWidth="1"/>
    <col min="11777" max="11777" width="2.85546875" style="48" customWidth="1"/>
    <col min="11778" max="11778" width="3.5703125" style="48" customWidth="1"/>
    <col min="11779" max="12023" width="9.140625" style="48"/>
    <col min="12024" max="12024" width="8.7109375" style="48" customWidth="1"/>
    <col min="12025" max="12025" width="9.85546875" style="48" customWidth="1"/>
    <col min="12026" max="12026" width="14.42578125" style="48" customWidth="1"/>
    <col min="12027" max="12027" width="7.28515625" style="48" customWidth="1"/>
    <col min="12028" max="12028" width="5.5703125" style="48" customWidth="1"/>
    <col min="12029" max="12029" width="9" style="48" customWidth="1"/>
    <col min="12030" max="12031" width="9.85546875" style="48" customWidth="1"/>
    <col min="12032" max="12032" width="11.140625" style="48" customWidth="1"/>
    <col min="12033" max="12033" width="2.85546875" style="48" customWidth="1"/>
    <col min="12034" max="12034" width="3.5703125" style="48" customWidth="1"/>
    <col min="12035" max="12279" width="9.140625" style="48"/>
    <col min="12280" max="12280" width="8.7109375" style="48" customWidth="1"/>
    <col min="12281" max="12281" width="9.85546875" style="48" customWidth="1"/>
    <col min="12282" max="12282" width="14.42578125" style="48" customWidth="1"/>
    <col min="12283" max="12283" width="7.28515625" style="48" customWidth="1"/>
    <col min="12284" max="12284" width="5.5703125" style="48" customWidth="1"/>
    <col min="12285" max="12285" width="9" style="48" customWidth="1"/>
    <col min="12286" max="12287" width="9.85546875" style="48" customWidth="1"/>
    <col min="12288" max="12288" width="11.140625" style="48" customWidth="1"/>
    <col min="12289" max="12289" width="2.85546875" style="48" customWidth="1"/>
    <col min="12290" max="12290" width="3.5703125" style="48" customWidth="1"/>
    <col min="12291" max="12535" width="9.140625" style="48"/>
    <col min="12536" max="12536" width="8.7109375" style="48" customWidth="1"/>
    <col min="12537" max="12537" width="9.85546875" style="48" customWidth="1"/>
    <col min="12538" max="12538" width="14.42578125" style="48" customWidth="1"/>
    <col min="12539" max="12539" width="7.28515625" style="48" customWidth="1"/>
    <col min="12540" max="12540" width="5.5703125" style="48" customWidth="1"/>
    <col min="12541" max="12541" width="9" style="48" customWidth="1"/>
    <col min="12542" max="12543" width="9.85546875" style="48" customWidth="1"/>
    <col min="12544" max="12544" width="11.140625" style="48" customWidth="1"/>
    <col min="12545" max="12545" width="2.85546875" style="48" customWidth="1"/>
    <col min="12546" max="12546" width="3.5703125" style="48" customWidth="1"/>
    <col min="12547" max="12791" width="9.140625" style="48"/>
    <col min="12792" max="12792" width="8.7109375" style="48" customWidth="1"/>
    <col min="12793" max="12793" width="9.85546875" style="48" customWidth="1"/>
    <col min="12794" max="12794" width="14.42578125" style="48" customWidth="1"/>
    <col min="12795" max="12795" width="7.28515625" style="48" customWidth="1"/>
    <col min="12796" max="12796" width="5.5703125" style="48" customWidth="1"/>
    <col min="12797" max="12797" width="9" style="48" customWidth="1"/>
    <col min="12798" max="12799" width="9.85546875" style="48" customWidth="1"/>
    <col min="12800" max="12800" width="11.140625" style="48" customWidth="1"/>
    <col min="12801" max="12801" width="2.85546875" style="48" customWidth="1"/>
    <col min="12802" max="12802" width="3.5703125" style="48" customWidth="1"/>
    <col min="12803" max="13047" width="9.140625" style="48"/>
    <col min="13048" max="13048" width="8.7109375" style="48" customWidth="1"/>
    <col min="13049" max="13049" width="9.85546875" style="48" customWidth="1"/>
    <col min="13050" max="13050" width="14.42578125" style="48" customWidth="1"/>
    <col min="13051" max="13051" width="7.28515625" style="48" customWidth="1"/>
    <col min="13052" max="13052" width="5.5703125" style="48" customWidth="1"/>
    <col min="13053" max="13053" width="9" style="48" customWidth="1"/>
    <col min="13054" max="13055" width="9.85546875" style="48" customWidth="1"/>
    <col min="13056" max="13056" width="11.140625" style="48" customWidth="1"/>
    <col min="13057" max="13057" width="2.85546875" style="48" customWidth="1"/>
    <col min="13058" max="13058" width="3.5703125" style="48" customWidth="1"/>
    <col min="13059" max="13303" width="9.140625" style="48"/>
    <col min="13304" max="13304" width="8.7109375" style="48" customWidth="1"/>
    <col min="13305" max="13305" width="9.85546875" style="48" customWidth="1"/>
    <col min="13306" max="13306" width="14.42578125" style="48" customWidth="1"/>
    <col min="13307" max="13307" width="7.28515625" style="48" customWidth="1"/>
    <col min="13308" max="13308" width="5.5703125" style="48" customWidth="1"/>
    <col min="13309" max="13309" width="9" style="48" customWidth="1"/>
    <col min="13310" max="13311" width="9.85546875" style="48" customWidth="1"/>
    <col min="13312" max="13312" width="11.140625" style="48" customWidth="1"/>
    <col min="13313" max="13313" width="2.85546875" style="48" customWidth="1"/>
    <col min="13314" max="13314" width="3.5703125" style="48" customWidth="1"/>
    <col min="13315" max="13559" width="9.140625" style="48"/>
    <col min="13560" max="13560" width="8.7109375" style="48" customWidth="1"/>
    <col min="13561" max="13561" width="9.85546875" style="48" customWidth="1"/>
    <col min="13562" max="13562" width="14.42578125" style="48" customWidth="1"/>
    <col min="13563" max="13563" width="7.28515625" style="48" customWidth="1"/>
    <col min="13564" max="13564" width="5.5703125" style="48" customWidth="1"/>
    <col min="13565" max="13565" width="9" style="48" customWidth="1"/>
    <col min="13566" max="13567" width="9.85546875" style="48" customWidth="1"/>
    <col min="13568" max="13568" width="11.140625" style="48" customWidth="1"/>
    <col min="13569" max="13569" width="2.85546875" style="48" customWidth="1"/>
    <col min="13570" max="13570" width="3.5703125" style="48" customWidth="1"/>
    <col min="13571" max="13815" width="9.140625" style="48"/>
    <col min="13816" max="13816" width="8.7109375" style="48" customWidth="1"/>
    <col min="13817" max="13817" width="9.85546875" style="48" customWidth="1"/>
    <col min="13818" max="13818" width="14.42578125" style="48" customWidth="1"/>
    <col min="13819" max="13819" width="7.28515625" style="48" customWidth="1"/>
    <col min="13820" max="13820" width="5.5703125" style="48" customWidth="1"/>
    <col min="13821" max="13821" width="9" style="48" customWidth="1"/>
    <col min="13822" max="13823" width="9.85546875" style="48" customWidth="1"/>
    <col min="13824" max="13824" width="11.140625" style="48" customWidth="1"/>
    <col min="13825" max="13825" width="2.85546875" style="48" customWidth="1"/>
    <col min="13826" max="13826" width="3.5703125" style="48" customWidth="1"/>
    <col min="13827" max="14071" width="9.140625" style="48"/>
    <col min="14072" max="14072" width="8.7109375" style="48" customWidth="1"/>
    <col min="14073" max="14073" width="9.85546875" style="48" customWidth="1"/>
    <col min="14074" max="14074" width="14.42578125" style="48" customWidth="1"/>
    <col min="14075" max="14075" width="7.28515625" style="48" customWidth="1"/>
    <col min="14076" max="14076" width="5.5703125" style="48" customWidth="1"/>
    <col min="14077" max="14077" width="9" style="48" customWidth="1"/>
    <col min="14078" max="14079" width="9.85546875" style="48" customWidth="1"/>
    <col min="14080" max="14080" width="11.140625" style="48" customWidth="1"/>
    <col min="14081" max="14081" width="2.85546875" style="48" customWidth="1"/>
    <col min="14082" max="14082" width="3.5703125" style="48" customWidth="1"/>
    <col min="14083" max="14327" width="9.140625" style="48"/>
    <col min="14328" max="14328" width="8.7109375" style="48" customWidth="1"/>
    <col min="14329" max="14329" width="9.85546875" style="48" customWidth="1"/>
    <col min="14330" max="14330" width="14.42578125" style="48" customWidth="1"/>
    <col min="14331" max="14331" width="7.28515625" style="48" customWidth="1"/>
    <col min="14332" max="14332" width="5.5703125" style="48" customWidth="1"/>
    <col min="14333" max="14333" width="9" style="48" customWidth="1"/>
    <col min="14334" max="14335" width="9.85546875" style="48" customWidth="1"/>
    <col min="14336" max="14336" width="11.140625" style="48" customWidth="1"/>
    <col min="14337" max="14337" width="2.85546875" style="48" customWidth="1"/>
    <col min="14338" max="14338" width="3.5703125" style="48" customWidth="1"/>
    <col min="14339" max="14583" width="9.140625" style="48"/>
    <col min="14584" max="14584" width="8.7109375" style="48" customWidth="1"/>
    <col min="14585" max="14585" width="9.85546875" style="48" customWidth="1"/>
    <col min="14586" max="14586" width="14.42578125" style="48" customWidth="1"/>
    <col min="14587" max="14587" width="7.28515625" style="48" customWidth="1"/>
    <col min="14588" max="14588" width="5.5703125" style="48" customWidth="1"/>
    <col min="14589" max="14589" width="9" style="48" customWidth="1"/>
    <col min="14590" max="14591" width="9.85546875" style="48" customWidth="1"/>
    <col min="14592" max="14592" width="11.140625" style="48" customWidth="1"/>
    <col min="14593" max="14593" width="2.85546875" style="48" customWidth="1"/>
    <col min="14594" max="14594" width="3.5703125" style="48" customWidth="1"/>
    <col min="14595" max="14839" width="9.140625" style="48"/>
    <col min="14840" max="14840" width="8.7109375" style="48" customWidth="1"/>
    <col min="14841" max="14841" width="9.85546875" style="48" customWidth="1"/>
    <col min="14842" max="14842" width="14.42578125" style="48" customWidth="1"/>
    <col min="14843" max="14843" width="7.28515625" style="48" customWidth="1"/>
    <col min="14844" max="14844" width="5.5703125" style="48" customWidth="1"/>
    <col min="14845" max="14845" width="9" style="48" customWidth="1"/>
    <col min="14846" max="14847" width="9.85546875" style="48" customWidth="1"/>
    <col min="14848" max="14848" width="11.140625" style="48" customWidth="1"/>
    <col min="14849" max="14849" width="2.85546875" style="48" customWidth="1"/>
    <col min="14850" max="14850" width="3.5703125" style="48" customWidth="1"/>
    <col min="14851" max="15095" width="9.140625" style="48"/>
    <col min="15096" max="15096" width="8.7109375" style="48" customWidth="1"/>
    <col min="15097" max="15097" width="9.85546875" style="48" customWidth="1"/>
    <col min="15098" max="15098" width="14.42578125" style="48" customWidth="1"/>
    <col min="15099" max="15099" width="7.28515625" style="48" customWidth="1"/>
    <col min="15100" max="15100" width="5.5703125" style="48" customWidth="1"/>
    <col min="15101" max="15101" width="9" style="48" customWidth="1"/>
    <col min="15102" max="15103" width="9.85546875" style="48" customWidth="1"/>
    <col min="15104" max="15104" width="11.140625" style="48" customWidth="1"/>
    <col min="15105" max="15105" width="2.85546875" style="48" customWidth="1"/>
    <col min="15106" max="15106" width="3.5703125" style="48" customWidth="1"/>
    <col min="15107" max="15351" width="9.140625" style="48"/>
    <col min="15352" max="15352" width="8.7109375" style="48" customWidth="1"/>
    <col min="15353" max="15353" width="9.85546875" style="48" customWidth="1"/>
    <col min="15354" max="15354" width="14.42578125" style="48" customWidth="1"/>
    <col min="15355" max="15355" width="7.28515625" style="48" customWidth="1"/>
    <col min="15356" max="15356" width="5.5703125" style="48" customWidth="1"/>
    <col min="15357" max="15357" width="9" style="48" customWidth="1"/>
    <col min="15358" max="15359" width="9.85546875" style="48" customWidth="1"/>
    <col min="15360" max="15360" width="11.140625" style="48" customWidth="1"/>
    <col min="15361" max="15361" width="2.85546875" style="48" customWidth="1"/>
    <col min="15362" max="15362" width="3.5703125" style="48" customWidth="1"/>
    <col min="15363" max="15607" width="9.140625" style="48"/>
    <col min="15608" max="15608" width="8.7109375" style="48" customWidth="1"/>
    <col min="15609" max="15609" width="9.85546875" style="48" customWidth="1"/>
    <col min="15610" max="15610" width="14.42578125" style="48" customWidth="1"/>
    <col min="15611" max="15611" width="7.28515625" style="48" customWidth="1"/>
    <col min="15612" max="15612" width="5.5703125" style="48" customWidth="1"/>
    <col min="15613" max="15613" width="9" style="48" customWidth="1"/>
    <col min="15614" max="15615" width="9.85546875" style="48" customWidth="1"/>
    <col min="15616" max="15616" width="11.140625" style="48" customWidth="1"/>
    <col min="15617" max="15617" width="2.85546875" style="48" customWidth="1"/>
    <col min="15618" max="15618" width="3.5703125" style="48" customWidth="1"/>
    <col min="15619" max="15863" width="9.140625" style="48"/>
    <col min="15864" max="15864" width="8.7109375" style="48" customWidth="1"/>
    <col min="15865" max="15865" width="9.85546875" style="48" customWidth="1"/>
    <col min="15866" max="15866" width="14.42578125" style="48" customWidth="1"/>
    <col min="15867" max="15867" width="7.28515625" style="48" customWidth="1"/>
    <col min="15868" max="15868" width="5.5703125" style="48" customWidth="1"/>
    <col min="15869" max="15869" width="9" style="48" customWidth="1"/>
    <col min="15870" max="15871" width="9.85546875" style="48" customWidth="1"/>
    <col min="15872" max="15872" width="11.140625" style="48" customWidth="1"/>
    <col min="15873" max="15873" width="2.85546875" style="48" customWidth="1"/>
    <col min="15874" max="15874" width="3.5703125" style="48" customWidth="1"/>
    <col min="15875" max="16119" width="9.140625" style="48"/>
    <col min="16120" max="16120" width="8.7109375" style="48" customWidth="1"/>
    <col min="16121" max="16121" width="9.85546875" style="48" customWidth="1"/>
    <col min="16122" max="16122" width="14.42578125" style="48" customWidth="1"/>
    <col min="16123" max="16123" width="7.28515625" style="48" customWidth="1"/>
    <col min="16124" max="16124" width="5.5703125" style="48" customWidth="1"/>
    <col min="16125" max="16125" width="9" style="48" customWidth="1"/>
    <col min="16126" max="16127" width="9.85546875" style="48" customWidth="1"/>
    <col min="16128" max="16128" width="11.140625" style="48" customWidth="1"/>
    <col min="16129" max="16129" width="2.85546875" style="48" customWidth="1"/>
    <col min="16130" max="16130" width="3.5703125" style="48" customWidth="1"/>
    <col min="16131" max="16384" width="9.140625" style="48"/>
  </cols>
  <sheetData>
    <row r="1" spans="1:9" ht="46.5" customHeight="1" x14ac:dyDescent="0.25">
      <c r="A1" s="217" t="s">
        <v>298</v>
      </c>
      <c r="B1" s="217"/>
      <c r="C1" s="217"/>
      <c r="D1" s="217"/>
      <c r="E1" s="217"/>
      <c r="F1" s="217"/>
      <c r="G1" s="217"/>
      <c r="H1" s="217"/>
    </row>
    <row r="2" spans="1:9" ht="16.5" customHeight="1" x14ac:dyDescent="0.25">
      <c r="A2" s="124" t="s">
        <v>0</v>
      </c>
      <c r="B2" s="124"/>
      <c r="C2" s="124"/>
      <c r="D2" s="124"/>
      <c r="E2" s="124"/>
      <c r="F2" s="124"/>
      <c r="G2" s="124"/>
      <c r="H2" s="124"/>
    </row>
    <row r="3" spans="1:9" x14ac:dyDescent="0.25">
      <c r="A3" s="135" t="s">
        <v>1</v>
      </c>
      <c r="B3" s="135"/>
      <c r="C3" s="135"/>
      <c r="D3" s="135"/>
      <c r="E3" s="215" t="str">
        <f ca="1">TEXT(TODAY(),"DD/MM/YYYY")</f>
        <v>14/08/2025</v>
      </c>
      <c r="F3" s="215"/>
      <c r="G3" s="215"/>
      <c r="H3" s="215"/>
    </row>
    <row r="4" spans="1:9" ht="15" customHeight="1" x14ac:dyDescent="0.25">
      <c r="A4" s="135" t="s">
        <v>2</v>
      </c>
      <c r="B4" s="135"/>
      <c r="C4" s="135"/>
      <c r="D4" s="135"/>
      <c r="E4" s="216" t="s">
        <v>196</v>
      </c>
      <c r="F4" s="216"/>
      <c r="G4" s="216"/>
      <c r="H4" s="216"/>
    </row>
    <row r="5" spans="1:9" x14ac:dyDescent="0.25">
      <c r="A5" s="135" t="s">
        <v>3</v>
      </c>
      <c r="B5" s="135"/>
      <c r="C5" s="135"/>
      <c r="D5" s="135"/>
      <c r="E5" s="215">
        <v>45880</v>
      </c>
      <c r="F5" s="215"/>
      <c r="G5" s="215"/>
      <c r="H5" s="215"/>
    </row>
    <row r="6" spans="1:9" ht="16.5" customHeight="1" x14ac:dyDescent="0.25">
      <c r="A6" s="135" t="s">
        <v>4</v>
      </c>
      <c r="B6" s="135"/>
      <c r="C6" s="135"/>
      <c r="D6" s="135"/>
      <c r="E6" s="137" t="s">
        <v>195</v>
      </c>
      <c r="F6" s="137"/>
      <c r="G6" s="137"/>
      <c r="H6" s="137"/>
    </row>
    <row r="7" spans="1:9" ht="15" customHeight="1" x14ac:dyDescent="0.25">
      <c r="A7" s="135" t="s">
        <v>5</v>
      </c>
      <c r="B7" s="135"/>
      <c r="C7" s="135"/>
      <c r="D7" s="135"/>
      <c r="E7" s="137" t="str">
        <f>E6</f>
        <v>M/s.Runwal Residency Private Limited</v>
      </c>
      <c r="F7" s="137"/>
      <c r="G7" s="137"/>
      <c r="H7" s="137"/>
    </row>
    <row r="8" spans="1:9" x14ac:dyDescent="0.25">
      <c r="A8" s="135" t="s">
        <v>6</v>
      </c>
      <c r="B8" s="135"/>
      <c r="C8" s="135"/>
      <c r="D8" s="135"/>
      <c r="E8" s="218" t="s">
        <v>267</v>
      </c>
      <c r="F8" s="208"/>
      <c r="G8" s="208"/>
      <c r="H8" s="208"/>
      <c r="I8" s="48">
        <f>24*60</f>
        <v>1440</v>
      </c>
    </row>
    <row r="9" spans="1:9" x14ac:dyDescent="0.25">
      <c r="A9" s="135" t="s">
        <v>155</v>
      </c>
      <c r="B9" s="135"/>
      <c r="C9" s="135"/>
      <c r="D9" s="135"/>
      <c r="E9" s="135" t="s">
        <v>305</v>
      </c>
      <c r="F9" s="135"/>
      <c r="G9" s="135"/>
      <c r="H9" s="135"/>
    </row>
    <row r="10" spans="1:9" hidden="1" x14ac:dyDescent="0.25">
      <c r="A10" s="135" t="s">
        <v>302</v>
      </c>
      <c r="B10" s="135"/>
      <c r="C10" s="135"/>
      <c r="D10" s="135"/>
      <c r="E10" s="135" t="s">
        <v>309</v>
      </c>
      <c r="F10" s="135"/>
      <c r="G10" s="135"/>
      <c r="H10" s="135"/>
    </row>
    <row r="11" spans="1:9" x14ac:dyDescent="0.25">
      <c r="A11" s="132" t="s">
        <v>7</v>
      </c>
      <c r="B11" s="132"/>
      <c r="C11" s="132"/>
      <c r="D11" s="132"/>
      <c r="E11" s="131" t="s">
        <v>266</v>
      </c>
      <c r="F11" s="132"/>
      <c r="G11" s="132"/>
      <c r="H11" s="132"/>
    </row>
    <row r="12" spans="1:9" x14ac:dyDescent="0.25">
      <c r="A12" s="135" t="s">
        <v>8</v>
      </c>
      <c r="B12" s="135"/>
      <c r="C12" s="135"/>
      <c r="D12" s="135"/>
      <c r="E12" s="131" t="s">
        <v>208</v>
      </c>
      <c r="F12" s="131"/>
      <c r="G12" s="131"/>
      <c r="H12" s="131"/>
    </row>
    <row r="13" spans="1:9" x14ac:dyDescent="0.25">
      <c r="A13" s="149" t="s">
        <v>9</v>
      </c>
      <c r="B13" s="150"/>
      <c r="C13" s="150"/>
      <c r="D13" s="151"/>
      <c r="E13" s="131" t="s">
        <v>235</v>
      </c>
      <c r="F13" s="132"/>
      <c r="G13" s="132"/>
      <c r="H13" s="132"/>
    </row>
    <row r="14" spans="1:9" x14ac:dyDescent="0.25">
      <c r="A14" s="152"/>
      <c r="B14" s="153"/>
      <c r="C14" s="153"/>
      <c r="D14" s="154"/>
      <c r="E14" s="131" t="s">
        <v>236</v>
      </c>
      <c r="F14" s="132"/>
      <c r="G14" s="132"/>
      <c r="H14" s="132"/>
    </row>
    <row r="15" spans="1:9" x14ac:dyDescent="0.25">
      <c r="A15" s="152"/>
      <c r="B15" s="153"/>
      <c r="C15" s="153"/>
      <c r="D15" s="154"/>
      <c r="E15" s="131" t="s">
        <v>253</v>
      </c>
      <c r="F15" s="132"/>
      <c r="G15" s="132"/>
      <c r="H15" s="132"/>
    </row>
    <row r="16" spans="1:9" x14ac:dyDescent="0.25">
      <c r="A16" s="152"/>
      <c r="B16" s="153"/>
      <c r="C16" s="153"/>
      <c r="D16" s="154"/>
      <c r="E16" s="146" t="s">
        <v>261</v>
      </c>
      <c r="F16" s="147"/>
      <c r="G16" s="147"/>
      <c r="H16" s="148"/>
    </row>
    <row r="17" spans="1:8" x14ac:dyDescent="0.25">
      <c r="A17" s="155"/>
      <c r="B17" s="156"/>
      <c r="C17" s="156"/>
      <c r="D17" s="157"/>
      <c r="E17" s="146" t="s">
        <v>268</v>
      </c>
      <c r="F17" s="147"/>
      <c r="G17" s="147"/>
      <c r="H17" s="148"/>
    </row>
    <row r="18" spans="1:8" ht="226.5" customHeight="1" x14ac:dyDescent="0.25">
      <c r="A18" s="137" t="s">
        <v>10</v>
      </c>
      <c r="B18" s="137"/>
      <c r="C18" s="137" t="str">
        <f>CONCATENATE((IF(OR(E8="",E8="NA"),"",E8)),", ",(IF(OR(A19="",A19="NA"),"",A19)),".",(IF(OR(C19="",C19="NA"),"",C19)),", near ",(IF(OR(C23="",C23="NA"),"",C23)),", ",(IF(OR(C20="",C20="NA"),"",C20)),", ",(IF(OR(G20="",G20="NA"),"",G20)),", ",(IF(OR(C21="",C21="NA"),"",C21)),", ",(IF(OR(C22="",C22="NA"),"",C22)),", ",(IF(OR(G21="",G21="NA"),"",G21)),".")</f>
        <v>Runwal Gardens Phase 4 Bldg No.31 to 38, Survey No.4/1, 4/2, 4/3, 4/4, 4/5, 4/6, 4/9, 4/10, 4/11, 5/1, 5/2, 5/3, 5/4, 5/5, 5/6, 6/1, 6/2, 6/3, 7/1, 7/2A, 7/2B, 7/2C, 7/3A, 7/3B, 8/1, 8/2, 8/3, 8/4, 8/5, 8/6, 8/7, 8/8, 8/9, 9/1, 9/2, 9/3, 9/4, 9/5, 9/6, 9/7, 9/8, 10, 11, 12/1, 12/2, 12/3, 12/4, 12/5, 12/6, 12/7, 12/8, 12/9, 12/10, 12/11, 12/12, 12/13, 12/14, 13, 14/1, 14/2A, 14/2B, 14/3, 14/4, 14/5, 15, 17/1, 17/2, 17/3, 17/4, 17/5, 17/6, 17/7, 17/8, 17/9, 17/10, 17/11, 18, 19, 22, 23/1, 23/2, 23/3, 23/10, 37/1, 37/2B, 37/2C, 37/2D, 37/3, 37/4, 37/21, 38/1, 38/2, 39/1, 39/2, 39/3, 40, 41/1A, 41/1B, 41/2, 41/3, 41/4, 44/1, 44/4,44/5A, 44/5B, 44/6A, 44/6B, 44/7, 44/8, 44/9, 44/10, 44/11, 44/12, 44/13, 44/14, 44/15, 44/16, 44/17, 44/18, 44/19, 49, 50/1, 50/2, 50/3 at Village Gharivali and bearing S. Nos. 44/1, 44/2, 44/3, 44/4, 44/5, 44/6, 44/7, 44/8, 44/9, 44/10, 44/11, 44/12, 45/1, 45/2, 45/3, 45/4, 45/5A, 45/5B, 45/6, 46/1, 46/2A, 46/2B, 46/3, 47, 49, 50, 51(pt), 52/1, 52/2, 53/1A, 53/1B, 53/2A, 53/2B, 53/3A, 53/3B, 94(pt), at Village Usarghar, near Premiere colony ground, Kalyan - Shilphata Road, Sagoan, Nilaje, Kalyan, Thane.</v>
      </c>
      <c r="D18" s="137"/>
      <c r="E18" s="137"/>
      <c r="F18" s="137"/>
      <c r="G18" s="137"/>
      <c r="H18" s="137"/>
    </row>
    <row r="19" spans="1:8" ht="192.75" customHeight="1" x14ac:dyDescent="0.25">
      <c r="A19" s="131" t="s">
        <v>197</v>
      </c>
      <c r="B19" s="131"/>
      <c r="C19" s="131" t="s">
        <v>209</v>
      </c>
      <c r="D19" s="131"/>
      <c r="E19" s="131"/>
      <c r="F19" s="131"/>
      <c r="G19" s="131"/>
      <c r="H19" s="131"/>
    </row>
    <row r="20" spans="1:8" ht="15.75" customHeight="1" x14ac:dyDescent="0.25">
      <c r="A20" s="137" t="s">
        <v>11</v>
      </c>
      <c r="B20" s="137"/>
      <c r="C20" s="132" t="s">
        <v>198</v>
      </c>
      <c r="D20" s="132"/>
      <c r="E20" s="137" t="s">
        <v>100</v>
      </c>
      <c r="F20" s="137"/>
      <c r="G20" s="131" t="s">
        <v>199</v>
      </c>
      <c r="H20" s="131"/>
    </row>
    <row r="21" spans="1:8" x14ac:dyDescent="0.25">
      <c r="A21" s="135" t="s">
        <v>13</v>
      </c>
      <c r="B21" s="135"/>
      <c r="C21" s="131" t="s">
        <v>200</v>
      </c>
      <c r="D21" s="131"/>
      <c r="E21" s="137" t="s">
        <v>12</v>
      </c>
      <c r="F21" s="137"/>
      <c r="G21" s="219" t="s">
        <v>201</v>
      </c>
      <c r="H21" s="219"/>
    </row>
    <row r="22" spans="1:8" x14ac:dyDescent="0.25">
      <c r="A22" s="135" t="s">
        <v>101</v>
      </c>
      <c r="B22" s="135"/>
      <c r="C22" s="131" t="s">
        <v>202</v>
      </c>
      <c r="D22" s="131"/>
      <c r="E22" s="137" t="s">
        <v>14</v>
      </c>
      <c r="F22" s="137"/>
      <c r="G22" s="131">
        <v>421201</v>
      </c>
      <c r="H22" s="131"/>
    </row>
    <row r="23" spans="1:8" ht="32.25" customHeight="1" x14ac:dyDescent="0.25">
      <c r="A23" s="135" t="s">
        <v>156</v>
      </c>
      <c r="B23" s="135"/>
      <c r="C23" s="137" t="s">
        <v>203</v>
      </c>
      <c r="D23" s="137"/>
      <c r="E23" s="137" t="s">
        <v>15</v>
      </c>
      <c r="F23" s="137"/>
      <c r="G23" s="139" t="s">
        <v>204</v>
      </c>
      <c r="H23" s="139"/>
    </row>
    <row r="24" spans="1:8" ht="15" customHeight="1" x14ac:dyDescent="0.25">
      <c r="A24" s="137" t="s">
        <v>104</v>
      </c>
      <c r="B24" s="137"/>
      <c r="C24" s="137"/>
      <c r="D24" s="137"/>
      <c r="E24" s="132" t="s">
        <v>16</v>
      </c>
      <c r="F24" s="132"/>
      <c r="G24" s="132"/>
      <c r="H24" s="132"/>
    </row>
    <row r="25" spans="1:8" ht="18.75" customHeight="1" x14ac:dyDescent="0.25">
      <c r="A25" s="137"/>
      <c r="B25" s="137"/>
      <c r="C25" s="137"/>
      <c r="D25" s="137"/>
      <c r="E25" s="132"/>
      <c r="F25" s="132"/>
      <c r="G25" s="132"/>
      <c r="H25" s="132"/>
    </row>
    <row r="26" spans="1:8" ht="15" customHeight="1" x14ac:dyDescent="0.25">
      <c r="A26" s="137" t="s">
        <v>17</v>
      </c>
      <c r="B26" s="137"/>
      <c r="C26" s="137"/>
      <c r="D26" s="137"/>
      <c r="E26" s="131" t="s">
        <v>18</v>
      </c>
      <c r="F26" s="131"/>
      <c r="G26" s="131"/>
      <c r="H26" s="131"/>
    </row>
    <row r="27" spans="1:8" ht="15" customHeight="1" x14ac:dyDescent="0.25">
      <c r="A27" s="135" t="s">
        <v>19</v>
      </c>
      <c r="B27" s="135"/>
      <c r="C27" s="135"/>
      <c r="D27" s="135"/>
      <c r="E27" s="131" t="str">
        <f>IF(AND(G21="Mumbai"),"Upper Class","Middle Class")</f>
        <v>Middle Class</v>
      </c>
      <c r="F27" s="131"/>
      <c r="G27" s="131"/>
      <c r="H27" s="131"/>
    </row>
    <row r="28" spans="1:8" x14ac:dyDescent="0.25">
      <c r="A28" s="135" t="s">
        <v>20</v>
      </c>
      <c r="B28" s="135"/>
      <c r="C28" s="135"/>
      <c r="D28" s="135"/>
      <c r="E28" s="131" t="s">
        <v>21</v>
      </c>
      <c r="F28" s="131"/>
      <c r="G28" s="131"/>
      <c r="H28" s="131"/>
    </row>
    <row r="29" spans="1:8" ht="15.75" customHeight="1" x14ac:dyDescent="0.25">
      <c r="A29" s="135" t="s">
        <v>22</v>
      </c>
      <c r="B29" s="135"/>
      <c r="C29" s="135"/>
      <c r="D29" s="135"/>
      <c r="E29" s="131" t="str">
        <f>IF(AND(G21="Mumbai"),"Developed","Developing")</f>
        <v>Developing</v>
      </c>
      <c r="F29" s="131"/>
      <c r="G29" s="131"/>
      <c r="H29" s="131"/>
    </row>
    <row r="30" spans="1:8" x14ac:dyDescent="0.25">
      <c r="A30" s="135" t="s">
        <v>23</v>
      </c>
      <c r="B30" s="135"/>
      <c r="C30" s="135"/>
      <c r="D30" s="135"/>
      <c r="E30" s="131" t="s">
        <v>24</v>
      </c>
      <c r="F30" s="131"/>
      <c r="G30" s="131"/>
      <c r="H30" s="131"/>
    </row>
    <row r="31" spans="1:8" x14ac:dyDescent="0.25">
      <c r="A31" s="135" t="s">
        <v>109</v>
      </c>
      <c r="B31" s="135"/>
      <c r="C31" s="135"/>
      <c r="D31" s="135"/>
      <c r="E31" s="131" t="s">
        <v>110</v>
      </c>
      <c r="F31" s="131"/>
      <c r="G31" s="131"/>
      <c r="H31" s="131"/>
    </row>
    <row r="32" spans="1:8" ht="15" customHeight="1" x14ac:dyDescent="0.25">
      <c r="A32" s="137" t="s">
        <v>33</v>
      </c>
      <c r="B32" s="137"/>
      <c r="C32" s="137"/>
      <c r="D32" s="137"/>
      <c r="E32" s="216" t="s">
        <v>231</v>
      </c>
      <c r="F32" s="216"/>
      <c r="G32" s="216"/>
      <c r="H32" s="216"/>
    </row>
    <row r="33" spans="1:8" x14ac:dyDescent="0.25">
      <c r="A33" s="137" t="s">
        <v>121</v>
      </c>
      <c r="B33" s="137"/>
      <c r="C33" s="137"/>
      <c r="D33" s="137"/>
      <c r="E33" s="137" t="s">
        <v>34</v>
      </c>
      <c r="F33" s="137"/>
      <c r="G33" s="137"/>
      <c r="H33" s="137"/>
    </row>
    <row r="34" spans="1:8" s="49" customFormat="1" x14ac:dyDescent="0.25">
      <c r="A34" s="214" t="s">
        <v>122</v>
      </c>
      <c r="B34" s="214"/>
      <c r="C34" s="210" t="s">
        <v>29</v>
      </c>
      <c r="D34" s="210"/>
      <c r="E34" s="210"/>
      <c r="F34" s="210" t="s">
        <v>31</v>
      </c>
      <c r="G34" s="210"/>
      <c r="H34" s="210"/>
    </row>
    <row r="35" spans="1:8" s="49" customFormat="1" x14ac:dyDescent="0.25">
      <c r="A35" s="163" t="s">
        <v>25</v>
      </c>
      <c r="B35" s="163" t="s">
        <v>30</v>
      </c>
      <c r="C35" s="116" t="s">
        <v>30</v>
      </c>
      <c r="D35" s="116"/>
      <c r="E35" s="116"/>
      <c r="F35" s="116" t="s">
        <v>11</v>
      </c>
      <c r="G35" s="116"/>
      <c r="H35" s="116"/>
    </row>
    <row r="36" spans="1:8" x14ac:dyDescent="0.25">
      <c r="A36" s="163" t="s">
        <v>26</v>
      </c>
      <c r="B36" s="163" t="s">
        <v>30</v>
      </c>
      <c r="C36" s="116" t="s">
        <v>30</v>
      </c>
      <c r="D36" s="116"/>
      <c r="E36" s="116"/>
      <c r="F36" s="116" t="s">
        <v>205</v>
      </c>
      <c r="G36" s="116"/>
      <c r="H36" s="116"/>
    </row>
    <row r="37" spans="1:8" s="49" customFormat="1" x14ac:dyDescent="0.25">
      <c r="A37" s="163" t="s">
        <v>28</v>
      </c>
      <c r="B37" s="163" t="s">
        <v>30</v>
      </c>
      <c r="C37" s="116" t="s">
        <v>30</v>
      </c>
      <c r="D37" s="116"/>
      <c r="E37" s="116"/>
      <c r="F37" s="116" t="s">
        <v>206</v>
      </c>
      <c r="G37" s="116"/>
      <c r="H37" s="116"/>
    </row>
    <row r="38" spans="1:8" x14ac:dyDescent="0.25">
      <c r="A38" s="163" t="s">
        <v>27</v>
      </c>
      <c r="B38" s="163" t="s">
        <v>30</v>
      </c>
      <c r="C38" s="116" t="s">
        <v>30</v>
      </c>
      <c r="D38" s="116"/>
      <c r="E38" s="116"/>
      <c r="F38" s="116" t="s">
        <v>206</v>
      </c>
      <c r="G38" s="116"/>
      <c r="H38" s="116"/>
    </row>
    <row r="39" spans="1:8" x14ac:dyDescent="0.25">
      <c r="A39" s="135" t="s">
        <v>32</v>
      </c>
      <c r="B39" s="135"/>
      <c r="C39" s="135"/>
      <c r="D39" s="135"/>
      <c r="E39" s="135"/>
      <c r="F39" s="135"/>
      <c r="G39" s="135"/>
      <c r="H39" s="135"/>
    </row>
    <row r="40" spans="1:8" ht="15.75" customHeight="1" x14ac:dyDescent="0.25">
      <c r="A40" s="124" t="s">
        <v>287</v>
      </c>
      <c r="B40" s="124"/>
      <c r="C40" s="123" t="s">
        <v>299</v>
      </c>
      <c r="D40" s="123"/>
      <c r="E40" s="123"/>
      <c r="F40" s="123"/>
      <c r="G40" s="123"/>
      <c r="H40" s="123"/>
    </row>
    <row r="41" spans="1:8" ht="15.75" customHeight="1" x14ac:dyDescent="0.25">
      <c r="A41" s="124" t="s">
        <v>288</v>
      </c>
      <c r="B41" s="124"/>
      <c r="C41" s="125" t="s">
        <v>289</v>
      </c>
      <c r="D41" s="123"/>
      <c r="E41" s="123"/>
      <c r="F41" s="123"/>
      <c r="G41" s="123"/>
      <c r="H41" s="123"/>
    </row>
    <row r="42" spans="1:8" x14ac:dyDescent="0.25">
      <c r="A42" s="208" t="s">
        <v>35</v>
      </c>
      <c r="B42" s="208"/>
      <c r="C42" s="208"/>
      <c r="D42" s="208"/>
      <c r="E42" s="208"/>
      <c r="F42" s="208"/>
      <c r="G42" s="208"/>
      <c r="H42" s="208"/>
    </row>
    <row r="43" spans="1:8" x14ac:dyDescent="0.25">
      <c r="A43" s="190" t="s">
        <v>36</v>
      </c>
      <c r="B43" s="184"/>
      <c r="C43" s="184"/>
      <c r="D43" s="184"/>
      <c r="E43" s="211">
        <v>533750</v>
      </c>
      <c r="F43" s="212"/>
      <c r="G43" s="212"/>
      <c r="H43" s="213"/>
    </row>
    <row r="44" spans="1:8" x14ac:dyDescent="0.25">
      <c r="A44" s="190" t="s">
        <v>37</v>
      </c>
      <c r="B44" s="184"/>
      <c r="C44" s="184"/>
      <c r="D44" s="184"/>
      <c r="E44" s="199">
        <v>1</v>
      </c>
      <c r="F44" s="200"/>
      <c r="G44" s="200"/>
      <c r="H44" s="201"/>
    </row>
    <row r="45" spans="1:8" x14ac:dyDescent="0.25">
      <c r="A45" s="190" t="s">
        <v>38</v>
      </c>
      <c r="B45" s="184"/>
      <c r="C45" s="184"/>
      <c r="D45" s="184"/>
      <c r="E45" s="205">
        <f>E47/E43-E44</f>
        <v>0</v>
      </c>
      <c r="F45" s="206"/>
      <c r="G45" s="206"/>
      <c r="H45" s="207"/>
    </row>
    <row r="46" spans="1:8" x14ac:dyDescent="0.25">
      <c r="A46" s="190" t="s">
        <v>39</v>
      </c>
      <c r="B46" s="184"/>
      <c r="C46" s="184"/>
      <c r="D46" s="184"/>
      <c r="E46" s="202">
        <f>E44+E45</f>
        <v>1</v>
      </c>
      <c r="F46" s="203"/>
      <c r="G46" s="203"/>
      <c r="H46" s="204"/>
    </row>
    <row r="47" spans="1:8" x14ac:dyDescent="0.25">
      <c r="A47" s="190" t="s">
        <v>120</v>
      </c>
      <c r="B47" s="184"/>
      <c r="C47" s="184"/>
      <c r="D47" s="184"/>
      <c r="E47" s="205">
        <v>533750</v>
      </c>
      <c r="F47" s="206"/>
      <c r="G47" s="206"/>
      <c r="H47" s="207"/>
    </row>
    <row r="48" spans="1:8" x14ac:dyDescent="0.25">
      <c r="A48" s="187" t="s">
        <v>40</v>
      </c>
      <c r="B48" s="188"/>
      <c r="C48" s="188"/>
      <c r="D48" s="188"/>
      <c r="E48" s="187" t="s">
        <v>265</v>
      </c>
      <c r="F48" s="188"/>
      <c r="G48" s="188"/>
      <c r="H48" s="189"/>
    </row>
    <row r="49" spans="1:8" x14ac:dyDescent="0.25">
      <c r="A49" s="208" t="s">
        <v>41</v>
      </c>
      <c r="B49" s="208"/>
      <c r="C49" s="208"/>
      <c r="D49" s="208"/>
      <c r="E49" s="208"/>
      <c r="F49" s="208"/>
      <c r="G49" s="208"/>
      <c r="H49" s="208"/>
    </row>
    <row r="50" spans="1:8" x14ac:dyDescent="0.25">
      <c r="A50" s="158" t="s">
        <v>248</v>
      </c>
      <c r="B50" s="158"/>
      <c r="C50" s="158"/>
      <c r="D50" s="158"/>
      <c r="E50" s="158"/>
      <c r="F50" s="158"/>
      <c r="G50" s="158"/>
      <c r="H50" s="158"/>
    </row>
    <row r="51" spans="1:8" ht="48.75" customHeight="1" x14ac:dyDescent="0.25">
      <c r="A51" s="137" t="s">
        <v>42</v>
      </c>
      <c r="B51" s="137"/>
      <c r="C51" s="146" t="s">
        <v>233</v>
      </c>
      <c r="D51" s="147"/>
      <c r="E51" s="148"/>
      <c r="F51" s="47" t="s">
        <v>43</v>
      </c>
      <c r="G51" s="162" t="s">
        <v>232</v>
      </c>
      <c r="H51" s="148"/>
    </row>
    <row r="52" spans="1:8" ht="48.75" customHeight="1" x14ac:dyDescent="0.25">
      <c r="A52" s="137" t="s">
        <v>44</v>
      </c>
      <c r="B52" s="137"/>
      <c r="C52" s="131" t="str">
        <f>C51</f>
        <v>SROT/Growth Center/2401/BP/ITP-Usarghar-Gharivali-Sagaon-01/Site-A/Vol.XXVI/383/2021</v>
      </c>
      <c r="D52" s="131"/>
      <c r="E52" s="131"/>
      <c r="F52" s="44" t="s">
        <v>43</v>
      </c>
      <c r="G52" s="138" t="str">
        <f>G51</f>
        <v>12/04/2021.</v>
      </c>
      <c r="H52" s="138"/>
    </row>
    <row r="53" spans="1:8" x14ac:dyDescent="0.25">
      <c r="A53" s="158" t="s">
        <v>312</v>
      </c>
      <c r="B53" s="158"/>
      <c r="C53" s="158"/>
      <c r="D53" s="158"/>
      <c r="E53" s="158"/>
      <c r="F53" s="158"/>
      <c r="G53" s="158"/>
      <c r="H53" s="158"/>
    </row>
    <row r="54" spans="1:8" ht="48.75" customHeight="1" x14ac:dyDescent="0.25">
      <c r="A54" s="137" t="s">
        <v>42</v>
      </c>
      <c r="B54" s="137"/>
      <c r="C54" s="131" t="s">
        <v>237</v>
      </c>
      <c r="D54" s="131"/>
      <c r="E54" s="131"/>
      <c r="F54" s="47" t="s">
        <v>43</v>
      </c>
      <c r="G54" s="136" t="s">
        <v>247</v>
      </c>
      <c r="H54" s="136"/>
    </row>
    <row r="55" spans="1:8" ht="48.75" customHeight="1" x14ac:dyDescent="0.25">
      <c r="A55" s="137" t="s">
        <v>270</v>
      </c>
      <c r="B55" s="135"/>
      <c r="C55" s="131" t="str">
        <f>C54</f>
        <v>SROT/Growth Center/2401/BP/ITP-Usarghar-Gharivali-Sagaon-01/Site-A/Vol.31/720/2021</v>
      </c>
      <c r="D55" s="131"/>
      <c r="E55" s="131"/>
      <c r="F55" s="110" t="s">
        <v>43</v>
      </c>
      <c r="G55" s="138" t="str">
        <f>G54</f>
        <v>05/08/2021.</v>
      </c>
      <c r="H55" s="138"/>
    </row>
    <row r="56" spans="1:8" ht="48.75" customHeight="1" x14ac:dyDescent="0.25">
      <c r="A56" s="137" t="s">
        <v>278</v>
      </c>
      <c r="B56" s="135"/>
      <c r="C56" s="139" t="s">
        <v>254</v>
      </c>
      <c r="D56" s="139"/>
      <c r="E56" s="139"/>
      <c r="F56" s="110" t="s">
        <v>43</v>
      </c>
      <c r="G56" s="138">
        <v>44545</v>
      </c>
      <c r="H56" s="138"/>
    </row>
    <row r="57" spans="1:8" x14ac:dyDescent="0.25">
      <c r="A57" s="158" t="s">
        <v>313</v>
      </c>
      <c r="B57" s="158"/>
      <c r="C57" s="158"/>
      <c r="D57" s="158"/>
      <c r="E57" s="158"/>
      <c r="F57" s="158"/>
      <c r="G57" s="158"/>
      <c r="H57" s="158"/>
    </row>
    <row r="58" spans="1:8" ht="48.75" customHeight="1" x14ac:dyDescent="0.25">
      <c r="A58" s="137" t="s">
        <v>42</v>
      </c>
      <c r="B58" s="137"/>
      <c r="C58" s="159" t="s">
        <v>264</v>
      </c>
      <c r="D58" s="160"/>
      <c r="E58" s="161"/>
      <c r="F58" s="105" t="s">
        <v>43</v>
      </c>
      <c r="G58" s="162">
        <v>44757</v>
      </c>
      <c r="H58" s="148"/>
    </row>
    <row r="59" spans="1:8" ht="48.75" customHeight="1" x14ac:dyDescent="0.25">
      <c r="A59" s="137" t="s">
        <v>44</v>
      </c>
      <c r="B59" s="137"/>
      <c r="C59" s="159" t="s">
        <v>264</v>
      </c>
      <c r="D59" s="160"/>
      <c r="E59" s="161"/>
      <c r="F59" s="80" t="s">
        <v>43</v>
      </c>
      <c r="G59" s="162">
        <v>44757</v>
      </c>
      <c r="H59" s="148"/>
    </row>
    <row r="60" spans="1:8" s="50" customFormat="1" ht="49.5" customHeight="1" x14ac:dyDescent="0.25">
      <c r="A60" s="131" t="s">
        <v>281</v>
      </c>
      <c r="B60" s="131"/>
      <c r="C60" s="159" t="s">
        <v>264</v>
      </c>
      <c r="D60" s="160"/>
      <c r="E60" s="161"/>
      <c r="F60" s="47" t="s">
        <v>43</v>
      </c>
      <c r="G60" s="162">
        <v>44757</v>
      </c>
      <c r="H60" s="148"/>
    </row>
    <row r="61" spans="1:8" ht="15.75" customHeight="1" x14ac:dyDescent="0.25">
      <c r="A61" s="131"/>
      <c r="B61" s="131"/>
      <c r="C61" s="146" t="s">
        <v>269</v>
      </c>
      <c r="D61" s="147"/>
      <c r="E61" s="147"/>
      <c r="F61" s="147"/>
      <c r="G61" s="147"/>
      <c r="H61" s="148"/>
    </row>
    <row r="62" spans="1:8" s="79" customFormat="1" x14ac:dyDescent="0.25">
      <c r="A62" s="133" t="s">
        <v>45</v>
      </c>
      <c r="B62" s="134"/>
      <c r="C62" s="133" t="s">
        <v>137</v>
      </c>
      <c r="D62" s="231"/>
      <c r="E62" s="134"/>
      <c r="F62" s="78" t="s">
        <v>43</v>
      </c>
      <c r="G62" s="232" t="s">
        <v>30</v>
      </c>
      <c r="H62" s="233"/>
    </row>
    <row r="63" spans="1:8" x14ac:dyDescent="0.25">
      <c r="A63" s="209" t="s">
        <v>47</v>
      </c>
      <c r="B63" s="209"/>
      <c r="C63" s="209"/>
      <c r="D63" s="209"/>
      <c r="E63" s="209"/>
      <c r="F63" s="209"/>
      <c r="G63" s="209"/>
      <c r="H63" s="209"/>
    </row>
    <row r="64" spans="1:8" x14ac:dyDescent="0.25">
      <c r="A64" s="137" t="s">
        <v>119</v>
      </c>
      <c r="B64" s="137"/>
      <c r="C64" s="137"/>
      <c r="D64" s="135">
        <f>E47</f>
        <v>533750</v>
      </c>
      <c r="E64" s="135"/>
      <c r="F64" s="135"/>
      <c r="G64" s="135"/>
      <c r="H64" s="135"/>
    </row>
    <row r="65" spans="1:14" x14ac:dyDescent="0.25">
      <c r="A65" s="131" t="s">
        <v>48</v>
      </c>
      <c r="B65" s="132"/>
      <c r="C65" s="132"/>
      <c r="D65" s="132" t="s">
        <v>286</v>
      </c>
      <c r="E65" s="132"/>
      <c r="F65" s="132"/>
      <c r="G65" s="132"/>
      <c r="H65" s="132"/>
      <c r="I65" s="51"/>
    </row>
    <row r="66" spans="1:14" ht="46.5" customHeight="1" x14ac:dyDescent="0.25">
      <c r="A66" s="131" t="s">
        <v>49</v>
      </c>
      <c r="B66" s="131"/>
      <c r="C66" s="131"/>
      <c r="D66" s="131" t="s">
        <v>282</v>
      </c>
      <c r="E66" s="132"/>
      <c r="F66" s="132"/>
      <c r="G66" s="132"/>
      <c r="H66" s="132"/>
      <c r="I66" s="52"/>
    </row>
    <row r="67" spans="1:14" ht="15.75" customHeight="1" x14ac:dyDescent="0.25">
      <c r="A67" s="131" t="s">
        <v>117</v>
      </c>
      <c r="B67" s="131"/>
      <c r="C67" s="131"/>
      <c r="D67" s="132" t="s">
        <v>273</v>
      </c>
      <c r="E67" s="132"/>
      <c r="F67" s="132"/>
      <c r="G67" s="132"/>
      <c r="H67" s="132"/>
      <c r="I67" s="52"/>
    </row>
    <row r="68" spans="1:14" ht="15.75" customHeight="1" x14ac:dyDescent="0.25">
      <c r="A68" s="135" t="s">
        <v>46</v>
      </c>
      <c r="B68" s="135"/>
      <c r="C68" s="135"/>
      <c r="D68" s="137" t="s">
        <v>207</v>
      </c>
      <c r="E68" s="137"/>
      <c r="F68" s="137"/>
      <c r="G68" s="137"/>
      <c r="H68" s="137"/>
      <c r="J68" s="53"/>
      <c r="K68" s="51"/>
      <c r="N68" s="51"/>
    </row>
    <row r="69" spans="1:14" ht="15.75" customHeight="1" x14ac:dyDescent="0.25">
      <c r="A69" s="135" t="s">
        <v>115</v>
      </c>
      <c r="B69" s="135"/>
      <c r="C69" s="135"/>
      <c r="D69" s="230" t="s">
        <v>263</v>
      </c>
      <c r="E69" s="230"/>
      <c r="F69" s="230"/>
      <c r="G69" s="230"/>
      <c r="H69" s="230"/>
      <c r="N69" s="51"/>
    </row>
    <row r="70" spans="1:14" ht="15.75" customHeight="1" x14ac:dyDescent="0.25">
      <c r="A70" s="135" t="s">
        <v>116</v>
      </c>
      <c r="B70" s="135"/>
      <c r="C70" s="135"/>
      <c r="D70" s="137" t="s">
        <v>24</v>
      </c>
      <c r="E70" s="137"/>
      <c r="F70" s="137"/>
      <c r="G70" s="137"/>
      <c r="H70" s="137"/>
      <c r="J70" s="54"/>
      <c r="K70" s="54"/>
    </row>
    <row r="71" spans="1:14" ht="15.75" customHeight="1" thickBot="1" x14ac:dyDescent="0.3">
      <c r="A71" s="135" t="s">
        <v>114</v>
      </c>
      <c r="B71" s="135"/>
      <c r="C71" s="135"/>
      <c r="D71" s="131" t="str">
        <f ca="1">(IF(G90&gt;95%,"Nothing",IF(G90&gt;0%,"Cement, Aggregate, Steel, etc",IF(G90=0%,"Work not yet Started"))))</f>
        <v>Cement, Aggregate, Steel, etc</v>
      </c>
      <c r="E71" s="131"/>
      <c r="F71" s="131"/>
      <c r="G71" s="131"/>
      <c r="H71" s="131"/>
      <c r="J71" s="54"/>
    </row>
    <row r="72" spans="1:14" ht="15.75" customHeight="1" x14ac:dyDescent="0.25">
      <c r="A72" s="114" t="s">
        <v>187</v>
      </c>
      <c r="B72" s="114"/>
      <c r="C72" s="114" t="s">
        <v>303</v>
      </c>
      <c r="D72" s="114"/>
      <c r="E72" s="114"/>
      <c r="F72" s="114"/>
      <c r="G72" s="114"/>
      <c r="H72" s="114"/>
      <c r="I72" s="31" t="str">
        <f ca="1">(IF(E76&gt;99%,"All work completed. Please provide OC.",IF(E76&gt;89.8%,"Plinth, RCC, Brick, Plaster, Flooring, Painting work Completed. Finishing work is in process.",IF(E76&lt;94%,(IF(C76=0,"Work not yet Started.",IF(D76=25%,"Piling work in process",IF(D76=50%,"Excavation work in process",IF(D76=100%,"Excavation work Completed. ","0")))&amp;(IF(C77=0%,"",IF(C77=J78,"Footing work is process",IF(C77=J79,"Footing work Completed",IF(C77=J80,"1st Basement Completed",IF(C77=J81,"1st &amp; 2nd Basement Completed",IF(C77=J82,"1st to 3rd Basement Completed",IF(C77=J83,"1st to 4th Basement Completed",IF(C77=J84,"Plinth work is process",IF(C77=J85,"Plinth work completed","0")))))))))))&amp;(IF(C78=(D73+F73+H73),", RCC Slab",IF(C78&gt;0,", RCC upto "&amp;C78&amp;" Slab",""))&amp;(IF(C79=H73,", Brickwork",IF(C79&gt;0,", Brickwork upto "&amp;C79&amp;" Floor",""))&amp;(IF(C80=H73,", Internal Plaster",IF(C80&gt;0,", Internal Plaster upto "&amp;C80&amp;" Floor",""))&amp;(IF(C81=H73,", External Plaster",IF(C81&gt;0,", External Plaster upto "&amp;C81&amp;" Floor",""))&amp;(IF(C82=H73,", Flooring",IF(C82&gt;0,", Flooring upto "&amp;C82&amp;" Floor",""))&amp;(IF(C83=H73,", Painting",IF(C83&gt;0,", Painting upto "&amp;C83&amp;" Floor",""))&amp;(IF(C84&gt;0,", Finishing upto "&amp;C84&amp;" Floor","")&amp;(IF(C78&gt;0.5," Completed",""))))))))))))))</f>
        <v>Excavation work Completed. Plinth work completed, RCC Slab, Brickwork, Internal Plaster upto 27.2 Floor, External Plaster upto 25 Floor, Flooring upto 8 Floor Completed</v>
      </c>
      <c r="J72" s="55"/>
    </row>
    <row r="73" spans="1:14" x14ac:dyDescent="0.25">
      <c r="A73" s="108" t="s">
        <v>189</v>
      </c>
      <c r="B73" s="108">
        <v>1</v>
      </c>
      <c r="C73" s="108" t="s">
        <v>99</v>
      </c>
      <c r="D73" s="108">
        <v>1</v>
      </c>
      <c r="E73" s="108" t="s">
        <v>98</v>
      </c>
      <c r="F73" s="108">
        <v>0</v>
      </c>
      <c r="G73" s="108" t="s">
        <v>108</v>
      </c>
      <c r="H73" s="108">
        <f ca="1">--TRIM(RIGHT(SUBSTITUTE(LEFT(C72,_xlfn.AGGREGATE(16,6,FIND({0,1,2,3,4,5,6,7,8,9},C72,ROW(INDIRECT("1:"&amp;LEN(C72)))),1))," ",REPT(" ",LEN(C72))),LEN(C72)))</f>
        <v>32</v>
      </c>
      <c r="I73" s="32"/>
      <c r="J73" s="56"/>
    </row>
    <row r="74" spans="1:14" ht="48" customHeight="1" x14ac:dyDescent="0.25">
      <c r="A74" s="113" t="s">
        <v>118</v>
      </c>
      <c r="B74" s="113"/>
      <c r="C74" s="114" t="str">
        <f ca="1">I72</f>
        <v>Excavation work Completed. Plinth work completed, RCC Slab, Brickwork, Internal Plaster upto 27.2 Floor, External Plaster upto 25 Floor, Flooring upto 8 Floor Completed</v>
      </c>
      <c r="D74" s="114"/>
      <c r="E74" s="114"/>
      <c r="F74" s="114"/>
      <c r="G74" s="114"/>
      <c r="H74" s="114"/>
      <c r="I74" s="32" t="s">
        <v>136</v>
      </c>
      <c r="J74" s="56"/>
    </row>
    <row r="75" spans="1:14" ht="15.75" customHeight="1" x14ac:dyDescent="0.25">
      <c r="A75" s="117" t="s">
        <v>50</v>
      </c>
      <c r="B75" s="112"/>
      <c r="C75" s="98" t="s">
        <v>186</v>
      </c>
      <c r="D75" s="98" t="s">
        <v>111</v>
      </c>
      <c r="E75" s="112" t="s">
        <v>113</v>
      </c>
      <c r="F75" s="112"/>
      <c r="G75" s="112" t="s">
        <v>112</v>
      </c>
      <c r="H75" s="140"/>
      <c r="I75" s="20" t="s">
        <v>188</v>
      </c>
      <c r="J75" s="57">
        <f ca="1">H73*25%</f>
        <v>8</v>
      </c>
    </row>
    <row r="76" spans="1:14" x14ac:dyDescent="0.25">
      <c r="A76" s="112" t="s">
        <v>171</v>
      </c>
      <c r="B76" s="112"/>
      <c r="C76" s="58">
        <f ca="1">J77</f>
        <v>32</v>
      </c>
      <c r="D76" s="107">
        <f ca="1">((100/H73)*C76)/100</f>
        <v>1</v>
      </c>
      <c r="E76" s="115">
        <f ca="1">(((C77/H73*10)+(40/(D73+F73+H73)*C78)+(7.5/(H73)*C79)+(7.5/(H73)*C80)+(10/H73*C81)+(10/H73*C82)+(5/H73*C83)+(5/H73*C84)+(5/H73*C85))/100)</f>
        <v>0.74187499999999995</v>
      </c>
      <c r="F76" s="115"/>
      <c r="G76" s="115">
        <f ca="1">((((C76/H73)*20)+((C77/H73)*25)+(30/(H73+F73+D73)*C78)+(5/H73*C79)+(5/H73*C80)+(5/H73*C81)+(5/H73*C82)+(0/H73*C83)+(0/H73*C84)+(5/H73*C85))/100)</f>
        <v>0.89406249999999998</v>
      </c>
      <c r="H76" s="115"/>
      <c r="I76" s="20" t="s">
        <v>130</v>
      </c>
      <c r="J76" s="59">
        <f ca="1">H73*50%</f>
        <v>16</v>
      </c>
    </row>
    <row r="77" spans="1:14" x14ac:dyDescent="0.25">
      <c r="A77" s="112" t="s">
        <v>51</v>
      </c>
      <c r="B77" s="112"/>
      <c r="C77" s="60">
        <v>32</v>
      </c>
      <c r="D77" s="107">
        <f ca="1">((100/H73)*C77)/100</f>
        <v>1</v>
      </c>
      <c r="E77" s="115"/>
      <c r="F77" s="115"/>
      <c r="G77" s="115"/>
      <c r="H77" s="115"/>
      <c r="I77" s="20" t="s">
        <v>131</v>
      </c>
      <c r="J77" s="59">
        <f ca="1">H73</f>
        <v>32</v>
      </c>
    </row>
    <row r="78" spans="1:14" ht="15.75" customHeight="1" x14ac:dyDescent="0.25">
      <c r="A78" s="116" t="s">
        <v>172</v>
      </c>
      <c r="B78" s="116"/>
      <c r="C78" s="60">
        <v>33</v>
      </c>
      <c r="D78" s="107">
        <f ca="1">((100/(D73+F73+H73))*C78)/100</f>
        <v>1</v>
      </c>
      <c r="E78" s="115"/>
      <c r="F78" s="115"/>
      <c r="G78" s="115"/>
      <c r="H78" s="115"/>
      <c r="I78" s="20" t="s">
        <v>132</v>
      </c>
      <c r="J78" s="61">
        <f ca="1">(IF(B73&gt;1,(H73/(B73+2)),H73/4))</f>
        <v>8</v>
      </c>
    </row>
    <row r="79" spans="1:14" ht="15.75" customHeight="1" x14ac:dyDescent="0.25">
      <c r="A79" s="112" t="s">
        <v>180</v>
      </c>
      <c r="B79" s="112" t="s">
        <v>173</v>
      </c>
      <c r="C79" s="60">
        <f>C78-1</f>
        <v>32</v>
      </c>
      <c r="D79" s="107">
        <f ca="1">((100/H73)*C79)/100</f>
        <v>1</v>
      </c>
      <c r="E79" s="115"/>
      <c r="F79" s="115"/>
      <c r="G79" s="115"/>
      <c r="H79" s="115"/>
      <c r="I79" s="20" t="s">
        <v>133</v>
      </c>
      <c r="J79" s="61">
        <f ca="1">(IF(B73&gt;1,(H73/(B73+2)+J78),H73/4+J78))</f>
        <v>16</v>
      </c>
    </row>
    <row r="80" spans="1:14" ht="15.75" customHeight="1" x14ac:dyDescent="0.25">
      <c r="A80" s="112" t="s">
        <v>181</v>
      </c>
      <c r="B80" s="112" t="s">
        <v>173</v>
      </c>
      <c r="C80" s="60">
        <f>C79*0.85</f>
        <v>27.2</v>
      </c>
      <c r="D80" s="107">
        <f ca="1">((100/H73)*C80)/100</f>
        <v>0.85</v>
      </c>
      <c r="E80" s="115"/>
      <c r="F80" s="115"/>
      <c r="G80" s="115"/>
      <c r="H80" s="115"/>
      <c r="I80" s="20" t="s">
        <v>190</v>
      </c>
      <c r="J80" s="61">
        <f>(IF(B73&gt;1,(H73/(B73+2)+J79),0))</f>
        <v>0</v>
      </c>
    </row>
    <row r="81" spans="1:10" ht="15" customHeight="1" x14ac:dyDescent="0.25">
      <c r="A81" s="112" t="s">
        <v>179</v>
      </c>
      <c r="B81" s="112" t="s">
        <v>175</v>
      </c>
      <c r="C81" s="111">
        <v>25</v>
      </c>
      <c r="D81" s="107">
        <f ca="1">((100/(H73))*C81)/100</f>
        <v>0.78125</v>
      </c>
      <c r="E81" s="115"/>
      <c r="F81" s="115"/>
      <c r="G81" s="115"/>
      <c r="H81" s="115"/>
      <c r="I81" s="20" t="s">
        <v>191</v>
      </c>
      <c r="J81" s="61">
        <f>(IF(B73&gt;2,(H73/(B73+2)+J80),0))</f>
        <v>0</v>
      </c>
    </row>
    <row r="82" spans="1:10" ht="15.75" customHeight="1" x14ac:dyDescent="0.25">
      <c r="A82" s="112" t="s">
        <v>174</v>
      </c>
      <c r="B82" s="112" t="s">
        <v>174</v>
      </c>
      <c r="C82" s="58">
        <v>8</v>
      </c>
      <c r="D82" s="107">
        <f ca="1">((100/H73)*C82)/100</f>
        <v>0.25</v>
      </c>
      <c r="E82" s="115"/>
      <c r="F82" s="115"/>
      <c r="G82" s="115"/>
      <c r="H82" s="115"/>
      <c r="I82" s="20" t="s">
        <v>192</v>
      </c>
      <c r="J82" s="62">
        <f>(IF(B73&gt;3,(H73/(B73+2)+J81),0))</f>
        <v>0</v>
      </c>
    </row>
    <row r="83" spans="1:10" ht="15.75" customHeight="1" x14ac:dyDescent="0.25">
      <c r="A83" s="112" t="s">
        <v>182</v>
      </c>
      <c r="B83" s="112"/>
      <c r="C83" s="58">
        <v>0</v>
      </c>
      <c r="D83" s="107">
        <f ca="1">((100/H73)*C83)/100</f>
        <v>0</v>
      </c>
      <c r="E83" s="115"/>
      <c r="F83" s="115"/>
      <c r="G83" s="115"/>
      <c r="H83" s="115"/>
      <c r="I83" s="20" t="s">
        <v>194</v>
      </c>
      <c r="J83" s="61">
        <f>(IF(B73&gt;4,(H73/(B73+2)+J82),0))</f>
        <v>0</v>
      </c>
    </row>
    <row r="84" spans="1:10" ht="15.75" customHeight="1" x14ac:dyDescent="0.25">
      <c r="A84" s="112" t="s">
        <v>176</v>
      </c>
      <c r="B84" s="112" t="s">
        <v>176</v>
      </c>
      <c r="C84" s="58">
        <v>0</v>
      </c>
      <c r="D84" s="107">
        <f ca="1">((100/(H73))*C84)/100</f>
        <v>0</v>
      </c>
      <c r="E84" s="115"/>
      <c r="F84" s="115"/>
      <c r="G84" s="115"/>
      <c r="H84" s="115"/>
      <c r="I84" s="20" t="s">
        <v>134</v>
      </c>
      <c r="J84" s="61">
        <f ca="1">(IF(B73=1,(H73/(B73+3)+J79),IF(B73=0,(H73/4+J79),IF(B73&gt;1,0))))</f>
        <v>24</v>
      </c>
    </row>
    <row r="85" spans="1:10" ht="16.5" thickBot="1" x14ac:dyDescent="0.3">
      <c r="A85" s="112" t="s">
        <v>177</v>
      </c>
      <c r="B85" s="112"/>
      <c r="C85" s="58">
        <v>0</v>
      </c>
      <c r="D85" s="107">
        <f ca="1">((100/(H73))*C85)/100</f>
        <v>0</v>
      </c>
      <c r="E85" s="115"/>
      <c r="F85" s="115"/>
      <c r="G85" s="115"/>
      <c r="H85" s="115"/>
      <c r="I85" s="41" t="s">
        <v>135</v>
      </c>
      <c r="J85" s="64">
        <f ca="1">(IF(B73&gt;1.5,(H73/(B73+2)+J79+MAX(0,J80-J79)+MAX(0,J81-J80)+MAX(0,J82-J81)+MAX(0,J83-J82)+MAX(0,J84-J83)),IF(B73=1,(H73/(B73+3)+J84),IF(B73=0,H73/4+J84))))</f>
        <v>32</v>
      </c>
    </row>
    <row r="86" spans="1:10" ht="15.75" customHeight="1" x14ac:dyDescent="0.25">
      <c r="A86" s="114" t="s">
        <v>187</v>
      </c>
      <c r="B86" s="114"/>
      <c r="C86" s="114" t="s">
        <v>304</v>
      </c>
      <c r="D86" s="114"/>
      <c r="E86" s="114"/>
      <c r="F86" s="114"/>
      <c r="G86" s="114"/>
      <c r="H86" s="114"/>
      <c r="I86" s="31" t="str">
        <f ca="1">(IF(E90&gt;99%,"All work completed. Please provide OC.",IF(E90&gt;89.8%,"Plinth, RCC, Brick, Plaster, Flooring, Painting work Completed. Finishing work is in process.",IF(E90&lt;94%,(IF(C90=0,"Work not yet Started.",IF(D90=25%,"Piling work in process",IF(D90=50%,"Excavation work in process",IF(D90=100%,"Excavation work Completed. ","0")))&amp;(IF(C91=0%,"",IF(C91=J92,"Footing work is process",IF(C91=J93,"Footing work Completed",IF(C91=J94,"1st Basement Completed",IF(C91=J95,"1st &amp; 2nd Basement Completed",IF(C91=J96,"1st to 3rd Basement Completed",IF(C91=J97,"1st to 4th Basement Completed",IF(C91=J98,"Plinth work is process",IF(C91=J99,"Plinth work completed","0")))))))))))&amp;(IF(C92=(D87+F87+H87),", RCC Slab",IF(C92&gt;0,", RCC upto "&amp;C92&amp;" Slab",""))&amp;(IF(C93=H87,", Brickwork",IF(C93&gt;0,", Brickwork upto "&amp;C93&amp;" Floor",""))&amp;(IF(C94=H87,", Internal Plaster",IF(C94&gt;0,", Internal Plaster upto "&amp;C94&amp;" Floor",""))&amp;(IF(C95=H87,", External Plaster",IF(C95&gt;0,", External Plaster upto "&amp;C95&amp;" Floor",""))&amp;(IF(C96=H87,", Flooring",IF(C96&gt;0,", Flooring upto "&amp;C96&amp;" Floor",""))&amp;(IF(C97=H87,", Painting",IF(C97&gt;0,", Painting upto "&amp;C97&amp;" Floor",""))&amp;(IF(C98&gt;0,", Finishing upto "&amp;C98&amp;" Floor","")&amp;(IF(C92&gt;0.5," Completed",""))))))))))))))</f>
        <v>Excavation work Completed. Plinth work completed, RCC Slab, Brickwork, Internal Plaster upto 27.2 Floor, External Plaster upto 25 Floor, Flooring upto 10 Floor Completed</v>
      </c>
      <c r="J86" s="55"/>
    </row>
    <row r="87" spans="1:10" x14ac:dyDescent="0.25">
      <c r="A87" s="108" t="s">
        <v>189</v>
      </c>
      <c r="B87" s="108">
        <v>1</v>
      </c>
      <c r="C87" s="108" t="s">
        <v>99</v>
      </c>
      <c r="D87" s="108">
        <v>1</v>
      </c>
      <c r="E87" s="108" t="s">
        <v>98</v>
      </c>
      <c r="F87" s="108">
        <v>0</v>
      </c>
      <c r="G87" s="108" t="s">
        <v>108</v>
      </c>
      <c r="H87" s="108">
        <f ca="1">--TRIM(RIGHT(SUBSTITUTE(LEFT(C86,_xlfn.AGGREGATE(16,6,FIND({0,1,2,3,4,5,6,7,8,9},C86,ROW(INDIRECT("1:"&amp;LEN(C86)))),1))," ",REPT(" ",LEN(C86))),LEN(C86)))</f>
        <v>32</v>
      </c>
      <c r="I87" s="32"/>
      <c r="J87" s="56"/>
    </row>
    <row r="88" spans="1:10" ht="48" customHeight="1" x14ac:dyDescent="0.25">
      <c r="A88" s="113" t="s">
        <v>118</v>
      </c>
      <c r="B88" s="113"/>
      <c r="C88" s="114" t="str">
        <f ca="1">I86</f>
        <v>Excavation work Completed. Plinth work completed, RCC Slab, Brickwork, Internal Plaster upto 27.2 Floor, External Plaster upto 25 Floor, Flooring upto 10 Floor Completed</v>
      </c>
      <c r="D88" s="114"/>
      <c r="E88" s="114"/>
      <c r="F88" s="114"/>
      <c r="G88" s="114"/>
      <c r="H88" s="114"/>
      <c r="I88" s="32" t="s">
        <v>136</v>
      </c>
      <c r="J88" s="56"/>
    </row>
    <row r="89" spans="1:10" ht="15.75" customHeight="1" x14ac:dyDescent="0.25">
      <c r="A89" s="112" t="s">
        <v>50</v>
      </c>
      <c r="B89" s="112"/>
      <c r="C89" s="106" t="s">
        <v>186</v>
      </c>
      <c r="D89" s="106" t="s">
        <v>111</v>
      </c>
      <c r="E89" s="112" t="s">
        <v>113</v>
      </c>
      <c r="F89" s="112"/>
      <c r="G89" s="112" t="s">
        <v>112</v>
      </c>
      <c r="H89" s="112"/>
      <c r="I89" s="20" t="s">
        <v>188</v>
      </c>
      <c r="J89" s="57">
        <f ca="1">H87*25%</f>
        <v>8</v>
      </c>
    </row>
    <row r="90" spans="1:10" x14ac:dyDescent="0.25">
      <c r="A90" s="112" t="s">
        <v>171</v>
      </c>
      <c r="B90" s="112"/>
      <c r="C90" s="58">
        <f ca="1">J91</f>
        <v>32</v>
      </c>
      <c r="D90" s="107">
        <f ca="1">((100/H87)*C90)/100</f>
        <v>1</v>
      </c>
      <c r="E90" s="115">
        <f ca="1">(((C91/H87*10)+(40/(D87+F87+H87)*C92)+(7.5/(H87)*C93)+(7.5/(H87)*C94)+(10/H87*C95)+(10/H87*C96)+(5/H87*C97)+(5/H87*C98)+(5/H87*C99))/100)</f>
        <v>0.74812500000000004</v>
      </c>
      <c r="F90" s="115"/>
      <c r="G90" s="115">
        <f ca="1">((((C90/H87)*20)+((C91/H87)*25)+(30/(H87+F87+D87)*C92)+(5/H87*C93)+(5/H87*C94)+(5/H87*C95)+(5/H87*C96)+(0/H87*C97)+(0/H87*C98)+(5/H87*C99))/100)</f>
        <v>0.89718750000000003</v>
      </c>
      <c r="H90" s="115"/>
      <c r="I90" s="20" t="s">
        <v>130</v>
      </c>
      <c r="J90" s="59">
        <f ca="1">H87*50%</f>
        <v>16</v>
      </c>
    </row>
    <row r="91" spans="1:10" x14ac:dyDescent="0.25">
      <c r="A91" s="112" t="s">
        <v>51</v>
      </c>
      <c r="B91" s="112"/>
      <c r="C91" s="60">
        <v>32</v>
      </c>
      <c r="D91" s="107">
        <f ca="1">((100/H87)*C91)/100</f>
        <v>1</v>
      </c>
      <c r="E91" s="115"/>
      <c r="F91" s="115"/>
      <c r="G91" s="115"/>
      <c r="H91" s="115"/>
      <c r="I91" s="20" t="s">
        <v>131</v>
      </c>
      <c r="J91" s="59">
        <f ca="1">H87</f>
        <v>32</v>
      </c>
    </row>
    <row r="92" spans="1:10" ht="15.75" customHeight="1" x14ac:dyDescent="0.25">
      <c r="A92" s="116" t="s">
        <v>172</v>
      </c>
      <c r="B92" s="116"/>
      <c r="C92" s="60">
        <v>33</v>
      </c>
      <c r="D92" s="107">
        <f ca="1">((100/(D87+F87+H87))*C92)/100</f>
        <v>1</v>
      </c>
      <c r="E92" s="115"/>
      <c r="F92" s="115"/>
      <c r="G92" s="115"/>
      <c r="H92" s="115"/>
      <c r="I92" s="20" t="s">
        <v>132</v>
      </c>
      <c r="J92" s="61">
        <f ca="1">(IF(B87&gt;1,(H87/(B87+2)),H87/4))</f>
        <v>8</v>
      </c>
    </row>
    <row r="93" spans="1:10" ht="15.75" customHeight="1" x14ac:dyDescent="0.25">
      <c r="A93" s="112" t="s">
        <v>180</v>
      </c>
      <c r="B93" s="112" t="s">
        <v>173</v>
      </c>
      <c r="C93" s="60">
        <v>32</v>
      </c>
      <c r="D93" s="107">
        <f ca="1">((100/H87)*C93)/100</f>
        <v>1</v>
      </c>
      <c r="E93" s="115"/>
      <c r="F93" s="115"/>
      <c r="G93" s="115"/>
      <c r="H93" s="115"/>
      <c r="I93" s="20" t="s">
        <v>133</v>
      </c>
      <c r="J93" s="61">
        <f ca="1">(IF(B87&gt;1,(H87/(B87+2)+J92),H87/4+J92))</f>
        <v>16</v>
      </c>
    </row>
    <row r="94" spans="1:10" ht="15.75" customHeight="1" x14ac:dyDescent="0.25">
      <c r="A94" s="112" t="s">
        <v>181</v>
      </c>
      <c r="B94" s="112" t="s">
        <v>173</v>
      </c>
      <c r="C94" s="60">
        <f>C93*0.85</f>
        <v>27.2</v>
      </c>
      <c r="D94" s="107">
        <f ca="1">((100/H87)*C94)/100</f>
        <v>0.85</v>
      </c>
      <c r="E94" s="115"/>
      <c r="F94" s="115"/>
      <c r="G94" s="115"/>
      <c r="H94" s="115"/>
      <c r="I94" s="20" t="s">
        <v>190</v>
      </c>
      <c r="J94" s="61">
        <f>(IF(B87&gt;1,(H87/(B87+2)+J93),0))</f>
        <v>0</v>
      </c>
    </row>
    <row r="95" spans="1:10" ht="15" customHeight="1" x14ac:dyDescent="0.25">
      <c r="A95" s="112" t="s">
        <v>179</v>
      </c>
      <c r="B95" s="112" t="s">
        <v>175</v>
      </c>
      <c r="C95" s="60">
        <v>25</v>
      </c>
      <c r="D95" s="107">
        <f ca="1">((100/(H87))*C95)/100</f>
        <v>0.78125</v>
      </c>
      <c r="E95" s="115"/>
      <c r="F95" s="115"/>
      <c r="G95" s="115"/>
      <c r="H95" s="115"/>
      <c r="I95" s="20" t="s">
        <v>191</v>
      </c>
      <c r="J95" s="61">
        <f>(IF(B87&gt;2,(H87/(B87+2)+J94),0))</f>
        <v>0</v>
      </c>
    </row>
    <row r="96" spans="1:10" ht="15.75" customHeight="1" x14ac:dyDescent="0.25">
      <c r="A96" s="112" t="s">
        <v>174</v>
      </c>
      <c r="B96" s="112" t="s">
        <v>174</v>
      </c>
      <c r="C96" s="58">
        <v>10</v>
      </c>
      <c r="D96" s="107">
        <f ca="1">((100/H87)*C96)/100</f>
        <v>0.3125</v>
      </c>
      <c r="E96" s="115"/>
      <c r="F96" s="115"/>
      <c r="G96" s="115"/>
      <c r="H96" s="115"/>
      <c r="I96" s="20" t="s">
        <v>192</v>
      </c>
      <c r="J96" s="62">
        <f>(IF(B87&gt;3,(H87/(B87+2)+J95),0))</f>
        <v>0</v>
      </c>
    </row>
    <row r="97" spans="1:10" ht="15.75" customHeight="1" x14ac:dyDescent="0.25">
      <c r="A97" s="112" t="s">
        <v>182</v>
      </c>
      <c r="B97" s="112"/>
      <c r="C97" s="58">
        <v>0</v>
      </c>
      <c r="D97" s="107">
        <f ca="1">((100/H87)*C97)/100</f>
        <v>0</v>
      </c>
      <c r="E97" s="115"/>
      <c r="F97" s="115"/>
      <c r="G97" s="115"/>
      <c r="H97" s="115"/>
      <c r="I97" s="20" t="s">
        <v>194</v>
      </c>
      <c r="J97" s="61">
        <f>(IF(B87&gt;4,(H87/(B87+2)+J96),0))</f>
        <v>0</v>
      </c>
    </row>
    <row r="98" spans="1:10" ht="15.75" customHeight="1" x14ac:dyDescent="0.25">
      <c r="A98" s="112" t="s">
        <v>176</v>
      </c>
      <c r="B98" s="112" t="s">
        <v>176</v>
      </c>
      <c r="C98" s="58">
        <v>0</v>
      </c>
      <c r="D98" s="107">
        <f ca="1">((100/(H87))*C98)/100</f>
        <v>0</v>
      </c>
      <c r="E98" s="115"/>
      <c r="F98" s="115"/>
      <c r="G98" s="115"/>
      <c r="H98" s="115"/>
      <c r="I98" s="20" t="s">
        <v>134</v>
      </c>
      <c r="J98" s="61">
        <f ca="1">(IF(B87=1,(H87/(B87+3)+J93),IF(B87=0,(H87/4+J93),IF(B87&gt;1,0))))</f>
        <v>24</v>
      </c>
    </row>
    <row r="99" spans="1:10" ht="16.5" thickBot="1" x14ac:dyDescent="0.3">
      <c r="A99" s="112" t="s">
        <v>177</v>
      </c>
      <c r="B99" s="112"/>
      <c r="C99" s="58">
        <v>0</v>
      </c>
      <c r="D99" s="107">
        <f ca="1">((100/(H87))*C99)/100</f>
        <v>0</v>
      </c>
      <c r="E99" s="115"/>
      <c r="F99" s="115"/>
      <c r="G99" s="115"/>
      <c r="H99" s="115"/>
      <c r="I99" s="41" t="s">
        <v>135</v>
      </c>
      <c r="J99" s="64">
        <f ca="1">(IF(B87&gt;1.5,(H87/(B87+2)+J93+MAX(0,J94-J93)+MAX(0,J95-J94)+MAX(0,J96-J95)+MAX(0,J97-J96)+MAX(0,J98-J97)),IF(B87=1,(H87/(B87+3)+J98),IF(B87=0,H87/4+J98))))</f>
        <v>32</v>
      </c>
    </row>
    <row r="100" spans="1:10" ht="15.75" customHeight="1" x14ac:dyDescent="0.25">
      <c r="A100" s="114" t="s">
        <v>187</v>
      </c>
      <c r="B100" s="114"/>
      <c r="C100" s="114" t="s">
        <v>297</v>
      </c>
      <c r="D100" s="114"/>
      <c r="E100" s="114"/>
      <c r="F100" s="114"/>
      <c r="G100" s="114"/>
      <c r="H100" s="114"/>
      <c r="I100" s="31" t="str">
        <f ca="1">(IF(E104&gt;99%,"All work completed. Please provide OC.",IF(E104&gt;89.8%,"Plinth, RCC, Brick, Plaster, Flooring, Painting work Completed. Finishing work is in process.",IF(E104&lt;94%,(IF(C104=0,"Work not yet Started.",IF(D104=25%,"Piling work in process",IF(D104=50%,"Excavation work in process",IF(D104=100%,"Excavation work Completed. ","0")))&amp;(IF(C105=0%,"",IF(C105=J106,"Footing work is process",IF(C105=J107,"Footing work Completed",IF(C105=J108,"1st Basement Completed",IF(C105=J109,"1st &amp; 2nd Basement Completed",IF(C105=J110,"1st to 3rd Basement Completed",IF(C105=J111,"1st to 4th Basement Completed",IF(C105=J112,"Plinth work is process",IF(C105=J113,"Plinth work completed","0")))))))))))&amp;(IF(C106=(D101+F101+H101),", RCC Slab",IF(C106&gt;0,", RCC upto "&amp;C106&amp;" Slab",""))&amp;(IF(C107=H101,", Brickwork",IF(C107&gt;0,", Brickwork upto "&amp;C107&amp;" Floor",""))&amp;(IF(C108=H101,", Internal Plaster",IF(C108&gt;0,", Internal Plaster upto "&amp;C108&amp;" Floor",""))&amp;(IF(C109=H101,", External Plaster",IF(C109&gt;0,", External Plaster upto "&amp;C109&amp;" Floor",""))&amp;(IF(C110=H101,", Flooring",IF(C110&gt;0,", Flooring upto "&amp;C110&amp;" Floor",""))&amp;(IF(C111=H101,", Painting",IF(C111&gt;0,", Painting upto "&amp;C111&amp;" Floor",""))&amp;(IF(C112&gt;0,", Finishing upto "&amp;C112&amp;" Floor","")&amp;(IF(C106&gt;0.5," Completed",""))))))))))))))</f>
        <v>Excavation work Completed. Plinth work completed, RCC Slab, Brickwork, Internal Plaster upto 26 Floor, External Plaster upto 24 Floor, Flooring upto 5 Floor Completed</v>
      </c>
      <c r="J100" s="55"/>
    </row>
    <row r="101" spans="1:10" x14ac:dyDescent="0.25">
      <c r="A101" s="108" t="s">
        <v>189</v>
      </c>
      <c r="B101" s="108">
        <v>1</v>
      </c>
      <c r="C101" s="108" t="s">
        <v>99</v>
      </c>
      <c r="D101" s="108">
        <v>1</v>
      </c>
      <c r="E101" s="108" t="s">
        <v>98</v>
      </c>
      <c r="F101" s="108">
        <v>0</v>
      </c>
      <c r="G101" s="108" t="s">
        <v>108</v>
      </c>
      <c r="H101" s="108">
        <f ca="1">--TRIM(RIGHT(SUBSTITUTE(LEFT(C100,_xlfn.AGGREGATE(16,6,FIND({0,1,2,3,4,5,6,7,8,9},C100,ROW(INDIRECT("1:"&amp;LEN(C100)))),1))," ",REPT(" ",LEN(C100))),LEN(C100)))</f>
        <v>32</v>
      </c>
      <c r="I101" s="32"/>
      <c r="J101" s="56"/>
    </row>
    <row r="102" spans="1:10" ht="49.5" customHeight="1" x14ac:dyDescent="0.25">
      <c r="A102" s="113" t="s">
        <v>118</v>
      </c>
      <c r="B102" s="113"/>
      <c r="C102" s="114" t="str">
        <f ca="1">I100</f>
        <v>Excavation work Completed. Plinth work completed, RCC Slab, Brickwork, Internal Plaster upto 26 Floor, External Plaster upto 24 Floor, Flooring upto 5 Floor Completed</v>
      </c>
      <c r="D102" s="114"/>
      <c r="E102" s="114"/>
      <c r="F102" s="114"/>
      <c r="G102" s="114"/>
      <c r="H102" s="114"/>
      <c r="I102" s="32" t="s">
        <v>136</v>
      </c>
      <c r="J102" s="56"/>
    </row>
    <row r="103" spans="1:10" ht="15.75" customHeight="1" x14ac:dyDescent="0.25">
      <c r="A103" s="112" t="s">
        <v>50</v>
      </c>
      <c r="B103" s="112"/>
      <c r="C103" s="106" t="s">
        <v>186</v>
      </c>
      <c r="D103" s="106" t="s">
        <v>111</v>
      </c>
      <c r="E103" s="112" t="s">
        <v>113</v>
      </c>
      <c r="F103" s="112"/>
      <c r="G103" s="112" t="s">
        <v>112</v>
      </c>
      <c r="H103" s="112"/>
      <c r="I103" s="20" t="s">
        <v>188</v>
      </c>
      <c r="J103" s="57">
        <f ca="1">H101*25%</f>
        <v>8</v>
      </c>
    </row>
    <row r="104" spans="1:10" x14ac:dyDescent="0.25">
      <c r="A104" s="112" t="s">
        <v>171</v>
      </c>
      <c r="B104" s="112"/>
      <c r="C104" s="58">
        <f ca="1">J105</f>
        <v>32</v>
      </c>
      <c r="D104" s="107">
        <f ca="1">((100/H101)*C104)/100</f>
        <v>1</v>
      </c>
      <c r="E104" s="115">
        <f ca="1">(((C105/H101*10)+(40/(D101+F101+H101)*C106)+(7.5/(H101)*C107)+(7.5/(H101)*C108)+(10/H101*C109)+(10/H101*C110)+(5/H101*C111)+(5/H101*C112)+(5/H101*C113))/100)</f>
        <v>0.7265625</v>
      </c>
      <c r="F104" s="115"/>
      <c r="G104" s="115">
        <f ca="1">((((C104/H101)*20)+((C105/H101)*25)+(30/(H101+F101+D101)*C106)+(5/H101*C107)+(5/H101*C108)+(5/H101*C109)+(5/H101*C110)+(0/H101*C111)+(0/H101*C112)+(5/H101*C113))/100)</f>
        <v>0.88593750000000004</v>
      </c>
      <c r="H104" s="115"/>
      <c r="I104" s="20" t="s">
        <v>130</v>
      </c>
      <c r="J104" s="59">
        <f ca="1">H101*50%</f>
        <v>16</v>
      </c>
    </row>
    <row r="105" spans="1:10" x14ac:dyDescent="0.25">
      <c r="A105" s="112" t="s">
        <v>51</v>
      </c>
      <c r="B105" s="112"/>
      <c r="C105" s="60">
        <v>32</v>
      </c>
      <c r="D105" s="107">
        <f ca="1">((100/H101)*C105)/100</f>
        <v>1</v>
      </c>
      <c r="E105" s="115"/>
      <c r="F105" s="115"/>
      <c r="G105" s="115"/>
      <c r="H105" s="115"/>
      <c r="I105" s="20" t="s">
        <v>131</v>
      </c>
      <c r="J105" s="59">
        <f ca="1">H101</f>
        <v>32</v>
      </c>
    </row>
    <row r="106" spans="1:10" ht="15.75" customHeight="1" x14ac:dyDescent="0.25">
      <c r="A106" s="116" t="s">
        <v>172</v>
      </c>
      <c r="B106" s="116"/>
      <c r="C106" s="60">
        <v>33</v>
      </c>
      <c r="D106" s="107">
        <f ca="1">((100/(D101+F101+H101))*C106)/100</f>
        <v>1</v>
      </c>
      <c r="E106" s="115"/>
      <c r="F106" s="115"/>
      <c r="G106" s="115"/>
      <c r="H106" s="115"/>
      <c r="I106" s="20" t="s">
        <v>132</v>
      </c>
      <c r="J106" s="61">
        <f ca="1">(IF(B101&gt;1,(H101/(B101+2)),H101/4))</f>
        <v>8</v>
      </c>
    </row>
    <row r="107" spans="1:10" ht="15.75" customHeight="1" x14ac:dyDescent="0.25">
      <c r="A107" s="112" t="s">
        <v>180</v>
      </c>
      <c r="B107" s="112" t="s">
        <v>173</v>
      </c>
      <c r="C107" s="60">
        <v>32</v>
      </c>
      <c r="D107" s="107">
        <f ca="1">((100/H101)*C107)/100</f>
        <v>1</v>
      </c>
      <c r="E107" s="115"/>
      <c r="F107" s="115"/>
      <c r="G107" s="115"/>
      <c r="H107" s="115"/>
      <c r="I107" s="20" t="s">
        <v>133</v>
      </c>
      <c r="J107" s="61">
        <f ca="1">(IF(B101&gt;1,(H101/(B101+2)+J106),H101/4+J106))</f>
        <v>16</v>
      </c>
    </row>
    <row r="108" spans="1:10" ht="15.75" customHeight="1" x14ac:dyDescent="0.25">
      <c r="A108" s="112" t="s">
        <v>181</v>
      </c>
      <c r="B108" s="112" t="s">
        <v>173</v>
      </c>
      <c r="C108" s="60">
        <v>26</v>
      </c>
      <c r="D108" s="107">
        <f ca="1">((100/H101)*C108)/100</f>
        <v>0.8125</v>
      </c>
      <c r="E108" s="115"/>
      <c r="F108" s="115"/>
      <c r="G108" s="115"/>
      <c r="H108" s="115"/>
      <c r="I108" s="20" t="s">
        <v>190</v>
      </c>
      <c r="J108" s="61">
        <f>(IF(B101&gt;1,(H101/(B101+2)+J107),0))</f>
        <v>0</v>
      </c>
    </row>
    <row r="109" spans="1:10" ht="15" customHeight="1" x14ac:dyDescent="0.25">
      <c r="A109" s="112" t="s">
        <v>179</v>
      </c>
      <c r="B109" s="112" t="s">
        <v>175</v>
      </c>
      <c r="C109" s="60">
        <v>24</v>
      </c>
      <c r="D109" s="107">
        <f ca="1">((100/(H101))*C109)/100</f>
        <v>0.75</v>
      </c>
      <c r="E109" s="115"/>
      <c r="F109" s="115"/>
      <c r="G109" s="115"/>
      <c r="H109" s="115"/>
      <c r="I109" s="20" t="s">
        <v>191</v>
      </c>
      <c r="J109" s="61">
        <f>(IF(B101&gt;2,(H101/(B101+2)+J108),0))</f>
        <v>0</v>
      </c>
    </row>
    <row r="110" spans="1:10" ht="15.75" customHeight="1" x14ac:dyDescent="0.25">
      <c r="A110" s="112" t="s">
        <v>174</v>
      </c>
      <c r="B110" s="112" t="s">
        <v>174</v>
      </c>
      <c r="C110" s="58">
        <v>5</v>
      </c>
      <c r="D110" s="107">
        <f ca="1">((100/H101)*C110)/100</f>
        <v>0.15625</v>
      </c>
      <c r="E110" s="115"/>
      <c r="F110" s="115"/>
      <c r="G110" s="115"/>
      <c r="H110" s="115"/>
      <c r="I110" s="20" t="s">
        <v>192</v>
      </c>
      <c r="J110" s="62">
        <f>(IF(B101&gt;3,(H101/(B101+2)+J109),0))</f>
        <v>0</v>
      </c>
    </row>
    <row r="111" spans="1:10" ht="15.75" customHeight="1" x14ac:dyDescent="0.25">
      <c r="A111" s="112" t="s">
        <v>182</v>
      </c>
      <c r="B111" s="112"/>
      <c r="C111" s="58">
        <v>0</v>
      </c>
      <c r="D111" s="107">
        <f ca="1">((100/H101)*C111)/100</f>
        <v>0</v>
      </c>
      <c r="E111" s="115"/>
      <c r="F111" s="115"/>
      <c r="G111" s="115"/>
      <c r="H111" s="115"/>
      <c r="I111" s="20" t="s">
        <v>194</v>
      </c>
      <c r="J111" s="61">
        <f>(IF(B101&gt;4,(H101/(B101+2)+J110),0))</f>
        <v>0</v>
      </c>
    </row>
    <row r="112" spans="1:10" ht="15.75" customHeight="1" x14ac:dyDescent="0.25">
      <c r="A112" s="112" t="s">
        <v>176</v>
      </c>
      <c r="B112" s="112" t="s">
        <v>176</v>
      </c>
      <c r="C112" s="58">
        <v>0</v>
      </c>
      <c r="D112" s="107">
        <f ca="1">((100/(H101))*C112)/100</f>
        <v>0</v>
      </c>
      <c r="E112" s="115"/>
      <c r="F112" s="115"/>
      <c r="G112" s="115"/>
      <c r="H112" s="115"/>
      <c r="I112" s="20" t="s">
        <v>134</v>
      </c>
      <c r="J112" s="61">
        <f ca="1">(IF(B101=1,(H101/(B101+3)+J107),IF(B101=0,(H101/4+J107),IF(B101&gt;1,0))))</f>
        <v>24</v>
      </c>
    </row>
    <row r="113" spans="1:10" ht="16.5" thickBot="1" x14ac:dyDescent="0.3">
      <c r="A113" s="112" t="s">
        <v>177</v>
      </c>
      <c r="B113" s="112"/>
      <c r="C113" s="58">
        <v>0</v>
      </c>
      <c r="D113" s="107">
        <f ca="1">((100/(H101))*C113)/100</f>
        <v>0</v>
      </c>
      <c r="E113" s="115"/>
      <c r="F113" s="115"/>
      <c r="G113" s="115"/>
      <c r="H113" s="115"/>
      <c r="I113" s="41" t="s">
        <v>135</v>
      </c>
      <c r="J113" s="64">
        <f ca="1">(IF(B101&gt;1.5,(H101/(B101+2)+J107+MAX(0,J108-J107)+MAX(0,J109-J108)+MAX(0,J110-J109)+MAX(0,J111-J110)+MAX(0,J112-J111)),IF(B101=1,(H101/(B101+3)+J112),IF(B101=0,H101/4+J112))))</f>
        <v>32</v>
      </c>
    </row>
    <row r="114" spans="1:10" ht="15.75" customHeight="1" x14ac:dyDescent="0.25">
      <c r="A114" s="126" t="s">
        <v>187</v>
      </c>
      <c r="B114" s="127"/>
      <c r="C114" s="128" t="s">
        <v>301</v>
      </c>
      <c r="D114" s="129"/>
      <c r="E114" s="129"/>
      <c r="F114" s="129"/>
      <c r="G114" s="129"/>
      <c r="H114" s="130"/>
      <c r="I114" s="31" t="str">
        <f ca="1">(IF(E118&gt;99%,"All work completed. Please provide OC.",IF(E118&gt;89.8%,"Plinth, RCC, Brick, Plaster, Flooring, Painting work Completed. Finishing work is in process.",IF(E118&lt;94%,(IF(C118=0,"Work not yet Started.",IF(D118=25%,"Piling work in process",IF(D118=50%,"Excavation work in process",IF(D118=100%,"Excavation work Completed. ","0")))&amp;(IF(C119=0%,"",IF(C119=J120,"Footing work is process",IF(C119=J121,"Footing work Completed",IF(C119=J122,"1st Basement Completed",IF(C119=J123,"1st &amp; 2nd Basement Completed",IF(C119=J124,"1st to 3rd Basement Completed",IF(C119=J125,"1st to 4th Basement Completed",IF(C119=J126,"Plinth work is process",IF(C119=J127,"Plinth work completed","0")))))))))))&amp;(IF(C120=(D115+F115+H115),", RCC Slab",IF(C120&gt;0,", RCC upto "&amp;C120&amp;" Slab",""))&amp;(IF(C121=H115,", Brickwork",IF(C121&gt;0,", Brickwork upto "&amp;C121&amp;" Floor",""))&amp;(IF(C122=H115,", Internal Plaster",IF(C122&gt;0,", Internal Plaster upto "&amp;C122&amp;" Floor",""))&amp;(IF(C123=H115,", External Plaster",IF(C123&gt;0,", External Plaster upto "&amp;C123&amp;" Floor",""))&amp;(IF(C124=H115,", Flooring",IF(C124&gt;0,", Flooring upto "&amp;C124&amp;" Floor",""))&amp;(IF(C125=H115,", Painting",IF(C125&gt;0,", Painting upto "&amp;C125&amp;" Floor",""))&amp;(IF(C126&gt;0,", Finishing upto "&amp;C126&amp;" Floor","")&amp;(IF(C120&gt;0.5," Completed",""))))))))))))))</f>
        <v>Excavation work Completed. Plinth work completed, RCC upto 23 Slab, Brickwork upto 22 Floor, Internal Plaster upto 20 Floor, External Plaster upto 19 Floor Completed</v>
      </c>
      <c r="J114" s="55"/>
    </row>
    <row r="115" spans="1:10" x14ac:dyDescent="0.25">
      <c r="A115" s="90" t="s">
        <v>189</v>
      </c>
      <c r="B115" s="91">
        <v>1</v>
      </c>
      <c r="C115" s="91" t="s">
        <v>99</v>
      </c>
      <c r="D115" s="91">
        <v>1</v>
      </c>
      <c r="E115" s="91" t="s">
        <v>98</v>
      </c>
      <c r="F115" s="91">
        <v>0</v>
      </c>
      <c r="G115" s="91" t="s">
        <v>108</v>
      </c>
      <c r="H115" s="40">
        <f ca="1">--TRIM(RIGHT(SUBSTITUTE(LEFT(C114,_xlfn.AGGREGATE(16,6,FIND({0,1,2,3,4,5,6,7,8,9},C114,ROW(INDIRECT("1:"&amp;LEN(C114)))),1))," ",REPT(" ",LEN(C114))),LEN(C114)))</f>
        <v>32</v>
      </c>
      <c r="I115" s="32"/>
      <c r="J115" s="56"/>
    </row>
    <row r="116" spans="1:10" ht="47.25" customHeight="1" x14ac:dyDescent="0.25">
      <c r="A116" s="113" t="s">
        <v>118</v>
      </c>
      <c r="B116" s="113"/>
      <c r="C116" s="114" t="str">
        <f ca="1">I114</f>
        <v>Excavation work Completed. Plinth work completed, RCC upto 23 Slab, Brickwork upto 22 Floor, Internal Plaster upto 20 Floor, External Plaster upto 19 Floor Completed</v>
      </c>
      <c r="D116" s="114"/>
      <c r="E116" s="114"/>
      <c r="F116" s="114"/>
      <c r="G116" s="114"/>
      <c r="H116" s="114"/>
      <c r="I116" s="32" t="s">
        <v>136</v>
      </c>
      <c r="J116" s="56"/>
    </row>
    <row r="117" spans="1:10" ht="15.75" customHeight="1" x14ac:dyDescent="0.25">
      <c r="A117" s="112" t="s">
        <v>50</v>
      </c>
      <c r="B117" s="112"/>
      <c r="C117" s="101" t="s">
        <v>186</v>
      </c>
      <c r="D117" s="101" t="s">
        <v>111</v>
      </c>
      <c r="E117" s="112" t="s">
        <v>113</v>
      </c>
      <c r="F117" s="112"/>
      <c r="G117" s="112" t="s">
        <v>112</v>
      </c>
      <c r="H117" s="112"/>
      <c r="I117" s="20" t="s">
        <v>188</v>
      </c>
      <c r="J117" s="57">
        <f ca="1">H115*25%</f>
        <v>8</v>
      </c>
    </row>
    <row r="118" spans="1:10" x14ac:dyDescent="0.25">
      <c r="A118" s="112" t="s">
        <v>171</v>
      </c>
      <c r="B118" s="112"/>
      <c r="C118" s="58">
        <f ca="1">J119</f>
        <v>32</v>
      </c>
      <c r="D118" s="107">
        <f ca="1">((100/H115)*C118)/100</f>
        <v>1</v>
      </c>
      <c r="E118" s="115">
        <f ca="1">(((C119/H115*10)+(40/(D115+F115+H115)*C120)+(7.5/(H115)*C121)+(7.5/(H115)*C122)+(10/H115*C123)+(10/H115*C124)+(5/H115*C125)+(5/H115*C126)+(5/H115*C127))/100)</f>
        <v>0.53660037878787881</v>
      </c>
      <c r="F118" s="115"/>
      <c r="G118" s="115">
        <f ca="1">((((C118/H115)*20)+((C119/H115)*25)+(30/(H115+F115+D115)*C120)+(5/H115*C121)+(5/H115*C122)+(5/H115*C123)+(5/H115*C124)+(0/H115*C125)+(0/H115*C126)+(5/H115*C127))/100)</f>
        <v>0.75440340909090908</v>
      </c>
      <c r="H118" s="115"/>
      <c r="I118" s="20" t="s">
        <v>130</v>
      </c>
      <c r="J118" s="59">
        <f ca="1">H115*50%</f>
        <v>16</v>
      </c>
    </row>
    <row r="119" spans="1:10" x14ac:dyDescent="0.25">
      <c r="A119" s="112" t="s">
        <v>51</v>
      </c>
      <c r="B119" s="112"/>
      <c r="C119" s="60">
        <v>32</v>
      </c>
      <c r="D119" s="107">
        <f ca="1">((100/H115)*C119)/100</f>
        <v>1</v>
      </c>
      <c r="E119" s="115"/>
      <c r="F119" s="115"/>
      <c r="G119" s="115"/>
      <c r="H119" s="115"/>
      <c r="I119" s="20" t="s">
        <v>131</v>
      </c>
      <c r="J119" s="59">
        <f ca="1">H115</f>
        <v>32</v>
      </c>
    </row>
    <row r="120" spans="1:10" ht="15.75" customHeight="1" x14ac:dyDescent="0.25">
      <c r="A120" s="116" t="s">
        <v>172</v>
      </c>
      <c r="B120" s="116"/>
      <c r="C120" s="60">
        <v>23</v>
      </c>
      <c r="D120" s="107">
        <f ca="1">((100/(D115+F115+H115))*C120)/100</f>
        <v>0.69696969696969702</v>
      </c>
      <c r="E120" s="115"/>
      <c r="F120" s="115"/>
      <c r="G120" s="115"/>
      <c r="H120" s="115"/>
      <c r="I120" s="20" t="s">
        <v>132</v>
      </c>
      <c r="J120" s="61">
        <f ca="1">(IF(B115&gt;1,(H115/(B115+2)),H115/4))</f>
        <v>8</v>
      </c>
    </row>
    <row r="121" spans="1:10" ht="15.75" customHeight="1" x14ac:dyDescent="0.25">
      <c r="A121" s="112" t="s">
        <v>180</v>
      </c>
      <c r="B121" s="112" t="s">
        <v>173</v>
      </c>
      <c r="C121" s="60">
        <f>C120-1</f>
        <v>22</v>
      </c>
      <c r="D121" s="107">
        <f ca="1">((100/H115)*C121)/100</f>
        <v>0.6875</v>
      </c>
      <c r="E121" s="115"/>
      <c r="F121" s="115"/>
      <c r="G121" s="115"/>
      <c r="H121" s="115"/>
      <c r="I121" s="20" t="s">
        <v>133</v>
      </c>
      <c r="J121" s="61">
        <f ca="1">(IF(B115&gt;1,(H115/(B115+2)+J120),H115/4+J120))</f>
        <v>16</v>
      </c>
    </row>
    <row r="122" spans="1:10" ht="15.75" customHeight="1" x14ac:dyDescent="0.25">
      <c r="A122" s="112" t="s">
        <v>181</v>
      </c>
      <c r="B122" s="112" t="s">
        <v>173</v>
      </c>
      <c r="C122" s="60">
        <v>20</v>
      </c>
      <c r="D122" s="107">
        <f ca="1">((100/H115)*C122)/100</f>
        <v>0.625</v>
      </c>
      <c r="E122" s="115"/>
      <c r="F122" s="115"/>
      <c r="G122" s="115"/>
      <c r="H122" s="115"/>
      <c r="I122" s="20" t="s">
        <v>190</v>
      </c>
      <c r="J122" s="61">
        <f>(IF(B115&gt;1,(H115/(B115+2)+J121),0))</f>
        <v>0</v>
      </c>
    </row>
    <row r="123" spans="1:10" ht="15" customHeight="1" x14ac:dyDescent="0.25">
      <c r="A123" s="112" t="s">
        <v>179</v>
      </c>
      <c r="B123" s="112" t="s">
        <v>175</v>
      </c>
      <c r="C123" s="60">
        <v>19</v>
      </c>
      <c r="D123" s="107">
        <f ca="1">((100/(H115))*C123)/100</f>
        <v>0.59375</v>
      </c>
      <c r="E123" s="115"/>
      <c r="F123" s="115"/>
      <c r="G123" s="115"/>
      <c r="H123" s="115"/>
      <c r="I123" s="20" t="s">
        <v>191</v>
      </c>
      <c r="J123" s="61">
        <f>(IF(B115&gt;2,(H115/(B115+2)+J122),0))</f>
        <v>0</v>
      </c>
    </row>
    <row r="124" spans="1:10" ht="15.75" customHeight="1" x14ac:dyDescent="0.25">
      <c r="A124" s="112" t="s">
        <v>174</v>
      </c>
      <c r="B124" s="112" t="s">
        <v>174</v>
      </c>
      <c r="C124" s="58">
        <v>0</v>
      </c>
      <c r="D124" s="107">
        <f ca="1">((100/H115)*C124)/100</f>
        <v>0</v>
      </c>
      <c r="E124" s="115"/>
      <c r="F124" s="115"/>
      <c r="G124" s="115"/>
      <c r="H124" s="115"/>
      <c r="I124" s="20" t="s">
        <v>192</v>
      </c>
      <c r="J124" s="62">
        <f>(IF(B115&gt;3,(H115/(B115+2)+J123),0))</f>
        <v>0</v>
      </c>
    </row>
    <row r="125" spans="1:10" ht="15.75" customHeight="1" x14ac:dyDescent="0.25">
      <c r="A125" s="112" t="s">
        <v>182</v>
      </c>
      <c r="B125" s="112"/>
      <c r="C125" s="58">
        <v>0</v>
      </c>
      <c r="D125" s="107">
        <f ca="1">((100/H115)*C125)/100</f>
        <v>0</v>
      </c>
      <c r="E125" s="115"/>
      <c r="F125" s="115"/>
      <c r="G125" s="115"/>
      <c r="H125" s="115"/>
      <c r="I125" s="20" t="s">
        <v>194</v>
      </c>
      <c r="J125" s="61">
        <f>(IF(B115&gt;4,(H115/(B115+2)+J124),0))</f>
        <v>0</v>
      </c>
    </row>
    <row r="126" spans="1:10" ht="15.75" customHeight="1" x14ac:dyDescent="0.25">
      <c r="A126" s="112" t="s">
        <v>176</v>
      </c>
      <c r="B126" s="112" t="s">
        <v>176</v>
      </c>
      <c r="C126" s="58">
        <v>0</v>
      </c>
      <c r="D126" s="107">
        <f ca="1">((100/(H115))*C126)/100</f>
        <v>0</v>
      </c>
      <c r="E126" s="115"/>
      <c r="F126" s="115"/>
      <c r="G126" s="115"/>
      <c r="H126" s="115"/>
      <c r="I126" s="20" t="s">
        <v>134</v>
      </c>
      <c r="J126" s="61">
        <f ca="1">(IF(B115=1,(H115/(B115+3)+J121),IF(B115=0,(H115/4+J121),IF(B115&gt;1,0))))</f>
        <v>24</v>
      </c>
    </row>
    <row r="127" spans="1:10" ht="16.5" thickBot="1" x14ac:dyDescent="0.3">
      <c r="A127" s="112" t="s">
        <v>177</v>
      </c>
      <c r="B127" s="112"/>
      <c r="C127" s="58">
        <v>0</v>
      </c>
      <c r="D127" s="107">
        <f ca="1">((100/(H115))*C127)/100</f>
        <v>0</v>
      </c>
      <c r="E127" s="115"/>
      <c r="F127" s="115"/>
      <c r="G127" s="115"/>
      <c r="H127" s="115"/>
      <c r="I127" s="41" t="s">
        <v>135</v>
      </c>
      <c r="J127" s="64">
        <f ca="1">(IF(B115&gt;1.5,(H115/(B115+2)+J121+MAX(0,J122-J121)+MAX(0,J123-J122)+MAX(0,J124-J123)+MAX(0,J125-J124)+MAX(0,J126-J125)),IF(B115=1,(H115/(B115+3)+J126),IF(B115=0,H115/4+J126))))</f>
        <v>32</v>
      </c>
    </row>
    <row r="128" spans="1:10" ht="15.75" customHeight="1" x14ac:dyDescent="0.25">
      <c r="A128" s="114" t="s">
        <v>187</v>
      </c>
      <c r="B128" s="114"/>
      <c r="C128" s="114" t="s">
        <v>292</v>
      </c>
      <c r="D128" s="114"/>
      <c r="E128" s="114"/>
      <c r="F128" s="114"/>
      <c r="G128" s="114"/>
      <c r="H128" s="114"/>
      <c r="I128" s="31" t="str">
        <f ca="1">(IF(E132&gt;99%,"All work completed. Please provide OC.",IF(E132&gt;89.8%,"Plinth, RCC, Brick, Plaster, Flooring, Painting work Completed. Finishing work is in process.",IF(E132&lt;94%,(IF(C132=0,"Work not yet Started.",IF(D132=25%,"Piling work in process",IF(D132=50%,"Excavation work in process",IF(D132=100%,"Excavation work Completed. ","0")))&amp;(IF(C133=0%,"",IF(C133=J134,"Footing work is process",IF(C133=J135,"Footing work Completed",IF(C133=J136,"1st Basement Completed",IF(C133=J137,"1st &amp; 2nd Basement Completed",IF(C133=J138,"1st to 3rd Basement Completed",IF(C133=J139,"1st to 4th Basement Completed",IF(C133=J140,"Plinth work is process",IF(C133=J141,"Plinth work completed","0")))))))))))&amp;(IF(C134=(D129+F129+H129),", RCC Slab",IF(C134&gt;0,", RCC upto "&amp;C134&amp;" Slab",""))&amp;(IF(C135=H129,", Brickwork",IF(C135&gt;0,", Brickwork upto "&amp;C135&amp;" Floor",""))&amp;(IF(C136=H129,", Internal Plaster",IF(C136&gt;0,", Internal Plaster upto "&amp;C136&amp;" Floor",""))&amp;(IF(C137=H129,", External Plaster",IF(C137&gt;0,", External Plaster upto "&amp;C137&amp;" Floor",""))&amp;(IF(C138=H129,", Flooring",IF(C138&gt;0,", Flooring upto "&amp;C138&amp;" Floor",""))&amp;(IF(C139=H129,", Painting",IF(C139&gt;0,", Painting upto "&amp;C139&amp;" Floor",""))&amp;(IF(C140&gt;0,", Finishing upto "&amp;C140&amp;" Floor","")&amp;(IF(C134&gt;0.5," Completed",""))))))))))))))</f>
        <v>Excavation work Completed. Plinth work completed, RCC upto 22 Slab, Brickwork upto 21 Floor, Internal Plaster upto 18 Floor, External Plaster upto 17 Floor Completed</v>
      </c>
      <c r="J128" s="55"/>
    </row>
    <row r="129" spans="1:10" x14ac:dyDescent="0.25">
      <c r="A129" s="108" t="s">
        <v>189</v>
      </c>
      <c r="B129" s="108">
        <v>1</v>
      </c>
      <c r="C129" s="108" t="s">
        <v>99</v>
      </c>
      <c r="D129" s="108">
        <v>1</v>
      </c>
      <c r="E129" s="108" t="s">
        <v>98</v>
      </c>
      <c r="F129" s="108">
        <v>0</v>
      </c>
      <c r="G129" s="108" t="s">
        <v>108</v>
      </c>
      <c r="H129" s="108">
        <f ca="1">--TRIM(RIGHT(SUBSTITUTE(LEFT(C128,_xlfn.AGGREGATE(16,6,FIND({0,1,2,3,4,5,6,7,8,9},C128,ROW(INDIRECT("1:"&amp;LEN(C128)))),1))," ",REPT(" ",LEN(C128))),LEN(C128)))</f>
        <v>32</v>
      </c>
      <c r="I129" s="32"/>
      <c r="J129" s="56"/>
    </row>
    <row r="130" spans="1:10" ht="47.25" customHeight="1" x14ac:dyDescent="0.25">
      <c r="A130" s="113" t="s">
        <v>118</v>
      </c>
      <c r="B130" s="113"/>
      <c r="C130" s="114" t="str">
        <f ca="1">I128</f>
        <v>Excavation work Completed. Plinth work completed, RCC upto 22 Slab, Brickwork upto 21 Floor, Internal Plaster upto 18 Floor, External Plaster upto 17 Floor Completed</v>
      </c>
      <c r="D130" s="114"/>
      <c r="E130" s="114"/>
      <c r="F130" s="114"/>
      <c r="G130" s="114"/>
      <c r="H130" s="114"/>
      <c r="I130" s="32" t="s">
        <v>136</v>
      </c>
      <c r="J130" s="56"/>
    </row>
    <row r="131" spans="1:10" ht="15.75" customHeight="1" x14ac:dyDescent="0.25">
      <c r="A131" s="112" t="s">
        <v>50</v>
      </c>
      <c r="B131" s="112"/>
      <c r="C131" s="106" t="s">
        <v>186</v>
      </c>
      <c r="D131" s="106" t="s">
        <v>111</v>
      </c>
      <c r="E131" s="112" t="s">
        <v>113</v>
      </c>
      <c r="F131" s="112"/>
      <c r="G131" s="112" t="s">
        <v>112</v>
      </c>
      <c r="H131" s="112"/>
      <c r="I131" s="20" t="s">
        <v>188</v>
      </c>
      <c r="J131" s="57">
        <f ca="1">H129*25%</f>
        <v>8</v>
      </c>
    </row>
    <row r="132" spans="1:10" x14ac:dyDescent="0.25">
      <c r="A132" s="112" t="s">
        <v>171</v>
      </c>
      <c r="B132" s="112"/>
      <c r="C132" s="58">
        <v>32</v>
      </c>
      <c r="D132" s="107">
        <f ca="1">((100/H129)*C132)/100</f>
        <v>1</v>
      </c>
      <c r="E132" s="115">
        <f ca="1">(((C133/H129*10)+(40/(D129+F129+H129)*C134)+(7.5/(H129)*C135)+(7.5/(H129)*C136)+(10/H129*C137)+(10/H129*C138)+(5/H129*C139)+(5/H129*C140)+(5/H129*C141))/100)</f>
        <v>0.5111979166666667</v>
      </c>
      <c r="F132" s="115"/>
      <c r="G132" s="115">
        <f ca="1">((((C132/H129)*20)+((C133/H129)*25)+(30/(H129+F129+D129)*C134)+(5/H129*C135)+(5/H129*C136)+(5/H129*C137)+(5/H129*C138)+(0/H129*C139)+(0/H129*C140)+(5/H129*C141))/100)</f>
        <v>0.73750000000000004</v>
      </c>
      <c r="H132" s="115"/>
      <c r="I132" s="20" t="s">
        <v>130</v>
      </c>
      <c r="J132" s="59">
        <f ca="1">H129*50%</f>
        <v>16</v>
      </c>
    </row>
    <row r="133" spans="1:10" x14ac:dyDescent="0.25">
      <c r="A133" s="112" t="s">
        <v>51</v>
      </c>
      <c r="B133" s="112"/>
      <c r="C133" s="60">
        <v>32</v>
      </c>
      <c r="D133" s="107">
        <f ca="1">((100/H129)*C133)/100</f>
        <v>1</v>
      </c>
      <c r="E133" s="115"/>
      <c r="F133" s="115"/>
      <c r="G133" s="115"/>
      <c r="H133" s="115"/>
      <c r="I133" s="20" t="s">
        <v>131</v>
      </c>
      <c r="J133" s="59">
        <f ca="1">H129</f>
        <v>32</v>
      </c>
    </row>
    <row r="134" spans="1:10" ht="15.75" customHeight="1" x14ac:dyDescent="0.25">
      <c r="A134" s="112" t="s">
        <v>172</v>
      </c>
      <c r="B134" s="112"/>
      <c r="C134" s="60">
        <v>22</v>
      </c>
      <c r="D134" s="107">
        <f ca="1">((100/(D129+F129+H129))*C134)/100</f>
        <v>0.66666666666666674</v>
      </c>
      <c r="E134" s="115"/>
      <c r="F134" s="115"/>
      <c r="G134" s="115"/>
      <c r="H134" s="115"/>
      <c r="I134" s="20" t="s">
        <v>132</v>
      </c>
      <c r="J134" s="61">
        <f ca="1">(IF(B129&gt;1,(H129/(B129+2)),H129/4))</f>
        <v>8</v>
      </c>
    </row>
    <row r="135" spans="1:10" ht="15.75" customHeight="1" x14ac:dyDescent="0.25">
      <c r="A135" s="112" t="s">
        <v>180</v>
      </c>
      <c r="B135" s="112" t="s">
        <v>173</v>
      </c>
      <c r="C135" s="60">
        <f>C134-1</f>
        <v>21</v>
      </c>
      <c r="D135" s="107">
        <f ca="1">((100/H129)*C135)/100</f>
        <v>0.65625</v>
      </c>
      <c r="E135" s="115"/>
      <c r="F135" s="115"/>
      <c r="G135" s="115"/>
      <c r="H135" s="115"/>
      <c r="I135" s="20" t="s">
        <v>133</v>
      </c>
      <c r="J135" s="61">
        <f ca="1">(IF(B129&gt;1,(H129/(B129+2)+J134),H129/4+J134))</f>
        <v>16</v>
      </c>
    </row>
    <row r="136" spans="1:10" ht="15.75" customHeight="1" x14ac:dyDescent="0.25">
      <c r="A136" s="112" t="s">
        <v>181</v>
      </c>
      <c r="B136" s="112" t="s">
        <v>173</v>
      </c>
      <c r="C136" s="60">
        <v>18</v>
      </c>
      <c r="D136" s="107">
        <f ca="1">((100/H129)*C136)/100</f>
        <v>0.5625</v>
      </c>
      <c r="E136" s="115"/>
      <c r="F136" s="115"/>
      <c r="G136" s="115"/>
      <c r="H136" s="115"/>
      <c r="I136" s="20" t="s">
        <v>190</v>
      </c>
      <c r="J136" s="61">
        <f>(IF(B129&gt;1,(H129/(B129+2)+J135),0))</f>
        <v>0</v>
      </c>
    </row>
    <row r="137" spans="1:10" ht="15" customHeight="1" x14ac:dyDescent="0.25">
      <c r="A137" s="112" t="s">
        <v>179</v>
      </c>
      <c r="B137" s="112" t="s">
        <v>175</v>
      </c>
      <c r="C137" s="60">
        <v>17</v>
      </c>
      <c r="D137" s="107">
        <f ca="1">((100/(H129))*C137)/100</f>
        <v>0.53125</v>
      </c>
      <c r="E137" s="115"/>
      <c r="F137" s="115"/>
      <c r="G137" s="115"/>
      <c r="H137" s="115"/>
      <c r="I137" s="20" t="s">
        <v>191</v>
      </c>
      <c r="J137" s="61">
        <f>(IF(B129&gt;2,(H129/(B129+2)+J136),0))</f>
        <v>0</v>
      </c>
    </row>
    <row r="138" spans="1:10" ht="15.75" customHeight="1" x14ac:dyDescent="0.25">
      <c r="A138" s="112" t="s">
        <v>174</v>
      </c>
      <c r="B138" s="112" t="s">
        <v>174</v>
      </c>
      <c r="C138" s="58">
        <v>0</v>
      </c>
      <c r="D138" s="107">
        <f ca="1">((100/H129)*C138)/100</f>
        <v>0</v>
      </c>
      <c r="E138" s="115"/>
      <c r="F138" s="115"/>
      <c r="G138" s="115"/>
      <c r="H138" s="115"/>
      <c r="I138" s="20" t="s">
        <v>192</v>
      </c>
      <c r="J138" s="62">
        <f>(IF(B129&gt;3,(H129/(B129+2)+J137),0))</f>
        <v>0</v>
      </c>
    </row>
    <row r="139" spans="1:10" ht="15.75" customHeight="1" x14ac:dyDescent="0.25">
      <c r="A139" s="112" t="s">
        <v>182</v>
      </c>
      <c r="B139" s="112"/>
      <c r="C139" s="58">
        <v>0</v>
      </c>
      <c r="D139" s="107">
        <f ca="1">((100/H129)*C139)/100</f>
        <v>0</v>
      </c>
      <c r="E139" s="115"/>
      <c r="F139" s="115"/>
      <c r="G139" s="115"/>
      <c r="H139" s="115"/>
      <c r="I139" s="20" t="s">
        <v>194</v>
      </c>
      <c r="J139" s="61">
        <f>(IF(B129&gt;4,(H129/(B129+2)+J138),0))</f>
        <v>0</v>
      </c>
    </row>
    <row r="140" spans="1:10" ht="15.75" customHeight="1" x14ac:dyDescent="0.25">
      <c r="A140" s="112" t="s">
        <v>176</v>
      </c>
      <c r="B140" s="112" t="s">
        <v>176</v>
      </c>
      <c r="C140" s="58">
        <v>0</v>
      </c>
      <c r="D140" s="107">
        <f ca="1">((100/(H129))*C140)/100</f>
        <v>0</v>
      </c>
      <c r="E140" s="115"/>
      <c r="F140" s="115"/>
      <c r="G140" s="115"/>
      <c r="H140" s="115"/>
      <c r="I140" s="20" t="s">
        <v>134</v>
      </c>
      <c r="J140" s="61">
        <f ca="1">(IF(B129=1,(H129/(B129+3)+J135),IF(B129=0,(H129/4+J135),IF(B129&gt;1,0))))</f>
        <v>24</v>
      </c>
    </row>
    <row r="141" spans="1:10" ht="16.5" thickBot="1" x14ac:dyDescent="0.3">
      <c r="A141" s="112" t="s">
        <v>177</v>
      </c>
      <c r="B141" s="112"/>
      <c r="C141" s="58">
        <v>0</v>
      </c>
      <c r="D141" s="107">
        <f ca="1">((100/(H129))*C141)/100</f>
        <v>0</v>
      </c>
      <c r="E141" s="115"/>
      <c r="F141" s="115"/>
      <c r="G141" s="115"/>
      <c r="H141" s="115"/>
      <c r="I141" s="41" t="s">
        <v>135</v>
      </c>
      <c r="J141" s="64">
        <f ca="1">(IF(B129&gt;1.5,(H129/(B129+2)+J135+MAX(0,J136-J135)+MAX(0,J137-J136)+MAX(0,J138-J137)+MAX(0,J139-J138)+MAX(0,J140-J139)),IF(B129=1,(H129/(B129+3)+J140),IF(B129=0,H129/4+J140))))</f>
        <v>32</v>
      </c>
    </row>
    <row r="142" spans="1:10" ht="15.75" customHeight="1" x14ac:dyDescent="0.25">
      <c r="A142" s="126" t="s">
        <v>187</v>
      </c>
      <c r="B142" s="127"/>
      <c r="C142" s="128" t="s">
        <v>300</v>
      </c>
      <c r="D142" s="129"/>
      <c r="E142" s="129"/>
      <c r="F142" s="129"/>
      <c r="G142" s="129"/>
      <c r="H142" s="130"/>
      <c r="I142" s="31" t="str">
        <f ca="1">(IF(E146&gt;99%,"All work completed. Please provide OC.",IF(E146&gt;89.8%,"Plinth, RCC, Brick, Plaster, Flooring, Painting work Completed. Finishing work is in process.",IF(E146&lt;94%,(IF(C146=0,"Work not yet Started.",IF(D146=25%,"Piling work in process",IF(D146=50%,"Excavation work in process",IF(D146=100%,"Excavation work Completed. ","0")))&amp;(IF(C147=0%,"",IF(C147=J148,"Footing work is process",IF(C147=J149,"Footing work Completed",IF(C147=J150,"1st Basement Completed",IF(C147=J151,"1st &amp; 2nd Basement Completed",IF(C147=J152,"1st to 3rd Basement Completed",IF(C147=J153,"1st to 4th Basement Completed",IF(C147=J154,"Plinth work is process",IF(C147=J155,"Plinth work completed","0")))))))))))&amp;(IF(C148=(D143+F143+H143),", RCC Slab",IF(C148&gt;0,", RCC upto "&amp;C148&amp;" Slab",""))&amp;(IF(C149=H143,", Brickwork",IF(C149&gt;0,", Brickwork upto "&amp;C149&amp;" Floor",""))&amp;(IF(C150=H143,", Internal Plaster",IF(C150&gt;0,", Internal Plaster upto "&amp;C150&amp;" Floor",""))&amp;(IF(C151=H143,", External Plaster",IF(C151&gt;0,", External Plaster upto "&amp;C151&amp;" Floor",""))&amp;(IF(C152=H143,", Flooring",IF(C152&gt;0,", Flooring upto "&amp;C152&amp;" Floor",""))&amp;(IF(C153=H143,", Painting",IF(C153&gt;0,", Painting upto "&amp;C153&amp;" Floor",""))&amp;(IF(C154&gt;0,", Finishing upto "&amp;C154&amp;" Floor","")&amp;(IF(C148&gt;0.5," Completed",""))))))))))))))</f>
        <v>Excavation work Completed. Plinth work completed, RCC upto 26 Slab, Brickwork upto 25 Floor, Internal Plaster upto 21 Floor, External Plaster upto 20 Floor Completed</v>
      </c>
      <c r="J142" s="55"/>
    </row>
    <row r="143" spans="1:10" x14ac:dyDescent="0.25">
      <c r="A143" s="95" t="s">
        <v>189</v>
      </c>
      <c r="B143" s="96">
        <v>1</v>
      </c>
      <c r="C143" s="96" t="s">
        <v>99</v>
      </c>
      <c r="D143" s="96">
        <v>1</v>
      </c>
      <c r="E143" s="96" t="s">
        <v>98</v>
      </c>
      <c r="F143" s="96">
        <v>0</v>
      </c>
      <c r="G143" s="96" t="s">
        <v>108</v>
      </c>
      <c r="H143" s="40">
        <f ca="1">--TRIM(RIGHT(SUBSTITUTE(LEFT(C142,_xlfn.AGGREGATE(16,6,FIND({0,1,2,3,4,5,6,7,8,9},C142,ROW(INDIRECT("1:"&amp;LEN(C142)))),1))," ",REPT(" ",LEN(C142))),LEN(C142)))</f>
        <v>32</v>
      </c>
      <c r="I143" s="32"/>
      <c r="J143" s="56"/>
    </row>
    <row r="144" spans="1:10" ht="47.25" customHeight="1" x14ac:dyDescent="0.25">
      <c r="A144" s="141" t="s">
        <v>118</v>
      </c>
      <c r="B144" s="113"/>
      <c r="C144" s="114" t="str">
        <f ca="1">I142</f>
        <v>Excavation work Completed. Plinth work completed, RCC upto 26 Slab, Brickwork upto 25 Floor, Internal Plaster upto 21 Floor, External Plaster upto 20 Floor Completed</v>
      </c>
      <c r="D144" s="114"/>
      <c r="E144" s="114"/>
      <c r="F144" s="114"/>
      <c r="G144" s="114"/>
      <c r="H144" s="142"/>
      <c r="I144" s="32" t="s">
        <v>136</v>
      </c>
      <c r="J144" s="56"/>
    </row>
    <row r="145" spans="1:11" ht="15.75" customHeight="1" x14ac:dyDescent="0.25">
      <c r="A145" s="117" t="s">
        <v>50</v>
      </c>
      <c r="B145" s="112"/>
      <c r="C145" s="94" t="s">
        <v>186</v>
      </c>
      <c r="D145" s="94" t="s">
        <v>111</v>
      </c>
      <c r="E145" s="112" t="s">
        <v>113</v>
      </c>
      <c r="F145" s="112"/>
      <c r="G145" s="112" t="s">
        <v>112</v>
      </c>
      <c r="H145" s="140"/>
      <c r="I145" s="20" t="s">
        <v>188</v>
      </c>
      <c r="J145" s="57">
        <f ca="1">H143*25%</f>
        <v>8</v>
      </c>
    </row>
    <row r="146" spans="1:11" x14ac:dyDescent="0.25">
      <c r="A146" s="112" t="s">
        <v>171</v>
      </c>
      <c r="B146" s="112"/>
      <c r="C146" s="58">
        <f ca="1">J147</f>
        <v>32</v>
      </c>
      <c r="D146" s="107">
        <f ca="1">((100/H143)*C146)/100</f>
        <v>1</v>
      </c>
      <c r="E146" s="115">
        <f ca="1">(((C147/H143*10)+(40/(D143+F143+H143)*C148)+(7.5/(H143)*C149)+(7.5/(H143)*C150)+(10/H143*C151)+(10/H143*C152)+(5/H143*C153)+(5/H143*C154)+(5/H143*C155))/100)</f>
        <v>0.58546401515151514</v>
      </c>
      <c r="F146" s="115"/>
      <c r="G146" s="115">
        <f ca="1">((((C146/H143)*20)+((C147/H143)*25)+(30/(H143+F143+D143)*C148)+(5/H143*C149)+(5/H143*C150)+(5/H143*C151)+(5/H143*C152)+(0/H143*C153)+(0/H143*C154)+(5/H143*C155))/100)</f>
        <v>0.78948863636363642</v>
      </c>
      <c r="H146" s="115"/>
      <c r="I146" s="20" t="s">
        <v>130</v>
      </c>
      <c r="J146" s="59">
        <f ca="1">H143*50%</f>
        <v>16</v>
      </c>
    </row>
    <row r="147" spans="1:11" x14ac:dyDescent="0.25">
      <c r="A147" s="112" t="s">
        <v>51</v>
      </c>
      <c r="B147" s="112"/>
      <c r="C147" s="60">
        <v>32</v>
      </c>
      <c r="D147" s="107">
        <f ca="1">((100/H143)*C147)/100</f>
        <v>1</v>
      </c>
      <c r="E147" s="115"/>
      <c r="F147" s="115"/>
      <c r="G147" s="115"/>
      <c r="H147" s="115"/>
      <c r="I147" s="20" t="s">
        <v>131</v>
      </c>
      <c r="J147" s="59">
        <f ca="1">H143</f>
        <v>32</v>
      </c>
    </row>
    <row r="148" spans="1:11" ht="15.75" customHeight="1" x14ac:dyDescent="0.25">
      <c r="A148" s="116" t="s">
        <v>172</v>
      </c>
      <c r="B148" s="116"/>
      <c r="C148" s="60">
        <v>26</v>
      </c>
      <c r="D148" s="107">
        <f ca="1">((100/(D143+F143+H143))*C148)/100</f>
        <v>0.78787878787878785</v>
      </c>
      <c r="E148" s="115"/>
      <c r="F148" s="115"/>
      <c r="G148" s="115"/>
      <c r="H148" s="115"/>
      <c r="I148" s="20" t="s">
        <v>132</v>
      </c>
      <c r="J148" s="61">
        <f ca="1">(IF(B143&gt;1,(H143/(B143+2)),H143/4))</f>
        <v>8</v>
      </c>
      <c r="K148" s="48">
        <v>23</v>
      </c>
    </row>
    <row r="149" spans="1:11" ht="15.75" customHeight="1" x14ac:dyDescent="0.25">
      <c r="A149" s="112" t="s">
        <v>180</v>
      </c>
      <c r="B149" s="112" t="s">
        <v>173</v>
      </c>
      <c r="C149" s="60">
        <f>C148-1</f>
        <v>25</v>
      </c>
      <c r="D149" s="107">
        <f ca="1">((100/H143)*C149)/100</f>
        <v>0.78125</v>
      </c>
      <c r="E149" s="115"/>
      <c r="F149" s="115"/>
      <c r="G149" s="115"/>
      <c r="H149" s="115"/>
      <c r="I149" s="20" t="s">
        <v>133</v>
      </c>
      <c r="J149" s="61">
        <f ca="1">(IF(B143&gt;1,(H143/(B143+2)+J148),H143/4+J148))</f>
        <v>16</v>
      </c>
    </row>
    <row r="150" spans="1:11" ht="15.75" customHeight="1" x14ac:dyDescent="0.25">
      <c r="A150" s="112" t="s">
        <v>181</v>
      </c>
      <c r="B150" s="112" t="s">
        <v>173</v>
      </c>
      <c r="C150" s="60">
        <v>21</v>
      </c>
      <c r="D150" s="107">
        <f ca="1">((100/H143)*C150)/100</f>
        <v>0.65625</v>
      </c>
      <c r="E150" s="115"/>
      <c r="F150" s="115"/>
      <c r="G150" s="115"/>
      <c r="H150" s="115"/>
      <c r="I150" s="20" t="s">
        <v>190</v>
      </c>
      <c r="J150" s="61">
        <f>(IF(B143&gt;1,(H143/(B143+2)+J149),0))</f>
        <v>0</v>
      </c>
    </row>
    <row r="151" spans="1:11" ht="15" customHeight="1" x14ac:dyDescent="0.25">
      <c r="A151" s="112" t="s">
        <v>179</v>
      </c>
      <c r="B151" s="112" t="s">
        <v>175</v>
      </c>
      <c r="C151" s="60">
        <v>20</v>
      </c>
      <c r="D151" s="107">
        <f ca="1">((100/(H143))*C151)/100</f>
        <v>0.625</v>
      </c>
      <c r="E151" s="115"/>
      <c r="F151" s="115"/>
      <c r="G151" s="115"/>
      <c r="H151" s="115"/>
      <c r="I151" s="20" t="s">
        <v>191</v>
      </c>
      <c r="J151" s="61">
        <f>(IF(B143&gt;2,(H143/(B143+2)+J150),0))</f>
        <v>0</v>
      </c>
    </row>
    <row r="152" spans="1:11" ht="15.75" customHeight="1" x14ac:dyDescent="0.25">
      <c r="A152" s="112" t="s">
        <v>174</v>
      </c>
      <c r="B152" s="112" t="s">
        <v>174</v>
      </c>
      <c r="C152" s="58">
        <v>0</v>
      </c>
      <c r="D152" s="107">
        <f ca="1">((100/H143)*C152)/100</f>
        <v>0</v>
      </c>
      <c r="E152" s="115"/>
      <c r="F152" s="115"/>
      <c r="G152" s="115"/>
      <c r="H152" s="115"/>
      <c r="I152" s="20" t="s">
        <v>192</v>
      </c>
      <c r="J152" s="62">
        <f>(IF(B143&gt;3,(H143/(B143+2)+J151),0))</f>
        <v>0</v>
      </c>
    </row>
    <row r="153" spans="1:11" ht="15.75" customHeight="1" x14ac:dyDescent="0.25">
      <c r="A153" s="112" t="s">
        <v>182</v>
      </c>
      <c r="B153" s="112"/>
      <c r="C153" s="58">
        <v>0</v>
      </c>
      <c r="D153" s="107">
        <f ca="1">((100/H143)*C153)/100</f>
        <v>0</v>
      </c>
      <c r="E153" s="115"/>
      <c r="F153" s="115"/>
      <c r="G153" s="115"/>
      <c r="H153" s="115"/>
      <c r="I153" s="20" t="s">
        <v>194</v>
      </c>
      <c r="J153" s="61">
        <f>(IF(B143&gt;4,(H143/(B143+2)+J152),0))</f>
        <v>0</v>
      </c>
    </row>
    <row r="154" spans="1:11" ht="15.75" customHeight="1" x14ac:dyDescent="0.25">
      <c r="A154" s="112" t="s">
        <v>176</v>
      </c>
      <c r="B154" s="112" t="s">
        <v>176</v>
      </c>
      <c r="C154" s="58">
        <v>0</v>
      </c>
      <c r="D154" s="107">
        <f ca="1">((100/(H143))*C154)/100</f>
        <v>0</v>
      </c>
      <c r="E154" s="115"/>
      <c r="F154" s="115"/>
      <c r="G154" s="115"/>
      <c r="H154" s="115"/>
      <c r="I154" s="20" t="s">
        <v>134</v>
      </c>
      <c r="J154" s="61">
        <f ca="1">(IF(B143=1,(H143/(B143+3)+J149),IF(B143=0,(H143/4+J149),IF(B143&gt;1,0))))</f>
        <v>24</v>
      </c>
    </row>
    <row r="155" spans="1:11" ht="16.5" thickBot="1" x14ac:dyDescent="0.3">
      <c r="A155" s="112" t="s">
        <v>177</v>
      </c>
      <c r="B155" s="112"/>
      <c r="C155" s="58">
        <v>0</v>
      </c>
      <c r="D155" s="107">
        <f ca="1">((100/(H143))*C155)/100</f>
        <v>0</v>
      </c>
      <c r="E155" s="115"/>
      <c r="F155" s="115"/>
      <c r="G155" s="115"/>
      <c r="H155" s="115"/>
      <c r="I155" s="41" t="s">
        <v>135</v>
      </c>
      <c r="J155" s="64">
        <f ca="1">(IF(B143&gt;1.5,(H143/(B143+2)+J149+MAX(0,J150-J149)+MAX(0,J151-J150)+MAX(0,J152-J151)+MAX(0,J153-J152)+MAX(0,J154-J153)),IF(B143=1,(H143/(B143+3)+J154),IF(B143=0,H143/4+J154))))</f>
        <v>32</v>
      </c>
    </row>
    <row r="156" spans="1:11" ht="15.75" customHeight="1" x14ac:dyDescent="0.25">
      <c r="A156" s="114" t="s">
        <v>187</v>
      </c>
      <c r="B156" s="114"/>
      <c r="C156" s="114" t="s">
        <v>291</v>
      </c>
      <c r="D156" s="114"/>
      <c r="E156" s="114"/>
      <c r="F156" s="114"/>
      <c r="G156" s="114"/>
      <c r="H156" s="114"/>
      <c r="I156" s="31" t="str">
        <f ca="1">(IF(E160&gt;99%,"All work completed. Please provide OC.",IF(E160&gt;89.8%,"Plinth, RCC, Brick, Plaster, Flooring, Painting work Completed. Finishing work is in process.",IF(E160&lt;94%,(IF(C160=0,"Work not yet Started.",IF(D160=25%,"Piling work in process",IF(D160=50%,"Excavation work in process",IF(D160=100%,"Excavation work Completed. ","0")))&amp;(IF(C161=0%,"",IF(C161=J162,"Footing work is process",IF(C161=J163,"Footing work Completed",IF(C161=J164,"1st Basement Completed",IF(C161=J165,"1st &amp; 2nd Basement Completed",IF(C161=J166,"1st to 3rd Basement Completed",IF(C161=J167,"1st to 4th Basement Completed",IF(C161=J168,"Plinth work is process",IF(C161=J169,"Plinth work completed","0")))))))))))&amp;(IF(C162=(D157+F157+H157),", RCC Slab",IF(C162&gt;0,", RCC upto "&amp;C162&amp;" Slab",""))&amp;(IF(C163=H157,", Brickwork",IF(C163&gt;0,", Brickwork upto "&amp;C163&amp;" Floor",""))&amp;(IF(C164=H157,", Internal Plaster",IF(C164&gt;0,", Internal Plaster upto "&amp;C164&amp;" Floor",""))&amp;(IF(C165=H157,", External Plaster",IF(C165&gt;0,", External Plaster upto "&amp;C165&amp;" Floor",""))&amp;(IF(C166=H157,", Flooring",IF(C166&gt;0,", Flooring upto "&amp;C166&amp;" Floor",""))&amp;(IF(C167=H157,", Painting",IF(C167&gt;0,", Painting upto "&amp;C167&amp;" Floor",""))&amp;(IF(C168&gt;0,", Finishing upto "&amp;C168&amp;" Floor","")&amp;(IF(C162&gt;0.5," Completed",""))))))))))))))</f>
        <v>Excavation work Completed. Plinth work completed, RCC upto 16 Slab, Brickwork upto 15 Floor, Internal Plaster upto 11.25 Floor, External Plaster upto 10.5 Floor Completed</v>
      </c>
      <c r="J156" s="55"/>
    </row>
    <row r="157" spans="1:11" x14ac:dyDescent="0.25">
      <c r="A157" s="108" t="s">
        <v>189</v>
      </c>
      <c r="B157" s="108">
        <v>1</v>
      </c>
      <c r="C157" s="108" t="s">
        <v>99</v>
      </c>
      <c r="D157" s="108">
        <v>1</v>
      </c>
      <c r="E157" s="108" t="s">
        <v>98</v>
      </c>
      <c r="F157" s="108">
        <v>0</v>
      </c>
      <c r="G157" s="108" t="s">
        <v>108</v>
      </c>
      <c r="H157" s="108">
        <f ca="1">--TRIM(RIGHT(SUBSTITUTE(LEFT(C156,_xlfn.AGGREGATE(16,6,FIND({0,1,2,3,4,5,6,7,8,9},C156,ROW(INDIRECT("1:"&amp;LEN(C156)))),1))," ",REPT(" ",LEN(C156))),LEN(C156)))</f>
        <v>32</v>
      </c>
      <c r="I157" s="32"/>
      <c r="J157" s="56"/>
    </row>
    <row r="158" spans="1:11" ht="47.25" customHeight="1" x14ac:dyDescent="0.25">
      <c r="A158" s="113" t="s">
        <v>118</v>
      </c>
      <c r="B158" s="113"/>
      <c r="C158" s="114" t="str">
        <f ca="1">I156</f>
        <v>Excavation work Completed. Plinth work completed, RCC upto 16 Slab, Brickwork upto 15 Floor, Internal Plaster upto 11.25 Floor, External Plaster upto 10.5 Floor Completed</v>
      </c>
      <c r="D158" s="114"/>
      <c r="E158" s="114"/>
      <c r="F158" s="114"/>
      <c r="G158" s="114"/>
      <c r="H158" s="114"/>
      <c r="I158" s="32" t="s">
        <v>136</v>
      </c>
      <c r="J158" s="56"/>
    </row>
    <row r="159" spans="1:11" ht="15.75" customHeight="1" x14ac:dyDescent="0.25">
      <c r="A159" s="112" t="s">
        <v>50</v>
      </c>
      <c r="B159" s="112"/>
      <c r="C159" s="106" t="s">
        <v>186</v>
      </c>
      <c r="D159" s="106" t="s">
        <v>111</v>
      </c>
      <c r="E159" s="112" t="s">
        <v>113</v>
      </c>
      <c r="F159" s="112"/>
      <c r="G159" s="112" t="s">
        <v>112</v>
      </c>
      <c r="H159" s="112"/>
      <c r="I159" s="20" t="s">
        <v>188</v>
      </c>
      <c r="J159" s="57">
        <f ca="1">H157*25%</f>
        <v>8</v>
      </c>
    </row>
    <row r="160" spans="1:11" x14ac:dyDescent="0.25">
      <c r="A160" s="112" t="s">
        <v>171</v>
      </c>
      <c r="B160" s="112"/>
      <c r="C160" s="58">
        <v>32</v>
      </c>
      <c r="D160" s="107">
        <f ca="1">((100/H157)*C160)/100</f>
        <v>1</v>
      </c>
      <c r="E160" s="115">
        <f ca="1">(((C161/H157*10)+(40/(D157+F157+H157)*C162)+(7.5/(H157)*C163)+(7.5/(H157)*C164)+(10/H157*C165)+(10/H157*C166)+(5/H157*C167)+(5/H157*C168)+(5/H157*C169))/100)</f>
        <v>0.38827533143939391</v>
      </c>
      <c r="F160" s="115"/>
      <c r="G160" s="115">
        <f ca="1">((((C160/H157)*20)+((C161/H157)*25)+(30/(H157+F157+D157)*C162)+(5/H157*C163)+(5/H157*C164)+(5/H157*C165)+(5/H157*C166)+(0/H157*C167)+(0/H157*C168)+(5/H157*C169))/100)</f>
        <v>0.65287642045454541</v>
      </c>
      <c r="H160" s="115"/>
      <c r="I160" s="20" t="s">
        <v>130</v>
      </c>
      <c r="J160" s="59">
        <f ca="1">H157*50%</f>
        <v>16</v>
      </c>
    </row>
    <row r="161" spans="1:12" x14ac:dyDescent="0.25">
      <c r="A161" s="112" t="s">
        <v>51</v>
      </c>
      <c r="B161" s="112"/>
      <c r="C161" s="60">
        <v>32</v>
      </c>
      <c r="D161" s="107">
        <f ca="1">((100/H157)*C161)/100</f>
        <v>1</v>
      </c>
      <c r="E161" s="115"/>
      <c r="F161" s="115"/>
      <c r="G161" s="115"/>
      <c r="H161" s="115"/>
      <c r="I161" s="20" t="s">
        <v>131</v>
      </c>
      <c r="J161" s="59">
        <f ca="1">H157</f>
        <v>32</v>
      </c>
    </row>
    <row r="162" spans="1:12" ht="15.75" customHeight="1" x14ac:dyDescent="0.25">
      <c r="A162" s="112" t="s">
        <v>172</v>
      </c>
      <c r="B162" s="112"/>
      <c r="C162" s="60">
        <v>16</v>
      </c>
      <c r="D162" s="107">
        <f ca="1">((100/(D157+F157+H157))*C162)/100</f>
        <v>0.48484848484848486</v>
      </c>
      <c r="E162" s="115"/>
      <c r="F162" s="115"/>
      <c r="G162" s="115"/>
      <c r="H162" s="115"/>
      <c r="I162" s="20" t="s">
        <v>132</v>
      </c>
      <c r="J162" s="61">
        <f ca="1">(IF(B157&gt;1,(H157/(B157+2)),H157/4))</f>
        <v>8</v>
      </c>
    </row>
    <row r="163" spans="1:12" ht="15.75" customHeight="1" x14ac:dyDescent="0.25">
      <c r="A163" s="112" t="s">
        <v>180</v>
      </c>
      <c r="B163" s="112" t="s">
        <v>173</v>
      </c>
      <c r="C163" s="60">
        <f>C162-1</f>
        <v>15</v>
      </c>
      <c r="D163" s="107">
        <f ca="1">((100/H157)*C163)/100</f>
        <v>0.46875</v>
      </c>
      <c r="E163" s="115"/>
      <c r="F163" s="115"/>
      <c r="G163" s="115"/>
      <c r="H163" s="115"/>
      <c r="I163" s="20" t="s">
        <v>133</v>
      </c>
      <c r="J163" s="61">
        <f ca="1">(IF(B157&gt;1,(H157/(B157+2)+J162),H157/4+J162))</f>
        <v>16</v>
      </c>
    </row>
    <row r="164" spans="1:12" ht="15.75" customHeight="1" x14ac:dyDescent="0.25">
      <c r="A164" s="112" t="s">
        <v>181</v>
      </c>
      <c r="B164" s="112" t="s">
        <v>173</v>
      </c>
      <c r="C164" s="60">
        <f>C163*0.75</f>
        <v>11.25</v>
      </c>
      <c r="D164" s="107">
        <f ca="1">((100/H157)*C164)/100</f>
        <v>0.3515625</v>
      </c>
      <c r="E164" s="115"/>
      <c r="F164" s="115"/>
      <c r="G164" s="115"/>
      <c r="H164" s="115"/>
      <c r="I164" s="20" t="s">
        <v>190</v>
      </c>
      <c r="J164" s="61">
        <f>(IF(B157&gt;1,(H157/(B157+2)+J163),0))</f>
        <v>0</v>
      </c>
    </row>
    <row r="165" spans="1:12" ht="15" customHeight="1" x14ac:dyDescent="0.25">
      <c r="A165" s="112" t="s">
        <v>179</v>
      </c>
      <c r="B165" s="112" t="s">
        <v>175</v>
      </c>
      <c r="C165" s="60">
        <f>C163*0.7</f>
        <v>10.5</v>
      </c>
      <c r="D165" s="107">
        <f ca="1">((100/(H157))*C165)/100</f>
        <v>0.328125</v>
      </c>
      <c r="E165" s="115"/>
      <c r="F165" s="115"/>
      <c r="G165" s="115"/>
      <c r="H165" s="115"/>
      <c r="I165" s="20" t="s">
        <v>191</v>
      </c>
      <c r="J165" s="61">
        <f>(IF(B157&gt;2,(H157/(B157+2)+J164),0))</f>
        <v>0</v>
      </c>
    </row>
    <row r="166" spans="1:12" ht="15.75" customHeight="1" x14ac:dyDescent="0.25">
      <c r="A166" s="112" t="s">
        <v>174</v>
      </c>
      <c r="B166" s="112" t="s">
        <v>174</v>
      </c>
      <c r="C166" s="58">
        <v>0</v>
      </c>
      <c r="D166" s="107">
        <f ca="1">((100/H157)*C166)/100</f>
        <v>0</v>
      </c>
      <c r="E166" s="115"/>
      <c r="F166" s="115"/>
      <c r="G166" s="115"/>
      <c r="H166" s="115"/>
      <c r="I166" s="20" t="s">
        <v>192</v>
      </c>
      <c r="J166" s="62">
        <f>(IF(B157&gt;3,(H157/(B157+2)+J165),0))</f>
        <v>0</v>
      </c>
    </row>
    <row r="167" spans="1:12" ht="15.75" customHeight="1" x14ac:dyDescent="0.25">
      <c r="A167" s="112" t="s">
        <v>182</v>
      </c>
      <c r="B167" s="112"/>
      <c r="C167" s="58">
        <v>0</v>
      </c>
      <c r="D167" s="107">
        <f ca="1">((100/H157)*C167)/100</f>
        <v>0</v>
      </c>
      <c r="E167" s="115"/>
      <c r="F167" s="115"/>
      <c r="G167" s="115"/>
      <c r="H167" s="115"/>
      <c r="I167" s="20" t="s">
        <v>194</v>
      </c>
      <c r="J167" s="61">
        <f>(IF(B157&gt;4,(H157/(B157+2)+J166),0))</f>
        <v>0</v>
      </c>
    </row>
    <row r="168" spans="1:12" ht="15.75" customHeight="1" x14ac:dyDescent="0.25">
      <c r="A168" s="112" t="s">
        <v>176</v>
      </c>
      <c r="B168" s="112" t="s">
        <v>176</v>
      </c>
      <c r="C168" s="58">
        <v>0</v>
      </c>
      <c r="D168" s="107">
        <f ca="1">((100/(H157))*C168)/100</f>
        <v>0</v>
      </c>
      <c r="E168" s="115"/>
      <c r="F168" s="115"/>
      <c r="G168" s="115"/>
      <c r="H168" s="115"/>
      <c r="I168" s="20" t="s">
        <v>134</v>
      </c>
      <c r="J168" s="61">
        <f ca="1">(IF(B157=1,(H157/(B157+3)+J163),IF(B157=0,(H157/4+J163),IF(B157&gt;1,0))))</f>
        <v>24</v>
      </c>
    </row>
    <row r="169" spans="1:12" ht="16.5" thickBot="1" x14ac:dyDescent="0.3">
      <c r="A169" s="112" t="s">
        <v>177</v>
      </c>
      <c r="B169" s="112"/>
      <c r="C169" s="58">
        <v>0</v>
      </c>
      <c r="D169" s="107">
        <f ca="1">((100/(H157))*C169)/100</f>
        <v>0</v>
      </c>
      <c r="E169" s="115"/>
      <c r="F169" s="115"/>
      <c r="G169" s="115"/>
      <c r="H169" s="115"/>
      <c r="I169" s="41" t="s">
        <v>135</v>
      </c>
      <c r="J169" s="64">
        <f ca="1">(IF(B157&gt;1.5,(H157/(B157+2)+J163+MAX(0,J164-J163)+MAX(0,J165-J164)+MAX(0,J166-J165)+MAX(0,J167-J166)+MAX(0,J168-J167)),IF(B157=1,(H157/(B157+3)+J168),IF(B157=0,H157/4+J168))))</f>
        <v>32</v>
      </c>
    </row>
    <row r="170" spans="1:12" ht="15.75" customHeight="1" x14ac:dyDescent="0.25">
      <c r="A170" s="126" t="s">
        <v>187</v>
      </c>
      <c r="B170" s="127"/>
      <c r="C170" s="128" t="s">
        <v>290</v>
      </c>
      <c r="D170" s="129"/>
      <c r="E170" s="129"/>
      <c r="F170" s="129"/>
      <c r="G170" s="129"/>
      <c r="H170" s="130"/>
      <c r="I170" s="31" t="str">
        <f ca="1">(IF(E174&gt;99%,"All work completed. Please provide OC.",IF(E174&gt;89.8%,"Plinth, RCC, Brick, Plaster, Flooring, Painting work Completed. Finishing work is in process.",IF(E174&lt;94%,(IF(C174=0,"Work not yet Started.",IF(D174=25%,"Piling work in process",IF(D174=50%,"Excavation work in process",IF(D174=100%,"Excavation work Completed. ","0")))&amp;(IF(C175=0%,"",IF(C175=J176,"Footing work is process",IF(C175=J177,"Footing work Completed",IF(C175=J178,"1st Basement Completed",IF(C175=J179,"1st &amp; 2nd Basement Completed",IF(C175=J180,"1st to 3rd Basement Completed",IF(C175=J181,"1st to 4th Basement Completed",IF(C175=J182,"Plinth work is process",IF(C175=J183,"Plinth work completed","0")))))))))))&amp;(IF(C176=(D171+F171+H171),", RCC Slab",IF(C176&gt;0,", RCC upto "&amp;C176&amp;" Slab",""))&amp;(IF(C177=H171,", Brickwork",IF(C177&gt;0,", Brickwork upto "&amp;C177&amp;" Floor",""))&amp;(IF(C178=H171,", Internal Plaster",IF(C178&gt;0,", Internal Plaster upto "&amp;C178&amp;" Floor",""))&amp;(IF(C179=H171,", External Plaster",IF(C179&gt;0,", External Plaster upto "&amp;C179&amp;" Floor",""))&amp;(IF(C180=H171,", Flooring",IF(C180&gt;0,", Flooring upto "&amp;C180&amp;" Floor",""))&amp;(IF(C181=H171,", Painting",IF(C181&gt;0,", Painting upto "&amp;C181&amp;" Floor",""))&amp;(IF(C182&gt;0,", Finishing upto "&amp;C182&amp;" Floor","")&amp;(IF(C176&gt;0.5," Completed",""))))))))))))))</f>
        <v>Excavation work Completed. Plinth work completed, RCC upto 13 Slab, Brickwork upto 12 Floor, Internal Plaster upto 9.6 Floor, External Plaster upto 9 Floor Completed</v>
      </c>
      <c r="J170" s="55"/>
    </row>
    <row r="171" spans="1:12" x14ac:dyDescent="0.25">
      <c r="A171" s="90" t="s">
        <v>189</v>
      </c>
      <c r="B171" s="91">
        <v>1</v>
      </c>
      <c r="C171" s="91" t="s">
        <v>99</v>
      </c>
      <c r="D171" s="91">
        <v>1</v>
      </c>
      <c r="E171" s="91" t="s">
        <v>98</v>
      </c>
      <c r="F171" s="91">
        <v>0</v>
      </c>
      <c r="G171" s="91" t="s">
        <v>108</v>
      </c>
      <c r="H171" s="40">
        <f ca="1">--TRIM(RIGHT(SUBSTITUTE(LEFT(C170,_xlfn.AGGREGATE(16,6,FIND({0,1,2,3,4,5,6,7,8,9},C170,ROW(INDIRECT("1:"&amp;LEN(C170)))),1))," ",REPT(" ",LEN(C170))),LEN(C170)))</f>
        <v>32</v>
      </c>
      <c r="I171" s="32"/>
      <c r="J171" s="56"/>
    </row>
    <row r="172" spans="1:12" ht="45.95" customHeight="1" x14ac:dyDescent="0.25">
      <c r="A172" s="141" t="s">
        <v>118</v>
      </c>
      <c r="B172" s="113"/>
      <c r="C172" s="114" t="str">
        <f ca="1">I170</f>
        <v>Excavation work Completed. Plinth work completed, RCC upto 13 Slab, Brickwork upto 12 Floor, Internal Plaster upto 9.6 Floor, External Plaster upto 9 Floor Completed</v>
      </c>
      <c r="D172" s="114"/>
      <c r="E172" s="114"/>
      <c r="F172" s="114"/>
      <c r="G172" s="114"/>
      <c r="H172" s="142"/>
      <c r="I172" s="32" t="s">
        <v>136</v>
      </c>
      <c r="J172" s="56"/>
    </row>
    <row r="173" spans="1:12" ht="15.75" customHeight="1" x14ac:dyDescent="0.25">
      <c r="A173" s="117" t="s">
        <v>50</v>
      </c>
      <c r="B173" s="112"/>
      <c r="C173" s="87" t="s">
        <v>186</v>
      </c>
      <c r="D173" s="87" t="s">
        <v>111</v>
      </c>
      <c r="E173" s="112" t="s">
        <v>113</v>
      </c>
      <c r="F173" s="112"/>
      <c r="G173" s="112" t="s">
        <v>112</v>
      </c>
      <c r="H173" s="140"/>
      <c r="I173" s="20" t="s">
        <v>188</v>
      </c>
      <c r="J173" s="57">
        <f ca="1">H171*25%</f>
        <v>8</v>
      </c>
    </row>
    <row r="174" spans="1:12" x14ac:dyDescent="0.25">
      <c r="A174" s="117" t="s">
        <v>171</v>
      </c>
      <c r="B174" s="112"/>
      <c r="C174" s="58">
        <v>32</v>
      </c>
      <c r="D174" s="88">
        <f ca="1">((100/H171)*C174)/100</f>
        <v>1</v>
      </c>
      <c r="E174" s="115">
        <f ca="1">(((C175/H171*10)+(40/(D171+F171+H171)*C176)+(7.5/(H171)*C177)+(7.5/(H171)*C178)+(10/H171*C179)+(10/H171*C180)+(5/H171*C181)+(5/H171*C182)+(5/H171*C183))/100)</f>
        <v>0.33632575757575756</v>
      </c>
      <c r="F174" s="115"/>
      <c r="G174" s="115">
        <f ca="1">((((C174/H171)*20)+((C175/H171)*25)+(30/(H171+F171+D171)*C176)+(5/H171*C177)+(5/H171*C178)+(5/H171*C179)+(5/H171*C180)+(0/H171*C181)+(0/H171*C182)+(5/H171*C183))/100)</f>
        <v>0.61599431818181816</v>
      </c>
      <c r="H174" s="119"/>
      <c r="I174" s="20" t="s">
        <v>130</v>
      </c>
      <c r="J174" s="59">
        <f ca="1">H171*50%</f>
        <v>16</v>
      </c>
    </row>
    <row r="175" spans="1:12" x14ac:dyDescent="0.25">
      <c r="A175" s="117" t="s">
        <v>51</v>
      </c>
      <c r="B175" s="112"/>
      <c r="C175" s="60">
        <f ca="1">J183</f>
        <v>32</v>
      </c>
      <c r="D175" s="88">
        <f ca="1">((100/H171)*C175)/100</f>
        <v>1</v>
      </c>
      <c r="E175" s="115"/>
      <c r="F175" s="115"/>
      <c r="G175" s="115"/>
      <c r="H175" s="119"/>
      <c r="I175" s="20" t="s">
        <v>131</v>
      </c>
      <c r="J175" s="59">
        <f ca="1">H171</f>
        <v>32</v>
      </c>
      <c r="L175" s="48">
        <f>0.09*32</f>
        <v>2.88</v>
      </c>
    </row>
    <row r="176" spans="1:12" ht="15.75" customHeight="1" x14ac:dyDescent="0.25">
      <c r="A176" s="117" t="s">
        <v>172</v>
      </c>
      <c r="B176" s="112"/>
      <c r="C176" s="60">
        <v>13</v>
      </c>
      <c r="D176" s="88">
        <f ca="1">((100/(D171+F171+H171))*C176)/100</f>
        <v>0.39393939393939392</v>
      </c>
      <c r="E176" s="115"/>
      <c r="F176" s="115"/>
      <c r="G176" s="115"/>
      <c r="H176" s="119"/>
      <c r="I176" s="20" t="s">
        <v>132</v>
      </c>
      <c r="J176" s="61">
        <f ca="1">(IF(B171&gt;1,(H171/(B171+2)),H171/4))</f>
        <v>8</v>
      </c>
    </row>
    <row r="177" spans="1:19" ht="15.75" customHeight="1" x14ac:dyDescent="0.25">
      <c r="A177" s="117" t="s">
        <v>180</v>
      </c>
      <c r="B177" s="112" t="s">
        <v>173</v>
      </c>
      <c r="C177" s="60">
        <f>C176-1</f>
        <v>12</v>
      </c>
      <c r="D177" s="88">
        <f ca="1">((100/H171)*C177)/100</f>
        <v>0.375</v>
      </c>
      <c r="E177" s="115"/>
      <c r="F177" s="115"/>
      <c r="G177" s="115"/>
      <c r="H177" s="119"/>
      <c r="I177" s="20" t="s">
        <v>133</v>
      </c>
      <c r="J177" s="61">
        <f ca="1">(IF(B171&gt;1,(H171/(B171+2)+J176),H171/4+J176))</f>
        <v>16</v>
      </c>
    </row>
    <row r="178" spans="1:19" ht="15.75" customHeight="1" x14ac:dyDescent="0.25">
      <c r="A178" s="117" t="s">
        <v>181</v>
      </c>
      <c r="B178" s="112" t="s">
        <v>173</v>
      </c>
      <c r="C178" s="60">
        <f>C177*0.8</f>
        <v>9.6000000000000014</v>
      </c>
      <c r="D178" s="88">
        <f ca="1">((100/H171)*C178)/100</f>
        <v>0.30000000000000004</v>
      </c>
      <c r="E178" s="115"/>
      <c r="F178" s="115"/>
      <c r="G178" s="115"/>
      <c r="H178" s="119"/>
      <c r="I178" s="20" t="s">
        <v>190</v>
      </c>
      <c r="J178" s="61">
        <f>(IF(B171&gt;1,(H171/(B171+2)+J177),0))</f>
        <v>0</v>
      </c>
    </row>
    <row r="179" spans="1:19" ht="15" customHeight="1" x14ac:dyDescent="0.25">
      <c r="A179" s="117" t="s">
        <v>179</v>
      </c>
      <c r="B179" s="112" t="s">
        <v>175</v>
      </c>
      <c r="C179" s="60">
        <f>C177*0.75</f>
        <v>9</v>
      </c>
      <c r="D179" s="88">
        <f ca="1">((100/(H171))*C179)/100</f>
        <v>0.28125</v>
      </c>
      <c r="E179" s="115"/>
      <c r="F179" s="115"/>
      <c r="G179" s="115"/>
      <c r="H179" s="119"/>
      <c r="I179" s="20" t="s">
        <v>191</v>
      </c>
      <c r="J179" s="61">
        <f>(IF(B171&gt;2,(H171/(B171+2)+J178),0))</f>
        <v>0</v>
      </c>
    </row>
    <row r="180" spans="1:19" ht="15.75" customHeight="1" x14ac:dyDescent="0.25">
      <c r="A180" s="117" t="s">
        <v>174</v>
      </c>
      <c r="B180" s="112" t="s">
        <v>174</v>
      </c>
      <c r="C180" s="60">
        <v>0</v>
      </c>
      <c r="D180" s="88">
        <f ca="1">((100/H171)*C180)/100</f>
        <v>0</v>
      </c>
      <c r="E180" s="115"/>
      <c r="F180" s="115"/>
      <c r="G180" s="115"/>
      <c r="H180" s="119"/>
      <c r="I180" s="20" t="s">
        <v>192</v>
      </c>
      <c r="J180" s="62">
        <f>(IF(B171&gt;3,(H171/(B171+2)+J179),0))</f>
        <v>0</v>
      </c>
    </row>
    <row r="181" spans="1:19" ht="15.75" customHeight="1" x14ac:dyDescent="0.25">
      <c r="A181" s="117" t="s">
        <v>182</v>
      </c>
      <c r="B181" s="112"/>
      <c r="C181" s="58">
        <v>0</v>
      </c>
      <c r="D181" s="88">
        <f ca="1">((100/H171)*C181)/100</f>
        <v>0</v>
      </c>
      <c r="E181" s="115"/>
      <c r="F181" s="115"/>
      <c r="G181" s="115"/>
      <c r="H181" s="119"/>
      <c r="I181" s="20" t="s">
        <v>194</v>
      </c>
      <c r="J181" s="61">
        <f>(IF(B171&gt;4,(H171/(B171+2)+J180),0))</f>
        <v>0</v>
      </c>
    </row>
    <row r="182" spans="1:19" ht="15.75" customHeight="1" x14ac:dyDescent="0.25">
      <c r="A182" s="117" t="s">
        <v>176</v>
      </c>
      <c r="B182" s="112" t="s">
        <v>176</v>
      </c>
      <c r="C182" s="58">
        <v>0</v>
      </c>
      <c r="D182" s="88">
        <f ca="1">((100/(H171))*C182)/100</f>
        <v>0</v>
      </c>
      <c r="E182" s="115"/>
      <c r="F182" s="115"/>
      <c r="G182" s="115"/>
      <c r="H182" s="119"/>
      <c r="I182" s="20" t="s">
        <v>134</v>
      </c>
      <c r="J182" s="61">
        <f ca="1">(IF(B171=1,(H171/(B171+3)+J177),IF(B171=0,(H171/4+J177),IF(B171&gt;1,0))))</f>
        <v>24</v>
      </c>
    </row>
    <row r="183" spans="1:19" ht="16.5" thickBot="1" x14ac:dyDescent="0.3">
      <c r="A183" s="121" t="s">
        <v>177</v>
      </c>
      <c r="B183" s="122"/>
      <c r="C183" s="63">
        <v>0</v>
      </c>
      <c r="D183" s="89">
        <f ca="1">((100/(H171))*C183)/100</f>
        <v>0</v>
      </c>
      <c r="E183" s="118"/>
      <c r="F183" s="118"/>
      <c r="G183" s="118"/>
      <c r="H183" s="120"/>
      <c r="I183" s="41" t="s">
        <v>135</v>
      </c>
      <c r="J183" s="64">
        <f ca="1">(IF(B171&gt;1.5,(H171/(B171+2)+J177+MAX(0,J178-J177)+MAX(0,J179-J178)+MAX(0,J180-J179)+MAX(0,J181-J180)+MAX(0,J182-J181)),IF(B171=1,(H171/(B171+3)+J182),IF(B171=0,H171/4+J182))))</f>
        <v>32</v>
      </c>
    </row>
    <row r="184" spans="1:19" x14ac:dyDescent="0.25">
      <c r="A184" s="223" t="s">
        <v>151</v>
      </c>
      <c r="B184" s="224"/>
      <c r="C184" s="224"/>
      <c r="D184" s="224"/>
      <c r="E184" s="225"/>
      <c r="F184" s="223" t="str">
        <f ca="1">(IF(G90="100%","Yes",IF(G90&gt;0%,"Under Construction",IF(G90=0%,"Work not yet Started"))))</f>
        <v>Under Construction</v>
      </c>
      <c r="G184" s="224"/>
      <c r="H184" s="225"/>
    </row>
    <row r="185" spans="1:19" x14ac:dyDescent="0.25">
      <c r="A185" s="135" t="s">
        <v>52</v>
      </c>
      <c r="B185" s="135"/>
      <c r="C185" s="135"/>
      <c r="D185" s="135"/>
      <c r="E185" s="135"/>
      <c r="F185" s="135"/>
      <c r="G185" s="135"/>
      <c r="H185" s="135"/>
    </row>
    <row r="186" spans="1:19" ht="15" customHeight="1" x14ac:dyDescent="0.25">
      <c r="A186" s="113" t="s">
        <v>102</v>
      </c>
      <c r="B186" s="113"/>
      <c r="C186" s="114" t="s">
        <v>103</v>
      </c>
      <c r="D186" s="114"/>
      <c r="E186" s="114"/>
      <c r="F186" s="114"/>
      <c r="G186" s="114"/>
      <c r="H186" s="114"/>
    </row>
    <row r="187" spans="1:19" x14ac:dyDescent="0.25">
      <c r="A187" s="208" t="s">
        <v>53</v>
      </c>
      <c r="B187" s="208"/>
      <c r="C187" s="208"/>
      <c r="D187" s="208"/>
      <c r="E187" s="208"/>
      <c r="F187" s="208"/>
      <c r="G187" s="208"/>
      <c r="H187" s="208"/>
    </row>
    <row r="188" spans="1:19" s="65" customFormat="1" ht="15.75" customHeight="1" x14ac:dyDescent="0.25">
      <c r="A188" s="183" t="s">
        <v>260</v>
      </c>
      <c r="B188" s="184"/>
      <c r="C188" s="184"/>
      <c r="D188" s="184"/>
      <c r="E188" s="185"/>
      <c r="F188" s="187">
        <v>7900</v>
      </c>
      <c r="G188" s="188"/>
      <c r="H188" s="189"/>
      <c r="I188" s="242" t="s">
        <v>257</v>
      </c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</row>
    <row r="189" spans="1:19" hidden="1" x14ac:dyDescent="0.25">
      <c r="A189" s="190" t="s">
        <v>123</v>
      </c>
      <c r="B189" s="184"/>
      <c r="C189" s="184"/>
      <c r="D189" s="184"/>
      <c r="E189" s="185"/>
      <c r="F189" s="187" t="s">
        <v>30</v>
      </c>
      <c r="G189" s="188"/>
      <c r="H189" s="189"/>
      <c r="I189" s="66"/>
      <c r="J189" s="66"/>
      <c r="K189" s="66"/>
      <c r="L189" s="66"/>
      <c r="M189" s="66"/>
      <c r="N189" s="66"/>
      <c r="O189" s="66"/>
      <c r="P189" s="66"/>
      <c r="Q189" s="66"/>
      <c r="R189" s="66"/>
    </row>
    <row r="190" spans="1:19" s="68" customFormat="1" hidden="1" x14ac:dyDescent="0.25">
      <c r="A190" s="190" t="s">
        <v>124</v>
      </c>
      <c r="B190" s="184"/>
      <c r="C190" s="184"/>
      <c r="D190" s="184"/>
      <c r="E190" s="185"/>
      <c r="F190" s="187" t="s">
        <v>30</v>
      </c>
      <c r="G190" s="188"/>
      <c r="H190" s="189"/>
      <c r="I190" s="66"/>
      <c r="J190" s="66"/>
      <c r="K190" s="66"/>
      <c r="L190" s="66"/>
      <c r="M190" s="66"/>
      <c r="N190" s="66"/>
      <c r="O190" s="66"/>
      <c r="P190" s="66"/>
      <c r="Q190" s="67"/>
      <c r="R190" s="67"/>
    </row>
    <row r="191" spans="1:19" s="68" customFormat="1" hidden="1" x14ac:dyDescent="0.25">
      <c r="A191" s="190" t="s">
        <v>125</v>
      </c>
      <c r="B191" s="184"/>
      <c r="C191" s="184"/>
      <c r="D191" s="184"/>
      <c r="E191" s="185"/>
      <c r="F191" s="187" t="s">
        <v>30</v>
      </c>
      <c r="G191" s="188"/>
      <c r="H191" s="189"/>
      <c r="I191" s="66"/>
      <c r="J191" s="66"/>
      <c r="K191" s="66"/>
      <c r="L191" s="66"/>
      <c r="M191" s="66"/>
      <c r="N191" s="66"/>
      <c r="O191" s="66"/>
      <c r="P191" s="66"/>
      <c r="Q191" s="67"/>
      <c r="R191" s="67"/>
    </row>
    <row r="192" spans="1:19" s="68" customFormat="1" hidden="1" x14ac:dyDescent="0.25">
      <c r="A192" s="190" t="s">
        <v>126</v>
      </c>
      <c r="B192" s="184"/>
      <c r="C192" s="184"/>
      <c r="D192" s="184"/>
      <c r="E192" s="185"/>
      <c r="F192" s="187" t="s">
        <v>30</v>
      </c>
      <c r="G192" s="188"/>
      <c r="H192" s="189"/>
      <c r="I192" s="66"/>
      <c r="J192" s="66"/>
      <c r="K192" s="66"/>
      <c r="L192" s="66"/>
      <c r="M192" s="66"/>
      <c r="N192" s="66"/>
      <c r="O192" s="66"/>
      <c r="P192" s="66"/>
      <c r="Q192" s="67"/>
      <c r="R192" s="67"/>
    </row>
    <row r="193" spans="1:18" s="68" customFormat="1" hidden="1" x14ac:dyDescent="0.25">
      <c r="A193" s="190" t="s">
        <v>127</v>
      </c>
      <c r="B193" s="184"/>
      <c r="C193" s="184"/>
      <c r="D193" s="184"/>
      <c r="E193" s="185"/>
      <c r="F193" s="187" t="s">
        <v>30</v>
      </c>
      <c r="G193" s="188"/>
      <c r="H193" s="189"/>
      <c r="I193" s="66"/>
      <c r="J193" s="66"/>
      <c r="K193" s="66"/>
      <c r="L193" s="66"/>
      <c r="M193" s="66"/>
      <c r="N193" s="66"/>
      <c r="O193" s="66"/>
      <c r="P193" s="66"/>
      <c r="Q193" s="67"/>
      <c r="R193" s="67"/>
    </row>
    <row r="194" spans="1:18" s="68" customFormat="1" hidden="1" x14ac:dyDescent="0.25">
      <c r="A194" s="190" t="s">
        <v>128</v>
      </c>
      <c r="B194" s="184"/>
      <c r="C194" s="184"/>
      <c r="D194" s="184"/>
      <c r="E194" s="185"/>
      <c r="F194" s="187" t="s">
        <v>30</v>
      </c>
      <c r="G194" s="188"/>
      <c r="H194" s="189"/>
      <c r="I194" s="66"/>
      <c r="J194" s="66"/>
      <c r="K194" s="66"/>
      <c r="L194" s="66"/>
      <c r="M194" s="66"/>
      <c r="N194" s="66"/>
      <c r="O194" s="66"/>
      <c r="P194" s="66"/>
      <c r="Q194" s="67"/>
      <c r="R194" s="67"/>
    </row>
    <row r="195" spans="1:18" s="68" customFormat="1" hidden="1" x14ac:dyDescent="0.25">
      <c r="A195" s="190" t="s">
        <v>129</v>
      </c>
      <c r="B195" s="184"/>
      <c r="C195" s="184"/>
      <c r="D195" s="184"/>
      <c r="E195" s="185"/>
      <c r="F195" s="187" t="s">
        <v>30</v>
      </c>
      <c r="G195" s="188"/>
      <c r="H195" s="189"/>
      <c r="I195" s="241" t="s">
        <v>258</v>
      </c>
      <c r="J195" s="241"/>
      <c r="K195" s="241"/>
      <c r="L195" s="241"/>
      <c r="M195" s="241"/>
      <c r="N195" s="241"/>
      <c r="O195" s="241"/>
      <c r="P195" s="241"/>
      <c r="Q195" s="67"/>
      <c r="R195" s="67"/>
    </row>
    <row r="196" spans="1:18" s="68" customFormat="1" x14ac:dyDescent="0.25">
      <c r="A196" s="183" t="s">
        <v>293</v>
      </c>
      <c r="B196" s="184"/>
      <c r="C196" s="184"/>
      <c r="D196" s="184"/>
      <c r="E196" s="185"/>
      <c r="F196" s="146" t="s">
        <v>255</v>
      </c>
      <c r="G196" s="147"/>
      <c r="H196" s="148"/>
      <c r="I196" s="99" t="s">
        <v>306</v>
      </c>
      <c r="J196" s="99"/>
      <c r="K196" s="99"/>
      <c r="L196" s="99"/>
      <c r="M196" s="99"/>
      <c r="N196" s="99"/>
      <c r="O196" s="99"/>
      <c r="P196" s="99"/>
      <c r="Q196" s="99"/>
      <c r="R196" s="99"/>
    </row>
    <row r="197" spans="1:18" s="68" customFormat="1" x14ac:dyDescent="0.25">
      <c r="A197" s="190" t="s">
        <v>54</v>
      </c>
      <c r="B197" s="184"/>
      <c r="C197" s="184"/>
      <c r="D197" s="184"/>
      <c r="E197" s="185"/>
      <c r="F197" s="146" t="s">
        <v>256</v>
      </c>
      <c r="G197" s="147"/>
      <c r="H197" s="148"/>
      <c r="I197" s="241" t="s">
        <v>259</v>
      </c>
      <c r="J197" s="241"/>
      <c r="K197" s="241"/>
      <c r="L197" s="241"/>
      <c r="M197" s="241"/>
      <c r="N197" s="241"/>
      <c r="O197" s="241"/>
      <c r="P197" s="241"/>
      <c r="Q197" s="241"/>
      <c r="R197" s="241"/>
    </row>
    <row r="198" spans="1:18" s="68" customFormat="1" x14ac:dyDescent="0.25">
      <c r="A198" s="220" t="s">
        <v>55</v>
      </c>
      <c r="B198" s="221"/>
      <c r="C198" s="221"/>
      <c r="D198" s="221"/>
      <c r="E198" s="222"/>
      <c r="F198" s="187">
        <f>F188*0.8</f>
        <v>6320</v>
      </c>
      <c r="G198" s="188"/>
      <c r="H198" s="189"/>
      <c r="I198" s="241" t="s">
        <v>307</v>
      </c>
      <c r="J198" s="241"/>
      <c r="K198" s="241"/>
      <c r="L198" s="241"/>
      <c r="M198" s="241"/>
      <c r="N198" s="241"/>
      <c r="O198" s="241"/>
      <c r="P198" s="241"/>
      <c r="Q198" s="241"/>
      <c r="R198" s="241"/>
    </row>
    <row r="199" spans="1:18" s="69" customFormat="1" x14ac:dyDescent="0.25">
      <c r="A199" s="228" t="s">
        <v>97</v>
      </c>
      <c r="B199" s="228"/>
      <c r="C199" s="228"/>
      <c r="D199" s="228"/>
      <c r="E199" s="228"/>
      <c r="F199" s="228"/>
      <c r="G199" s="228"/>
      <c r="H199" s="228"/>
      <c r="I199" s="241"/>
      <c r="J199" s="241"/>
      <c r="K199" s="241"/>
      <c r="L199" s="241"/>
      <c r="M199" s="241"/>
      <c r="N199" s="241"/>
      <c r="O199" s="241"/>
      <c r="P199" s="241"/>
      <c r="Q199" s="241"/>
      <c r="R199" s="241"/>
    </row>
    <row r="200" spans="1:18" s="69" customFormat="1" ht="15.75" customHeight="1" x14ac:dyDescent="0.25">
      <c r="A200" s="198" t="s">
        <v>56</v>
      </c>
      <c r="B200" s="198"/>
      <c r="C200" s="194" t="s">
        <v>106</v>
      </c>
      <c r="D200" s="194"/>
      <c r="E200" s="197" t="s">
        <v>57</v>
      </c>
      <c r="F200" s="197"/>
      <c r="G200" s="198" t="s">
        <v>58</v>
      </c>
      <c r="H200" s="198"/>
      <c r="I200" s="92" t="s">
        <v>294</v>
      </c>
      <c r="K200" s="93">
        <v>45169</v>
      </c>
      <c r="L200" s="92" t="s">
        <v>295</v>
      </c>
      <c r="M200" s="92"/>
      <c r="N200" s="92"/>
      <c r="O200" s="92"/>
      <c r="P200" s="92"/>
      <c r="Q200" s="92" t="s">
        <v>296</v>
      </c>
    </row>
    <row r="201" spans="1:18" s="69" customFormat="1" x14ac:dyDescent="0.25">
      <c r="A201" s="191" t="s">
        <v>210</v>
      </c>
      <c r="B201" s="191"/>
      <c r="C201" s="192">
        <f>COUNT(D218:D221,D223:D227)+COUNT(D229:D238)*26+COUNT(D240:D248)*5</f>
        <v>314</v>
      </c>
      <c r="D201" s="192"/>
      <c r="E201" s="193">
        <f>SUM(D218:D221,D223:D227)+SUM(D229:D238)*26+SUM(D240:D248)*5</f>
        <v>161329.43268000003</v>
      </c>
      <c r="F201" s="193"/>
      <c r="G201" s="193">
        <f>SUM(F218:F221,F223:F227)+SUM(F229:F238)*26+SUM(F240:F248)*5</f>
        <v>258127.09228799999</v>
      </c>
      <c r="H201" s="193"/>
    </row>
    <row r="202" spans="1:18" s="69" customFormat="1" x14ac:dyDescent="0.25">
      <c r="A202" s="191" t="s">
        <v>229</v>
      </c>
      <c r="B202" s="191"/>
      <c r="C202" s="192">
        <f>COUNT(D253:D261)+COUNT(D264:D273)*26+COUNT(D275:D283)*5</f>
        <v>314</v>
      </c>
      <c r="D202" s="192"/>
      <c r="E202" s="193">
        <f>SUM(D253:D261)+SUM(D264:D273)*26+SUM(D275:D283)*5</f>
        <v>155372.74271999995</v>
      </c>
      <c r="F202" s="193"/>
      <c r="G202" s="193">
        <f>SUM(F253:F261)+SUM(F264:F273)*26+SUM(F275:F283)*5</f>
        <v>248596.38835199998</v>
      </c>
      <c r="H202" s="193"/>
    </row>
    <row r="203" spans="1:18" s="69" customFormat="1" x14ac:dyDescent="0.25">
      <c r="A203" s="191" t="s">
        <v>234</v>
      </c>
      <c r="B203" s="191"/>
      <c r="C203" s="192">
        <f>COUNT(D289:D291)+COUNT(D293:D297)+COUNT(D299:D307)*12+COUNT(D309:D312)*2+COUNT(D314:D317)*2+COUNT(D319:D327)*14+COUNT(D329:D332)*3+COUNT(D334:D337)*3</f>
        <v>282</v>
      </c>
      <c r="D203" s="192"/>
      <c r="E203" s="193">
        <f>SUM(D289:D291)+SUM(D293:D297)+SUM(D299:D307)*12+SUM(D309:D312)*2+SUM(D314:D317)*2+SUM(D319:D327)*14+SUM(D329:D332)*3+SUM(D334:D337)*3</f>
        <v>171144.69371999998</v>
      </c>
      <c r="F203" s="193"/>
      <c r="G203" s="193">
        <f>SUM(F289:F291)+SUM(F293:F297)+SUM(F299:F307)*12+SUM(F309:F312)*2+SUM(F314:F317)*2+SUM(F319:F327)*14+SUM(F329:F332)*3+SUM(F334:F337)*3</f>
        <v>273831.50995199999</v>
      </c>
      <c r="H203" s="193"/>
    </row>
    <row r="204" spans="1:18" s="69" customFormat="1" x14ac:dyDescent="0.25">
      <c r="A204" s="191" t="s">
        <v>246</v>
      </c>
      <c r="B204" s="191"/>
      <c r="C204" s="192">
        <f>COUNT(D342:D344)+COUNT(D346:D350)+COUNT(D352:D360)*12+COUNT(D362:D365)*2+COUNT(D367:D370)*2+COUNT(D372:D380)*14+COUNT(D382:D385)*3+COUNT(D387:D390)*3</f>
        <v>282</v>
      </c>
      <c r="D204" s="192"/>
      <c r="E204" s="193">
        <f>SUM(D342:D344)+SUM(D346:D350)+SUM(D352:D360)*12+SUM(D362:D365)*2+SUM(D367:D370)*2+SUM(D372:D380)*14+SUM(D382:D385)*3+SUM(D387:D390)*3</f>
        <v>171658.13652</v>
      </c>
      <c r="F204" s="193"/>
      <c r="G204" s="193">
        <f>SUM(F342:F344)+SUM(F346:F350)+SUM(F352:F360)*12+SUM(F362:F365)*2+SUM(F367:F370)*2+SUM(F372:F380)*14+SUM(F382:F385)*3+SUM(F387:F390)*3</f>
        <v>274653.01843200001</v>
      </c>
      <c r="H204" s="193"/>
    </row>
    <row r="205" spans="1:18" s="69" customFormat="1" x14ac:dyDescent="0.25">
      <c r="A205" s="191" t="s">
        <v>249</v>
      </c>
      <c r="B205" s="191"/>
      <c r="C205" s="192">
        <f>COUNT(D395:D397)+COUNT(D399:D403)+COUNT(D405:D413)*12+COUNT(D415:D418)*2+COUNT(D420:D423)*2+COUNT(D425:D433)*14+COUNT(D435:D438)*3+COUNT(D440:D443)*3</f>
        <v>282</v>
      </c>
      <c r="D205" s="192"/>
      <c r="E205" s="193">
        <f>SUM(D395:D397)+SUM(D399:D403)+SUM(D405:D413)*12+SUM(D415:D418)*2+SUM(D420:D423)*2+SUM(D425:D433)*14+SUM(D435:D438)*3+SUM(D440:D443)*3</f>
        <v>174578.94792000001</v>
      </c>
      <c r="F205" s="193"/>
      <c r="G205" s="193">
        <f>SUM(F395:F397)+SUM(F399:F403)+SUM(F405:F413)*12+SUM(F415:F418)*2+SUM(F420:F423)*2+SUM(F425:F433)*14+SUM(F435:F438)*3+SUM(F440:F443)*3</f>
        <v>279326.31667199999</v>
      </c>
      <c r="H205" s="193"/>
    </row>
    <row r="206" spans="1:18" s="69" customFormat="1" x14ac:dyDescent="0.25">
      <c r="A206" s="191" t="s">
        <v>250</v>
      </c>
      <c r="B206" s="191"/>
      <c r="C206" s="192">
        <f>COUNT(D448:D450)+COUNT(D452:D456)+COUNT(D458:D466)*12+COUNT(D468:D471)*2+COUNT(D473:D476)*2+COUNT(D478:D486)*14+COUNT(D488:D491)*3+COUNT(D493:D496)*3</f>
        <v>282</v>
      </c>
      <c r="D206" s="192"/>
      <c r="E206" s="193">
        <f>SUM(D448:D450)+SUM(D452:D456)+SUM(D458:D466)*12+SUM(D468:D471)*2+SUM(D473:D476)*2+SUM(D478:D486)*14+SUM(D488:D491)*3+SUM(D493:D496)*3</f>
        <v>184256.639658</v>
      </c>
      <c r="F206" s="193"/>
      <c r="G206" s="193">
        <f>SUM(F448:F450)+SUM(F452:F456)+SUM(F458:F466)*12+SUM(F468:F471)*2+SUM(F473:F476)*2+SUM(F478:F486)*14+SUM(F488:F491)*3+SUM(F493:F496)*3</f>
        <v>294810.62345280004</v>
      </c>
      <c r="H206" s="193"/>
    </row>
    <row r="207" spans="1:18" s="69" customFormat="1" x14ac:dyDescent="0.25">
      <c r="A207" s="196" t="s">
        <v>262</v>
      </c>
      <c r="B207" s="196"/>
      <c r="C207" s="192">
        <f>COUNT(D502:D509)+COUNT(D511:D519)*12+COUNT(D521:D524,D526:D529)*2+COUNT(D531:D539)*14+COUNT(D541:D544,D546:D549)*3</f>
        <v>282</v>
      </c>
      <c r="D207" s="192"/>
      <c r="E207" s="193">
        <f>SUM(D502:D509)+SUM(D511:D519)*12+SUM(D521:D524,D526:D529)*2+SUM(D531:D539)*14+SUM(D541:D544,D546:D549)*3</f>
        <v>168995.55347999997</v>
      </c>
      <c r="F207" s="193"/>
      <c r="G207" s="193">
        <f>SUM(F502:F509)+SUM(F511:F519)*12+SUM(F521:F524,F526:F529)*2+SUM(F531:F539)*14+SUM(F541:F544,F546:F549)*3</f>
        <v>270392.88556799997</v>
      </c>
      <c r="H207" s="193"/>
    </row>
    <row r="208" spans="1:18" s="69" customFormat="1" x14ac:dyDescent="0.25">
      <c r="A208" s="191" t="s">
        <v>272</v>
      </c>
      <c r="B208" s="191"/>
      <c r="C208" s="192">
        <f>COUNT(D554:D557)+COUNT(D559:D561)+COUNT(D563:D570)*12+COUNT(D573:D579)*2+COUNT(D581:D588)*14+COUNT(D591:D597)*3</f>
        <v>250</v>
      </c>
      <c r="D208" s="192"/>
      <c r="E208" s="193">
        <f>SUM(D554:D557)+SUM(D559:D561)+SUM(D563:D570)*12+SUM(D573:D579)*2+SUM(D581:D588)*14+SUM(D591:D597)*3</f>
        <v>138453.74758799997</v>
      </c>
      <c r="F208" s="193"/>
      <c r="G208" s="193">
        <f>SUM(F554:F557)+SUM(F559:F561)+SUM(F563:F570)*12+SUM(F573:F579)*2+SUM(F581:F588)*14+SUM(F591:F597)*3</f>
        <v>221525.99614079998</v>
      </c>
      <c r="H208" s="193"/>
    </row>
    <row r="209" spans="1:14" s="69" customFormat="1" x14ac:dyDescent="0.25">
      <c r="A209" s="228" t="s">
        <v>60</v>
      </c>
      <c r="B209" s="228"/>
      <c r="C209" s="194">
        <f>SUM(C201:C208)</f>
        <v>2288</v>
      </c>
      <c r="D209" s="194"/>
      <c r="E209" s="195">
        <f>SUM(E201:E208)</f>
        <v>1325789.8942859997</v>
      </c>
      <c r="F209" s="195"/>
      <c r="G209" s="198">
        <f>SUM(G201:G208)</f>
        <v>2121263.8308576001</v>
      </c>
      <c r="H209" s="198"/>
    </row>
    <row r="210" spans="1:14" s="70" customFormat="1" x14ac:dyDescent="0.25">
      <c r="A210" s="124" t="s">
        <v>61</v>
      </c>
      <c r="B210" s="124"/>
      <c r="C210" s="124"/>
      <c r="D210" s="124"/>
      <c r="E210" s="124"/>
      <c r="F210" s="124"/>
      <c r="G210" s="124"/>
      <c r="H210" s="124"/>
    </row>
    <row r="211" spans="1:14" x14ac:dyDescent="0.25">
      <c r="A211" s="124" t="s">
        <v>62</v>
      </c>
      <c r="B211" s="124"/>
      <c r="C211" s="124"/>
      <c r="D211" s="124"/>
      <c r="E211" s="124"/>
      <c r="F211" s="124"/>
      <c r="G211" s="124"/>
      <c r="H211" s="124"/>
    </row>
    <row r="212" spans="1:14" s="72" customFormat="1" x14ac:dyDescent="0.25">
      <c r="A212" s="164"/>
      <c r="B212" s="164"/>
      <c r="C212" s="164"/>
      <c r="D212" s="164"/>
      <c r="E212" s="164"/>
      <c r="F212" s="164"/>
      <c r="G212" s="164"/>
      <c r="H212" s="164"/>
      <c r="I212" s="71"/>
      <c r="N212" s="71"/>
    </row>
    <row r="213" spans="1:14" ht="47.25" customHeight="1" x14ac:dyDescent="0.25">
      <c r="A213" s="186" t="s">
        <v>153</v>
      </c>
      <c r="B213" s="186" t="s">
        <v>154</v>
      </c>
      <c r="C213" s="186" t="s">
        <v>63</v>
      </c>
      <c r="D213" s="186" t="s">
        <v>64</v>
      </c>
      <c r="E213" s="235" t="s">
        <v>65</v>
      </c>
      <c r="F213" s="103" t="s">
        <v>152</v>
      </c>
      <c r="G213" s="186" t="s">
        <v>66</v>
      </c>
      <c r="H213" s="186"/>
      <c r="I213" s="71"/>
    </row>
    <row r="214" spans="1:14" s="72" customFormat="1" x14ac:dyDescent="0.25">
      <c r="A214" s="186"/>
      <c r="B214" s="186"/>
      <c r="C214" s="186"/>
      <c r="D214" s="186"/>
      <c r="E214" s="235"/>
      <c r="F214" s="104">
        <v>0.6</v>
      </c>
      <c r="G214" s="186"/>
      <c r="H214" s="186"/>
      <c r="I214" s="71"/>
    </row>
    <row r="215" spans="1:14" s="72" customFormat="1" x14ac:dyDescent="0.25">
      <c r="A215" s="169" t="s">
        <v>210</v>
      </c>
      <c r="B215" s="169"/>
      <c r="C215" s="169"/>
      <c r="D215" s="169"/>
      <c r="E215" s="169"/>
      <c r="F215" s="169"/>
      <c r="G215" s="169"/>
      <c r="H215" s="169"/>
    </row>
    <row r="216" spans="1:14" s="72" customFormat="1" x14ac:dyDescent="0.25">
      <c r="A216" s="169" t="s">
        <v>213</v>
      </c>
      <c r="B216" s="169"/>
      <c r="C216" s="169"/>
      <c r="D216" s="169"/>
      <c r="E216" s="169"/>
      <c r="F216" s="169"/>
      <c r="G216" s="169"/>
      <c r="H216" s="169"/>
    </row>
    <row r="217" spans="1:14" s="72" customFormat="1" x14ac:dyDescent="0.25">
      <c r="A217" s="169" t="s">
        <v>212</v>
      </c>
      <c r="B217" s="169"/>
      <c r="C217" s="169"/>
      <c r="D217" s="169"/>
      <c r="E217" s="169"/>
      <c r="F217" s="169"/>
      <c r="G217" s="169"/>
      <c r="H217" s="169"/>
      <c r="I217" s="71"/>
      <c r="L217" s="167"/>
      <c r="M217" s="167"/>
    </row>
    <row r="218" spans="1:14" s="72" customFormat="1" x14ac:dyDescent="0.25">
      <c r="A218" s="164">
        <f>LEFT(A217,SUM(LEN(A217)-LEN(SUBSTITUTE(A217,{"0","1","2","3","4","5","6","7","8","9"},""))))*100+1</f>
        <v>101</v>
      </c>
      <c r="B218" s="164"/>
      <c r="C218" s="102" t="s">
        <v>227</v>
      </c>
      <c r="D218" s="102">
        <f>38.9*10.764</f>
        <v>418.71959999999996</v>
      </c>
      <c r="E218" s="102">
        <v>0</v>
      </c>
      <c r="F218" s="102">
        <f>D218*(($F$214)+1)+E218</f>
        <v>669.95136000000002</v>
      </c>
      <c r="G218" s="164" t="str">
        <f>A217</f>
        <v>1st Floor</v>
      </c>
      <c r="H218" s="164"/>
      <c r="I218" s="71"/>
      <c r="N218" s="71"/>
    </row>
    <row r="219" spans="1:14" s="72" customFormat="1" x14ac:dyDescent="0.25">
      <c r="A219" s="164">
        <f>A218+1</f>
        <v>102</v>
      </c>
      <c r="B219" s="164"/>
      <c r="C219" s="43" t="s">
        <v>227</v>
      </c>
      <c r="D219" s="43">
        <f>34.32*10.764</f>
        <v>369.42048</v>
      </c>
      <c r="E219" s="43">
        <v>0</v>
      </c>
      <c r="F219" s="43">
        <f t="shared" ref="F219:F223" si="0">D219*(($F$214)+1)+E219</f>
        <v>591.072768</v>
      </c>
      <c r="G219" s="164" t="str">
        <f t="shared" ref="G219:G227" si="1">G218</f>
        <v>1st Floor</v>
      </c>
      <c r="H219" s="164"/>
      <c r="I219" s="71"/>
      <c r="N219" s="71"/>
    </row>
    <row r="220" spans="1:14" s="72" customFormat="1" x14ac:dyDescent="0.25">
      <c r="A220" s="164">
        <f>A219+1</f>
        <v>103</v>
      </c>
      <c r="B220" s="164"/>
      <c r="C220" s="43" t="s">
        <v>227</v>
      </c>
      <c r="D220" s="43">
        <f>34.32*10.764</f>
        <v>369.42048</v>
      </c>
      <c r="E220" s="43">
        <v>0</v>
      </c>
      <c r="F220" s="43">
        <f t="shared" si="0"/>
        <v>591.072768</v>
      </c>
      <c r="G220" s="164" t="str">
        <f t="shared" si="1"/>
        <v>1st Floor</v>
      </c>
      <c r="H220" s="164"/>
      <c r="I220" s="71"/>
      <c r="N220" s="71"/>
    </row>
    <row r="221" spans="1:14" s="72" customFormat="1" x14ac:dyDescent="0.25">
      <c r="A221" s="164">
        <f t="shared" ref="A221:A227" si="2">A220+1</f>
        <v>104</v>
      </c>
      <c r="B221" s="164"/>
      <c r="C221" s="43" t="s">
        <v>228</v>
      </c>
      <c r="D221" s="43">
        <f>44.99*10.764</f>
        <v>484.27235999999999</v>
      </c>
      <c r="E221" s="43">
        <v>0</v>
      </c>
      <c r="F221" s="43">
        <f t="shared" si="0"/>
        <v>774.83577600000001</v>
      </c>
      <c r="G221" s="164" t="str">
        <f t="shared" si="1"/>
        <v>1st Floor</v>
      </c>
      <c r="H221" s="164"/>
      <c r="I221" s="71"/>
      <c r="N221" s="71"/>
    </row>
    <row r="222" spans="1:14" s="72" customFormat="1" x14ac:dyDescent="0.25">
      <c r="A222" s="164">
        <f t="shared" si="2"/>
        <v>105</v>
      </c>
      <c r="B222" s="164"/>
      <c r="C222" s="165" t="s">
        <v>214</v>
      </c>
      <c r="D222" s="168"/>
      <c r="E222" s="168"/>
      <c r="F222" s="166"/>
      <c r="G222" s="164" t="str">
        <f t="shared" si="1"/>
        <v>1st Floor</v>
      </c>
      <c r="H222" s="164"/>
      <c r="I222" s="71"/>
      <c r="N222" s="71"/>
    </row>
    <row r="223" spans="1:14" s="72" customFormat="1" x14ac:dyDescent="0.25">
      <c r="A223" s="164">
        <f t="shared" si="2"/>
        <v>106</v>
      </c>
      <c r="B223" s="164"/>
      <c r="C223" s="43" t="s">
        <v>228</v>
      </c>
      <c r="D223" s="43">
        <f>49.57*10.764</f>
        <v>533.57147999999995</v>
      </c>
      <c r="E223" s="43">
        <v>0</v>
      </c>
      <c r="F223" s="43">
        <f t="shared" si="0"/>
        <v>853.71436799999992</v>
      </c>
      <c r="G223" s="164" t="str">
        <f t="shared" si="1"/>
        <v>1st Floor</v>
      </c>
      <c r="H223" s="164"/>
      <c r="I223" s="71"/>
      <c r="N223" s="71"/>
    </row>
    <row r="224" spans="1:14" s="72" customFormat="1" x14ac:dyDescent="0.25">
      <c r="A224" s="164">
        <f>A223+1</f>
        <v>107</v>
      </c>
      <c r="B224" s="164"/>
      <c r="C224" s="43" t="s">
        <v>227</v>
      </c>
      <c r="D224" s="43">
        <f>39.75*10.764</f>
        <v>427.86899999999997</v>
      </c>
      <c r="E224" s="43">
        <v>0</v>
      </c>
      <c r="F224" s="43">
        <f t="shared" ref="F224:F227" si="3">D224*(($F$214)+1)+E224</f>
        <v>684.59040000000005</v>
      </c>
      <c r="G224" s="164" t="str">
        <f t="shared" si="1"/>
        <v>1st Floor</v>
      </c>
      <c r="H224" s="164"/>
      <c r="I224" s="71"/>
      <c r="N224" s="71"/>
    </row>
    <row r="225" spans="1:16" s="72" customFormat="1" x14ac:dyDescent="0.25">
      <c r="A225" s="164">
        <f t="shared" si="2"/>
        <v>108</v>
      </c>
      <c r="B225" s="164"/>
      <c r="C225" s="43" t="s">
        <v>145</v>
      </c>
      <c r="D225" s="43">
        <f>73.78*10.764</f>
        <v>794.16791999999998</v>
      </c>
      <c r="E225" s="43">
        <v>0</v>
      </c>
      <c r="F225" s="43">
        <f t="shared" si="3"/>
        <v>1270.668672</v>
      </c>
      <c r="G225" s="164" t="str">
        <f t="shared" si="1"/>
        <v>1st Floor</v>
      </c>
      <c r="H225" s="164"/>
      <c r="I225" s="71"/>
      <c r="N225" s="71"/>
    </row>
    <row r="226" spans="1:16" s="72" customFormat="1" x14ac:dyDescent="0.25">
      <c r="A226" s="164">
        <f t="shared" si="2"/>
        <v>109</v>
      </c>
      <c r="B226" s="164"/>
      <c r="C226" s="43" t="s">
        <v>228</v>
      </c>
      <c r="D226" s="43">
        <f>57.58*10.764</f>
        <v>619.79111999999998</v>
      </c>
      <c r="E226" s="43">
        <v>0</v>
      </c>
      <c r="F226" s="43">
        <f t="shared" si="3"/>
        <v>991.66579200000001</v>
      </c>
      <c r="G226" s="164" t="str">
        <f t="shared" si="1"/>
        <v>1st Floor</v>
      </c>
      <c r="H226" s="164"/>
      <c r="I226" s="71"/>
      <c r="N226" s="71"/>
    </row>
    <row r="227" spans="1:16" s="72" customFormat="1" x14ac:dyDescent="0.25">
      <c r="A227" s="164">
        <f t="shared" si="2"/>
        <v>110</v>
      </c>
      <c r="B227" s="164"/>
      <c r="C227" s="43" t="s">
        <v>227</v>
      </c>
      <c r="D227" s="43">
        <f>38.9*10.764</f>
        <v>418.71959999999996</v>
      </c>
      <c r="E227" s="43">
        <v>0</v>
      </c>
      <c r="F227" s="43">
        <f t="shared" si="3"/>
        <v>669.95136000000002</v>
      </c>
      <c r="G227" s="164" t="str">
        <f t="shared" si="1"/>
        <v>1st Floor</v>
      </c>
      <c r="H227" s="164"/>
      <c r="I227" s="71"/>
      <c r="N227" s="71"/>
    </row>
    <row r="228" spans="1:16" s="72" customFormat="1" ht="15.75" customHeight="1" x14ac:dyDescent="0.25">
      <c r="A228" s="170" t="s">
        <v>215</v>
      </c>
      <c r="B228" s="171"/>
      <c r="C228" s="171"/>
      <c r="D228" s="171"/>
      <c r="E228" s="171"/>
      <c r="F228" s="171"/>
      <c r="G228" s="171"/>
      <c r="H228" s="172"/>
      <c r="I228" s="71"/>
      <c r="P228" s="73"/>
    </row>
    <row r="229" spans="1:16" s="72" customFormat="1" ht="15.75" customHeight="1" x14ac:dyDescent="0.25">
      <c r="A229" s="164" t="s">
        <v>217</v>
      </c>
      <c r="B229" s="164"/>
      <c r="C229" s="109" t="s">
        <v>227</v>
      </c>
      <c r="D229" s="109">
        <f>38.9*10.764</f>
        <v>418.71959999999996</v>
      </c>
      <c r="E229" s="109">
        <v>0</v>
      </c>
      <c r="F229" s="109">
        <f t="shared" ref="F229:F233" si="4">D229*(($F$214)+1)+E229</f>
        <v>669.95136000000002</v>
      </c>
      <c r="G229" s="164" t="str">
        <f>A228</f>
        <v>2nd to 7th, 9th to 13th, 15th to 18th, 20th to 23rd, 25th to 28th, 30th to 32nd Floor</v>
      </c>
      <c r="H229" s="164"/>
      <c r="I229" s="71"/>
      <c r="N229" s="72" t="str">
        <f t="shared" ref="N229:N234" ca="1" si="5">O229&amp;""&amp;",..,"&amp;""&amp;P229</f>
        <v>2701,..,3201</v>
      </c>
      <c r="O229" s="72">
        <f ca="1">(SUMPRODUCT(MID(0&amp;(LEFT(A228,SUM(LEN(A228)-LEN(SUBSTITUTE(A228,{"0","1","2"},""))))), LARGE(INDEX(ISNUMBER(--MID((LEFT(A228,SUM(LEN(A228)-LEN(SUBSTITUTE(A228,{"0","1","2"},""))))), ROW(INDIRECT("1:"&amp;LEN((LEFT(A228,SUM(LEN(A228)-LEN(SUBSTITUTE(A228,{"0","1","2"},"")))))))), 1)) * ROW(INDIRECT("1:"&amp;LEN((LEFT(A228,SUM(LEN(A228)-LEN(SUBSTITUTE(A228,{"0","1","2"},"")))))))), 0), ROW(INDIRECT("1:"&amp;LEN((LEFT(A228,SUM(LEN(A228)-LEN(SUBSTITUTE(A228,{"0","1","2"},"")))))))))+1, 1) * 10^ROW(INDIRECT("1:"&amp;LEN((LEFT(A228,SUM(LEN(A228)-LEN(SUBSTITUTE(A228,{"0","1","2"},""))))))))/10))*100+1</f>
        <v>2701</v>
      </c>
      <c r="P229" s="72">
        <f ca="1">(SUMPRODUCT(MID(0&amp;(--TRIM(RIGHT(SUBSTITUTE(LEFT(A228,_xlfn.AGGREGATE(16,6,FIND({0,1,2,3,4,5,6,7,8,9},A228,ROW(INDIRECT("1:"&amp;LEN(A228)))),1))," ",REPT(" ",LEN(A228))),LEN(A228)))), LARGE(INDEX(ISNUMBER(--MID((--TRIM(RIGHT(SUBSTITUTE(LEFT(A228,_xlfn.AGGREGATE(16,6,FIND({0,1,2,3,4,5,6,7,8,9},A228,ROW(INDIRECT("1:"&amp;LEN(A228)))),1))," ",REPT(" ",LEN(A228))),LEN(A228)))), ROW(INDIRECT("1:"&amp;LEN((--TRIM(RIGHT(SUBSTITUTE(LEFT(A228,_xlfn.AGGREGATE(16,6,FIND({0,1,2,3,4,5,6,7,8,9},A228,ROW(INDIRECT("1:"&amp;LEN(A228)))),1))," ",REPT(" ",LEN(A228))),LEN(A228))))))), 1)) * ROW(INDIRECT("1:"&amp;LEN((--TRIM(RIGHT(SUBSTITUTE(LEFT(A228,_xlfn.AGGREGATE(16,6,FIND({0,1,2,3,4,5,6,7,8,9},A228,ROW(INDIRECT("1:"&amp;LEN(A228)))),1))," ",REPT(" ",LEN(A228))),LEN(A228))))))), 0), ROW(INDIRECT("1:"&amp;LEN((--TRIM(RIGHT(SUBSTITUTE(LEFT(A228,_xlfn.AGGREGATE(16,6,FIND({0,1,2,3,4,5,6,7,8,9},A228,ROW(INDIRECT("1:"&amp;LEN(A228)))),1))," ",REPT(" ",LEN(A228))),LEN(A228))))))))+1, 1) * 10^ROW(INDIRECT("1:"&amp;LEN((--TRIM(RIGHT(SUBSTITUTE(LEFT(A228,_xlfn.AGGREGATE(16,6,FIND({0,1,2,3,4,5,6,7,8,9},A228,ROW(INDIRECT("1:"&amp;LEN(A228)))),1))," ",REPT(" ",LEN(A228))),LEN(A228)))))))/10))*100+1</f>
        <v>3201</v>
      </c>
    </row>
    <row r="230" spans="1:16" s="72" customFormat="1" ht="15.75" customHeight="1" x14ac:dyDescent="0.25">
      <c r="A230" s="164" t="s">
        <v>218</v>
      </c>
      <c r="B230" s="164"/>
      <c r="C230" s="109" t="s">
        <v>228</v>
      </c>
      <c r="D230" s="109">
        <f>46.93*10.764</f>
        <v>505.15451999999999</v>
      </c>
      <c r="E230" s="109">
        <v>0</v>
      </c>
      <c r="F230" s="109">
        <f t="shared" si="4"/>
        <v>808.24723200000005</v>
      </c>
      <c r="G230" s="164"/>
      <c r="H230" s="164"/>
      <c r="I230" s="71"/>
      <c r="N230" s="72" t="str">
        <f t="shared" ca="1" si="5"/>
        <v>2702,..,3202</v>
      </c>
      <c r="O230" s="72">
        <f t="shared" ref="O230:P233" ca="1" si="6">O229+1</f>
        <v>2702</v>
      </c>
      <c r="P230" s="72">
        <f t="shared" ca="1" si="6"/>
        <v>3202</v>
      </c>
    </row>
    <row r="231" spans="1:16" s="72" customFormat="1" ht="15.75" customHeight="1" x14ac:dyDescent="0.25">
      <c r="A231" s="164" t="s">
        <v>219</v>
      </c>
      <c r="B231" s="164"/>
      <c r="C231" s="109" t="s">
        <v>228</v>
      </c>
      <c r="D231" s="109">
        <f>46.93*10.764</f>
        <v>505.15451999999999</v>
      </c>
      <c r="E231" s="109">
        <v>0</v>
      </c>
      <c r="F231" s="109">
        <f t="shared" si="4"/>
        <v>808.24723200000005</v>
      </c>
      <c r="G231" s="164"/>
      <c r="H231" s="164"/>
      <c r="I231" s="71"/>
      <c r="N231" s="72" t="str">
        <f t="shared" ca="1" si="5"/>
        <v>2703,..,3203</v>
      </c>
      <c r="O231" s="72">
        <f t="shared" ca="1" si="6"/>
        <v>2703</v>
      </c>
      <c r="P231" s="72">
        <f t="shared" ca="1" si="6"/>
        <v>3203</v>
      </c>
    </row>
    <row r="232" spans="1:16" s="72" customFormat="1" ht="15.75" customHeight="1" x14ac:dyDescent="0.25">
      <c r="A232" s="164" t="s">
        <v>220</v>
      </c>
      <c r="B232" s="164"/>
      <c r="C232" s="109" t="s">
        <v>228</v>
      </c>
      <c r="D232" s="109">
        <f>44.99*10.764</f>
        <v>484.27235999999999</v>
      </c>
      <c r="E232" s="109">
        <v>0</v>
      </c>
      <c r="F232" s="109">
        <f t="shared" si="4"/>
        <v>774.83577600000001</v>
      </c>
      <c r="G232" s="164"/>
      <c r="H232" s="164"/>
      <c r="I232" s="71"/>
      <c r="N232" s="72" t="str">
        <f t="shared" ca="1" si="5"/>
        <v>2704,..,3204</v>
      </c>
      <c r="O232" s="72">
        <f t="shared" ca="1" si="6"/>
        <v>2704</v>
      </c>
      <c r="P232" s="72">
        <f t="shared" ca="1" si="6"/>
        <v>3204</v>
      </c>
    </row>
    <row r="233" spans="1:16" s="72" customFormat="1" ht="15.75" customHeight="1" x14ac:dyDescent="0.25">
      <c r="A233" s="164" t="s">
        <v>221</v>
      </c>
      <c r="B233" s="164"/>
      <c r="C233" s="109" t="s">
        <v>227</v>
      </c>
      <c r="D233" s="109">
        <f>39.13*10.764</f>
        <v>421.19531999999998</v>
      </c>
      <c r="E233" s="109">
        <v>0</v>
      </c>
      <c r="F233" s="109">
        <f t="shared" si="4"/>
        <v>673.91251199999999</v>
      </c>
      <c r="G233" s="164"/>
      <c r="H233" s="164"/>
      <c r="I233" s="71"/>
      <c r="N233" s="72" t="str">
        <f t="shared" ca="1" si="5"/>
        <v>2705,..,3205</v>
      </c>
      <c r="O233" s="72">
        <f t="shared" ca="1" si="6"/>
        <v>2705</v>
      </c>
      <c r="P233" s="72">
        <f t="shared" ca="1" si="6"/>
        <v>3205</v>
      </c>
    </row>
    <row r="234" spans="1:16" s="72" customFormat="1" ht="15.75" customHeight="1" x14ac:dyDescent="0.25">
      <c r="A234" s="164" t="s">
        <v>222</v>
      </c>
      <c r="B234" s="164"/>
      <c r="C234" s="109" t="s">
        <v>228</v>
      </c>
      <c r="D234" s="109">
        <f>49.57*10.764</f>
        <v>533.57147999999995</v>
      </c>
      <c r="E234" s="109">
        <v>0</v>
      </c>
      <c r="F234" s="109">
        <f t="shared" ref="F234:F237" si="7">D234*(($F$214)+1)+E234</f>
        <v>853.71436799999992</v>
      </c>
      <c r="G234" s="164"/>
      <c r="H234" s="164"/>
      <c r="I234" s="71"/>
      <c r="N234" s="72" t="str">
        <f t="shared" ca="1" si="5"/>
        <v>2706,..,3206</v>
      </c>
      <c r="O234" s="72">
        <f t="shared" ref="O234:P234" ca="1" si="8">O233+1</f>
        <v>2706</v>
      </c>
      <c r="P234" s="72">
        <f t="shared" ca="1" si="8"/>
        <v>3206</v>
      </c>
    </row>
    <row r="235" spans="1:16" s="72" customFormat="1" ht="15.75" customHeight="1" x14ac:dyDescent="0.25">
      <c r="A235" s="164" t="s">
        <v>223</v>
      </c>
      <c r="B235" s="164"/>
      <c r="C235" s="109" t="s">
        <v>227</v>
      </c>
      <c r="D235" s="109">
        <f>39.75*10.764</f>
        <v>427.86899999999997</v>
      </c>
      <c r="E235" s="109">
        <v>0</v>
      </c>
      <c r="F235" s="109">
        <f t="shared" si="7"/>
        <v>684.59040000000005</v>
      </c>
      <c r="G235" s="164"/>
      <c r="H235" s="164"/>
      <c r="I235" s="71"/>
      <c r="N235" s="72" t="str">
        <f t="shared" ref="N235:N238" ca="1" si="9">O235&amp;""&amp;",..,"&amp;""&amp;P235</f>
        <v>2707,..,3207</v>
      </c>
      <c r="O235" s="72">
        <f t="shared" ref="O235:P235" ca="1" si="10">O234+1</f>
        <v>2707</v>
      </c>
      <c r="P235" s="72">
        <f t="shared" ca="1" si="10"/>
        <v>3207</v>
      </c>
    </row>
    <row r="236" spans="1:16" s="72" customFormat="1" ht="15.75" customHeight="1" x14ac:dyDescent="0.25">
      <c r="A236" s="164" t="s">
        <v>224</v>
      </c>
      <c r="B236" s="164"/>
      <c r="C236" s="109" t="s">
        <v>145</v>
      </c>
      <c r="D236" s="109">
        <f>73.78*10.764</f>
        <v>794.16791999999998</v>
      </c>
      <c r="E236" s="109">
        <v>0</v>
      </c>
      <c r="F236" s="109">
        <f t="shared" si="7"/>
        <v>1270.668672</v>
      </c>
      <c r="G236" s="164"/>
      <c r="H236" s="164"/>
      <c r="I236" s="71"/>
      <c r="N236" s="72" t="str">
        <f t="shared" ca="1" si="9"/>
        <v>2708,..,3208</v>
      </c>
      <c r="O236" s="72">
        <f t="shared" ref="O236:P236" ca="1" si="11">O235+1</f>
        <v>2708</v>
      </c>
      <c r="P236" s="72">
        <f t="shared" ca="1" si="11"/>
        <v>3208</v>
      </c>
    </row>
    <row r="237" spans="1:16" s="72" customFormat="1" ht="15.75" customHeight="1" x14ac:dyDescent="0.25">
      <c r="A237" s="164" t="s">
        <v>225</v>
      </c>
      <c r="B237" s="164"/>
      <c r="C237" s="109" t="s">
        <v>228</v>
      </c>
      <c r="D237" s="109">
        <f>57.58*10.764</f>
        <v>619.79111999999998</v>
      </c>
      <c r="E237" s="109">
        <v>0</v>
      </c>
      <c r="F237" s="109">
        <f t="shared" si="7"/>
        <v>991.66579200000001</v>
      </c>
      <c r="G237" s="164"/>
      <c r="H237" s="164"/>
      <c r="I237" s="71"/>
      <c r="N237" s="72" t="str">
        <f t="shared" ca="1" si="9"/>
        <v>2709,..,3209</v>
      </c>
      <c r="O237" s="72">
        <f t="shared" ref="O237:P237" ca="1" si="12">O236+1</f>
        <v>2709</v>
      </c>
      <c r="P237" s="72">
        <f t="shared" ca="1" si="12"/>
        <v>3209</v>
      </c>
    </row>
    <row r="238" spans="1:16" s="72" customFormat="1" ht="15.75" customHeight="1" x14ac:dyDescent="0.25">
      <c r="A238" s="164" t="s">
        <v>226</v>
      </c>
      <c r="B238" s="164"/>
      <c r="C238" s="109" t="s">
        <v>227</v>
      </c>
      <c r="D238" s="109">
        <f>38.9*10.764</f>
        <v>418.71959999999996</v>
      </c>
      <c r="E238" s="109">
        <v>0</v>
      </c>
      <c r="F238" s="109">
        <f t="shared" ref="F238" si="13">D238*(($F$214)+1)+E238</f>
        <v>669.95136000000002</v>
      </c>
      <c r="G238" s="164"/>
      <c r="H238" s="164"/>
      <c r="I238" s="71"/>
      <c r="N238" s="72" t="str">
        <f t="shared" ca="1" si="9"/>
        <v>2710,..,3210</v>
      </c>
      <c r="O238" s="72">
        <f t="shared" ref="O238:P238" ca="1" si="14">O237+1</f>
        <v>2710</v>
      </c>
      <c r="P238" s="72">
        <f t="shared" ca="1" si="14"/>
        <v>3210</v>
      </c>
    </row>
    <row r="239" spans="1:16" s="72" customFormat="1" ht="15.75" customHeight="1" x14ac:dyDescent="0.25">
      <c r="A239" s="169" t="s">
        <v>216</v>
      </c>
      <c r="B239" s="169"/>
      <c r="C239" s="169"/>
      <c r="D239" s="169"/>
      <c r="E239" s="169"/>
      <c r="F239" s="169"/>
      <c r="G239" s="169"/>
      <c r="H239" s="169"/>
      <c r="I239" s="71"/>
      <c r="P239" s="73"/>
    </row>
    <row r="240" spans="1:16" s="72" customFormat="1" ht="15.75" customHeight="1" x14ac:dyDescent="0.25">
      <c r="A240" s="164" t="str">
        <f t="shared" ref="A240:A249" ca="1" si="15">N240</f>
        <v>801,..,2901</v>
      </c>
      <c r="B240" s="164"/>
      <c r="C240" s="109" t="s">
        <v>227</v>
      </c>
      <c r="D240" s="109">
        <f>38.9*10.764</f>
        <v>418.71959999999996</v>
      </c>
      <c r="E240" s="109">
        <v>0</v>
      </c>
      <c r="F240" s="109">
        <f t="shared" ref="F240:F248" si="16">D240*(($F$214)+1)+E240</f>
        <v>669.95136000000002</v>
      </c>
      <c r="G240" s="164" t="str">
        <f>A239</f>
        <v>8th, 14th, 19th, 24th &amp; 29th Floor</v>
      </c>
      <c r="H240" s="164"/>
      <c r="I240" s="71"/>
      <c r="N240" s="72" t="str">
        <f t="shared" ref="N240:N249" ca="1" si="17">O240&amp;""&amp;",..,"&amp;""&amp;P240</f>
        <v>801,..,2901</v>
      </c>
      <c r="O240" s="72">
        <f ca="1">(SUMPRODUCT(MID(0&amp;(LEFT(A239,SUM(LEN(A239)-LEN(SUBSTITUTE(A239,{"0","1","2"},""))))), LARGE(INDEX(ISNUMBER(--MID((LEFT(A239,SUM(LEN(A239)-LEN(SUBSTITUTE(A239,{"0","1","2"},""))))), ROW(INDIRECT("1:"&amp;LEN((LEFT(A239,SUM(LEN(A239)-LEN(SUBSTITUTE(A239,{"0","1","2"},"")))))))), 1)) * ROW(INDIRECT("1:"&amp;LEN((LEFT(A239,SUM(LEN(A239)-LEN(SUBSTITUTE(A239,{"0","1","2"},"")))))))), 0), ROW(INDIRECT("1:"&amp;LEN((LEFT(A239,SUM(LEN(A239)-LEN(SUBSTITUTE(A239,{"0","1","2"},"")))))))))+1, 1) * 10^ROW(INDIRECT("1:"&amp;LEN((LEFT(A239,SUM(LEN(A239)-LEN(SUBSTITUTE(A239,{"0","1","2"},""))))))))/10))*100+1</f>
        <v>801</v>
      </c>
      <c r="P240" s="72">
        <f ca="1">(SUMPRODUCT(MID(0&amp;(--TRIM(RIGHT(SUBSTITUTE(LEFT(A239,_xlfn.AGGREGATE(16,6,FIND({0,1,2,3,4,5,6,7,8,9},A239,ROW(INDIRECT("1:"&amp;LEN(A239)))),1))," ",REPT(" ",LEN(A239))),LEN(A239)))), LARGE(INDEX(ISNUMBER(--MID((--TRIM(RIGHT(SUBSTITUTE(LEFT(A239,_xlfn.AGGREGATE(16,6,FIND({0,1,2,3,4,5,6,7,8,9},A239,ROW(INDIRECT("1:"&amp;LEN(A239)))),1))," ",REPT(" ",LEN(A239))),LEN(A239)))), ROW(INDIRECT("1:"&amp;LEN((--TRIM(RIGHT(SUBSTITUTE(LEFT(A239,_xlfn.AGGREGATE(16,6,FIND({0,1,2,3,4,5,6,7,8,9},A239,ROW(INDIRECT("1:"&amp;LEN(A239)))),1))," ",REPT(" ",LEN(A239))),LEN(A239))))))), 1)) * ROW(INDIRECT("1:"&amp;LEN((--TRIM(RIGHT(SUBSTITUTE(LEFT(A239,_xlfn.AGGREGATE(16,6,FIND({0,1,2,3,4,5,6,7,8,9},A239,ROW(INDIRECT("1:"&amp;LEN(A239)))),1))," ",REPT(" ",LEN(A239))),LEN(A239))))))), 0), ROW(INDIRECT("1:"&amp;LEN((--TRIM(RIGHT(SUBSTITUTE(LEFT(A239,_xlfn.AGGREGATE(16,6,FIND({0,1,2,3,4,5,6,7,8,9},A239,ROW(INDIRECT("1:"&amp;LEN(A239)))),1))," ",REPT(" ",LEN(A239))),LEN(A239))))))))+1, 1) * 10^ROW(INDIRECT("1:"&amp;LEN((--TRIM(RIGHT(SUBSTITUTE(LEFT(A239,_xlfn.AGGREGATE(16,6,FIND({0,1,2,3,4,5,6,7,8,9},A239,ROW(INDIRECT("1:"&amp;LEN(A239)))),1))," ",REPT(" ",LEN(A239))),LEN(A239)))))))/10))*100+1</f>
        <v>2901</v>
      </c>
    </row>
    <row r="241" spans="1:16" s="72" customFormat="1" ht="15.75" customHeight="1" x14ac:dyDescent="0.25">
      <c r="A241" s="164" t="str">
        <f t="shared" ca="1" si="15"/>
        <v>802,..,2902</v>
      </c>
      <c r="B241" s="164"/>
      <c r="C241" s="109" t="s">
        <v>228</v>
      </c>
      <c r="D241" s="109">
        <f>46.93*10.764</f>
        <v>505.15451999999999</v>
      </c>
      <c r="E241" s="109">
        <v>0</v>
      </c>
      <c r="F241" s="109">
        <f t="shared" si="16"/>
        <v>808.24723200000005</v>
      </c>
      <c r="G241" s="164"/>
      <c r="H241" s="164"/>
      <c r="I241" s="71"/>
      <c r="N241" s="72" t="str">
        <f t="shared" ca="1" si="17"/>
        <v>802,..,2902</v>
      </c>
      <c r="O241" s="72">
        <f t="shared" ref="O241:P241" ca="1" si="18">O240+1</f>
        <v>802</v>
      </c>
      <c r="P241" s="72">
        <f t="shared" ca="1" si="18"/>
        <v>2902</v>
      </c>
    </row>
    <row r="242" spans="1:16" s="72" customFormat="1" ht="15.75" customHeight="1" x14ac:dyDescent="0.25">
      <c r="A242" s="164" t="str">
        <f t="shared" ca="1" si="15"/>
        <v>803,..,2903</v>
      </c>
      <c r="B242" s="164"/>
      <c r="C242" s="109" t="s">
        <v>228</v>
      </c>
      <c r="D242" s="109">
        <f>46.93*10.764</f>
        <v>505.15451999999999</v>
      </c>
      <c r="E242" s="109">
        <v>0</v>
      </c>
      <c r="F242" s="109">
        <f t="shared" si="16"/>
        <v>808.24723200000005</v>
      </c>
      <c r="G242" s="164"/>
      <c r="H242" s="164"/>
      <c r="I242" s="71"/>
      <c r="N242" s="72" t="str">
        <f t="shared" ca="1" si="17"/>
        <v>803,..,2903</v>
      </c>
      <c r="O242" s="72">
        <f t="shared" ref="O242:P242" ca="1" si="19">O241+1</f>
        <v>803</v>
      </c>
      <c r="P242" s="72">
        <f t="shared" ca="1" si="19"/>
        <v>2903</v>
      </c>
    </row>
    <row r="243" spans="1:16" s="72" customFormat="1" ht="15.75" customHeight="1" x14ac:dyDescent="0.25">
      <c r="A243" s="164" t="str">
        <f t="shared" ca="1" si="15"/>
        <v>804,..,2904</v>
      </c>
      <c r="B243" s="164"/>
      <c r="C243" s="109" t="s">
        <v>228</v>
      </c>
      <c r="D243" s="109">
        <f>44.99*10.764</f>
        <v>484.27235999999999</v>
      </c>
      <c r="E243" s="109">
        <v>0</v>
      </c>
      <c r="F243" s="109">
        <f t="shared" si="16"/>
        <v>774.83577600000001</v>
      </c>
      <c r="G243" s="164"/>
      <c r="H243" s="164"/>
      <c r="I243" s="71"/>
      <c r="N243" s="72" t="str">
        <f t="shared" ca="1" si="17"/>
        <v>804,..,2904</v>
      </c>
      <c r="O243" s="72">
        <f t="shared" ref="O243:P243" ca="1" si="20">O242+1</f>
        <v>804</v>
      </c>
      <c r="P243" s="72">
        <f t="shared" ca="1" si="20"/>
        <v>2904</v>
      </c>
    </row>
    <row r="244" spans="1:16" s="72" customFormat="1" ht="15.75" customHeight="1" x14ac:dyDescent="0.25">
      <c r="A244" s="164" t="str">
        <f t="shared" ca="1" si="15"/>
        <v>805,..,2905</v>
      </c>
      <c r="B244" s="164"/>
      <c r="C244" s="109" t="s">
        <v>227</v>
      </c>
      <c r="D244" s="109">
        <f>39.13*10.764</f>
        <v>421.19531999999998</v>
      </c>
      <c r="E244" s="109">
        <v>0</v>
      </c>
      <c r="F244" s="109">
        <f t="shared" si="16"/>
        <v>673.91251199999999</v>
      </c>
      <c r="G244" s="164"/>
      <c r="H244" s="164"/>
      <c r="I244" s="71"/>
      <c r="N244" s="72" t="str">
        <f t="shared" ca="1" si="17"/>
        <v>805,..,2905</v>
      </c>
      <c r="O244" s="72">
        <f t="shared" ref="O244:P244" ca="1" si="21">O243+1</f>
        <v>805</v>
      </c>
      <c r="P244" s="72">
        <f t="shared" ca="1" si="21"/>
        <v>2905</v>
      </c>
    </row>
    <row r="245" spans="1:16" s="72" customFormat="1" ht="15.75" customHeight="1" x14ac:dyDescent="0.25">
      <c r="A245" s="164" t="str">
        <f t="shared" ca="1" si="15"/>
        <v>806,..,2906</v>
      </c>
      <c r="B245" s="164"/>
      <c r="C245" s="109" t="s">
        <v>228</v>
      </c>
      <c r="D245" s="109">
        <f>49.57*10.764</f>
        <v>533.57147999999995</v>
      </c>
      <c r="E245" s="109">
        <v>0</v>
      </c>
      <c r="F245" s="109">
        <f t="shared" si="16"/>
        <v>853.71436799999992</v>
      </c>
      <c r="G245" s="164"/>
      <c r="H245" s="164"/>
      <c r="I245" s="71"/>
      <c r="N245" s="72" t="str">
        <f t="shared" ca="1" si="17"/>
        <v>806,..,2906</v>
      </c>
      <c r="O245" s="72">
        <f t="shared" ref="O245:P245" ca="1" si="22">O244+1</f>
        <v>806</v>
      </c>
      <c r="P245" s="72">
        <f t="shared" ca="1" si="22"/>
        <v>2906</v>
      </c>
    </row>
    <row r="246" spans="1:16" s="72" customFormat="1" ht="15.75" customHeight="1" x14ac:dyDescent="0.25">
      <c r="A246" s="164" t="str">
        <f t="shared" ca="1" si="15"/>
        <v>807,..,2907</v>
      </c>
      <c r="B246" s="164"/>
      <c r="C246" s="109" t="s">
        <v>227</v>
      </c>
      <c r="D246" s="109">
        <f>39.75*10.764</f>
        <v>427.86899999999997</v>
      </c>
      <c r="E246" s="109">
        <v>0</v>
      </c>
      <c r="F246" s="109">
        <f t="shared" si="16"/>
        <v>684.59040000000005</v>
      </c>
      <c r="G246" s="164"/>
      <c r="H246" s="164"/>
      <c r="I246" s="71"/>
      <c r="N246" s="72" t="str">
        <f t="shared" ca="1" si="17"/>
        <v>807,..,2907</v>
      </c>
      <c r="O246" s="72">
        <f t="shared" ref="O246:P246" ca="1" si="23">O245+1</f>
        <v>807</v>
      </c>
      <c r="P246" s="72">
        <f t="shared" ca="1" si="23"/>
        <v>2907</v>
      </c>
    </row>
    <row r="247" spans="1:16" s="72" customFormat="1" ht="15.75" customHeight="1" x14ac:dyDescent="0.25">
      <c r="A247" s="164" t="str">
        <f t="shared" ca="1" si="15"/>
        <v>808,..,2908</v>
      </c>
      <c r="B247" s="164"/>
      <c r="C247" s="109" t="s">
        <v>145</v>
      </c>
      <c r="D247" s="109">
        <f>73.78*10.764</f>
        <v>794.16791999999998</v>
      </c>
      <c r="E247" s="109">
        <v>0</v>
      </c>
      <c r="F247" s="109">
        <f t="shared" si="16"/>
        <v>1270.668672</v>
      </c>
      <c r="G247" s="164"/>
      <c r="H247" s="164"/>
      <c r="I247" s="71"/>
      <c r="N247" s="72" t="str">
        <f t="shared" ca="1" si="17"/>
        <v>808,..,2908</v>
      </c>
      <c r="O247" s="72">
        <f t="shared" ref="O247:P247" ca="1" si="24">O246+1</f>
        <v>808</v>
      </c>
      <c r="P247" s="72">
        <f t="shared" ca="1" si="24"/>
        <v>2908</v>
      </c>
    </row>
    <row r="248" spans="1:16" s="72" customFormat="1" ht="15.75" customHeight="1" x14ac:dyDescent="0.25">
      <c r="A248" s="164" t="str">
        <f t="shared" ca="1" si="15"/>
        <v>809,..,2909</v>
      </c>
      <c r="B248" s="164"/>
      <c r="C248" s="109" t="s">
        <v>228</v>
      </c>
      <c r="D248" s="109">
        <f>57.58*10.764</f>
        <v>619.79111999999998</v>
      </c>
      <c r="E248" s="109">
        <v>0</v>
      </c>
      <c r="F248" s="109">
        <f t="shared" si="16"/>
        <v>991.66579200000001</v>
      </c>
      <c r="G248" s="164"/>
      <c r="H248" s="164"/>
      <c r="I248" s="71"/>
      <c r="N248" s="72" t="str">
        <f t="shared" ca="1" si="17"/>
        <v>809,..,2909</v>
      </c>
      <c r="O248" s="72">
        <f t="shared" ref="O248:P248" ca="1" si="25">O247+1</f>
        <v>809</v>
      </c>
      <c r="P248" s="72">
        <f t="shared" ca="1" si="25"/>
        <v>2909</v>
      </c>
    </row>
    <row r="249" spans="1:16" s="72" customFormat="1" ht="15.75" customHeight="1" x14ac:dyDescent="0.25">
      <c r="A249" s="164" t="str">
        <f t="shared" ca="1" si="15"/>
        <v>810,..,2910</v>
      </c>
      <c r="B249" s="164"/>
      <c r="C249" s="164" t="s">
        <v>211</v>
      </c>
      <c r="D249" s="164"/>
      <c r="E249" s="164"/>
      <c r="F249" s="164"/>
      <c r="G249" s="164"/>
      <c r="H249" s="164"/>
      <c r="I249" s="71"/>
      <c r="N249" s="72" t="str">
        <f t="shared" ca="1" si="17"/>
        <v>810,..,2910</v>
      </c>
      <c r="O249" s="72">
        <f t="shared" ref="O249:P249" ca="1" si="26">O248+1</f>
        <v>810</v>
      </c>
      <c r="P249" s="72">
        <f t="shared" ca="1" si="26"/>
        <v>2910</v>
      </c>
    </row>
    <row r="250" spans="1:16" s="72" customFormat="1" x14ac:dyDescent="0.25">
      <c r="A250" s="170" t="s">
        <v>229</v>
      </c>
      <c r="B250" s="171"/>
      <c r="C250" s="171"/>
      <c r="D250" s="171"/>
      <c r="E250" s="171"/>
      <c r="F250" s="171"/>
      <c r="G250" s="171"/>
      <c r="H250" s="172"/>
    </row>
    <row r="251" spans="1:16" s="72" customFormat="1" x14ac:dyDescent="0.25">
      <c r="A251" s="169" t="s">
        <v>213</v>
      </c>
      <c r="B251" s="169"/>
      <c r="C251" s="169"/>
      <c r="D251" s="169"/>
      <c r="E251" s="169"/>
      <c r="F251" s="169"/>
      <c r="G251" s="169"/>
      <c r="H251" s="169"/>
    </row>
    <row r="252" spans="1:16" s="72" customFormat="1" x14ac:dyDescent="0.25">
      <c r="A252" s="169" t="s">
        <v>212</v>
      </c>
      <c r="B252" s="169"/>
      <c r="C252" s="169"/>
      <c r="D252" s="169"/>
      <c r="E252" s="169"/>
      <c r="F252" s="169"/>
      <c r="G252" s="169"/>
      <c r="H252" s="169"/>
      <c r="I252" s="71"/>
      <c r="L252" s="167"/>
      <c r="M252" s="167"/>
    </row>
    <row r="253" spans="1:16" s="72" customFormat="1" x14ac:dyDescent="0.25">
      <c r="A253" s="164">
        <f>LEFT(A252,SUM(LEN(A252)-LEN(SUBSTITUTE(A252,{"0","1","2","3","4","5","6","7","8","9"},""))))*100+1</f>
        <v>101</v>
      </c>
      <c r="B253" s="164"/>
      <c r="C253" s="102" t="s">
        <v>227</v>
      </c>
      <c r="D253" s="102">
        <f>39.44*10.764</f>
        <v>424.53215999999998</v>
      </c>
      <c r="E253" s="102">
        <v>0</v>
      </c>
      <c r="F253" s="102">
        <f>D253*(($F$214)+1)+E253</f>
        <v>679.25145599999996</v>
      </c>
      <c r="G253" s="164" t="str">
        <f>A252</f>
        <v>1st Floor</v>
      </c>
      <c r="H253" s="164"/>
      <c r="I253" s="71"/>
      <c r="N253" s="71"/>
    </row>
    <row r="254" spans="1:16" s="72" customFormat="1" x14ac:dyDescent="0.25">
      <c r="A254" s="164">
        <f>A253+1</f>
        <v>102</v>
      </c>
      <c r="B254" s="164"/>
      <c r="C254" s="102" t="s">
        <v>227</v>
      </c>
      <c r="D254" s="102">
        <f>34.74*10.764</f>
        <v>373.94135999999997</v>
      </c>
      <c r="E254" s="102">
        <v>0</v>
      </c>
      <c r="F254" s="102">
        <f t="shared" ref="F254:F256" si="27">D254*(($F$214)+1)+E254</f>
        <v>598.30617599999994</v>
      </c>
      <c r="G254" s="164" t="str">
        <f t="shared" ref="G254:G262" si="28">G253</f>
        <v>1st Floor</v>
      </c>
      <c r="H254" s="164"/>
      <c r="I254" s="71"/>
      <c r="N254" s="71"/>
    </row>
    <row r="255" spans="1:16" s="72" customFormat="1" x14ac:dyDescent="0.25">
      <c r="A255" s="164">
        <f>A254+1</f>
        <v>103</v>
      </c>
      <c r="B255" s="164"/>
      <c r="C255" s="102" t="s">
        <v>227</v>
      </c>
      <c r="D255" s="102">
        <f>34.74*10.764</f>
        <v>373.94135999999997</v>
      </c>
      <c r="E255" s="102">
        <v>0</v>
      </c>
      <c r="F255" s="102">
        <f t="shared" si="27"/>
        <v>598.30617599999994</v>
      </c>
      <c r="G255" s="164" t="str">
        <f t="shared" si="28"/>
        <v>1st Floor</v>
      </c>
      <c r="H255" s="164"/>
      <c r="I255" s="71"/>
      <c r="N255" s="71"/>
    </row>
    <row r="256" spans="1:16" s="72" customFormat="1" x14ac:dyDescent="0.25">
      <c r="A256" s="164">
        <f t="shared" ref="A256:A262" si="29">A255+1</f>
        <v>104</v>
      </c>
      <c r="B256" s="164"/>
      <c r="C256" s="102" t="s">
        <v>228</v>
      </c>
      <c r="D256" s="102">
        <f>44.99*10.764</f>
        <v>484.27235999999999</v>
      </c>
      <c r="E256" s="102">
        <v>0</v>
      </c>
      <c r="F256" s="102">
        <f t="shared" si="27"/>
        <v>774.83577600000001</v>
      </c>
      <c r="G256" s="164" t="str">
        <f t="shared" si="28"/>
        <v>1st Floor</v>
      </c>
      <c r="H256" s="164"/>
      <c r="I256" s="71"/>
      <c r="N256" s="71"/>
    </row>
    <row r="257" spans="1:16" s="72" customFormat="1" ht="15.75" customHeight="1" x14ac:dyDescent="0.25">
      <c r="A257" s="164">
        <f t="shared" si="29"/>
        <v>105</v>
      </c>
      <c r="B257" s="164"/>
      <c r="C257" s="102" t="s">
        <v>228</v>
      </c>
      <c r="D257" s="102">
        <f>49.26*10.764</f>
        <v>530.2346399999999</v>
      </c>
      <c r="E257" s="102">
        <v>0</v>
      </c>
      <c r="F257" s="102">
        <f t="shared" ref="F257" si="30">D257*(($F$214)+1)+E257</f>
        <v>848.37542399999984</v>
      </c>
      <c r="G257" s="164" t="str">
        <f t="shared" si="28"/>
        <v>1st Floor</v>
      </c>
      <c r="H257" s="164"/>
      <c r="I257" s="71"/>
      <c r="N257" s="71"/>
    </row>
    <row r="258" spans="1:16" s="72" customFormat="1" x14ac:dyDescent="0.25">
      <c r="A258" s="164">
        <f t="shared" si="29"/>
        <v>106</v>
      </c>
      <c r="B258" s="164"/>
      <c r="C258" s="102" t="s">
        <v>227</v>
      </c>
      <c r="D258" s="102">
        <f>39.13*10.764</f>
        <v>421.19531999999998</v>
      </c>
      <c r="E258" s="102">
        <v>0</v>
      </c>
      <c r="F258" s="102">
        <f>D258*(($F$214)+1)+E258</f>
        <v>673.91251199999999</v>
      </c>
      <c r="G258" s="164" t="str">
        <f t="shared" si="28"/>
        <v>1st Floor</v>
      </c>
      <c r="H258" s="164"/>
      <c r="I258" s="71"/>
      <c r="N258" s="71"/>
    </row>
    <row r="259" spans="1:16" s="72" customFormat="1" x14ac:dyDescent="0.25">
      <c r="A259" s="164">
        <f>A258+1</f>
        <v>107</v>
      </c>
      <c r="B259" s="164"/>
      <c r="C259" s="102" t="s">
        <v>227</v>
      </c>
      <c r="D259" s="102">
        <f>39.13*10.764</f>
        <v>421.19531999999998</v>
      </c>
      <c r="E259" s="102">
        <v>0</v>
      </c>
      <c r="F259" s="102">
        <f>D259*(($F$214)+1)+E259</f>
        <v>673.91251199999999</v>
      </c>
      <c r="G259" s="164" t="str">
        <f t="shared" si="28"/>
        <v>1st Floor</v>
      </c>
      <c r="H259" s="164"/>
      <c r="I259" s="71"/>
      <c r="N259" s="71"/>
    </row>
    <row r="260" spans="1:16" s="72" customFormat="1" x14ac:dyDescent="0.25">
      <c r="A260" s="164">
        <f t="shared" si="29"/>
        <v>108</v>
      </c>
      <c r="B260" s="164"/>
      <c r="C260" s="102" t="s">
        <v>228</v>
      </c>
      <c r="D260" s="102">
        <f>43.62*10.764</f>
        <v>469.52567999999997</v>
      </c>
      <c r="E260" s="102">
        <v>0</v>
      </c>
      <c r="F260" s="102">
        <f>D260*(($F$214)+1)+E260</f>
        <v>751.24108799999999</v>
      </c>
      <c r="G260" s="164" t="str">
        <f t="shared" si="28"/>
        <v>1st Floor</v>
      </c>
      <c r="H260" s="164"/>
      <c r="I260" s="71"/>
      <c r="N260" s="71"/>
    </row>
    <row r="261" spans="1:16" s="72" customFormat="1" x14ac:dyDescent="0.25">
      <c r="A261" s="164">
        <f t="shared" si="29"/>
        <v>109</v>
      </c>
      <c r="B261" s="164"/>
      <c r="C261" s="102" t="s">
        <v>228</v>
      </c>
      <c r="D261" s="102">
        <f>43.62*10.764</f>
        <v>469.52567999999997</v>
      </c>
      <c r="E261" s="102">
        <v>0</v>
      </c>
      <c r="F261" s="102">
        <f>D261*(($F$214)+1)+E261</f>
        <v>751.24108799999999</v>
      </c>
      <c r="G261" s="164" t="str">
        <f t="shared" si="28"/>
        <v>1st Floor</v>
      </c>
      <c r="H261" s="164"/>
      <c r="I261" s="71"/>
      <c r="N261" s="71"/>
    </row>
    <row r="262" spans="1:16" s="72" customFormat="1" x14ac:dyDescent="0.25">
      <c r="A262" s="164">
        <f t="shared" si="29"/>
        <v>110</v>
      </c>
      <c r="B262" s="164"/>
      <c r="C262" s="164" t="s">
        <v>214</v>
      </c>
      <c r="D262" s="164"/>
      <c r="E262" s="164"/>
      <c r="F262" s="164"/>
      <c r="G262" s="164" t="str">
        <f t="shared" si="28"/>
        <v>1st Floor</v>
      </c>
      <c r="H262" s="164"/>
      <c r="I262" s="71"/>
      <c r="N262" s="71"/>
    </row>
    <row r="263" spans="1:16" s="72" customFormat="1" ht="15.75" customHeight="1" x14ac:dyDescent="0.25">
      <c r="A263" s="170" t="s">
        <v>215</v>
      </c>
      <c r="B263" s="171"/>
      <c r="C263" s="171"/>
      <c r="D263" s="171"/>
      <c r="E263" s="171"/>
      <c r="F263" s="171"/>
      <c r="G263" s="171"/>
      <c r="H263" s="172"/>
      <c r="I263" s="71"/>
      <c r="P263" s="73"/>
    </row>
    <row r="264" spans="1:16" s="72" customFormat="1" ht="15.75" customHeight="1" x14ac:dyDescent="0.25">
      <c r="A264" s="165" t="s">
        <v>217</v>
      </c>
      <c r="B264" s="166"/>
      <c r="C264" s="43" t="s">
        <v>227</v>
      </c>
      <c r="D264" s="43">
        <f>39.44*10.764</f>
        <v>424.53215999999998</v>
      </c>
      <c r="E264" s="43">
        <v>0</v>
      </c>
      <c r="F264" s="43">
        <f t="shared" ref="F264:F273" si="31">D264*(($F$214)+1)+E264</f>
        <v>679.25145599999996</v>
      </c>
      <c r="G264" s="173" t="str">
        <f>A263</f>
        <v>2nd to 7th, 9th to 13th, 15th to 18th, 20th to 23rd, 25th to 28th, 30th to 32nd Floor</v>
      </c>
      <c r="H264" s="174"/>
      <c r="I264" s="71"/>
      <c r="N264" s="72" t="str">
        <f t="shared" ref="N264:N273" ca="1" si="32">O264&amp;""&amp;",..,"&amp;""&amp;P264</f>
        <v>2701,..,3201</v>
      </c>
      <c r="O264" s="72">
        <f ca="1">(SUMPRODUCT(MID(0&amp;(LEFT(A263,SUM(LEN(A263)-LEN(SUBSTITUTE(A263,{"0","1","2"},""))))), LARGE(INDEX(ISNUMBER(--MID((LEFT(A263,SUM(LEN(A263)-LEN(SUBSTITUTE(A263,{"0","1","2"},""))))), ROW(INDIRECT("1:"&amp;LEN((LEFT(A263,SUM(LEN(A263)-LEN(SUBSTITUTE(A263,{"0","1","2"},"")))))))), 1)) * ROW(INDIRECT("1:"&amp;LEN((LEFT(A263,SUM(LEN(A263)-LEN(SUBSTITUTE(A263,{"0","1","2"},"")))))))), 0), ROW(INDIRECT("1:"&amp;LEN((LEFT(A263,SUM(LEN(A263)-LEN(SUBSTITUTE(A263,{"0","1","2"},"")))))))))+1, 1) * 10^ROW(INDIRECT("1:"&amp;LEN((LEFT(A263,SUM(LEN(A263)-LEN(SUBSTITUTE(A263,{"0","1","2"},""))))))))/10))*100+1</f>
        <v>2701</v>
      </c>
      <c r="P264" s="72">
        <f ca="1">(SUMPRODUCT(MID(0&amp;(--TRIM(RIGHT(SUBSTITUTE(LEFT(A263,_xlfn.AGGREGATE(16,6,FIND({0,1,2,3,4,5,6,7,8,9},A263,ROW(INDIRECT("1:"&amp;LEN(A263)))),1))," ",REPT(" ",LEN(A263))),LEN(A263)))), LARGE(INDEX(ISNUMBER(--MID((--TRIM(RIGHT(SUBSTITUTE(LEFT(A263,_xlfn.AGGREGATE(16,6,FIND({0,1,2,3,4,5,6,7,8,9},A263,ROW(INDIRECT("1:"&amp;LEN(A263)))),1))," ",REPT(" ",LEN(A263))),LEN(A263)))), ROW(INDIRECT("1:"&amp;LEN((--TRIM(RIGHT(SUBSTITUTE(LEFT(A263,_xlfn.AGGREGATE(16,6,FIND({0,1,2,3,4,5,6,7,8,9},A263,ROW(INDIRECT("1:"&amp;LEN(A263)))),1))," ",REPT(" ",LEN(A263))),LEN(A263))))))), 1)) * ROW(INDIRECT("1:"&amp;LEN((--TRIM(RIGHT(SUBSTITUTE(LEFT(A263,_xlfn.AGGREGATE(16,6,FIND({0,1,2,3,4,5,6,7,8,9},A263,ROW(INDIRECT("1:"&amp;LEN(A263)))),1))," ",REPT(" ",LEN(A263))),LEN(A263))))))), 0), ROW(INDIRECT("1:"&amp;LEN((--TRIM(RIGHT(SUBSTITUTE(LEFT(A263,_xlfn.AGGREGATE(16,6,FIND({0,1,2,3,4,5,6,7,8,9},A263,ROW(INDIRECT("1:"&amp;LEN(A263)))),1))," ",REPT(" ",LEN(A263))),LEN(A263))))))))+1, 1) * 10^ROW(INDIRECT("1:"&amp;LEN((--TRIM(RIGHT(SUBSTITUTE(LEFT(A263,_xlfn.AGGREGATE(16,6,FIND({0,1,2,3,4,5,6,7,8,9},A263,ROW(INDIRECT("1:"&amp;LEN(A263)))),1))," ",REPT(" ",LEN(A263))),LEN(A263)))))))/10))*100+1</f>
        <v>3201</v>
      </c>
    </row>
    <row r="265" spans="1:16" s="72" customFormat="1" ht="15.75" customHeight="1" x14ac:dyDescent="0.25">
      <c r="A265" s="165" t="s">
        <v>218</v>
      </c>
      <c r="B265" s="166"/>
      <c r="C265" s="43" t="s">
        <v>228</v>
      </c>
      <c r="D265" s="43">
        <f>47.09*10.764</f>
        <v>506.87675999999999</v>
      </c>
      <c r="E265" s="43">
        <v>0</v>
      </c>
      <c r="F265" s="43">
        <f t="shared" si="31"/>
        <v>811.00281600000005</v>
      </c>
      <c r="G265" s="175"/>
      <c r="H265" s="176"/>
      <c r="I265" s="71"/>
      <c r="N265" s="72" t="str">
        <f t="shared" ca="1" si="32"/>
        <v>2702,..,3202</v>
      </c>
      <c r="O265" s="72">
        <f t="shared" ref="O265:P265" ca="1" si="33">O264+1</f>
        <v>2702</v>
      </c>
      <c r="P265" s="72">
        <f t="shared" ca="1" si="33"/>
        <v>3202</v>
      </c>
    </row>
    <row r="266" spans="1:16" s="72" customFormat="1" ht="15.75" customHeight="1" x14ac:dyDescent="0.25">
      <c r="A266" s="165" t="s">
        <v>219</v>
      </c>
      <c r="B266" s="166"/>
      <c r="C266" s="43" t="s">
        <v>228</v>
      </c>
      <c r="D266" s="43">
        <f>47.09*10.764</f>
        <v>506.87675999999999</v>
      </c>
      <c r="E266" s="43">
        <v>0</v>
      </c>
      <c r="F266" s="43">
        <f t="shared" si="31"/>
        <v>811.00281600000005</v>
      </c>
      <c r="G266" s="175"/>
      <c r="H266" s="176"/>
      <c r="I266" s="71"/>
      <c r="N266" s="72" t="str">
        <f t="shared" ca="1" si="32"/>
        <v>2703,..,3203</v>
      </c>
      <c r="O266" s="72">
        <f t="shared" ref="O266:P266" ca="1" si="34">O265+1</f>
        <v>2703</v>
      </c>
      <c r="P266" s="72">
        <f t="shared" ca="1" si="34"/>
        <v>3203</v>
      </c>
    </row>
    <row r="267" spans="1:16" s="72" customFormat="1" ht="15.75" customHeight="1" x14ac:dyDescent="0.25">
      <c r="A267" s="165" t="s">
        <v>220</v>
      </c>
      <c r="B267" s="166"/>
      <c r="C267" s="43" t="s">
        <v>228</v>
      </c>
      <c r="D267" s="43">
        <f>44.99*10.764</f>
        <v>484.27235999999999</v>
      </c>
      <c r="E267" s="43">
        <v>0</v>
      </c>
      <c r="F267" s="43">
        <f t="shared" si="31"/>
        <v>774.83577600000001</v>
      </c>
      <c r="G267" s="175"/>
      <c r="H267" s="176"/>
      <c r="I267" s="71"/>
      <c r="N267" s="72" t="str">
        <f t="shared" ca="1" si="32"/>
        <v>2704,..,3204</v>
      </c>
      <c r="O267" s="72">
        <f t="shared" ref="O267:P267" ca="1" si="35">O266+1</f>
        <v>2704</v>
      </c>
      <c r="P267" s="72">
        <f t="shared" ca="1" si="35"/>
        <v>3204</v>
      </c>
    </row>
    <row r="268" spans="1:16" s="72" customFormat="1" ht="15.75" customHeight="1" x14ac:dyDescent="0.25">
      <c r="A268" s="165" t="s">
        <v>221</v>
      </c>
      <c r="B268" s="166"/>
      <c r="C268" s="43" t="s">
        <v>228</v>
      </c>
      <c r="D268" s="43">
        <f>49.26*10.764</f>
        <v>530.2346399999999</v>
      </c>
      <c r="E268" s="43">
        <v>0</v>
      </c>
      <c r="F268" s="43">
        <f t="shared" si="31"/>
        <v>848.37542399999984</v>
      </c>
      <c r="G268" s="175"/>
      <c r="H268" s="176"/>
      <c r="I268" s="71"/>
      <c r="N268" s="72" t="str">
        <f t="shared" ca="1" si="32"/>
        <v>2705,..,3205</v>
      </c>
      <c r="O268" s="72">
        <f t="shared" ref="O268:P268" ca="1" si="36">O267+1</f>
        <v>2705</v>
      </c>
      <c r="P268" s="72">
        <f t="shared" ca="1" si="36"/>
        <v>3205</v>
      </c>
    </row>
    <row r="269" spans="1:16" s="72" customFormat="1" ht="15.75" customHeight="1" x14ac:dyDescent="0.25">
      <c r="A269" s="165" t="s">
        <v>222</v>
      </c>
      <c r="B269" s="166"/>
      <c r="C269" s="43" t="s">
        <v>227</v>
      </c>
      <c r="D269" s="43">
        <f>39.13*10.764</f>
        <v>421.19531999999998</v>
      </c>
      <c r="E269" s="43">
        <v>0</v>
      </c>
      <c r="F269" s="43">
        <f t="shared" si="31"/>
        <v>673.91251199999999</v>
      </c>
      <c r="G269" s="175"/>
      <c r="H269" s="176"/>
      <c r="I269" s="71">
        <f>4468600/F269</f>
        <v>6630.8310358244244</v>
      </c>
      <c r="N269" s="72" t="str">
        <f t="shared" ca="1" si="32"/>
        <v>2706,..,3206</v>
      </c>
      <c r="O269" s="72">
        <f t="shared" ref="O269:P269" ca="1" si="37">O268+1</f>
        <v>2706</v>
      </c>
      <c r="P269" s="72">
        <f t="shared" ca="1" si="37"/>
        <v>3206</v>
      </c>
    </row>
    <row r="270" spans="1:16" s="72" customFormat="1" ht="15.75" customHeight="1" x14ac:dyDescent="0.25">
      <c r="A270" s="165" t="s">
        <v>223</v>
      </c>
      <c r="B270" s="166"/>
      <c r="C270" s="43" t="s">
        <v>227</v>
      </c>
      <c r="D270" s="43">
        <f>39.13*10.764</f>
        <v>421.19531999999998</v>
      </c>
      <c r="E270" s="43">
        <v>0</v>
      </c>
      <c r="F270" s="43">
        <f t="shared" si="31"/>
        <v>673.91251199999999</v>
      </c>
      <c r="G270" s="175"/>
      <c r="H270" s="176"/>
      <c r="I270" s="71"/>
      <c r="N270" s="72" t="str">
        <f t="shared" ca="1" si="32"/>
        <v>2707,..,3207</v>
      </c>
      <c r="O270" s="72">
        <f t="shared" ref="O270:P270" ca="1" si="38">O269+1</f>
        <v>2707</v>
      </c>
      <c r="P270" s="72">
        <f t="shared" ca="1" si="38"/>
        <v>3207</v>
      </c>
    </row>
    <row r="271" spans="1:16" s="72" customFormat="1" ht="15.75" customHeight="1" x14ac:dyDescent="0.25">
      <c r="A271" s="165" t="s">
        <v>224</v>
      </c>
      <c r="B271" s="166"/>
      <c r="C271" s="43" t="s">
        <v>228</v>
      </c>
      <c r="D271" s="43">
        <f>57.75*10.764</f>
        <v>621.62099999999998</v>
      </c>
      <c r="E271" s="43">
        <v>0</v>
      </c>
      <c r="F271" s="43">
        <f t="shared" si="31"/>
        <v>994.59360000000004</v>
      </c>
      <c r="G271" s="175"/>
      <c r="H271" s="176"/>
      <c r="I271" s="71">
        <f>6369100/F271</f>
        <v>6403.7210776341208</v>
      </c>
      <c r="N271" s="72" t="str">
        <f t="shared" ca="1" si="32"/>
        <v>2708,..,3208</v>
      </c>
      <c r="O271" s="72">
        <f t="shared" ref="O271:P271" ca="1" si="39">O270+1</f>
        <v>2708</v>
      </c>
      <c r="P271" s="72">
        <f t="shared" ca="1" si="39"/>
        <v>3208</v>
      </c>
    </row>
    <row r="272" spans="1:16" s="72" customFormat="1" ht="15.75" customHeight="1" x14ac:dyDescent="0.25">
      <c r="A272" s="165" t="s">
        <v>225</v>
      </c>
      <c r="B272" s="166"/>
      <c r="C272" s="43" t="s">
        <v>228</v>
      </c>
      <c r="D272" s="43">
        <f>57.75*10.764</f>
        <v>621.62099999999998</v>
      </c>
      <c r="E272" s="43">
        <v>0</v>
      </c>
      <c r="F272" s="43">
        <f t="shared" si="31"/>
        <v>994.59360000000004</v>
      </c>
      <c r="G272" s="175"/>
      <c r="H272" s="176"/>
      <c r="I272" s="71"/>
      <c r="N272" s="72" t="str">
        <f t="shared" ca="1" si="32"/>
        <v>2709,..,3209</v>
      </c>
      <c r="O272" s="72">
        <f t="shared" ref="O272:P272" ca="1" si="40">O271+1</f>
        <v>2709</v>
      </c>
      <c r="P272" s="72">
        <f t="shared" ca="1" si="40"/>
        <v>3209</v>
      </c>
    </row>
    <row r="273" spans="1:16" s="72" customFormat="1" ht="15.75" customHeight="1" x14ac:dyDescent="0.25">
      <c r="A273" s="165" t="s">
        <v>226</v>
      </c>
      <c r="B273" s="166"/>
      <c r="C273" s="43" t="s">
        <v>227</v>
      </c>
      <c r="D273" s="43">
        <f>38.28*10.764</f>
        <v>412.04591999999997</v>
      </c>
      <c r="E273" s="43">
        <v>0</v>
      </c>
      <c r="F273" s="43">
        <f t="shared" si="31"/>
        <v>659.27347199999997</v>
      </c>
      <c r="G273" s="236"/>
      <c r="H273" s="237"/>
      <c r="I273" s="71"/>
      <c r="N273" s="72" t="str">
        <f t="shared" ca="1" si="32"/>
        <v>2710,..,3210</v>
      </c>
      <c r="O273" s="72">
        <f t="shared" ref="O273:P273" ca="1" si="41">O272+1</f>
        <v>2710</v>
      </c>
      <c r="P273" s="72">
        <f t="shared" ca="1" si="41"/>
        <v>3210</v>
      </c>
    </row>
    <row r="274" spans="1:16" s="72" customFormat="1" ht="15.75" customHeight="1" x14ac:dyDescent="0.25">
      <c r="A274" s="170" t="s">
        <v>216</v>
      </c>
      <c r="B274" s="171"/>
      <c r="C274" s="171"/>
      <c r="D274" s="171"/>
      <c r="E274" s="171"/>
      <c r="F274" s="171"/>
      <c r="G274" s="171"/>
      <c r="H274" s="172"/>
      <c r="I274" s="71"/>
      <c r="P274" s="73"/>
    </row>
    <row r="275" spans="1:16" s="72" customFormat="1" ht="15.75" customHeight="1" x14ac:dyDescent="0.25">
      <c r="A275" s="165" t="str">
        <f t="shared" ref="A275:A284" ca="1" si="42">N275</f>
        <v>801,..,2901</v>
      </c>
      <c r="B275" s="166"/>
      <c r="C275" s="43" t="s">
        <v>227</v>
      </c>
      <c r="D275" s="43">
        <f>39.44*10.764</f>
        <v>424.53215999999998</v>
      </c>
      <c r="E275" s="43">
        <v>0</v>
      </c>
      <c r="F275" s="43">
        <f t="shared" ref="F275:F283" si="43">D275*(($F$214)+1)+E275</f>
        <v>679.25145599999996</v>
      </c>
      <c r="G275" s="173" t="str">
        <f>A274</f>
        <v>8th, 14th, 19th, 24th &amp; 29th Floor</v>
      </c>
      <c r="H275" s="174"/>
      <c r="I275" s="71"/>
      <c r="N275" s="72" t="str">
        <f t="shared" ref="N275:N284" ca="1" si="44">O275&amp;""&amp;",..,"&amp;""&amp;P275</f>
        <v>801,..,2901</v>
      </c>
      <c r="O275" s="72">
        <f ca="1">(SUMPRODUCT(MID(0&amp;(LEFT(A274,SUM(LEN(A274)-LEN(SUBSTITUTE(A274,{"0","1","2"},""))))), LARGE(INDEX(ISNUMBER(--MID((LEFT(A274,SUM(LEN(A274)-LEN(SUBSTITUTE(A274,{"0","1","2"},""))))), ROW(INDIRECT("1:"&amp;LEN((LEFT(A274,SUM(LEN(A274)-LEN(SUBSTITUTE(A274,{"0","1","2"},"")))))))), 1)) * ROW(INDIRECT("1:"&amp;LEN((LEFT(A274,SUM(LEN(A274)-LEN(SUBSTITUTE(A274,{"0","1","2"},"")))))))), 0), ROW(INDIRECT("1:"&amp;LEN((LEFT(A274,SUM(LEN(A274)-LEN(SUBSTITUTE(A274,{"0","1","2"},"")))))))))+1, 1) * 10^ROW(INDIRECT("1:"&amp;LEN((LEFT(A274,SUM(LEN(A274)-LEN(SUBSTITUTE(A274,{"0","1","2"},""))))))))/10))*100+1</f>
        <v>801</v>
      </c>
      <c r="P275" s="72">
        <f ca="1">(SUMPRODUCT(MID(0&amp;(--TRIM(RIGHT(SUBSTITUTE(LEFT(A274,_xlfn.AGGREGATE(16,6,FIND({0,1,2,3,4,5,6,7,8,9},A274,ROW(INDIRECT("1:"&amp;LEN(A274)))),1))," ",REPT(" ",LEN(A274))),LEN(A274)))), LARGE(INDEX(ISNUMBER(--MID((--TRIM(RIGHT(SUBSTITUTE(LEFT(A274,_xlfn.AGGREGATE(16,6,FIND({0,1,2,3,4,5,6,7,8,9},A274,ROW(INDIRECT("1:"&amp;LEN(A274)))),1))," ",REPT(" ",LEN(A274))),LEN(A274)))), ROW(INDIRECT("1:"&amp;LEN((--TRIM(RIGHT(SUBSTITUTE(LEFT(A274,_xlfn.AGGREGATE(16,6,FIND({0,1,2,3,4,5,6,7,8,9},A274,ROW(INDIRECT("1:"&amp;LEN(A274)))),1))," ",REPT(" ",LEN(A274))),LEN(A274))))))), 1)) * ROW(INDIRECT("1:"&amp;LEN((--TRIM(RIGHT(SUBSTITUTE(LEFT(A274,_xlfn.AGGREGATE(16,6,FIND({0,1,2,3,4,5,6,7,8,9},A274,ROW(INDIRECT("1:"&amp;LEN(A274)))),1))," ",REPT(" ",LEN(A274))),LEN(A274))))))), 0), ROW(INDIRECT("1:"&amp;LEN((--TRIM(RIGHT(SUBSTITUTE(LEFT(A274,_xlfn.AGGREGATE(16,6,FIND({0,1,2,3,4,5,6,7,8,9},A274,ROW(INDIRECT("1:"&amp;LEN(A274)))),1))," ",REPT(" ",LEN(A274))),LEN(A274))))))))+1, 1) * 10^ROW(INDIRECT("1:"&amp;LEN((--TRIM(RIGHT(SUBSTITUTE(LEFT(A274,_xlfn.AGGREGATE(16,6,FIND({0,1,2,3,4,5,6,7,8,9},A274,ROW(INDIRECT("1:"&amp;LEN(A274)))),1))," ",REPT(" ",LEN(A274))),LEN(A274)))))))/10))*100+1</f>
        <v>2901</v>
      </c>
    </row>
    <row r="276" spans="1:16" s="72" customFormat="1" ht="15.75" customHeight="1" x14ac:dyDescent="0.25">
      <c r="A276" s="165" t="str">
        <f t="shared" ca="1" si="42"/>
        <v>802,..,2902</v>
      </c>
      <c r="B276" s="166"/>
      <c r="C276" s="43" t="s">
        <v>228</v>
      </c>
      <c r="D276" s="43">
        <f>47.09*10.764</f>
        <v>506.87675999999999</v>
      </c>
      <c r="E276" s="43">
        <v>0</v>
      </c>
      <c r="F276" s="43">
        <f t="shared" si="43"/>
        <v>811.00281600000005</v>
      </c>
      <c r="G276" s="175"/>
      <c r="H276" s="176"/>
      <c r="I276" s="71"/>
      <c r="N276" s="72" t="str">
        <f t="shared" ca="1" si="44"/>
        <v>802,..,2902</v>
      </c>
      <c r="O276" s="72">
        <f t="shared" ref="O276:P276" ca="1" si="45">O275+1</f>
        <v>802</v>
      </c>
      <c r="P276" s="72">
        <f t="shared" ca="1" si="45"/>
        <v>2902</v>
      </c>
    </row>
    <row r="277" spans="1:16" s="72" customFormat="1" ht="15.75" customHeight="1" x14ac:dyDescent="0.25">
      <c r="A277" s="165" t="str">
        <f t="shared" ca="1" si="42"/>
        <v>803,..,2903</v>
      </c>
      <c r="B277" s="166"/>
      <c r="C277" s="43" t="s">
        <v>228</v>
      </c>
      <c r="D277" s="43">
        <f>47.09*10.764</f>
        <v>506.87675999999999</v>
      </c>
      <c r="E277" s="43">
        <v>0</v>
      </c>
      <c r="F277" s="43">
        <f t="shared" si="43"/>
        <v>811.00281600000005</v>
      </c>
      <c r="G277" s="175"/>
      <c r="H277" s="176"/>
      <c r="I277" s="71"/>
      <c r="N277" s="72" t="str">
        <f t="shared" ca="1" si="44"/>
        <v>803,..,2903</v>
      </c>
      <c r="O277" s="72">
        <f t="shared" ref="O277:P277" ca="1" si="46">O276+1</f>
        <v>803</v>
      </c>
      <c r="P277" s="72">
        <f t="shared" ca="1" si="46"/>
        <v>2903</v>
      </c>
    </row>
    <row r="278" spans="1:16" s="72" customFormat="1" ht="15.75" customHeight="1" x14ac:dyDescent="0.25">
      <c r="A278" s="165" t="str">
        <f t="shared" ca="1" si="42"/>
        <v>804,..,2904</v>
      </c>
      <c r="B278" s="166"/>
      <c r="C278" s="43" t="s">
        <v>228</v>
      </c>
      <c r="D278" s="43">
        <f>44.99*10.764</f>
        <v>484.27235999999999</v>
      </c>
      <c r="E278" s="43">
        <v>0</v>
      </c>
      <c r="F278" s="43">
        <f t="shared" si="43"/>
        <v>774.83577600000001</v>
      </c>
      <c r="G278" s="175"/>
      <c r="H278" s="176"/>
      <c r="I278" s="71"/>
      <c r="N278" s="72" t="str">
        <f t="shared" ca="1" si="44"/>
        <v>804,..,2904</v>
      </c>
      <c r="O278" s="72">
        <f t="shared" ref="O278:P278" ca="1" si="47">O277+1</f>
        <v>804</v>
      </c>
      <c r="P278" s="72">
        <f t="shared" ca="1" si="47"/>
        <v>2904</v>
      </c>
    </row>
    <row r="279" spans="1:16" s="72" customFormat="1" ht="15.75" customHeight="1" x14ac:dyDescent="0.25">
      <c r="A279" s="165" t="str">
        <f t="shared" ca="1" si="42"/>
        <v>805,..,2905</v>
      </c>
      <c r="B279" s="166"/>
      <c r="C279" s="43" t="s">
        <v>228</v>
      </c>
      <c r="D279" s="43">
        <f>49.26*10.764</f>
        <v>530.2346399999999</v>
      </c>
      <c r="E279" s="43">
        <v>0</v>
      </c>
      <c r="F279" s="43">
        <f t="shared" si="43"/>
        <v>848.37542399999984</v>
      </c>
      <c r="G279" s="175"/>
      <c r="H279" s="176"/>
      <c r="I279" s="71"/>
      <c r="N279" s="72" t="str">
        <f t="shared" ca="1" si="44"/>
        <v>805,..,2905</v>
      </c>
      <c r="O279" s="72">
        <f t="shared" ref="O279:P279" ca="1" si="48">O278+1</f>
        <v>805</v>
      </c>
      <c r="P279" s="72">
        <f t="shared" ca="1" si="48"/>
        <v>2905</v>
      </c>
    </row>
    <row r="280" spans="1:16" s="72" customFormat="1" ht="15.75" customHeight="1" x14ac:dyDescent="0.25">
      <c r="A280" s="165" t="str">
        <f t="shared" ca="1" si="42"/>
        <v>806,..,2906</v>
      </c>
      <c r="B280" s="166"/>
      <c r="C280" s="43" t="s">
        <v>227</v>
      </c>
      <c r="D280" s="43">
        <f>39.13*10.764</f>
        <v>421.19531999999998</v>
      </c>
      <c r="E280" s="43">
        <v>0</v>
      </c>
      <c r="F280" s="43">
        <f t="shared" si="43"/>
        <v>673.91251199999999</v>
      </c>
      <c r="G280" s="175"/>
      <c r="H280" s="176"/>
      <c r="I280" s="71"/>
      <c r="N280" s="72" t="str">
        <f t="shared" ca="1" si="44"/>
        <v>806,..,2906</v>
      </c>
      <c r="O280" s="72">
        <f t="shared" ref="O280:P280" ca="1" si="49">O279+1</f>
        <v>806</v>
      </c>
      <c r="P280" s="72">
        <f t="shared" ca="1" si="49"/>
        <v>2906</v>
      </c>
    </row>
    <row r="281" spans="1:16" s="72" customFormat="1" ht="15.75" customHeight="1" x14ac:dyDescent="0.25">
      <c r="A281" s="165" t="str">
        <f t="shared" ca="1" si="42"/>
        <v>807,..,2907</v>
      </c>
      <c r="B281" s="166"/>
      <c r="C281" s="43" t="s">
        <v>227</v>
      </c>
      <c r="D281" s="43">
        <f>39.13*10.764</f>
        <v>421.19531999999998</v>
      </c>
      <c r="E281" s="43">
        <v>0</v>
      </c>
      <c r="F281" s="43">
        <f t="shared" si="43"/>
        <v>673.91251199999999</v>
      </c>
      <c r="G281" s="175"/>
      <c r="H281" s="176"/>
      <c r="I281" s="71"/>
      <c r="N281" s="72" t="str">
        <f t="shared" ca="1" si="44"/>
        <v>807,..,2907</v>
      </c>
      <c r="O281" s="72">
        <f t="shared" ref="O281:P281" ca="1" si="50">O280+1</f>
        <v>807</v>
      </c>
      <c r="P281" s="72">
        <f t="shared" ca="1" si="50"/>
        <v>2907</v>
      </c>
    </row>
    <row r="282" spans="1:16" s="72" customFormat="1" ht="15.75" customHeight="1" x14ac:dyDescent="0.25">
      <c r="A282" s="165" t="str">
        <f t="shared" ca="1" si="42"/>
        <v>808,..,2908</v>
      </c>
      <c r="B282" s="166"/>
      <c r="C282" s="43" t="s">
        <v>228</v>
      </c>
      <c r="D282" s="43">
        <f>57.75*10.764</f>
        <v>621.62099999999998</v>
      </c>
      <c r="E282" s="43">
        <v>0</v>
      </c>
      <c r="F282" s="43">
        <f t="shared" si="43"/>
        <v>994.59360000000004</v>
      </c>
      <c r="G282" s="175"/>
      <c r="H282" s="176"/>
      <c r="I282" s="71"/>
      <c r="N282" s="72" t="str">
        <f t="shared" ca="1" si="44"/>
        <v>808,..,2908</v>
      </c>
      <c r="O282" s="72">
        <f t="shared" ref="O282:P282" ca="1" si="51">O281+1</f>
        <v>808</v>
      </c>
      <c r="P282" s="72">
        <f t="shared" ca="1" si="51"/>
        <v>2908</v>
      </c>
    </row>
    <row r="283" spans="1:16" s="72" customFormat="1" ht="15.75" customHeight="1" x14ac:dyDescent="0.25">
      <c r="A283" s="165" t="str">
        <f t="shared" ca="1" si="42"/>
        <v>809,..,2909</v>
      </c>
      <c r="B283" s="166"/>
      <c r="C283" s="43" t="s">
        <v>228</v>
      </c>
      <c r="D283" s="43">
        <f>57.75*10.764</f>
        <v>621.62099999999998</v>
      </c>
      <c r="E283" s="43">
        <v>0</v>
      </c>
      <c r="F283" s="43">
        <f t="shared" si="43"/>
        <v>994.59360000000004</v>
      </c>
      <c r="G283" s="175"/>
      <c r="H283" s="176"/>
      <c r="I283" s="71"/>
      <c r="N283" s="72" t="str">
        <f t="shared" ca="1" si="44"/>
        <v>809,..,2909</v>
      </c>
      <c r="O283" s="72">
        <f t="shared" ref="O283:P283" ca="1" si="52">O282+1</f>
        <v>809</v>
      </c>
      <c r="P283" s="72">
        <f t="shared" ca="1" si="52"/>
        <v>2909</v>
      </c>
    </row>
    <row r="284" spans="1:16" s="72" customFormat="1" ht="15.75" customHeight="1" x14ac:dyDescent="0.25">
      <c r="A284" s="165" t="str">
        <f t="shared" ca="1" si="42"/>
        <v>810,..,2910</v>
      </c>
      <c r="B284" s="166"/>
      <c r="C284" s="165" t="s">
        <v>211</v>
      </c>
      <c r="D284" s="168"/>
      <c r="E284" s="168"/>
      <c r="F284" s="166"/>
      <c r="G284" s="236"/>
      <c r="H284" s="237"/>
      <c r="I284" s="71"/>
      <c r="N284" s="72" t="str">
        <f t="shared" ca="1" si="44"/>
        <v>810,..,2910</v>
      </c>
      <c r="O284" s="72">
        <f t="shared" ref="O284:P284" ca="1" si="53">O283+1</f>
        <v>810</v>
      </c>
      <c r="P284" s="72">
        <f t="shared" ca="1" si="53"/>
        <v>2910</v>
      </c>
    </row>
    <row r="285" spans="1:16" s="72" customFormat="1" x14ac:dyDescent="0.25">
      <c r="A285" s="170" t="s">
        <v>234</v>
      </c>
      <c r="B285" s="171"/>
      <c r="C285" s="171"/>
      <c r="D285" s="171"/>
      <c r="E285" s="171"/>
      <c r="F285" s="171"/>
      <c r="G285" s="171"/>
      <c r="H285" s="172"/>
    </row>
    <row r="286" spans="1:16" s="72" customFormat="1" x14ac:dyDescent="0.25">
      <c r="A286" s="170" t="s">
        <v>238</v>
      </c>
      <c r="B286" s="171"/>
      <c r="C286" s="171"/>
      <c r="D286" s="171"/>
      <c r="E286" s="171"/>
      <c r="F286" s="171"/>
      <c r="G286" s="171"/>
      <c r="H286" s="172"/>
    </row>
    <row r="287" spans="1:16" s="72" customFormat="1" x14ac:dyDescent="0.25">
      <c r="A287" s="170" t="s">
        <v>213</v>
      </c>
      <c r="B287" s="171"/>
      <c r="C287" s="171"/>
      <c r="D287" s="171"/>
      <c r="E287" s="171"/>
      <c r="F287" s="171"/>
      <c r="G287" s="171"/>
      <c r="H287" s="172"/>
    </row>
    <row r="288" spans="1:16" s="72" customFormat="1" x14ac:dyDescent="0.25">
      <c r="A288" s="169" t="s">
        <v>212</v>
      </c>
      <c r="B288" s="169"/>
      <c r="C288" s="169"/>
      <c r="D288" s="169"/>
      <c r="E288" s="169"/>
      <c r="F288" s="169"/>
      <c r="G288" s="169"/>
      <c r="H288" s="169"/>
      <c r="I288" s="71"/>
      <c r="L288" s="167"/>
      <c r="M288" s="167"/>
    </row>
    <row r="289" spans="1:16" s="72" customFormat="1" x14ac:dyDescent="0.25">
      <c r="A289" s="164">
        <v>1</v>
      </c>
      <c r="B289" s="164"/>
      <c r="C289" s="109" t="s">
        <v>228</v>
      </c>
      <c r="D289" s="109">
        <f>48.62*10.764</f>
        <v>523.3456799999999</v>
      </c>
      <c r="E289" s="109">
        <v>0</v>
      </c>
      <c r="F289" s="109">
        <f>D289*(($F$214)+1)+E289</f>
        <v>837.35308799999984</v>
      </c>
      <c r="G289" s="164" t="str">
        <f>A288</f>
        <v>1st Floor</v>
      </c>
      <c r="H289" s="164"/>
      <c r="I289" s="71"/>
      <c r="N289" s="71"/>
    </row>
    <row r="290" spans="1:16" s="72" customFormat="1" x14ac:dyDescent="0.25">
      <c r="A290" s="164">
        <f>A289+1</f>
        <v>2</v>
      </c>
      <c r="B290" s="164"/>
      <c r="C290" s="109" t="s">
        <v>227</v>
      </c>
      <c r="D290" s="109">
        <f>40.97*10.764</f>
        <v>441.00107999999994</v>
      </c>
      <c r="E290" s="109">
        <v>0</v>
      </c>
      <c r="F290" s="109">
        <f t="shared" ref="F290:F293" si="54">D290*(($F$214)+1)+E290</f>
        <v>705.60172799999998</v>
      </c>
      <c r="G290" s="164" t="str">
        <f t="shared" ref="G290:G297" si="55">G289</f>
        <v>1st Floor</v>
      </c>
      <c r="H290" s="164"/>
      <c r="I290" s="71"/>
      <c r="N290" s="71"/>
    </row>
    <row r="291" spans="1:16" s="72" customFormat="1" x14ac:dyDescent="0.25">
      <c r="A291" s="164">
        <f>A290+1</f>
        <v>3</v>
      </c>
      <c r="B291" s="164"/>
      <c r="C291" s="109" t="s">
        <v>227</v>
      </c>
      <c r="D291" s="109">
        <f>40.97*10.764</f>
        <v>441.00107999999994</v>
      </c>
      <c r="E291" s="109">
        <v>0</v>
      </c>
      <c r="F291" s="109">
        <f t="shared" si="54"/>
        <v>705.60172799999998</v>
      </c>
      <c r="G291" s="164" t="str">
        <f t="shared" si="55"/>
        <v>1st Floor</v>
      </c>
      <c r="H291" s="164"/>
      <c r="I291" s="71"/>
      <c r="N291" s="71"/>
    </row>
    <row r="292" spans="1:16" s="72" customFormat="1" x14ac:dyDescent="0.25">
      <c r="A292" s="164">
        <f t="shared" ref="A292:A297" si="56">A291+1</f>
        <v>4</v>
      </c>
      <c r="B292" s="164"/>
      <c r="C292" s="164" t="s">
        <v>214</v>
      </c>
      <c r="D292" s="164"/>
      <c r="E292" s="164"/>
      <c r="F292" s="164"/>
      <c r="G292" s="164" t="str">
        <f t="shared" si="55"/>
        <v>1st Floor</v>
      </c>
      <c r="H292" s="164"/>
      <c r="I292" s="71"/>
      <c r="N292" s="71"/>
    </row>
    <row r="293" spans="1:16" s="72" customFormat="1" ht="15.75" customHeight="1" x14ac:dyDescent="0.25">
      <c r="A293" s="164">
        <f t="shared" si="56"/>
        <v>5</v>
      </c>
      <c r="B293" s="164"/>
      <c r="C293" s="109" t="s">
        <v>145</v>
      </c>
      <c r="D293" s="109">
        <f>68.03*10.764</f>
        <v>732.27491999999995</v>
      </c>
      <c r="E293" s="109">
        <v>0</v>
      </c>
      <c r="F293" s="109">
        <f t="shared" si="54"/>
        <v>1171.639872</v>
      </c>
      <c r="G293" s="164" t="str">
        <f t="shared" si="55"/>
        <v>1st Floor</v>
      </c>
      <c r="H293" s="164"/>
      <c r="I293" s="71"/>
      <c r="N293" s="71"/>
    </row>
    <row r="294" spans="1:16" s="72" customFormat="1" x14ac:dyDescent="0.25">
      <c r="A294" s="164">
        <f t="shared" si="56"/>
        <v>6</v>
      </c>
      <c r="B294" s="164"/>
      <c r="C294" s="109" t="s">
        <v>239</v>
      </c>
      <c r="D294" s="109">
        <f>61.64*10.764</f>
        <v>663.49295999999993</v>
      </c>
      <c r="E294" s="109">
        <v>0</v>
      </c>
      <c r="F294" s="109">
        <f>D294*(($F$214)+1)+E294</f>
        <v>1061.5887359999999</v>
      </c>
      <c r="G294" s="164" t="str">
        <f t="shared" si="55"/>
        <v>1st Floor</v>
      </c>
      <c r="H294" s="164"/>
      <c r="I294" s="71"/>
      <c r="N294" s="71"/>
    </row>
    <row r="295" spans="1:16" s="72" customFormat="1" x14ac:dyDescent="0.25">
      <c r="A295" s="164">
        <f>A294+1</f>
        <v>7</v>
      </c>
      <c r="B295" s="164"/>
      <c r="C295" s="109" t="s">
        <v>228</v>
      </c>
      <c r="D295" s="109">
        <f>57.52*10.764</f>
        <v>619.14527999999996</v>
      </c>
      <c r="E295" s="109">
        <v>0</v>
      </c>
      <c r="F295" s="109">
        <f>D295*(($F$214)+1)+E295</f>
        <v>990.63244799999995</v>
      </c>
      <c r="G295" s="164" t="str">
        <f t="shared" si="55"/>
        <v>1st Floor</v>
      </c>
      <c r="H295" s="164"/>
      <c r="I295" s="71"/>
      <c r="N295" s="71"/>
    </row>
    <row r="296" spans="1:16" s="72" customFormat="1" x14ac:dyDescent="0.25">
      <c r="A296" s="164">
        <f t="shared" si="56"/>
        <v>8</v>
      </c>
      <c r="B296" s="164"/>
      <c r="C296" s="43" t="s">
        <v>228</v>
      </c>
      <c r="D296" s="43">
        <f>57.52*10.764</f>
        <v>619.14527999999996</v>
      </c>
      <c r="E296" s="43">
        <v>0</v>
      </c>
      <c r="F296" s="43">
        <f>D296*(($F$214)+1)+E296</f>
        <v>990.63244799999995</v>
      </c>
      <c r="G296" s="164" t="str">
        <f t="shared" si="55"/>
        <v>1st Floor</v>
      </c>
      <c r="H296" s="164"/>
      <c r="I296" s="71"/>
      <c r="N296" s="71"/>
    </row>
    <row r="297" spans="1:16" s="72" customFormat="1" x14ac:dyDescent="0.25">
      <c r="A297" s="164">
        <f t="shared" si="56"/>
        <v>9</v>
      </c>
      <c r="B297" s="164"/>
      <c r="C297" s="102" t="s">
        <v>240</v>
      </c>
      <c r="D297" s="102">
        <f>45.4*10.764</f>
        <v>488.68559999999997</v>
      </c>
      <c r="E297" s="102">
        <v>0</v>
      </c>
      <c r="F297" s="102">
        <f>D297*(($F$214)+1)+E297</f>
        <v>781.89696000000004</v>
      </c>
      <c r="G297" s="164" t="str">
        <f t="shared" si="55"/>
        <v>1st Floor</v>
      </c>
      <c r="H297" s="164"/>
      <c r="I297" s="71"/>
      <c r="N297" s="71"/>
    </row>
    <row r="298" spans="1:16" s="72" customFormat="1" ht="15.75" customHeight="1" x14ac:dyDescent="0.25">
      <c r="A298" s="169" t="s">
        <v>241</v>
      </c>
      <c r="B298" s="169"/>
      <c r="C298" s="169"/>
      <c r="D298" s="169"/>
      <c r="E298" s="169"/>
      <c r="F298" s="169"/>
      <c r="G298" s="169"/>
      <c r="H298" s="169"/>
      <c r="I298" s="71"/>
      <c r="P298" s="73"/>
    </row>
    <row r="299" spans="1:16" s="72" customFormat="1" ht="15.75" customHeight="1" x14ac:dyDescent="0.25">
      <c r="A299" s="164">
        <v>1</v>
      </c>
      <c r="B299" s="164"/>
      <c r="C299" s="102" t="s">
        <v>228</v>
      </c>
      <c r="D299" s="102">
        <f>48.62*10.764</f>
        <v>523.3456799999999</v>
      </c>
      <c r="E299" s="102">
        <v>0</v>
      </c>
      <c r="F299" s="102">
        <f t="shared" ref="F299:F307" si="57">D299*(($F$214)+1)+E299</f>
        <v>837.35308799999984</v>
      </c>
      <c r="G299" s="164" t="str">
        <f>A298</f>
        <v>2nd to 7th, 9th to 13th, 15th  Floor</v>
      </c>
      <c r="H299" s="164"/>
      <c r="I299" s="71"/>
      <c r="N299" s="72" t="str">
        <f t="shared" ref="N299:N307" ca="1" si="58">O299&amp;""&amp;",..,"&amp;""&amp;P299</f>
        <v>201,..,1501</v>
      </c>
      <c r="O299" s="72">
        <f ca="1">(SUMPRODUCT(MID(0&amp;(LEFT(A298,SUM(LEN(A298)-LEN(SUBSTITUTE(A298,{"0","1","2"},""))))), LARGE(INDEX(ISNUMBER(--MID((LEFT(A298,SUM(LEN(A298)-LEN(SUBSTITUTE(A298,{"0","1","2"},""))))), ROW(INDIRECT("1:"&amp;LEN((LEFT(A298,SUM(LEN(A298)-LEN(SUBSTITUTE(A298,{"0","1","2"},"")))))))), 1)) * ROW(INDIRECT("1:"&amp;LEN((LEFT(A298,SUM(LEN(A298)-LEN(SUBSTITUTE(A298,{"0","1","2"},"")))))))), 0), ROW(INDIRECT("1:"&amp;LEN((LEFT(A298,SUM(LEN(A298)-LEN(SUBSTITUTE(A298,{"0","1","2"},"")))))))))+1, 1) * 10^ROW(INDIRECT("1:"&amp;LEN((LEFT(A298,SUM(LEN(A298)-LEN(SUBSTITUTE(A298,{"0","1","2"},""))))))))/10))*100+1</f>
        <v>201</v>
      </c>
      <c r="P299" s="72">
        <f ca="1">(SUMPRODUCT(MID(0&amp;(--TRIM(RIGHT(SUBSTITUTE(LEFT(A298,_xlfn.AGGREGATE(16,6,FIND({0,1,2,3,4,5,6,7,8,9},A298,ROW(INDIRECT("1:"&amp;LEN(A298)))),1))," ",REPT(" ",LEN(A298))),LEN(A298)))), LARGE(INDEX(ISNUMBER(--MID((--TRIM(RIGHT(SUBSTITUTE(LEFT(A298,_xlfn.AGGREGATE(16,6,FIND({0,1,2,3,4,5,6,7,8,9},A298,ROW(INDIRECT("1:"&amp;LEN(A298)))),1))," ",REPT(" ",LEN(A298))),LEN(A298)))), ROW(INDIRECT("1:"&amp;LEN((--TRIM(RIGHT(SUBSTITUTE(LEFT(A298,_xlfn.AGGREGATE(16,6,FIND({0,1,2,3,4,5,6,7,8,9},A298,ROW(INDIRECT("1:"&amp;LEN(A298)))),1))," ",REPT(" ",LEN(A298))),LEN(A298))))))), 1)) * ROW(INDIRECT("1:"&amp;LEN((--TRIM(RIGHT(SUBSTITUTE(LEFT(A298,_xlfn.AGGREGATE(16,6,FIND({0,1,2,3,4,5,6,7,8,9},A298,ROW(INDIRECT("1:"&amp;LEN(A298)))),1))," ",REPT(" ",LEN(A298))),LEN(A298))))))), 0), ROW(INDIRECT("1:"&amp;LEN((--TRIM(RIGHT(SUBSTITUTE(LEFT(A298,_xlfn.AGGREGATE(16,6,FIND({0,1,2,3,4,5,6,7,8,9},A298,ROW(INDIRECT("1:"&amp;LEN(A298)))),1))," ",REPT(" ",LEN(A298))),LEN(A298))))))))+1, 1) * 10^ROW(INDIRECT("1:"&amp;LEN((--TRIM(RIGHT(SUBSTITUTE(LEFT(A298,_xlfn.AGGREGATE(16,6,FIND({0,1,2,3,4,5,6,7,8,9},A298,ROW(INDIRECT("1:"&amp;LEN(A298)))),1))," ",REPT(" ",LEN(A298))),LEN(A298)))))))/10))*100+1</f>
        <v>1501</v>
      </c>
    </row>
    <row r="300" spans="1:16" s="72" customFormat="1" ht="15.75" customHeight="1" x14ac:dyDescent="0.25">
      <c r="A300" s="164">
        <v>2</v>
      </c>
      <c r="B300" s="164"/>
      <c r="C300" s="102" t="s">
        <v>228</v>
      </c>
      <c r="D300" s="102">
        <f>54.58*10.764</f>
        <v>587.49911999999995</v>
      </c>
      <c r="E300" s="102">
        <v>0</v>
      </c>
      <c r="F300" s="102">
        <f t="shared" si="57"/>
        <v>939.99859199999992</v>
      </c>
      <c r="G300" s="164"/>
      <c r="H300" s="164"/>
      <c r="I300" s="71"/>
      <c r="N300" s="72" t="str">
        <f t="shared" ca="1" si="58"/>
        <v>202,..,1502</v>
      </c>
      <c r="O300" s="72">
        <f t="shared" ref="O300:P300" ca="1" si="59">O299+1</f>
        <v>202</v>
      </c>
      <c r="P300" s="72">
        <f t="shared" ca="1" si="59"/>
        <v>1502</v>
      </c>
    </row>
    <row r="301" spans="1:16" s="72" customFormat="1" ht="15.75" customHeight="1" x14ac:dyDescent="0.25">
      <c r="A301" s="164">
        <v>3</v>
      </c>
      <c r="B301" s="164"/>
      <c r="C301" s="102" t="s">
        <v>228</v>
      </c>
      <c r="D301" s="102">
        <f>54.58*10.764</f>
        <v>587.49911999999995</v>
      </c>
      <c r="E301" s="102">
        <v>0</v>
      </c>
      <c r="F301" s="102">
        <f t="shared" si="57"/>
        <v>939.99859199999992</v>
      </c>
      <c r="G301" s="164"/>
      <c r="H301" s="164"/>
      <c r="I301" s="71"/>
      <c r="N301" s="72" t="str">
        <f t="shared" ca="1" si="58"/>
        <v>203,..,1503</v>
      </c>
      <c r="O301" s="72">
        <f t="shared" ref="O301:P301" ca="1" si="60">O300+1</f>
        <v>203</v>
      </c>
      <c r="P301" s="72">
        <f t="shared" ca="1" si="60"/>
        <v>1503</v>
      </c>
    </row>
    <row r="302" spans="1:16" s="72" customFormat="1" ht="15.75" customHeight="1" x14ac:dyDescent="0.25">
      <c r="A302" s="164">
        <v>4</v>
      </c>
      <c r="B302" s="164"/>
      <c r="C302" s="102" t="s">
        <v>239</v>
      </c>
      <c r="D302" s="102">
        <f>60.04*10.764</f>
        <v>646.27055999999993</v>
      </c>
      <c r="E302" s="102">
        <v>0</v>
      </c>
      <c r="F302" s="102">
        <f t="shared" si="57"/>
        <v>1034.0328959999999</v>
      </c>
      <c r="G302" s="164"/>
      <c r="H302" s="164"/>
      <c r="I302" s="71"/>
      <c r="N302" s="72" t="str">
        <f t="shared" ca="1" si="58"/>
        <v>204,..,1504</v>
      </c>
      <c r="O302" s="72">
        <f t="shared" ref="O302:P302" ca="1" si="61">O301+1</f>
        <v>204</v>
      </c>
      <c r="P302" s="72">
        <f t="shared" ca="1" si="61"/>
        <v>1504</v>
      </c>
    </row>
    <row r="303" spans="1:16" s="72" customFormat="1" ht="15.75" customHeight="1" x14ac:dyDescent="0.25">
      <c r="A303" s="164">
        <v>5</v>
      </c>
      <c r="B303" s="164"/>
      <c r="C303" s="102" t="s">
        <v>145</v>
      </c>
      <c r="D303" s="102">
        <f>68.03*10.764</f>
        <v>732.27491999999995</v>
      </c>
      <c r="E303" s="102">
        <v>0</v>
      </c>
      <c r="F303" s="102">
        <f t="shared" si="57"/>
        <v>1171.639872</v>
      </c>
      <c r="G303" s="164"/>
      <c r="H303" s="164"/>
      <c r="I303" s="71"/>
      <c r="N303" s="72" t="str">
        <f t="shared" ca="1" si="58"/>
        <v>205,..,1505</v>
      </c>
      <c r="O303" s="72">
        <f t="shared" ref="O303:P303" ca="1" si="62">O302+1</f>
        <v>205</v>
      </c>
      <c r="P303" s="72">
        <f t="shared" ca="1" si="62"/>
        <v>1505</v>
      </c>
    </row>
    <row r="304" spans="1:16" s="72" customFormat="1" ht="15.75" customHeight="1" x14ac:dyDescent="0.25">
      <c r="A304" s="164">
        <v>6</v>
      </c>
      <c r="B304" s="164"/>
      <c r="C304" s="102" t="s">
        <v>239</v>
      </c>
      <c r="D304" s="102">
        <f>61.84*10.764</f>
        <v>665.64576</v>
      </c>
      <c r="E304" s="102">
        <v>0</v>
      </c>
      <c r="F304" s="102">
        <f t="shared" si="57"/>
        <v>1065.033216</v>
      </c>
      <c r="G304" s="164"/>
      <c r="H304" s="164"/>
      <c r="I304" s="71">
        <f>4468600/F304</f>
        <v>4195.7376848610884</v>
      </c>
      <c r="N304" s="72" t="str">
        <f t="shared" ca="1" si="58"/>
        <v>206,..,1506</v>
      </c>
      <c r="O304" s="72">
        <f t="shared" ref="O304:P304" ca="1" si="63">O303+1</f>
        <v>206</v>
      </c>
      <c r="P304" s="72">
        <f t="shared" ca="1" si="63"/>
        <v>1506</v>
      </c>
    </row>
    <row r="305" spans="1:16" s="72" customFormat="1" ht="15.75" customHeight="1" x14ac:dyDescent="0.25">
      <c r="A305" s="164">
        <v>7</v>
      </c>
      <c r="B305" s="164"/>
      <c r="C305" s="102" t="s">
        <v>228</v>
      </c>
      <c r="D305" s="102">
        <f>57.57*10.764</f>
        <v>619.68347999999992</v>
      </c>
      <c r="E305" s="102">
        <v>0</v>
      </c>
      <c r="F305" s="102">
        <f t="shared" si="57"/>
        <v>991.49356799999987</v>
      </c>
      <c r="G305" s="164"/>
      <c r="H305" s="164"/>
      <c r="I305" s="71"/>
      <c r="N305" s="72" t="str">
        <f t="shared" ca="1" si="58"/>
        <v>207,..,1507</v>
      </c>
      <c r="O305" s="72">
        <f t="shared" ref="O305:P305" ca="1" si="64">O304+1</f>
        <v>207</v>
      </c>
      <c r="P305" s="72">
        <f t="shared" ca="1" si="64"/>
        <v>1507</v>
      </c>
    </row>
    <row r="306" spans="1:16" s="72" customFormat="1" ht="15.75" customHeight="1" x14ac:dyDescent="0.25">
      <c r="A306" s="164">
        <v>8</v>
      </c>
      <c r="B306" s="164"/>
      <c r="C306" s="102" t="s">
        <v>228</v>
      </c>
      <c r="D306" s="102">
        <f>57.57*10.764</f>
        <v>619.68347999999992</v>
      </c>
      <c r="E306" s="102">
        <v>0</v>
      </c>
      <c r="F306" s="102">
        <f t="shared" si="57"/>
        <v>991.49356799999987</v>
      </c>
      <c r="G306" s="164"/>
      <c r="H306" s="164"/>
      <c r="I306" s="71">
        <f>6369100/F306</f>
        <v>6423.7431341561669</v>
      </c>
      <c r="N306" s="72" t="str">
        <f t="shared" ca="1" si="58"/>
        <v>208,..,1508</v>
      </c>
      <c r="O306" s="72">
        <f t="shared" ref="O306:P306" ca="1" si="65">O305+1</f>
        <v>208</v>
      </c>
      <c r="P306" s="72">
        <f t="shared" ca="1" si="65"/>
        <v>1508</v>
      </c>
    </row>
    <row r="307" spans="1:16" s="72" customFormat="1" ht="15.75" customHeight="1" x14ac:dyDescent="0.25">
      <c r="A307" s="164">
        <v>9</v>
      </c>
      <c r="B307" s="164"/>
      <c r="C307" s="102" t="s">
        <v>240</v>
      </c>
      <c r="D307" s="102">
        <f>45.4*10.764</f>
        <v>488.68559999999997</v>
      </c>
      <c r="E307" s="102">
        <v>0</v>
      </c>
      <c r="F307" s="102">
        <f t="shared" si="57"/>
        <v>781.89696000000004</v>
      </c>
      <c r="G307" s="164"/>
      <c r="H307" s="164"/>
      <c r="I307" s="71"/>
      <c r="N307" s="72" t="str">
        <f t="shared" ca="1" si="58"/>
        <v>209,..,1509</v>
      </c>
      <c r="O307" s="72">
        <f t="shared" ref="O307:P307" ca="1" si="66">O306+1</f>
        <v>209</v>
      </c>
      <c r="P307" s="72">
        <f t="shared" ca="1" si="66"/>
        <v>1509</v>
      </c>
    </row>
    <row r="308" spans="1:16" s="72" customFormat="1" ht="15.75" customHeight="1" x14ac:dyDescent="0.25">
      <c r="A308" s="169" t="s">
        <v>242</v>
      </c>
      <c r="B308" s="169"/>
      <c r="C308" s="169"/>
      <c r="D308" s="169"/>
      <c r="E308" s="169"/>
      <c r="F308" s="169"/>
      <c r="G308" s="169"/>
      <c r="H308" s="169"/>
      <c r="I308" s="71"/>
      <c r="P308" s="73"/>
    </row>
    <row r="309" spans="1:16" s="72" customFormat="1" ht="15.75" customHeight="1" x14ac:dyDescent="0.25">
      <c r="A309" s="165">
        <v>1</v>
      </c>
      <c r="B309" s="166"/>
      <c r="C309" s="43" t="s">
        <v>228</v>
      </c>
      <c r="D309" s="43">
        <f>48.62*10.764</f>
        <v>523.3456799999999</v>
      </c>
      <c r="E309" s="43">
        <v>0</v>
      </c>
      <c r="F309" s="43">
        <f t="shared" ref="F309:F317" si="67">D309*(($F$214)+1)+E309</f>
        <v>837.35308799999984</v>
      </c>
      <c r="G309" s="173" t="str">
        <f>A308</f>
        <v>8th &amp; 14th Floor (Part Refuge Area)</v>
      </c>
      <c r="H309" s="174"/>
      <c r="I309" s="71"/>
      <c r="N309" s="72" t="str">
        <f t="shared" ref="N309:N317" ca="1" si="68">O309&amp;""&amp;",..,"&amp;""&amp;P309</f>
        <v>801,..,1401</v>
      </c>
      <c r="O309" s="72">
        <f ca="1">(SUMPRODUCT(MID(0&amp;(LEFT(A308,SUM(LEN(A308)-LEN(SUBSTITUTE(A308,{"0","1","2"},""))))), LARGE(INDEX(ISNUMBER(--MID((LEFT(A308,SUM(LEN(A308)-LEN(SUBSTITUTE(A308,{"0","1","2"},""))))), ROW(INDIRECT("1:"&amp;LEN((LEFT(A308,SUM(LEN(A308)-LEN(SUBSTITUTE(A308,{"0","1","2"},"")))))))), 1)) * ROW(INDIRECT("1:"&amp;LEN((LEFT(A308,SUM(LEN(A308)-LEN(SUBSTITUTE(A308,{"0","1","2"},"")))))))), 0), ROW(INDIRECT("1:"&amp;LEN((LEFT(A308,SUM(LEN(A308)-LEN(SUBSTITUTE(A308,{"0","1","2"},"")))))))))+1, 1) * 10^ROW(INDIRECT("1:"&amp;LEN((LEFT(A308,SUM(LEN(A308)-LEN(SUBSTITUTE(A308,{"0","1","2"},""))))))))/10))*100+1</f>
        <v>801</v>
      </c>
      <c r="P309" s="72">
        <f ca="1">(SUMPRODUCT(MID(0&amp;(--TRIM(RIGHT(SUBSTITUTE(LEFT(A308,_xlfn.AGGREGATE(16,6,FIND({0,1,2,3,4,5,6,7,8,9},A308,ROW(INDIRECT("1:"&amp;LEN(A308)))),1))," ",REPT(" ",LEN(A308))),LEN(A308)))), LARGE(INDEX(ISNUMBER(--MID((--TRIM(RIGHT(SUBSTITUTE(LEFT(A308,_xlfn.AGGREGATE(16,6,FIND({0,1,2,3,4,5,6,7,8,9},A308,ROW(INDIRECT("1:"&amp;LEN(A308)))),1))," ",REPT(" ",LEN(A308))),LEN(A308)))), ROW(INDIRECT("1:"&amp;LEN((--TRIM(RIGHT(SUBSTITUTE(LEFT(A308,_xlfn.AGGREGATE(16,6,FIND({0,1,2,3,4,5,6,7,8,9},A308,ROW(INDIRECT("1:"&amp;LEN(A308)))),1))," ",REPT(" ",LEN(A308))),LEN(A308))))))), 1)) * ROW(INDIRECT("1:"&amp;LEN((--TRIM(RIGHT(SUBSTITUTE(LEFT(A308,_xlfn.AGGREGATE(16,6,FIND({0,1,2,3,4,5,6,7,8,9},A308,ROW(INDIRECT("1:"&amp;LEN(A308)))),1))," ",REPT(" ",LEN(A308))),LEN(A308))))))), 0), ROW(INDIRECT("1:"&amp;LEN((--TRIM(RIGHT(SUBSTITUTE(LEFT(A308,_xlfn.AGGREGATE(16,6,FIND({0,1,2,3,4,5,6,7,8,9},A308,ROW(INDIRECT("1:"&amp;LEN(A308)))),1))," ",REPT(" ",LEN(A308))),LEN(A308))))))))+1, 1) * 10^ROW(INDIRECT("1:"&amp;LEN((--TRIM(RIGHT(SUBSTITUTE(LEFT(A308,_xlfn.AGGREGATE(16,6,FIND({0,1,2,3,4,5,6,7,8,9},A308,ROW(INDIRECT("1:"&amp;LEN(A308)))),1))," ",REPT(" ",LEN(A308))),LEN(A308)))))))/10))*100+1</f>
        <v>1401</v>
      </c>
    </row>
    <row r="310" spans="1:16" s="72" customFormat="1" ht="15.75" customHeight="1" x14ac:dyDescent="0.25">
      <c r="A310" s="165">
        <v>2</v>
      </c>
      <c r="B310" s="166"/>
      <c r="C310" s="43" t="s">
        <v>228</v>
      </c>
      <c r="D310" s="43">
        <f>54.58*10.764</f>
        <v>587.49911999999995</v>
      </c>
      <c r="E310" s="43">
        <v>0</v>
      </c>
      <c r="F310" s="43">
        <f t="shared" si="67"/>
        <v>939.99859199999992</v>
      </c>
      <c r="G310" s="175"/>
      <c r="H310" s="176"/>
      <c r="I310" s="71"/>
      <c r="N310" s="72" t="str">
        <f t="shared" ca="1" si="68"/>
        <v>802,..,1402</v>
      </c>
      <c r="O310" s="72">
        <f t="shared" ref="O310:P310" ca="1" si="69">O309+1</f>
        <v>802</v>
      </c>
      <c r="P310" s="72">
        <f t="shared" ca="1" si="69"/>
        <v>1402</v>
      </c>
    </row>
    <row r="311" spans="1:16" s="72" customFormat="1" ht="15.75" customHeight="1" x14ac:dyDescent="0.25">
      <c r="A311" s="165">
        <v>3</v>
      </c>
      <c r="B311" s="166"/>
      <c r="C311" s="43" t="s">
        <v>228</v>
      </c>
      <c r="D311" s="43">
        <f>54.58*10.764</f>
        <v>587.49911999999995</v>
      </c>
      <c r="E311" s="43">
        <v>0</v>
      </c>
      <c r="F311" s="43">
        <f t="shared" si="67"/>
        <v>939.99859199999992</v>
      </c>
      <c r="G311" s="175"/>
      <c r="H311" s="176"/>
      <c r="I311" s="71"/>
      <c r="N311" s="72" t="str">
        <f t="shared" ca="1" si="68"/>
        <v>803,..,1403</v>
      </c>
      <c r="O311" s="72">
        <f t="shared" ref="O311:P311" ca="1" si="70">O310+1</f>
        <v>803</v>
      </c>
      <c r="P311" s="72">
        <f t="shared" ca="1" si="70"/>
        <v>1403</v>
      </c>
    </row>
    <row r="312" spans="1:16" s="72" customFormat="1" ht="15.75" customHeight="1" x14ac:dyDescent="0.25">
      <c r="A312" s="165">
        <v>4</v>
      </c>
      <c r="B312" s="166"/>
      <c r="C312" s="43" t="s">
        <v>239</v>
      </c>
      <c r="D312" s="43">
        <f>60.04*10.764</f>
        <v>646.27055999999993</v>
      </c>
      <c r="E312" s="43">
        <v>0</v>
      </c>
      <c r="F312" s="43">
        <f t="shared" si="67"/>
        <v>1034.0328959999999</v>
      </c>
      <c r="G312" s="175"/>
      <c r="H312" s="176"/>
      <c r="I312" s="71"/>
      <c r="N312" s="72" t="str">
        <f t="shared" ca="1" si="68"/>
        <v>804,..,1404</v>
      </c>
      <c r="O312" s="72">
        <f t="shared" ref="O312:P312" ca="1" si="71">O311+1</f>
        <v>804</v>
      </c>
      <c r="P312" s="72">
        <f t="shared" ca="1" si="71"/>
        <v>1404</v>
      </c>
    </row>
    <row r="313" spans="1:16" s="72" customFormat="1" ht="15.75" customHeight="1" x14ac:dyDescent="0.25">
      <c r="A313" s="165">
        <v>5</v>
      </c>
      <c r="B313" s="166"/>
      <c r="C313" s="165" t="s">
        <v>211</v>
      </c>
      <c r="D313" s="168"/>
      <c r="E313" s="168"/>
      <c r="F313" s="166"/>
      <c r="G313" s="175"/>
      <c r="H313" s="176"/>
      <c r="I313" s="71"/>
      <c r="N313" s="72" t="str">
        <f t="shared" ca="1" si="68"/>
        <v>805,..,1405</v>
      </c>
      <c r="O313" s="72">
        <f t="shared" ref="O313:P313" ca="1" si="72">O312+1</f>
        <v>805</v>
      </c>
      <c r="P313" s="72">
        <f t="shared" ca="1" si="72"/>
        <v>1405</v>
      </c>
    </row>
    <row r="314" spans="1:16" s="72" customFormat="1" ht="15.75" customHeight="1" x14ac:dyDescent="0.25">
      <c r="A314" s="165">
        <v>6</v>
      </c>
      <c r="B314" s="166"/>
      <c r="C314" s="43" t="s">
        <v>239</v>
      </c>
      <c r="D314" s="43">
        <f>61.84*10.764</f>
        <v>665.64576</v>
      </c>
      <c r="E314" s="43">
        <v>0</v>
      </c>
      <c r="F314" s="43">
        <f t="shared" si="67"/>
        <v>1065.033216</v>
      </c>
      <c r="G314" s="175"/>
      <c r="H314" s="176"/>
      <c r="I314" s="71">
        <f>4468600/F314</f>
        <v>4195.7376848610884</v>
      </c>
      <c r="N314" s="72" t="str">
        <f t="shared" ca="1" si="68"/>
        <v>806,..,1406</v>
      </c>
      <c r="O314" s="72">
        <f t="shared" ref="O314:P314" ca="1" si="73">O313+1</f>
        <v>806</v>
      </c>
      <c r="P314" s="72">
        <f t="shared" ca="1" si="73"/>
        <v>1406</v>
      </c>
    </row>
    <row r="315" spans="1:16" s="72" customFormat="1" ht="15.75" customHeight="1" x14ac:dyDescent="0.25">
      <c r="A315" s="165">
        <v>7</v>
      </c>
      <c r="B315" s="166"/>
      <c r="C315" s="43" t="s">
        <v>228</v>
      </c>
      <c r="D315" s="43">
        <f>57.57*10.764</f>
        <v>619.68347999999992</v>
      </c>
      <c r="E315" s="43">
        <v>0</v>
      </c>
      <c r="F315" s="43">
        <f t="shared" si="67"/>
        <v>991.49356799999987</v>
      </c>
      <c r="G315" s="175"/>
      <c r="H315" s="176"/>
      <c r="I315" s="71"/>
      <c r="N315" s="72" t="str">
        <f t="shared" ca="1" si="68"/>
        <v>807,..,1407</v>
      </c>
      <c r="O315" s="72">
        <f t="shared" ref="O315:P315" ca="1" si="74">O314+1</f>
        <v>807</v>
      </c>
      <c r="P315" s="72">
        <f t="shared" ca="1" si="74"/>
        <v>1407</v>
      </c>
    </row>
    <row r="316" spans="1:16" s="72" customFormat="1" ht="15.75" customHeight="1" x14ac:dyDescent="0.25">
      <c r="A316" s="165">
        <v>8</v>
      </c>
      <c r="B316" s="166"/>
      <c r="C316" s="43" t="s">
        <v>228</v>
      </c>
      <c r="D316" s="43">
        <f>57.57*10.764</f>
        <v>619.68347999999992</v>
      </c>
      <c r="E316" s="43">
        <v>0</v>
      </c>
      <c r="F316" s="43">
        <f t="shared" si="67"/>
        <v>991.49356799999987</v>
      </c>
      <c r="G316" s="175"/>
      <c r="H316" s="176"/>
      <c r="I316" s="71">
        <f>6369100/F316</f>
        <v>6423.7431341561669</v>
      </c>
      <c r="N316" s="72" t="str">
        <f t="shared" ca="1" si="68"/>
        <v>808,..,1408</v>
      </c>
      <c r="O316" s="72">
        <f t="shared" ref="O316:P316" ca="1" si="75">O315+1</f>
        <v>808</v>
      </c>
      <c r="P316" s="72">
        <f t="shared" ca="1" si="75"/>
        <v>1408</v>
      </c>
    </row>
    <row r="317" spans="1:16" s="72" customFormat="1" ht="15.75" customHeight="1" x14ac:dyDescent="0.25">
      <c r="A317" s="165">
        <v>9</v>
      </c>
      <c r="B317" s="166"/>
      <c r="C317" s="43" t="s">
        <v>240</v>
      </c>
      <c r="D317" s="43">
        <f>45.4*10.764</f>
        <v>488.68559999999997</v>
      </c>
      <c r="E317" s="43">
        <v>0</v>
      </c>
      <c r="F317" s="43">
        <f t="shared" si="67"/>
        <v>781.89696000000004</v>
      </c>
      <c r="G317" s="175"/>
      <c r="H317" s="176"/>
      <c r="I317" s="71"/>
      <c r="N317" s="72" t="str">
        <f t="shared" ca="1" si="68"/>
        <v>809,..,1409</v>
      </c>
      <c r="O317" s="72">
        <f t="shared" ref="O317:P317" ca="1" si="76">O316+1</f>
        <v>809</v>
      </c>
      <c r="P317" s="72">
        <f t="shared" ca="1" si="76"/>
        <v>1409</v>
      </c>
    </row>
    <row r="318" spans="1:16" s="72" customFormat="1" ht="15.75" customHeight="1" x14ac:dyDescent="0.25">
      <c r="A318" s="170" t="s">
        <v>243</v>
      </c>
      <c r="B318" s="171"/>
      <c r="C318" s="171"/>
      <c r="D318" s="171"/>
      <c r="E318" s="171"/>
      <c r="F318" s="171"/>
      <c r="G318" s="171"/>
      <c r="H318" s="172"/>
      <c r="I318" s="71"/>
      <c r="P318" s="73"/>
    </row>
    <row r="319" spans="1:16" s="72" customFormat="1" ht="15.75" customHeight="1" x14ac:dyDescent="0.25">
      <c r="A319" s="165">
        <v>1</v>
      </c>
      <c r="B319" s="166"/>
      <c r="C319" s="43" t="s">
        <v>228</v>
      </c>
      <c r="D319" s="43">
        <f>48.83*10.764</f>
        <v>525.60611999999992</v>
      </c>
      <c r="E319" s="43">
        <v>0</v>
      </c>
      <c r="F319" s="43">
        <f t="shared" ref="F319:F327" si="77">D319*(($F$214)+1)+E319</f>
        <v>840.96979199999987</v>
      </c>
      <c r="G319" s="173" t="str">
        <f>A318</f>
        <v>16th to 18th, 20th to 23rd, 25th to 28th &amp; 30th to 32nd Floor</v>
      </c>
      <c r="H319" s="174"/>
      <c r="I319" s="71"/>
      <c r="N319" s="72" t="str">
        <f t="shared" ref="N319:N327" ca="1" si="78">O319&amp;""&amp;",..,"&amp;""&amp;P319</f>
        <v>16101,..,3201</v>
      </c>
      <c r="O319" s="72">
        <f ca="1">(SUMPRODUCT(MID(0&amp;(LEFT(A318,SUM(LEN(A318)-LEN(SUBSTITUTE(A318,{"0","1","2"},""))))), LARGE(INDEX(ISNUMBER(--MID((LEFT(A318,SUM(LEN(A318)-LEN(SUBSTITUTE(A318,{"0","1","2"},""))))), ROW(INDIRECT("1:"&amp;LEN((LEFT(A318,SUM(LEN(A318)-LEN(SUBSTITUTE(A318,{"0","1","2"},"")))))))), 1)) * ROW(INDIRECT("1:"&amp;LEN((LEFT(A318,SUM(LEN(A318)-LEN(SUBSTITUTE(A318,{"0","1","2"},"")))))))), 0), ROW(INDIRECT("1:"&amp;LEN((LEFT(A318,SUM(LEN(A318)-LEN(SUBSTITUTE(A318,{"0","1","2"},"")))))))))+1, 1) * 10^ROW(INDIRECT("1:"&amp;LEN((LEFT(A318,SUM(LEN(A318)-LEN(SUBSTITUTE(A318,{"0","1","2"},""))))))))/10))*100+1</f>
        <v>16101</v>
      </c>
      <c r="P319" s="72">
        <f ca="1">(SUMPRODUCT(MID(0&amp;(--TRIM(RIGHT(SUBSTITUTE(LEFT(A318,_xlfn.AGGREGATE(16,6,FIND({0,1,2,3,4,5,6,7,8,9},A318,ROW(INDIRECT("1:"&amp;LEN(A318)))),1))," ",REPT(" ",LEN(A318))),LEN(A318)))), LARGE(INDEX(ISNUMBER(--MID((--TRIM(RIGHT(SUBSTITUTE(LEFT(A318,_xlfn.AGGREGATE(16,6,FIND({0,1,2,3,4,5,6,7,8,9},A318,ROW(INDIRECT("1:"&amp;LEN(A318)))),1))," ",REPT(" ",LEN(A318))),LEN(A318)))), ROW(INDIRECT("1:"&amp;LEN((--TRIM(RIGHT(SUBSTITUTE(LEFT(A318,_xlfn.AGGREGATE(16,6,FIND({0,1,2,3,4,5,6,7,8,9},A318,ROW(INDIRECT("1:"&amp;LEN(A318)))),1))," ",REPT(" ",LEN(A318))),LEN(A318))))))), 1)) * ROW(INDIRECT("1:"&amp;LEN((--TRIM(RIGHT(SUBSTITUTE(LEFT(A318,_xlfn.AGGREGATE(16,6,FIND({0,1,2,3,4,5,6,7,8,9},A318,ROW(INDIRECT("1:"&amp;LEN(A318)))),1))," ",REPT(" ",LEN(A318))),LEN(A318))))))), 0), ROW(INDIRECT("1:"&amp;LEN((--TRIM(RIGHT(SUBSTITUTE(LEFT(A318,_xlfn.AGGREGATE(16,6,FIND({0,1,2,3,4,5,6,7,8,9},A318,ROW(INDIRECT("1:"&amp;LEN(A318)))),1))," ",REPT(" ",LEN(A318))),LEN(A318))))))))+1, 1) * 10^ROW(INDIRECT("1:"&amp;LEN((--TRIM(RIGHT(SUBSTITUTE(LEFT(A318,_xlfn.AGGREGATE(16,6,FIND({0,1,2,3,4,5,6,7,8,9},A318,ROW(INDIRECT("1:"&amp;LEN(A318)))),1))," ",REPT(" ",LEN(A318))),LEN(A318)))))))/10))*100+1</f>
        <v>3201</v>
      </c>
    </row>
    <row r="320" spans="1:16" s="72" customFormat="1" ht="15.75" customHeight="1" x14ac:dyDescent="0.25">
      <c r="A320" s="165">
        <v>2</v>
      </c>
      <c r="B320" s="166"/>
      <c r="C320" s="43" t="s">
        <v>228</v>
      </c>
      <c r="D320" s="43">
        <f>54.77*10.764</f>
        <v>589.54427999999996</v>
      </c>
      <c r="E320" s="43">
        <v>0</v>
      </c>
      <c r="F320" s="43">
        <f t="shared" si="77"/>
        <v>943.270848</v>
      </c>
      <c r="G320" s="175"/>
      <c r="H320" s="176"/>
      <c r="I320" s="71"/>
      <c r="N320" s="72" t="str">
        <f t="shared" ca="1" si="78"/>
        <v>16102,..,3202</v>
      </c>
      <c r="O320" s="72">
        <f t="shared" ref="O320:P320" ca="1" si="79">O319+1</f>
        <v>16102</v>
      </c>
      <c r="P320" s="72">
        <f t="shared" ca="1" si="79"/>
        <v>3202</v>
      </c>
    </row>
    <row r="321" spans="1:16" s="72" customFormat="1" ht="15.75" customHeight="1" x14ac:dyDescent="0.25">
      <c r="A321" s="165">
        <v>3</v>
      </c>
      <c r="B321" s="166"/>
      <c r="C321" s="43" t="s">
        <v>228</v>
      </c>
      <c r="D321" s="43">
        <f>54.77*10.764</f>
        <v>589.54427999999996</v>
      </c>
      <c r="E321" s="43">
        <v>0</v>
      </c>
      <c r="F321" s="43">
        <f t="shared" si="77"/>
        <v>943.270848</v>
      </c>
      <c r="G321" s="175"/>
      <c r="H321" s="176"/>
      <c r="I321" s="71"/>
      <c r="N321" s="72" t="str">
        <f t="shared" ca="1" si="78"/>
        <v>16103,..,3203</v>
      </c>
      <c r="O321" s="72">
        <f t="shared" ref="O321:P321" ca="1" si="80">O320+1</f>
        <v>16103</v>
      </c>
      <c r="P321" s="72">
        <f t="shared" ca="1" si="80"/>
        <v>3203</v>
      </c>
    </row>
    <row r="322" spans="1:16" s="72" customFormat="1" ht="15.75" customHeight="1" x14ac:dyDescent="0.25">
      <c r="A322" s="165">
        <v>4</v>
      </c>
      <c r="B322" s="166"/>
      <c r="C322" s="43" t="s">
        <v>239</v>
      </c>
      <c r="D322" s="43">
        <f>60.33*10.764</f>
        <v>649.39211999999998</v>
      </c>
      <c r="E322" s="43">
        <v>0</v>
      </c>
      <c r="F322" s="43">
        <f t="shared" si="77"/>
        <v>1039.027392</v>
      </c>
      <c r="G322" s="175"/>
      <c r="H322" s="176"/>
      <c r="I322" s="71"/>
      <c r="N322" s="72" t="str">
        <f t="shared" ca="1" si="78"/>
        <v>16104,..,3204</v>
      </c>
      <c r="O322" s="72">
        <f t="shared" ref="O322:P322" ca="1" si="81">O321+1</f>
        <v>16104</v>
      </c>
      <c r="P322" s="72">
        <f t="shared" ca="1" si="81"/>
        <v>3204</v>
      </c>
    </row>
    <row r="323" spans="1:16" s="72" customFormat="1" ht="15.75" customHeight="1" x14ac:dyDescent="0.25">
      <c r="A323" s="165">
        <v>5</v>
      </c>
      <c r="B323" s="166"/>
      <c r="C323" s="43" t="s">
        <v>145</v>
      </c>
      <c r="D323" s="43">
        <f>68.77*10.764</f>
        <v>740.24027999999987</v>
      </c>
      <c r="E323" s="43">
        <v>0</v>
      </c>
      <c r="F323" s="43">
        <f t="shared" si="77"/>
        <v>1184.3844479999998</v>
      </c>
      <c r="G323" s="175"/>
      <c r="H323" s="176"/>
      <c r="I323" s="71"/>
      <c r="N323" s="72" t="str">
        <f t="shared" ca="1" si="78"/>
        <v>16105,..,3205</v>
      </c>
      <c r="O323" s="72">
        <f t="shared" ref="O323:P323" ca="1" si="82">O322+1</f>
        <v>16105</v>
      </c>
      <c r="P323" s="72">
        <f t="shared" ca="1" si="82"/>
        <v>3205</v>
      </c>
    </row>
    <row r="324" spans="1:16" s="72" customFormat="1" ht="15.75" customHeight="1" x14ac:dyDescent="0.25">
      <c r="A324" s="165">
        <v>6</v>
      </c>
      <c r="B324" s="166"/>
      <c r="C324" s="43" t="s">
        <v>239</v>
      </c>
      <c r="D324" s="43">
        <f>62.13*10.764</f>
        <v>668.76732000000004</v>
      </c>
      <c r="E324" s="43">
        <v>0</v>
      </c>
      <c r="F324" s="43">
        <f t="shared" si="77"/>
        <v>1070.0277120000001</v>
      </c>
      <c r="G324" s="175"/>
      <c r="H324" s="176"/>
      <c r="I324" s="71">
        <f>4468600/F324</f>
        <v>4176.1535237696717</v>
      </c>
      <c r="N324" s="72" t="str">
        <f t="shared" ca="1" si="78"/>
        <v>16106,..,3206</v>
      </c>
      <c r="O324" s="72">
        <f t="shared" ref="O324:P324" ca="1" si="83">O323+1</f>
        <v>16106</v>
      </c>
      <c r="P324" s="72">
        <f t="shared" ca="1" si="83"/>
        <v>3206</v>
      </c>
    </row>
    <row r="325" spans="1:16" s="72" customFormat="1" ht="15.75" customHeight="1" x14ac:dyDescent="0.25">
      <c r="A325" s="165">
        <v>7</v>
      </c>
      <c r="B325" s="166"/>
      <c r="C325" s="43" t="s">
        <v>228</v>
      </c>
      <c r="D325" s="43">
        <f>58.48*10.764</f>
        <v>629.47871999999995</v>
      </c>
      <c r="E325" s="43">
        <v>0</v>
      </c>
      <c r="F325" s="43">
        <f t="shared" si="77"/>
        <v>1007.1659519999999</v>
      </c>
      <c r="G325" s="175"/>
      <c r="H325" s="176"/>
      <c r="I325" s="71"/>
      <c r="N325" s="72" t="str">
        <f t="shared" ca="1" si="78"/>
        <v>16107,..,3207</v>
      </c>
      <c r="O325" s="72">
        <f t="shared" ref="O325:P325" ca="1" si="84">O324+1</f>
        <v>16107</v>
      </c>
      <c r="P325" s="72">
        <f t="shared" ca="1" si="84"/>
        <v>3207</v>
      </c>
    </row>
    <row r="326" spans="1:16" s="72" customFormat="1" ht="15.75" customHeight="1" x14ac:dyDescent="0.25">
      <c r="A326" s="165">
        <v>8</v>
      </c>
      <c r="B326" s="166"/>
      <c r="C326" s="43" t="s">
        <v>228</v>
      </c>
      <c r="D326" s="43">
        <f>58.48*10.764</f>
        <v>629.47871999999995</v>
      </c>
      <c r="E326" s="43">
        <v>0</v>
      </c>
      <c r="F326" s="43">
        <f t="shared" si="77"/>
        <v>1007.1659519999999</v>
      </c>
      <c r="G326" s="175"/>
      <c r="H326" s="176"/>
      <c r="I326" s="71">
        <f>6369100/F326</f>
        <v>6323.7840669181005</v>
      </c>
      <c r="N326" s="72" t="str">
        <f t="shared" ca="1" si="78"/>
        <v>16108,..,3208</v>
      </c>
      <c r="O326" s="72">
        <f t="shared" ref="O326:P326" ca="1" si="85">O325+1</f>
        <v>16108</v>
      </c>
      <c r="P326" s="72">
        <f t="shared" ca="1" si="85"/>
        <v>3208</v>
      </c>
    </row>
    <row r="327" spans="1:16" s="72" customFormat="1" ht="15.75" customHeight="1" x14ac:dyDescent="0.25">
      <c r="A327" s="165">
        <v>9</v>
      </c>
      <c r="B327" s="166"/>
      <c r="C327" s="43" t="s">
        <v>240</v>
      </c>
      <c r="D327" s="43">
        <f>45.57*10.764</f>
        <v>490.51547999999997</v>
      </c>
      <c r="E327" s="43">
        <v>0</v>
      </c>
      <c r="F327" s="43">
        <f t="shared" si="77"/>
        <v>784.82476799999995</v>
      </c>
      <c r="G327" s="175"/>
      <c r="H327" s="176"/>
      <c r="I327" s="71"/>
      <c r="N327" s="72" t="str">
        <f t="shared" ca="1" si="78"/>
        <v>16109,..,3209</v>
      </c>
      <c r="O327" s="72">
        <f t="shared" ref="O327:P327" ca="1" si="86">O326+1</f>
        <v>16109</v>
      </c>
      <c r="P327" s="72">
        <f t="shared" ca="1" si="86"/>
        <v>3209</v>
      </c>
    </row>
    <row r="328" spans="1:16" s="72" customFormat="1" ht="15.75" customHeight="1" x14ac:dyDescent="0.25">
      <c r="A328" s="170" t="s">
        <v>244</v>
      </c>
      <c r="B328" s="171"/>
      <c r="C328" s="171"/>
      <c r="D328" s="171"/>
      <c r="E328" s="171"/>
      <c r="F328" s="171"/>
      <c r="G328" s="171"/>
      <c r="H328" s="172"/>
      <c r="I328" s="71"/>
      <c r="P328" s="73"/>
    </row>
    <row r="329" spans="1:16" s="72" customFormat="1" ht="15.75" customHeight="1" x14ac:dyDescent="0.25">
      <c r="A329" s="165">
        <v>1</v>
      </c>
      <c r="B329" s="166"/>
      <c r="C329" s="43" t="s">
        <v>228</v>
      </c>
      <c r="D329" s="43">
        <f>48.83*10.764</f>
        <v>525.60611999999992</v>
      </c>
      <c r="E329" s="43">
        <v>0</v>
      </c>
      <c r="F329" s="43">
        <f t="shared" ref="F329:F332" si="87">D329*(($F$214)+1)+E329</f>
        <v>840.96979199999987</v>
      </c>
      <c r="G329" s="173" t="str">
        <f>A328</f>
        <v>19th, 24th &amp; 29th Floor (Part Refuge Area)</v>
      </c>
      <c r="H329" s="174"/>
      <c r="I329" s="71"/>
      <c r="N329" s="72" t="str">
        <f t="shared" ref="N329:N337" ca="1" si="88">O329&amp;""&amp;",..,"&amp;""&amp;P329</f>
        <v>1901,..,2901</v>
      </c>
      <c r="O329" s="72">
        <f ca="1">(SUMPRODUCT(MID(0&amp;(LEFT(A328,SUM(LEN(A328)-LEN(SUBSTITUTE(A328,{"0","1","2"},""))))), LARGE(INDEX(ISNUMBER(--MID((LEFT(A328,SUM(LEN(A328)-LEN(SUBSTITUTE(A328,{"0","1","2"},""))))), ROW(INDIRECT("1:"&amp;LEN((LEFT(A328,SUM(LEN(A328)-LEN(SUBSTITUTE(A328,{"0","1","2"},"")))))))), 1)) * ROW(INDIRECT("1:"&amp;LEN((LEFT(A328,SUM(LEN(A328)-LEN(SUBSTITUTE(A328,{"0","1","2"},"")))))))), 0), ROW(INDIRECT("1:"&amp;LEN((LEFT(A328,SUM(LEN(A328)-LEN(SUBSTITUTE(A328,{"0","1","2"},"")))))))))+1, 1) * 10^ROW(INDIRECT("1:"&amp;LEN((LEFT(A328,SUM(LEN(A328)-LEN(SUBSTITUTE(A328,{"0","1","2"},""))))))))/10))*100+1</f>
        <v>1901</v>
      </c>
      <c r="P329" s="72">
        <f ca="1">(SUMPRODUCT(MID(0&amp;(--TRIM(RIGHT(SUBSTITUTE(LEFT(A328,_xlfn.AGGREGATE(16,6,FIND({0,1,2,3,4,5,6,7,8,9},A328,ROW(INDIRECT("1:"&amp;LEN(A328)))),1))," ",REPT(" ",LEN(A328))),LEN(A328)))), LARGE(INDEX(ISNUMBER(--MID((--TRIM(RIGHT(SUBSTITUTE(LEFT(A328,_xlfn.AGGREGATE(16,6,FIND({0,1,2,3,4,5,6,7,8,9},A328,ROW(INDIRECT("1:"&amp;LEN(A328)))),1))," ",REPT(" ",LEN(A328))),LEN(A328)))), ROW(INDIRECT("1:"&amp;LEN((--TRIM(RIGHT(SUBSTITUTE(LEFT(A328,_xlfn.AGGREGATE(16,6,FIND({0,1,2,3,4,5,6,7,8,9},A328,ROW(INDIRECT("1:"&amp;LEN(A328)))),1))," ",REPT(" ",LEN(A328))),LEN(A328))))))), 1)) * ROW(INDIRECT("1:"&amp;LEN((--TRIM(RIGHT(SUBSTITUTE(LEFT(A328,_xlfn.AGGREGATE(16,6,FIND({0,1,2,3,4,5,6,7,8,9},A328,ROW(INDIRECT("1:"&amp;LEN(A328)))),1))," ",REPT(" ",LEN(A328))),LEN(A328))))))), 0), ROW(INDIRECT("1:"&amp;LEN((--TRIM(RIGHT(SUBSTITUTE(LEFT(A328,_xlfn.AGGREGATE(16,6,FIND({0,1,2,3,4,5,6,7,8,9},A328,ROW(INDIRECT("1:"&amp;LEN(A328)))),1))," ",REPT(" ",LEN(A328))),LEN(A328))))))))+1, 1) * 10^ROW(INDIRECT("1:"&amp;LEN((--TRIM(RIGHT(SUBSTITUTE(LEFT(A328,_xlfn.AGGREGATE(16,6,FIND({0,1,2,3,4,5,6,7,8,9},A328,ROW(INDIRECT("1:"&amp;LEN(A328)))),1))," ",REPT(" ",LEN(A328))),LEN(A328)))))))/10))*100+1</f>
        <v>2901</v>
      </c>
    </row>
    <row r="330" spans="1:16" s="72" customFormat="1" ht="15.75" customHeight="1" x14ac:dyDescent="0.25">
      <c r="A330" s="165">
        <v>2</v>
      </c>
      <c r="B330" s="166"/>
      <c r="C330" s="43" t="s">
        <v>228</v>
      </c>
      <c r="D330" s="43">
        <f>54.77*10.764</f>
        <v>589.54427999999996</v>
      </c>
      <c r="E330" s="43">
        <v>0</v>
      </c>
      <c r="F330" s="43">
        <f t="shared" si="87"/>
        <v>943.270848</v>
      </c>
      <c r="G330" s="175"/>
      <c r="H330" s="176"/>
      <c r="I330" s="71"/>
      <c r="N330" s="72" t="str">
        <f t="shared" ca="1" si="88"/>
        <v>1902,..,2902</v>
      </c>
      <c r="O330" s="72">
        <f t="shared" ref="O330:P330" ca="1" si="89">O329+1</f>
        <v>1902</v>
      </c>
      <c r="P330" s="72">
        <f t="shared" ca="1" si="89"/>
        <v>2902</v>
      </c>
    </row>
    <row r="331" spans="1:16" s="72" customFormat="1" ht="15.75" customHeight="1" x14ac:dyDescent="0.25">
      <c r="A331" s="165">
        <v>3</v>
      </c>
      <c r="B331" s="166"/>
      <c r="C331" s="43" t="s">
        <v>228</v>
      </c>
      <c r="D331" s="43">
        <f>54.77*10.764</f>
        <v>589.54427999999996</v>
      </c>
      <c r="E331" s="43">
        <v>0</v>
      </c>
      <c r="F331" s="43">
        <f t="shared" si="87"/>
        <v>943.270848</v>
      </c>
      <c r="G331" s="175"/>
      <c r="H331" s="176"/>
      <c r="I331" s="71"/>
      <c r="N331" s="72" t="str">
        <f t="shared" ca="1" si="88"/>
        <v>1903,..,2903</v>
      </c>
      <c r="O331" s="72">
        <f t="shared" ref="O331:P331" ca="1" si="90">O330+1</f>
        <v>1903</v>
      </c>
      <c r="P331" s="72">
        <f t="shared" ca="1" si="90"/>
        <v>2903</v>
      </c>
    </row>
    <row r="332" spans="1:16" s="72" customFormat="1" ht="15.75" customHeight="1" x14ac:dyDescent="0.25">
      <c r="A332" s="165">
        <v>4</v>
      </c>
      <c r="B332" s="166"/>
      <c r="C332" s="43" t="s">
        <v>239</v>
      </c>
      <c r="D332" s="43">
        <f>60.33*10.764</f>
        <v>649.39211999999998</v>
      </c>
      <c r="E332" s="43">
        <v>0</v>
      </c>
      <c r="F332" s="43">
        <f t="shared" si="87"/>
        <v>1039.027392</v>
      </c>
      <c r="G332" s="175"/>
      <c r="H332" s="176"/>
      <c r="I332" s="71"/>
      <c r="N332" s="72" t="str">
        <f t="shared" ca="1" si="88"/>
        <v>1904,..,2904</v>
      </c>
      <c r="O332" s="72">
        <f t="shared" ref="O332:P332" ca="1" si="91">O331+1</f>
        <v>1904</v>
      </c>
      <c r="P332" s="72">
        <f t="shared" ca="1" si="91"/>
        <v>2904</v>
      </c>
    </row>
    <row r="333" spans="1:16" s="72" customFormat="1" ht="15.75" customHeight="1" x14ac:dyDescent="0.25">
      <c r="A333" s="165">
        <v>5</v>
      </c>
      <c r="B333" s="166"/>
      <c r="C333" s="165" t="s">
        <v>211</v>
      </c>
      <c r="D333" s="168"/>
      <c r="E333" s="168"/>
      <c r="F333" s="166"/>
      <c r="G333" s="175"/>
      <c r="H333" s="176"/>
      <c r="I333" s="71"/>
      <c r="N333" s="72" t="str">
        <f t="shared" ca="1" si="88"/>
        <v>1905,..,2905</v>
      </c>
      <c r="O333" s="72">
        <f t="shared" ref="O333:P333" ca="1" si="92">O332+1</f>
        <v>1905</v>
      </c>
      <c r="P333" s="72">
        <f t="shared" ca="1" si="92"/>
        <v>2905</v>
      </c>
    </row>
    <row r="334" spans="1:16" s="72" customFormat="1" ht="15.75" customHeight="1" x14ac:dyDescent="0.25">
      <c r="A334" s="165">
        <v>6</v>
      </c>
      <c r="B334" s="166"/>
      <c r="C334" s="43" t="s">
        <v>239</v>
      </c>
      <c r="D334" s="43">
        <f>62.13*10.764</f>
        <v>668.76732000000004</v>
      </c>
      <c r="E334" s="43">
        <v>0</v>
      </c>
      <c r="F334" s="43">
        <f t="shared" ref="F334:F337" si="93">D334*(($F$214)+1)+E334</f>
        <v>1070.0277120000001</v>
      </c>
      <c r="G334" s="175"/>
      <c r="H334" s="176"/>
      <c r="I334" s="71">
        <f>4468600/F334</f>
        <v>4176.1535237696717</v>
      </c>
      <c r="N334" s="72" t="str">
        <f t="shared" ca="1" si="88"/>
        <v>1906,..,2906</v>
      </c>
      <c r="O334" s="72">
        <f t="shared" ref="O334:P334" ca="1" si="94">O333+1</f>
        <v>1906</v>
      </c>
      <c r="P334" s="72">
        <f t="shared" ca="1" si="94"/>
        <v>2906</v>
      </c>
    </row>
    <row r="335" spans="1:16" s="72" customFormat="1" ht="15.75" customHeight="1" x14ac:dyDescent="0.25">
      <c r="A335" s="165">
        <v>7</v>
      </c>
      <c r="B335" s="166"/>
      <c r="C335" s="43" t="s">
        <v>228</v>
      </c>
      <c r="D335" s="43">
        <f>58.48*10.764</f>
        <v>629.47871999999995</v>
      </c>
      <c r="E335" s="43">
        <v>0</v>
      </c>
      <c r="F335" s="43">
        <f t="shared" si="93"/>
        <v>1007.1659519999999</v>
      </c>
      <c r="G335" s="175"/>
      <c r="H335" s="176"/>
      <c r="I335" s="71"/>
      <c r="N335" s="72" t="str">
        <f t="shared" ca="1" si="88"/>
        <v>1907,..,2907</v>
      </c>
      <c r="O335" s="72">
        <f t="shared" ref="O335:P335" ca="1" si="95">O334+1</f>
        <v>1907</v>
      </c>
      <c r="P335" s="72">
        <f t="shared" ca="1" si="95"/>
        <v>2907</v>
      </c>
    </row>
    <row r="336" spans="1:16" s="72" customFormat="1" ht="15.75" customHeight="1" x14ac:dyDescent="0.25">
      <c r="A336" s="165">
        <v>8</v>
      </c>
      <c r="B336" s="166"/>
      <c r="C336" s="43" t="s">
        <v>228</v>
      </c>
      <c r="D336" s="43">
        <f>58.48*10.764</f>
        <v>629.47871999999995</v>
      </c>
      <c r="E336" s="43">
        <v>0</v>
      </c>
      <c r="F336" s="43">
        <f t="shared" si="93"/>
        <v>1007.1659519999999</v>
      </c>
      <c r="G336" s="175"/>
      <c r="H336" s="176"/>
      <c r="I336" s="71">
        <f>6369100/F336</f>
        <v>6323.7840669181005</v>
      </c>
      <c r="N336" s="72" t="str">
        <f t="shared" ca="1" si="88"/>
        <v>1908,..,2908</v>
      </c>
      <c r="O336" s="72">
        <f t="shared" ref="O336:P336" ca="1" si="96">O335+1</f>
        <v>1908</v>
      </c>
      <c r="P336" s="72">
        <f t="shared" ca="1" si="96"/>
        <v>2908</v>
      </c>
    </row>
    <row r="337" spans="1:16" s="72" customFormat="1" ht="15.75" customHeight="1" x14ac:dyDescent="0.25">
      <c r="A337" s="165">
        <v>9</v>
      </c>
      <c r="B337" s="166"/>
      <c r="C337" s="43" t="s">
        <v>240</v>
      </c>
      <c r="D337" s="43">
        <f>45.57*10.764</f>
        <v>490.51547999999997</v>
      </c>
      <c r="E337" s="43">
        <v>0</v>
      </c>
      <c r="F337" s="43">
        <f t="shared" si="93"/>
        <v>784.82476799999995</v>
      </c>
      <c r="G337" s="175"/>
      <c r="H337" s="176"/>
      <c r="I337" s="71"/>
      <c r="N337" s="72" t="str">
        <f t="shared" ca="1" si="88"/>
        <v>1909,..,2909</v>
      </c>
      <c r="O337" s="72">
        <f t="shared" ref="O337:P337" ca="1" si="97">O336+1</f>
        <v>1909</v>
      </c>
      <c r="P337" s="72">
        <f t="shared" ca="1" si="97"/>
        <v>2909</v>
      </c>
    </row>
    <row r="338" spans="1:16" s="72" customFormat="1" x14ac:dyDescent="0.25">
      <c r="A338" s="169" t="s">
        <v>246</v>
      </c>
      <c r="B338" s="169"/>
      <c r="C338" s="169"/>
      <c r="D338" s="169"/>
      <c r="E338" s="169"/>
      <c r="F338" s="169"/>
      <c r="G338" s="169"/>
      <c r="H338" s="169"/>
    </row>
    <row r="339" spans="1:16" s="72" customFormat="1" x14ac:dyDescent="0.25">
      <c r="A339" s="169" t="s">
        <v>238</v>
      </c>
      <c r="B339" s="169"/>
      <c r="C339" s="169"/>
      <c r="D339" s="169"/>
      <c r="E339" s="169"/>
      <c r="F339" s="169"/>
      <c r="G339" s="169"/>
      <c r="H339" s="169"/>
    </row>
    <row r="340" spans="1:16" s="72" customFormat="1" x14ac:dyDescent="0.25">
      <c r="A340" s="169" t="s">
        <v>213</v>
      </c>
      <c r="B340" s="169"/>
      <c r="C340" s="169"/>
      <c r="D340" s="169"/>
      <c r="E340" s="169"/>
      <c r="F340" s="169"/>
      <c r="G340" s="169"/>
      <c r="H340" s="169"/>
    </row>
    <row r="341" spans="1:16" s="72" customFormat="1" x14ac:dyDescent="0.25">
      <c r="A341" s="169" t="s">
        <v>212</v>
      </c>
      <c r="B341" s="169"/>
      <c r="C341" s="169"/>
      <c r="D341" s="169"/>
      <c r="E341" s="169"/>
      <c r="F341" s="169"/>
      <c r="G341" s="169"/>
      <c r="H341" s="169"/>
      <c r="I341" s="71"/>
      <c r="L341" s="167"/>
      <c r="M341" s="167"/>
    </row>
    <row r="342" spans="1:16" s="72" customFormat="1" x14ac:dyDescent="0.25">
      <c r="A342" s="164">
        <v>1</v>
      </c>
      <c r="B342" s="164"/>
      <c r="C342" s="109" t="s">
        <v>228</v>
      </c>
      <c r="D342" s="109">
        <f>50.21*10.764</f>
        <v>540.46043999999995</v>
      </c>
      <c r="E342" s="109">
        <v>0</v>
      </c>
      <c r="F342" s="109">
        <f>D342*(($F$214)+1)+E342</f>
        <v>864.73670399999992</v>
      </c>
      <c r="G342" s="164" t="str">
        <f>A341</f>
        <v>1st Floor</v>
      </c>
      <c r="H342" s="164"/>
      <c r="I342" s="71"/>
      <c r="N342" s="71"/>
    </row>
    <row r="343" spans="1:16" s="72" customFormat="1" x14ac:dyDescent="0.25">
      <c r="A343" s="164">
        <f>A342+1</f>
        <v>2</v>
      </c>
      <c r="B343" s="164"/>
      <c r="C343" s="109" t="s">
        <v>227</v>
      </c>
      <c r="D343" s="109">
        <f>40.97*10.764</f>
        <v>441.00107999999994</v>
      </c>
      <c r="E343" s="109">
        <v>0</v>
      </c>
      <c r="F343" s="109">
        <f t="shared" ref="F343:F344" si="98">D343*(($F$214)+1)+E343</f>
        <v>705.60172799999998</v>
      </c>
      <c r="G343" s="164" t="str">
        <f t="shared" ref="G343:G350" si="99">G342</f>
        <v>1st Floor</v>
      </c>
      <c r="H343" s="164"/>
      <c r="I343" s="71"/>
      <c r="N343" s="71"/>
    </row>
    <row r="344" spans="1:16" s="72" customFormat="1" x14ac:dyDescent="0.25">
      <c r="A344" s="164">
        <f>A343+1</f>
        <v>3</v>
      </c>
      <c r="B344" s="164"/>
      <c r="C344" s="109" t="s">
        <v>227</v>
      </c>
      <c r="D344" s="109">
        <f>40.97*10.764</f>
        <v>441.00107999999994</v>
      </c>
      <c r="E344" s="109">
        <v>0</v>
      </c>
      <c r="F344" s="109">
        <f t="shared" si="98"/>
        <v>705.60172799999998</v>
      </c>
      <c r="G344" s="164" t="str">
        <f t="shared" si="99"/>
        <v>1st Floor</v>
      </c>
      <c r="H344" s="164"/>
      <c r="I344" s="71"/>
      <c r="N344" s="71"/>
    </row>
    <row r="345" spans="1:16" s="72" customFormat="1" x14ac:dyDescent="0.25">
      <c r="A345" s="164">
        <f t="shared" ref="A345:A350" si="100">A344+1</f>
        <v>4</v>
      </c>
      <c r="B345" s="164"/>
      <c r="C345" s="164" t="s">
        <v>214</v>
      </c>
      <c r="D345" s="164"/>
      <c r="E345" s="164"/>
      <c r="F345" s="164"/>
      <c r="G345" s="164" t="str">
        <f t="shared" si="99"/>
        <v>1st Floor</v>
      </c>
      <c r="H345" s="164"/>
      <c r="I345" s="71"/>
      <c r="N345" s="71"/>
    </row>
    <row r="346" spans="1:16" s="72" customFormat="1" ht="15.75" customHeight="1" x14ac:dyDescent="0.25">
      <c r="A346" s="164">
        <f t="shared" si="100"/>
        <v>5</v>
      </c>
      <c r="B346" s="164"/>
      <c r="C346" s="43" t="s">
        <v>145</v>
      </c>
      <c r="D346" s="43">
        <f>61.84*10.764</f>
        <v>665.64576</v>
      </c>
      <c r="E346" s="43">
        <v>0</v>
      </c>
      <c r="F346" s="43">
        <f t="shared" ref="F346" si="101">D346*(($F$214)+1)+E346</f>
        <v>1065.033216</v>
      </c>
      <c r="G346" s="164" t="str">
        <f t="shared" si="99"/>
        <v>1st Floor</v>
      </c>
      <c r="H346" s="164"/>
      <c r="I346" s="71"/>
      <c r="N346" s="71"/>
    </row>
    <row r="347" spans="1:16" s="72" customFormat="1" x14ac:dyDescent="0.25">
      <c r="A347" s="164">
        <f t="shared" si="100"/>
        <v>6</v>
      </c>
      <c r="B347" s="164"/>
      <c r="C347" s="43" t="s">
        <v>239</v>
      </c>
      <c r="D347" s="43">
        <f>61.64*10.764</f>
        <v>663.49295999999993</v>
      </c>
      <c r="E347" s="43">
        <v>0</v>
      </c>
      <c r="F347" s="43">
        <f>D347*(($F$214)+1)+E347</f>
        <v>1061.5887359999999</v>
      </c>
      <c r="G347" s="164" t="str">
        <f t="shared" si="99"/>
        <v>1st Floor</v>
      </c>
      <c r="H347" s="164"/>
      <c r="I347" s="71"/>
      <c r="N347" s="71"/>
    </row>
    <row r="348" spans="1:16" s="72" customFormat="1" x14ac:dyDescent="0.25">
      <c r="A348" s="164">
        <f>A347+1</f>
        <v>7</v>
      </c>
      <c r="B348" s="164"/>
      <c r="C348" s="43" t="s">
        <v>228</v>
      </c>
      <c r="D348" s="43">
        <f>57.57*10.764</f>
        <v>619.68347999999992</v>
      </c>
      <c r="E348" s="43">
        <v>0</v>
      </c>
      <c r="F348" s="43">
        <f>D348*(($F$214)+1)+E348</f>
        <v>991.49356799999987</v>
      </c>
      <c r="G348" s="164" t="str">
        <f t="shared" si="99"/>
        <v>1st Floor</v>
      </c>
      <c r="H348" s="164"/>
      <c r="I348" s="71"/>
      <c r="N348" s="71"/>
    </row>
    <row r="349" spans="1:16" s="72" customFormat="1" x14ac:dyDescent="0.25">
      <c r="A349" s="164">
        <f t="shared" si="100"/>
        <v>8</v>
      </c>
      <c r="B349" s="164"/>
      <c r="C349" s="43" t="s">
        <v>228</v>
      </c>
      <c r="D349" s="43">
        <f>57.57*10.764</f>
        <v>619.68347999999992</v>
      </c>
      <c r="E349" s="43">
        <v>0</v>
      </c>
      <c r="F349" s="43">
        <f>D349*(($F$214)+1)+E349</f>
        <v>991.49356799999987</v>
      </c>
      <c r="G349" s="164" t="str">
        <f t="shared" si="99"/>
        <v>1st Floor</v>
      </c>
      <c r="H349" s="164"/>
      <c r="I349" s="71"/>
      <c r="N349" s="71"/>
    </row>
    <row r="350" spans="1:16" s="72" customFormat="1" x14ac:dyDescent="0.25">
      <c r="A350" s="164">
        <f t="shared" si="100"/>
        <v>9</v>
      </c>
      <c r="B350" s="164"/>
      <c r="C350" s="102" t="s">
        <v>240</v>
      </c>
      <c r="D350" s="102">
        <f>45.4*10.764</f>
        <v>488.68559999999997</v>
      </c>
      <c r="E350" s="102">
        <v>0</v>
      </c>
      <c r="F350" s="102">
        <f>D350*(($F$214)+1)+E350</f>
        <v>781.89696000000004</v>
      </c>
      <c r="G350" s="164" t="str">
        <f t="shared" si="99"/>
        <v>1st Floor</v>
      </c>
      <c r="H350" s="164"/>
      <c r="I350" s="71"/>
      <c r="N350" s="71"/>
    </row>
    <row r="351" spans="1:16" s="72" customFormat="1" ht="15.75" customHeight="1" x14ac:dyDescent="0.25">
      <c r="A351" s="169" t="s">
        <v>245</v>
      </c>
      <c r="B351" s="169"/>
      <c r="C351" s="169"/>
      <c r="D351" s="169"/>
      <c r="E351" s="169"/>
      <c r="F351" s="169"/>
      <c r="G351" s="169"/>
      <c r="H351" s="169"/>
      <c r="I351" s="71"/>
      <c r="P351" s="73"/>
    </row>
    <row r="352" spans="1:16" s="72" customFormat="1" ht="15.75" customHeight="1" x14ac:dyDescent="0.25">
      <c r="A352" s="164">
        <v>1</v>
      </c>
      <c r="B352" s="164"/>
      <c r="C352" s="102" t="s">
        <v>228</v>
      </c>
      <c r="D352" s="102">
        <f>50.21*10.764</f>
        <v>540.46043999999995</v>
      </c>
      <c r="E352" s="102">
        <v>0</v>
      </c>
      <c r="F352" s="102">
        <f t="shared" ref="F352:F360" si="102">D352*(($F$214)+1)+E352</f>
        <v>864.73670399999992</v>
      </c>
      <c r="G352" s="164" t="str">
        <f>A351</f>
        <v>2nd to 7th, 9th to 13th &amp; 15th  Floor</v>
      </c>
      <c r="H352" s="164"/>
      <c r="I352" s="71"/>
      <c r="N352" s="72" t="str">
        <f t="shared" ref="N352:N360" ca="1" si="103">O352&amp;""&amp;",..,"&amp;""&amp;P352</f>
        <v>201,..,1501</v>
      </c>
      <c r="O352" s="72">
        <f ca="1">(SUMPRODUCT(MID(0&amp;(LEFT(A351,SUM(LEN(A351)-LEN(SUBSTITUTE(A351,{"0","1","2"},""))))), LARGE(INDEX(ISNUMBER(--MID((LEFT(A351,SUM(LEN(A351)-LEN(SUBSTITUTE(A351,{"0","1","2"},""))))), ROW(INDIRECT("1:"&amp;LEN((LEFT(A351,SUM(LEN(A351)-LEN(SUBSTITUTE(A351,{"0","1","2"},"")))))))), 1)) * ROW(INDIRECT("1:"&amp;LEN((LEFT(A351,SUM(LEN(A351)-LEN(SUBSTITUTE(A351,{"0","1","2"},"")))))))), 0), ROW(INDIRECT("1:"&amp;LEN((LEFT(A351,SUM(LEN(A351)-LEN(SUBSTITUTE(A351,{"0","1","2"},"")))))))))+1, 1) * 10^ROW(INDIRECT("1:"&amp;LEN((LEFT(A351,SUM(LEN(A351)-LEN(SUBSTITUTE(A351,{"0","1","2"},""))))))))/10))*100+1</f>
        <v>201</v>
      </c>
      <c r="P352" s="72">
        <f ca="1">(SUMPRODUCT(MID(0&amp;(--TRIM(RIGHT(SUBSTITUTE(LEFT(A351,_xlfn.AGGREGATE(16,6,FIND({0,1,2,3,4,5,6,7,8,9},A351,ROW(INDIRECT("1:"&amp;LEN(A351)))),1))," ",REPT(" ",LEN(A351))),LEN(A351)))), LARGE(INDEX(ISNUMBER(--MID((--TRIM(RIGHT(SUBSTITUTE(LEFT(A351,_xlfn.AGGREGATE(16,6,FIND({0,1,2,3,4,5,6,7,8,9},A351,ROW(INDIRECT("1:"&amp;LEN(A351)))),1))," ",REPT(" ",LEN(A351))),LEN(A351)))), ROW(INDIRECT("1:"&amp;LEN((--TRIM(RIGHT(SUBSTITUTE(LEFT(A351,_xlfn.AGGREGATE(16,6,FIND({0,1,2,3,4,5,6,7,8,9},A351,ROW(INDIRECT("1:"&amp;LEN(A351)))),1))," ",REPT(" ",LEN(A351))),LEN(A351))))))), 1)) * ROW(INDIRECT("1:"&amp;LEN((--TRIM(RIGHT(SUBSTITUTE(LEFT(A351,_xlfn.AGGREGATE(16,6,FIND({0,1,2,3,4,5,6,7,8,9},A351,ROW(INDIRECT("1:"&amp;LEN(A351)))),1))," ",REPT(" ",LEN(A351))),LEN(A351))))))), 0), ROW(INDIRECT("1:"&amp;LEN((--TRIM(RIGHT(SUBSTITUTE(LEFT(A351,_xlfn.AGGREGATE(16,6,FIND({0,1,2,3,4,5,6,7,8,9},A351,ROW(INDIRECT("1:"&amp;LEN(A351)))),1))," ",REPT(" ",LEN(A351))),LEN(A351))))))))+1, 1) * 10^ROW(INDIRECT("1:"&amp;LEN((--TRIM(RIGHT(SUBSTITUTE(LEFT(A351,_xlfn.AGGREGATE(16,6,FIND({0,1,2,3,4,5,6,7,8,9},A351,ROW(INDIRECT("1:"&amp;LEN(A351)))),1))," ",REPT(" ",LEN(A351))),LEN(A351)))))))/10))*100+1</f>
        <v>1501</v>
      </c>
    </row>
    <row r="353" spans="1:16" s="72" customFormat="1" ht="15.75" customHeight="1" x14ac:dyDescent="0.25">
      <c r="A353" s="164">
        <v>2</v>
      </c>
      <c r="B353" s="164"/>
      <c r="C353" s="102" t="s">
        <v>228</v>
      </c>
      <c r="D353" s="102">
        <f>54.58*10.764</f>
        <v>587.49911999999995</v>
      </c>
      <c r="E353" s="102">
        <v>0</v>
      </c>
      <c r="F353" s="102">
        <f t="shared" si="102"/>
        <v>939.99859199999992</v>
      </c>
      <c r="G353" s="164"/>
      <c r="H353" s="164"/>
      <c r="I353" s="71"/>
      <c r="N353" s="72" t="str">
        <f t="shared" ca="1" si="103"/>
        <v>202,..,1502</v>
      </c>
      <c r="O353" s="72">
        <f t="shared" ref="O353:P353" ca="1" si="104">O352+1</f>
        <v>202</v>
      </c>
      <c r="P353" s="72">
        <f t="shared" ca="1" si="104"/>
        <v>1502</v>
      </c>
    </row>
    <row r="354" spans="1:16" s="72" customFormat="1" ht="15.75" customHeight="1" x14ac:dyDescent="0.25">
      <c r="A354" s="164">
        <v>3</v>
      </c>
      <c r="B354" s="164"/>
      <c r="C354" s="102" t="s">
        <v>228</v>
      </c>
      <c r="D354" s="102">
        <f>54.58*10.764</f>
        <v>587.49911999999995</v>
      </c>
      <c r="E354" s="102">
        <v>0</v>
      </c>
      <c r="F354" s="102">
        <f t="shared" si="102"/>
        <v>939.99859199999992</v>
      </c>
      <c r="G354" s="164"/>
      <c r="H354" s="164"/>
      <c r="I354" s="71"/>
      <c r="N354" s="72" t="str">
        <f t="shared" ca="1" si="103"/>
        <v>203,..,1503</v>
      </c>
      <c r="O354" s="72">
        <f t="shared" ref="O354:P354" ca="1" si="105">O353+1</f>
        <v>203</v>
      </c>
      <c r="P354" s="72">
        <f t="shared" ca="1" si="105"/>
        <v>1503</v>
      </c>
    </row>
    <row r="355" spans="1:16" s="72" customFormat="1" ht="15.75" customHeight="1" x14ac:dyDescent="0.25">
      <c r="A355" s="164">
        <v>4</v>
      </c>
      <c r="B355" s="164"/>
      <c r="C355" s="102" t="s">
        <v>239</v>
      </c>
      <c r="D355" s="102">
        <f>60.04*10.764</f>
        <v>646.27055999999993</v>
      </c>
      <c r="E355" s="102">
        <v>0</v>
      </c>
      <c r="F355" s="102">
        <f t="shared" si="102"/>
        <v>1034.0328959999999</v>
      </c>
      <c r="G355" s="164"/>
      <c r="H355" s="164"/>
      <c r="I355" s="71"/>
      <c r="N355" s="72" t="str">
        <f t="shared" ca="1" si="103"/>
        <v>204,..,1504</v>
      </c>
      <c r="O355" s="72">
        <f t="shared" ref="O355:P355" ca="1" si="106">O354+1</f>
        <v>204</v>
      </c>
      <c r="P355" s="72">
        <f t="shared" ca="1" si="106"/>
        <v>1504</v>
      </c>
    </row>
    <row r="356" spans="1:16" s="72" customFormat="1" ht="15.75" customHeight="1" x14ac:dyDescent="0.25">
      <c r="A356" s="164">
        <v>5</v>
      </c>
      <c r="B356" s="164"/>
      <c r="C356" s="102" t="s">
        <v>145</v>
      </c>
      <c r="D356" s="102">
        <f>68.16*10.764</f>
        <v>733.67423999999994</v>
      </c>
      <c r="E356" s="102">
        <v>0</v>
      </c>
      <c r="F356" s="102">
        <f t="shared" si="102"/>
        <v>1173.878784</v>
      </c>
      <c r="G356" s="164"/>
      <c r="H356" s="164"/>
      <c r="I356" s="71"/>
      <c r="N356" s="72" t="str">
        <f t="shared" ca="1" si="103"/>
        <v>205,..,1505</v>
      </c>
      <c r="O356" s="72">
        <f t="shared" ref="O356:P356" ca="1" si="107">O355+1</f>
        <v>205</v>
      </c>
      <c r="P356" s="72">
        <f t="shared" ca="1" si="107"/>
        <v>1505</v>
      </c>
    </row>
    <row r="357" spans="1:16" s="72" customFormat="1" ht="15.75" customHeight="1" x14ac:dyDescent="0.25">
      <c r="A357" s="164">
        <v>6</v>
      </c>
      <c r="B357" s="164"/>
      <c r="C357" s="102" t="s">
        <v>239</v>
      </c>
      <c r="D357" s="102">
        <f>61.84*10.764</f>
        <v>665.64576</v>
      </c>
      <c r="E357" s="102">
        <v>0</v>
      </c>
      <c r="F357" s="102">
        <f t="shared" si="102"/>
        <v>1065.033216</v>
      </c>
      <c r="G357" s="164"/>
      <c r="H357" s="164"/>
      <c r="I357" s="71"/>
      <c r="N357" s="72" t="str">
        <f t="shared" ca="1" si="103"/>
        <v>206,..,1506</v>
      </c>
      <c r="O357" s="72">
        <f t="shared" ref="O357:P357" ca="1" si="108">O356+1</f>
        <v>206</v>
      </c>
      <c r="P357" s="72">
        <f t="shared" ca="1" si="108"/>
        <v>1506</v>
      </c>
    </row>
    <row r="358" spans="1:16" s="72" customFormat="1" ht="15.75" customHeight="1" x14ac:dyDescent="0.25">
      <c r="A358" s="164">
        <v>7</v>
      </c>
      <c r="B358" s="164"/>
      <c r="C358" s="102" t="s">
        <v>228</v>
      </c>
      <c r="D358" s="102">
        <f>57.57*10.764</f>
        <v>619.68347999999992</v>
      </c>
      <c r="E358" s="102">
        <v>0</v>
      </c>
      <c r="F358" s="102">
        <f t="shared" si="102"/>
        <v>991.49356799999987</v>
      </c>
      <c r="G358" s="164"/>
      <c r="H358" s="164"/>
      <c r="I358" s="71"/>
      <c r="N358" s="72" t="str">
        <f t="shared" ca="1" si="103"/>
        <v>207,..,1507</v>
      </c>
      <c r="O358" s="72">
        <f t="shared" ref="O358:P358" ca="1" si="109">O357+1</f>
        <v>207</v>
      </c>
      <c r="P358" s="72">
        <f t="shared" ca="1" si="109"/>
        <v>1507</v>
      </c>
    </row>
    <row r="359" spans="1:16" s="72" customFormat="1" ht="15.75" customHeight="1" x14ac:dyDescent="0.25">
      <c r="A359" s="164">
        <v>8</v>
      </c>
      <c r="B359" s="164"/>
      <c r="C359" s="102" t="s">
        <v>228</v>
      </c>
      <c r="D359" s="102">
        <f>57.57*10.764</f>
        <v>619.68347999999992</v>
      </c>
      <c r="E359" s="102">
        <v>0</v>
      </c>
      <c r="F359" s="102">
        <f t="shared" si="102"/>
        <v>991.49356799999987</v>
      </c>
      <c r="G359" s="164"/>
      <c r="H359" s="164"/>
      <c r="I359" s="71"/>
      <c r="N359" s="72" t="str">
        <f t="shared" ca="1" si="103"/>
        <v>208,..,1508</v>
      </c>
      <c r="O359" s="72">
        <f t="shared" ref="O359:P359" ca="1" si="110">O358+1</f>
        <v>208</v>
      </c>
      <c r="P359" s="72">
        <f t="shared" ca="1" si="110"/>
        <v>1508</v>
      </c>
    </row>
    <row r="360" spans="1:16" s="72" customFormat="1" ht="15.75" customHeight="1" x14ac:dyDescent="0.25">
      <c r="A360" s="164">
        <v>9</v>
      </c>
      <c r="B360" s="164"/>
      <c r="C360" s="102" t="s">
        <v>240</v>
      </c>
      <c r="D360" s="102">
        <f>45.4*10.764</f>
        <v>488.68559999999997</v>
      </c>
      <c r="E360" s="102">
        <v>0</v>
      </c>
      <c r="F360" s="102">
        <f t="shared" si="102"/>
        <v>781.89696000000004</v>
      </c>
      <c r="G360" s="164"/>
      <c r="H360" s="164"/>
      <c r="I360" s="71"/>
      <c r="N360" s="72" t="str">
        <f t="shared" ca="1" si="103"/>
        <v>209,..,1509</v>
      </c>
      <c r="O360" s="72">
        <f t="shared" ref="O360:P360" ca="1" si="111">O359+1</f>
        <v>209</v>
      </c>
      <c r="P360" s="72">
        <f t="shared" ca="1" si="111"/>
        <v>1509</v>
      </c>
    </row>
    <row r="361" spans="1:16" s="72" customFormat="1" ht="15.75" customHeight="1" x14ac:dyDescent="0.25">
      <c r="A361" s="170" t="s">
        <v>242</v>
      </c>
      <c r="B361" s="171"/>
      <c r="C361" s="171"/>
      <c r="D361" s="171"/>
      <c r="E361" s="171"/>
      <c r="F361" s="171"/>
      <c r="G361" s="171"/>
      <c r="H361" s="172"/>
      <c r="I361" s="71"/>
      <c r="P361" s="73"/>
    </row>
    <row r="362" spans="1:16" s="72" customFormat="1" ht="15.75" customHeight="1" x14ac:dyDescent="0.25">
      <c r="A362" s="165">
        <v>1</v>
      </c>
      <c r="B362" s="166"/>
      <c r="C362" s="43" t="s">
        <v>228</v>
      </c>
      <c r="D362" s="43">
        <f>50.21*10.764</f>
        <v>540.46043999999995</v>
      </c>
      <c r="E362" s="43">
        <v>0</v>
      </c>
      <c r="F362" s="43">
        <f t="shared" ref="F362:F365" si="112">D362*(($F$214)+1)+E362</f>
        <v>864.73670399999992</v>
      </c>
      <c r="G362" s="173" t="str">
        <f>A361</f>
        <v>8th &amp; 14th Floor (Part Refuge Area)</v>
      </c>
      <c r="H362" s="174"/>
      <c r="I362" s="71"/>
      <c r="N362" s="72" t="str">
        <f t="shared" ref="N362:N370" ca="1" si="113">O362&amp;""&amp;",..,"&amp;""&amp;P362</f>
        <v>801,..,1401</v>
      </c>
      <c r="O362" s="72">
        <f ca="1">(SUMPRODUCT(MID(0&amp;(LEFT(A361,SUM(LEN(A361)-LEN(SUBSTITUTE(A361,{"0","1","2"},""))))), LARGE(INDEX(ISNUMBER(--MID((LEFT(A361,SUM(LEN(A361)-LEN(SUBSTITUTE(A361,{"0","1","2"},""))))), ROW(INDIRECT("1:"&amp;LEN((LEFT(A361,SUM(LEN(A361)-LEN(SUBSTITUTE(A361,{"0","1","2"},"")))))))), 1)) * ROW(INDIRECT("1:"&amp;LEN((LEFT(A361,SUM(LEN(A361)-LEN(SUBSTITUTE(A361,{"0","1","2"},"")))))))), 0), ROW(INDIRECT("1:"&amp;LEN((LEFT(A361,SUM(LEN(A361)-LEN(SUBSTITUTE(A361,{"0","1","2"},"")))))))))+1, 1) * 10^ROW(INDIRECT("1:"&amp;LEN((LEFT(A361,SUM(LEN(A361)-LEN(SUBSTITUTE(A361,{"0","1","2"},""))))))))/10))*100+1</f>
        <v>801</v>
      </c>
      <c r="P362" s="72">
        <f ca="1">(SUMPRODUCT(MID(0&amp;(--TRIM(RIGHT(SUBSTITUTE(LEFT(A361,_xlfn.AGGREGATE(16,6,FIND({0,1,2,3,4,5,6,7,8,9},A361,ROW(INDIRECT("1:"&amp;LEN(A361)))),1))," ",REPT(" ",LEN(A361))),LEN(A361)))), LARGE(INDEX(ISNUMBER(--MID((--TRIM(RIGHT(SUBSTITUTE(LEFT(A361,_xlfn.AGGREGATE(16,6,FIND({0,1,2,3,4,5,6,7,8,9},A361,ROW(INDIRECT("1:"&amp;LEN(A361)))),1))," ",REPT(" ",LEN(A361))),LEN(A361)))), ROW(INDIRECT("1:"&amp;LEN((--TRIM(RIGHT(SUBSTITUTE(LEFT(A361,_xlfn.AGGREGATE(16,6,FIND({0,1,2,3,4,5,6,7,8,9},A361,ROW(INDIRECT("1:"&amp;LEN(A361)))),1))," ",REPT(" ",LEN(A361))),LEN(A361))))))), 1)) * ROW(INDIRECT("1:"&amp;LEN((--TRIM(RIGHT(SUBSTITUTE(LEFT(A361,_xlfn.AGGREGATE(16,6,FIND({0,1,2,3,4,5,6,7,8,9},A361,ROW(INDIRECT("1:"&amp;LEN(A361)))),1))," ",REPT(" ",LEN(A361))),LEN(A361))))))), 0), ROW(INDIRECT("1:"&amp;LEN((--TRIM(RIGHT(SUBSTITUTE(LEFT(A361,_xlfn.AGGREGATE(16,6,FIND({0,1,2,3,4,5,6,7,8,9},A361,ROW(INDIRECT("1:"&amp;LEN(A361)))),1))," ",REPT(" ",LEN(A361))),LEN(A361))))))))+1, 1) * 10^ROW(INDIRECT("1:"&amp;LEN((--TRIM(RIGHT(SUBSTITUTE(LEFT(A361,_xlfn.AGGREGATE(16,6,FIND({0,1,2,3,4,5,6,7,8,9},A361,ROW(INDIRECT("1:"&amp;LEN(A361)))),1))," ",REPT(" ",LEN(A361))),LEN(A361)))))))/10))*100+1</f>
        <v>1401</v>
      </c>
    </row>
    <row r="363" spans="1:16" s="72" customFormat="1" ht="15.75" customHeight="1" x14ac:dyDescent="0.25">
      <c r="A363" s="165">
        <v>2</v>
      </c>
      <c r="B363" s="166"/>
      <c r="C363" s="43" t="s">
        <v>228</v>
      </c>
      <c r="D363" s="43">
        <f>54.58*10.764</f>
        <v>587.49911999999995</v>
      </c>
      <c r="E363" s="43">
        <v>0</v>
      </c>
      <c r="F363" s="43">
        <f t="shared" si="112"/>
        <v>939.99859199999992</v>
      </c>
      <c r="G363" s="175"/>
      <c r="H363" s="176"/>
      <c r="I363" s="71"/>
      <c r="N363" s="72" t="str">
        <f t="shared" ca="1" si="113"/>
        <v>802,..,1402</v>
      </c>
      <c r="O363" s="72">
        <f t="shared" ref="O363:P363" ca="1" si="114">O362+1</f>
        <v>802</v>
      </c>
      <c r="P363" s="72">
        <f t="shared" ca="1" si="114"/>
        <v>1402</v>
      </c>
    </row>
    <row r="364" spans="1:16" s="72" customFormat="1" ht="15.75" customHeight="1" x14ac:dyDescent="0.25">
      <c r="A364" s="165">
        <v>3</v>
      </c>
      <c r="B364" s="166"/>
      <c r="C364" s="43" t="s">
        <v>228</v>
      </c>
      <c r="D364" s="43">
        <f>54.58*10.764</f>
        <v>587.49911999999995</v>
      </c>
      <c r="E364" s="43">
        <v>0</v>
      </c>
      <c r="F364" s="43">
        <f t="shared" si="112"/>
        <v>939.99859199999992</v>
      </c>
      <c r="G364" s="175"/>
      <c r="H364" s="176"/>
      <c r="I364" s="71"/>
      <c r="N364" s="72" t="str">
        <f t="shared" ca="1" si="113"/>
        <v>803,..,1403</v>
      </c>
      <c r="O364" s="72">
        <f t="shared" ref="O364:P364" ca="1" si="115">O363+1</f>
        <v>803</v>
      </c>
      <c r="P364" s="72">
        <f t="shared" ca="1" si="115"/>
        <v>1403</v>
      </c>
    </row>
    <row r="365" spans="1:16" s="72" customFormat="1" ht="15.75" customHeight="1" x14ac:dyDescent="0.25">
      <c r="A365" s="165">
        <v>4</v>
      </c>
      <c r="B365" s="166"/>
      <c r="C365" s="43" t="s">
        <v>239</v>
      </c>
      <c r="D365" s="43">
        <f>60.04*10.764</f>
        <v>646.27055999999993</v>
      </c>
      <c r="E365" s="43">
        <v>0</v>
      </c>
      <c r="F365" s="43">
        <f t="shared" si="112"/>
        <v>1034.0328959999999</v>
      </c>
      <c r="G365" s="175"/>
      <c r="H365" s="176"/>
      <c r="I365" s="71"/>
      <c r="N365" s="72" t="str">
        <f t="shared" ca="1" si="113"/>
        <v>804,..,1404</v>
      </c>
      <c r="O365" s="72">
        <f t="shared" ref="O365:P365" ca="1" si="116">O364+1</f>
        <v>804</v>
      </c>
      <c r="P365" s="72">
        <f t="shared" ca="1" si="116"/>
        <v>1404</v>
      </c>
    </row>
    <row r="366" spans="1:16" s="72" customFormat="1" ht="15.75" customHeight="1" x14ac:dyDescent="0.25">
      <c r="A366" s="165">
        <v>5</v>
      </c>
      <c r="B366" s="166"/>
      <c r="C366" s="165" t="s">
        <v>211</v>
      </c>
      <c r="D366" s="168"/>
      <c r="E366" s="168"/>
      <c r="F366" s="166"/>
      <c r="G366" s="175"/>
      <c r="H366" s="176"/>
      <c r="I366" s="71"/>
      <c r="N366" s="72" t="str">
        <f t="shared" ca="1" si="113"/>
        <v>805,..,1405</v>
      </c>
      <c r="O366" s="72">
        <f t="shared" ref="O366:P366" ca="1" si="117">O365+1</f>
        <v>805</v>
      </c>
      <c r="P366" s="72">
        <f t="shared" ca="1" si="117"/>
        <v>1405</v>
      </c>
    </row>
    <row r="367" spans="1:16" s="72" customFormat="1" ht="15.75" customHeight="1" x14ac:dyDescent="0.25">
      <c r="A367" s="165">
        <v>6</v>
      </c>
      <c r="B367" s="166"/>
      <c r="C367" s="43" t="s">
        <v>239</v>
      </c>
      <c r="D367" s="43">
        <f>61.84*10.764</f>
        <v>665.64576</v>
      </c>
      <c r="E367" s="43">
        <v>0</v>
      </c>
      <c r="F367" s="43">
        <f t="shared" ref="F367:F370" si="118">D367*(($F$214)+1)+E367</f>
        <v>1065.033216</v>
      </c>
      <c r="G367" s="175"/>
      <c r="H367" s="176"/>
      <c r="I367" s="71"/>
      <c r="N367" s="72" t="str">
        <f t="shared" ca="1" si="113"/>
        <v>806,..,1406</v>
      </c>
      <c r="O367" s="72">
        <f t="shared" ref="O367:P367" ca="1" si="119">O366+1</f>
        <v>806</v>
      </c>
      <c r="P367" s="72">
        <f t="shared" ca="1" si="119"/>
        <v>1406</v>
      </c>
    </row>
    <row r="368" spans="1:16" s="72" customFormat="1" ht="15.75" customHeight="1" x14ac:dyDescent="0.25">
      <c r="A368" s="165">
        <v>7</v>
      </c>
      <c r="B368" s="166"/>
      <c r="C368" s="43" t="s">
        <v>228</v>
      </c>
      <c r="D368" s="43">
        <f>57.57*10.764</f>
        <v>619.68347999999992</v>
      </c>
      <c r="E368" s="43">
        <v>0</v>
      </c>
      <c r="F368" s="43">
        <f t="shared" si="118"/>
        <v>991.49356799999987</v>
      </c>
      <c r="G368" s="175"/>
      <c r="H368" s="176"/>
      <c r="I368" s="71"/>
      <c r="N368" s="72" t="str">
        <f t="shared" ca="1" si="113"/>
        <v>807,..,1407</v>
      </c>
      <c r="O368" s="72">
        <f t="shared" ref="O368:P368" ca="1" si="120">O367+1</f>
        <v>807</v>
      </c>
      <c r="P368" s="72">
        <f t="shared" ca="1" si="120"/>
        <v>1407</v>
      </c>
    </row>
    <row r="369" spans="1:16" s="72" customFormat="1" ht="15.75" customHeight="1" x14ac:dyDescent="0.25">
      <c r="A369" s="165">
        <v>8</v>
      </c>
      <c r="B369" s="166"/>
      <c r="C369" s="43" t="s">
        <v>228</v>
      </c>
      <c r="D369" s="43">
        <f>57.57*10.764</f>
        <v>619.68347999999992</v>
      </c>
      <c r="E369" s="43">
        <v>0</v>
      </c>
      <c r="F369" s="43">
        <f t="shared" si="118"/>
        <v>991.49356799999987</v>
      </c>
      <c r="G369" s="175"/>
      <c r="H369" s="176"/>
      <c r="I369" s="71"/>
      <c r="N369" s="72" t="str">
        <f t="shared" ca="1" si="113"/>
        <v>808,..,1408</v>
      </c>
      <c r="O369" s="72">
        <f t="shared" ref="O369:P369" ca="1" si="121">O368+1</f>
        <v>808</v>
      </c>
      <c r="P369" s="72">
        <f t="shared" ca="1" si="121"/>
        <v>1408</v>
      </c>
    </row>
    <row r="370" spans="1:16" s="72" customFormat="1" ht="15.75" customHeight="1" x14ac:dyDescent="0.25">
      <c r="A370" s="165">
        <v>9</v>
      </c>
      <c r="B370" s="166"/>
      <c r="C370" s="43" t="s">
        <v>240</v>
      </c>
      <c r="D370" s="43">
        <f>45.4*10.764</f>
        <v>488.68559999999997</v>
      </c>
      <c r="E370" s="43">
        <v>0</v>
      </c>
      <c r="F370" s="43">
        <f t="shared" si="118"/>
        <v>781.89696000000004</v>
      </c>
      <c r="G370" s="175"/>
      <c r="H370" s="176"/>
      <c r="I370" s="71"/>
      <c r="N370" s="72" t="str">
        <f t="shared" ca="1" si="113"/>
        <v>809,..,1409</v>
      </c>
      <c r="O370" s="72">
        <f t="shared" ref="O370:P370" ca="1" si="122">O369+1</f>
        <v>809</v>
      </c>
      <c r="P370" s="72">
        <f t="shared" ca="1" si="122"/>
        <v>1409</v>
      </c>
    </row>
    <row r="371" spans="1:16" s="72" customFormat="1" ht="15.75" customHeight="1" x14ac:dyDescent="0.25">
      <c r="A371" s="170" t="s">
        <v>243</v>
      </c>
      <c r="B371" s="171"/>
      <c r="C371" s="171"/>
      <c r="D371" s="171"/>
      <c r="E371" s="171"/>
      <c r="F371" s="171"/>
      <c r="G371" s="171"/>
      <c r="H371" s="172"/>
      <c r="I371" s="71"/>
      <c r="P371" s="73"/>
    </row>
    <row r="372" spans="1:16" s="72" customFormat="1" ht="15.75" customHeight="1" x14ac:dyDescent="0.25">
      <c r="A372" s="165">
        <v>1</v>
      </c>
      <c r="B372" s="166"/>
      <c r="C372" s="43" t="s">
        <v>228</v>
      </c>
      <c r="D372" s="43">
        <f>50.42*10.764</f>
        <v>542.72087999999997</v>
      </c>
      <c r="E372" s="43">
        <v>0</v>
      </c>
      <c r="F372" s="43">
        <f t="shared" ref="F372:F380" si="123">D372*(($F$214)+1)+E372</f>
        <v>868.35340799999994</v>
      </c>
      <c r="G372" s="173" t="str">
        <f>A371</f>
        <v>16th to 18th, 20th to 23rd, 25th to 28th &amp; 30th to 32nd Floor</v>
      </c>
      <c r="H372" s="174"/>
      <c r="I372" s="71"/>
      <c r="N372" s="72" t="str">
        <f t="shared" ref="N372:N380" ca="1" si="124">O372&amp;""&amp;",..,"&amp;""&amp;P372</f>
        <v>16101,..,3201</v>
      </c>
      <c r="O372" s="72">
        <f ca="1">(SUMPRODUCT(MID(0&amp;(LEFT(A371,SUM(LEN(A371)-LEN(SUBSTITUTE(A371,{"0","1","2"},""))))), LARGE(INDEX(ISNUMBER(--MID((LEFT(A371,SUM(LEN(A371)-LEN(SUBSTITUTE(A371,{"0","1","2"},""))))), ROW(INDIRECT("1:"&amp;LEN((LEFT(A371,SUM(LEN(A371)-LEN(SUBSTITUTE(A371,{"0","1","2"},"")))))))), 1)) * ROW(INDIRECT("1:"&amp;LEN((LEFT(A371,SUM(LEN(A371)-LEN(SUBSTITUTE(A371,{"0","1","2"},"")))))))), 0), ROW(INDIRECT("1:"&amp;LEN((LEFT(A371,SUM(LEN(A371)-LEN(SUBSTITUTE(A371,{"0","1","2"},"")))))))))+1, 1) * 10^ROW(INDIRECT("1:"&amp;LEN((LEFT(A371,SUM(LEN(A371)-LEN(SUBSTITUTE(A371,{"0","1","2"},""))))))))/10))*100+1</f>
        <v>16101</v>
      </c>
      <c r="P372" s="72">
        <f ca="1">(SUMPRODUCT(MID(0&amp;(--TRIM(RIGHT(SUBSTITUTE(LEFT(A371,_xlfn.AGGREGATE(16,6,FIND({0,1,2,3,4,5,6,7,8,9},A371,ROW(INDIRECT("1:"&amp;LEN(A371)))),1))," ",REPT(" ",LEN(A371))),LEN(A371)))), LARGE(INDEX(ISNUMBER(--MID((--TRIM(RIGHT(SUBSTITUTE(LEFT(A371,_xlfn.AGGREGATE(16,6,FIND({0,1,2,3,4,5,6,7,8,9},A371,ROW(INDIRECT("1:"&amp;LEN(A371)))),1))," ",REPT(" ",LEN(A371))),LEN(A371)))), ROW(INDIRECT("1:"&amp;LEN((--TRIM(RIGHT(SUBSTITUTE(LEFT(A371,_xlfn.AGGREGATE(16,6,FIND({0,1,2,3,4,5,6,7,8,9},A371,ROW(INDIRECT("1:"&amp;LEN(A371)))),1))," ",REPT(" ",LEN(A371))),LEN(A371))))))), 1)) * ROW(INDIRECT("1:"&amp;LEN((--TRIM(RIGHT(SUBSTITUTE(LEFT(A371,_xlfn.AGGREGATE(16,6,FIND({0,1,2,3,4,5,6,7,8,9},A371,ROW(INDIRECT("1:"&amp;LEN(A371)))),1))," ",REPT(" ",LEN(A371))),LEN(A371))))))), 0), ROW(INDIRECT("1:"&amp;LEN((--TRIM(RIGHT(SUBSTITUTE(LEFT(A371,_xlfn.AGGREGATE(16,6,FIND({0,1,2,3,4,5,6,7,8,9},A371,ROW(INDIRECT("1:"&amp;LEN(A371)))),1))," ",REPT(" ",LEN(A371))),LEN(A371))))))))+1, 1) * 10^ROW(INDIRECT("1:"&amp;LEN((--TRIM(RIGHT(SUBSTITUTE(LEFT(A371,_xlfn.AGGREGATE(16,6,FIND({0,1,2,3,4,5,6,7,8,9},A371,ROW(INDIRECT("1:"&amp;LEN(A371)))),1))," ",REPT(" ",LEN(A371))),LEN(A371)))))))/10))*100+1</f>
        <v>3201</v>
      </c>
    </row>
    <row r="373" spans="1:16" s="72" customFormat="1" ht="15.75" customHeight="1" x14ac:dyDescent="0.25">
      <c r="A373" s="165">
        <v>2</v>
      </c>
      <c r="B373" s="166"/>
      <c r="C373" s="43" t="s">
        <v>228</v>
      </c>
      <c r="D373" s="43">
        <f>54.77*10.764</f>
        <v>589.54427999999996</v>
      </c>
      <c r="E373" s="43">
        <v>0</v>
      </c>
      <c r="F373" s="43">
        <f t="shared" si="123"/>
        <v>943.270848</v>
      </c>
      <c r="G373" s="175"/>
      <c r="H373" s="176"/>
      <c r="I373" s="71"/>
      <c r="N373" s="72" t="str">
        <f t="shared" ca="1" si="124"/>
        <v>16102,..,3202</v>
      </c>
      <c r="O373" s="72">
        <f t="shared" ref="O373:P373" ca="1" si="125">O372+1</f>
        <v>16102</v>
      </c>
      <c r="P373" s="72">
        <f t="shared" ca="1" si="125"/>
        <v>3202</v>
      </c>
    </row>
    <row r="374" spans="1:16" s="72" customFormat="1" ht="15.75" customHeight="1" x14ac:dyDescent="0.25">
      <c r="A374" s="165">
        <v>3</v>
      </c>
      <c r="B374" s="166"/>
      <c r="C374" s="43" t="s">
        <v>228</v>
      </c>
      <c r="D374" s="43">
        <f>54.77*10.764</f>
        <v>589.54427999999996</v>
      </c>
      <c r="E374" s="43">
        <v>0</v>
      </c>
      <c r="F374" s="43">
        <f t="shared" si="123"/>
        <v>943.270848</v>
      </c>
      <c r="G374" s="175"/>
      <c r="H374" s="176"/>
      <c r="I374" s="71"/>
      <c r="N374" s="72" t="str">
        <f t="shared" ca="1" si="124"/>
        <v>16103,..,3203</v>
      </c>
      <c r="O374" s="72">
        <f t="shared" ref="O374:P374" ca="1" si="126">O373+1</f>
        <v>16103</v>
      </c>
      <c r="P374" s="72">
        <f t="shared" ca="1" si="126"/>
        <v>3203</v>
      </c>
    </row>
    <row r="375" spans="1:16" s="72" customFormat="1" ht="15.75" customHeight="1" x14ac:dyDescent="0.25">
      <c r="A375" s="165">
        <v>4</v>
      </c>
      <c r="B375" s="166"/>
      <c r="C375" s="43" t="s">
        <v>239</v>
      </c>
      <c r="D375" s="43">
        <f>60.33*10.764</f>
        <v>649.39211999999998</v>
      </c>
      <c r="E375" s="43">
        <v>0</v>
      </c>
      <c r="F375" s="43">
        <f t="shared" si="123"/>
        <v>1039.027392</v>
      </c>
      <c r="G375" s="175"/>
      <c r="H375" s="176"/>
      <c r="I375" s="71"/>
      <c r="N375" s="72" t="str">
        <f t="shared" ca="1" si="124"/>
        <v>16104,..,3204</v>
      </c>
      <c r="O375" s="72">
        <f t="shared" ref="O375:P375" ca="1" si="127">O374+1</f>
        <v>16104</v>
      </c>
      <c r="P375" s="72">
        <f t="shared" ca="1" si="127"/>
        <v>3204</v>
      </c>
    </row>
    <row r="376" spans="1:16" s="72" customFormat="1" ht="15.75" customHeight="1" x14ac:dyDescent="0.25">
      <c r="A376" s="165">
        <v>5</v>
      </c>
      <c r="B376" s="166"/>
      <c r="C376" s="43" t="s">
        <v>145</v>
      </c>
      <c r="D376" s="43">
        <f>68.83*10.764</f>
        <v>740.88611999999989</v>
      </c>
      <c r="E376" s="43">
        <v>0</v>
      </c>
      <c r="F376" s="43">
        <f t="shared" si="123"/>
        <v>1185.417792</v>
      </c>
      <c r="G376" s="175"/>
      <c r="H376" s="176"/>
      <c r="I376" s="71"/>
      <c r="N376" s="72" t="str">
        <f t="shared" ca="1" si="124"/>
        <v>16105,..,3205</v>
      </c>
      <c r="O376" s="72">
        <f t="shared" ref="O376:P376" ca="1" si="128">O375+1</f>
        <v>16105</v>
      </c>
      <c r="P376" s="72">
        <f t="shared" ca="1" si="128"/>
        <v>3205</v>
      </c>
    </row>
    <row r="377" spans="1:16" s="72" customFormat="1" ht="15.75" customHeight="1" x14ac:dyDescent="0.25">
      <c r="A377" s="165">
        <v>6</v>
      </c>
      <c r="B377" s="166"/>
      <c r="C377" s="43" t="s">
        <v>239</v>
      </c>
      <c r="D377" s="43">
        <f>62.13*10.764</f>
        <v>668.76732000000004</v>
      </c>
      <c r="E377" s="43">
        <v>0</v>
      </c>
      <c r="F377" s="43">
        <f t="shared" si="123"/>
        <v>1070.0277120000001</v>
      </c>
      <c r="G377" s="175"/>
      <c r="H377" s="176"/>
      <c r="I377" s="71"/>
      <c r="N377" s="72" t="str">
        <f t="shared" ca="1" si="124"/>
        <v>16106,..,3206</v>
      </c>
      <c r="O377" s="72">
        <f t="shared" ref="O377:P377" ca="1" si="129">O376+1</f>
        <v>16106</v>
      </c>
      <c r="P377" s="72">
        <f t="shared" ca="1" si="129"/>
        <v>3206</v>
      </c>
    </row>
    <row r="378" spans="1:16" s="72" customFormat="1" ht="15.75" customHeight="1" x14ac:dyDescent="0.25">
      <c r="A378" s="165">
        <v>7</v>
      </c>
      <c r="B378" s="166"/>
      <c r="C378" s="43" t="s">
        <v>228</v>
      </c>
      <c r="D378" s="43">
        <f>58.49*10.764</f>
        <v>629.58636000000001</v>
      </c>
      <c r="E378" s="43">
        <v>0</v>
      </c>
      <c r="F378" s="43">
        <f t="shared" si="123"/>
        <v>1007.3381760000001</v>
      </c>
      <c r="G378" s="175"/>
      <c r="H378" s="176"/>
      <c r="I378" s="71"/>
      <c r="N378" s="72" t="str">
        <f t="shared" ca="1" si="124"/>
        <v>16107,..,3207</v>
      </c>
      <c r="O378" s="72">
        <f t="shared" ref="O378:P378" ca="1" si="130">O377+1</f>
        <v>16107</v>
      </c>
      <c r="P378" s="72">
        <f t="shared" ca="1" si="130"/>
        <v>3207</v>
      </c>
    </row>
    <row r="379" spans="1:16" s="72" customFormat="1" ht="15.75" customHeight="1" x14ac:dyDescent="0.25">
      <c r="A379" s="165">
        <v>8</v>
      </c>
      <c r="B379" s="166"/>
      <c r="C379" s="43" t="s">
        <v>228</v>
      </c>
      <c r="D379" s="43">
        <f>58.49*10.764</f>
        <v>629.58636000000001</v>
      </c>
      <c r="E379" s="43">
        <v>0</v>
      </c>
      <c r="F379" s="43">
        <f t="shared" si="123"/>
        <v>1007.3381760000001</v>
      </c>
      <c r="G379" s="175"/>
      <c r="H379" s="176"/>
      <c r="I379" s="71"/>
      <c r="N379" s="72" t="str">
        <f t="shared" ca="1" si="124"/>
        <v>16108,..,3208</v>
      </c>
      <c r="O379" s="72">
        <f t="shared" ref="O379:P379" ca="1" si="131">O378+1</f>
        <v>16108</v>
      </c>
      <c r="P379" s="72">
        <f t="shared" ca="1" si="131"/>
        <v>3208</v>
      </c>
    </row>
    <row r="380" spans="1:16" s="72" customFormat="1" ht="15.75" customHeight="1" x14ac:dyDescent="0.25">
      <c r="A380" s="165">
        <v>9</v>
      </c>
      <c r="B380" s="166"/>
      <c r="C380" s="43" t="s">
        <v>240</v>
      </c>
      <c r="D380" s="43">
        <f>45.58*10.764</f>
        <v>490.62311999999997</v>
      </c>
      <c r="E380" s="43">
        <v>0</v>
      </c>
      <c r="F380" s="43">
        <f t="shared" si="123"/>
        <v>784.99699199999998</v>
      </c>
      <c r="G380" s="175"/>
      <c r="H380" s="176"/>
      <c r="I380" s="71"/>
      <c r="N380" s="72" t="str">
        <f t="shared" ca="1" si="124"/>
        <v>16109,..,3209</v>
      </c>
      <c r="O380" s="72">
        <f t="shared" ref="O380:P380" ca="1" si="132">O379+1</f>
        <v>16109</v>
      </c>
      <c r="P380" s="72">
        <f t="shared" ca="1" si="132"/>
        <v>3209</v>
      </c>
    </row>
    <row r="381" spans="1:16" s="72" customFormat="1" ht="15.75" customHeight="1" x14ac:dyDescent="0.25">
      <c r="A381" s="169" t="s">
        <v>244</v>
      </c>
      <c r="B381" s="169"/>
      <c r="C381" s="169"/>
      <c r="D381" s="169"/>
      <c r="E381" s="169"/>
      <c r="F381" s="169"/>
      <c r="G381" s="169"/>
      <c r="H381" s="169"/>
      <c r="I381" s="71"/>
      <c r="P381" s="73"/>
    </row>
    <row r="382" spans="1:16" s="72" customFormat="1" ht="15.75" customHeight="1" x14ac:dyDescent="0.25">
      <c r="A382" s="164">
        <v>1</v>
      </c>
      <c r="B382" s="164"/>
      <c r="C382" s="109" t="s">
        <v>228</v>
      </c>
      <c r="D382" s="109">
        <f>50.42*10.764</f>
        <v>542.72087999999997</v>
      </c>
      <c r="E382" s="109">
        <v>0</v>
      </c>
      <c r="F382" s="109">
        <f t="shared" ref="F382:F385" si="133">D382*(($F$214)+1)+E382</f>
        <v>868.35340799999994</v>
      </c>
      <c r="G382" s="164" t="str">
        <f>A381</f>
        <v>19th, 24th &amp; 29th Floor (Part Refuge Area)</v>
      </c>
      <c r="H382" s="164"/>
      <c r="I382" s="71"/>
      <c r="N382" s="72" t="str">
        <f t="shared" ref="N382:N390" ca="1" si="134">O382&amp;""&amp;",..,"&amp;""&amp;P382</f>
        <v>1901,..,2901</v>
      </c>
      <c r="O382" s="72">
        <f ca="1">(SUMPRODUCT(MID(0&amp;(LEFT(A381,SUM(LEN(A381)-LEN(SUBSTITUTE(A381,{"0","1","2"},""))))), LARGE(INDEX(ISNUMBER(--MID((LEFT(A381,SUM(LEN(A381)-LEN(SUBSTITUTE(A381,{"0","1","2"},""))))), ROW(INDIRECT("1:"&amp;LEN((LEFT(A381,SUM(LEN(A381)-LEN(SUBSTITUTE(A381,{"0","1","2"},"")))))))), 1)) * ROW(INDIRECT("1:"&amp;LEN((LEFT(A381,SUM(LEN(A381)-LEN(SUBSTITUTE(A381,{"0","1","2"},"")))))))), 0), ROW(INDIRECT("1:"&amp;LEN((LEFT(A381,SUM(LEN(A381)-LEN(SUBSTITUTE(A381,{"0","1","2"},"")))))))))+1, 1) * 10^ROW(INDIRECT("1:"&amp;LEN((LEFT(A381,SUM(LEN(A381)-LEN(SUBSTITUTE(A381,{"0","1","2"},""))))))))/10))*100+1</f>
        <v>1901</v>
      </c>
      <c r="P382" s="72">
        <f ca="1">(SUMPRODUCT(MID(0&amp;(--TRIM(RIGHT(SUBSTITUTE(LEFT(A381,_xlfn.AGGREGATE(16,6,FIND({0,1,2,3,4,5,6,7,8,9},A381,ROW(INDIRECT("1:"&amp;LEN(A381)))),1))," ",REPT(" ",LEN(A381))),LEN(A381)))), LARGE(INDEX(ISNUMBER(--MID((--TRIM(RIGHT(SUBSTITUTE(LEFT(A381,_xlfn.AGGREGATE(16,6,FIND({0,1,2,3,4,5,6,7,8,9},A381,ROW(INDIRECT("1:"&amp;LEN(A381)))),1))," ",REPT(" ",LEN(A381))),LEN(A381)))), ROW(INDIRECT("1:"&amp;LEN((--TRIM(RIGHT(SUBSTITUTE(LEFT(A381,_xlfn.AGGREGATE(16,6,FIND({0,1,2,3,4,5,6,7,8,9},A381,ROW(INDIRECT("1:"&amp;LEN(A381)))),1))," ",REPT(" ",LEN(A381))),LEN(A381))))))), 1)) * ROW(INDIRECT("1:"&amp;LEN((--TRIM(RIGHT(SUBSTITUTE(LEFT(A381,_xlfn.AGGREGATE(16,6,FIND({0,1,2,3,4,5,6,7,8,9},A381,ROW(INDIRECT("1:"&amp;LEN(A381)))),1))," ",REPT(" ",LEN(A381))),LEN(A381))))))), 0), ROW(INDIRECT("1:"&amp;LEN((--TRIM(RIGHT(SUBSTITUTE(LEFT(A381,_xlfn.AGGREGATE(16,6,FIND({0,1,2,3,4,5,6,7,8,9},A381,ROW(INDIRECT("1:"&amp;LEN(A381)))),1))," ",REPT(" ",LEN(A381))),LEN(A381))))))))+1, 1) * 10^ROW(INDIRECT("1:"&amp;LEN((--TRIM(RIGHT(SUBSTITUTE(LEFT(A381,_xlfn.AGGREGATE(16,6,FIND({0,1,2,3,4,5,6,7,8,9},A381,ROW(INDIRECT("1:"&amp;LEN(A381)))),1))," ",REPT(" ",LEN(A381))),LEN(A381)))))))/10))*100+1</f>
        <v>2901</v>
      </c>
    </row>
    <row r="383" spans="1:16" s="72" customFormat="1" ht="15.75" customHeight="1" x14ac:dyDescent="0.25">
      <c r="A383" s="164">
        <v>2</v>
      </c>
      <c r="B383" s="164"/>
      <c r="C383" s="109" t="s">
        <v>228</v>
      </c>
      <c r="D383" s="109">
        <f>54.77*10.764</f>
        <v>589.54427999999996</v>
      </c>
      <c r="E383" s="109">
        <v>0</v>
      </c>
      <c r="F383" s="109">
        <f t="shared" si="133"/>
        <v>943.270848</v>
      </c>
      <c r="G383" s="164"/>
      <c r="H383" s="164"/>
      <c r="I383" s="71"/>
      <c r="N383" s="72" t="str">
        <f t="shared" ca="1" si="134"/>
        <v>1902,..,2902</v>
      </c>
      <c r="O383" s="72">
        <f t="shared" ref="O383:P383" ca="1" si="135">O382+1</f>
        <v>1902</v>
      </c>
      <c r="P383" s="72">
        <f t="shared" ca="1" si="135"/>
        <v>2902</v>
      </c>
    </row>
    <row r="384" spans="1:16" s="72" customFormat="1" ht="15.75" customHeight="1" x14ac:dyDescent="0.25">
      <c r="A384" s="164">
        <v>3</v>
      </c>
      <c r="B384" s="164"/>
      <c r="C384" s="109" t="s">
        <v>228</v>
      </c>
      <c r="D384" s="109">
        <f>54.77*10.764</f>
        <v>589.54427999999996</v>
      </c>
      <c r="E384" s="109">
        <v>0</v>
      </c>
      <c r="F384" s="109">
        <f t="shared" si="133"/>
        <v>943.270848</v>
      </c>
      <c r="G384" s="164"/>
      <c r="H384" s="164"/>
      <c r="I384" s="71"/>
      <c r="N384" s="72" t="str">
        <f t="shared" ca="1" si="134"/>
        <v>1903,..,2903</v>
      </c>
      <c r="O384" s="72">
        <f t="shared" ref="O384:P384" ca="1" si="136">O383+1</f>
        <v>1903</v>
      </c>
      <c r="P384" s="72">
        <f t="shared" ca="1" si="136"/>
        <v>2903</v>
      </c>
    </row>
    <row r="385" spans="1:16" s="72" customFormat="1" ht="15.75" customHeight="1" x14ac:dyDescent="0.25">
      <c r="A385" s="164">
        <v>4</v>
      </c>
      <c r="B385" s="164"/>
      <c r="C385" s="109" t="s">
        <v>239</v>
      </c>
      <c r="D385" s="109">
        <f>60.33*10.764</f>
        <v>649.39211999999998</v>
      </c>
      <c r="E385" s="109">
        <v>0</v>
      </c>
      <c r="F385" s="109">
        <f t="shared" si="133"/>
        <v>1039.027392</v>
      </c>
      <c r="G385" s="164"/>
      <c r="H385" s="164"/>
      <c r="I385" s="71"/>
      <c r="N385" s="72" t="str">
        <f t="shared" ca="1" si="134"/>
        <v>1904,..,2904</v>
      </c>
      <c r="O385" s="72">
        <f t="shared" ref="O385:P385" ca="1" si="137">O384+1</f>
        <v>1904</v>
      </c>
      <c r="P385" s="72">
        <f t="shared" ca="1" si="137"/>
        <v>2904</v>
      </c>
    </row>
    <row r="386" spans="1:16" s="72" customFormat="1" ht="15.75" customHeight="1" x14ac:dyDescent="0.25">
      <c r="A386" s="164">
        <v>5</v>
      </c>
      <c r="B386" s="164"/>
      <c r="C386" s="164" t="s">
        <v>211</v>
      </c>
      <c r="D386" s="164"/>
      <c r="E386" s="164"/>
      <c r="F386" s="164"/>
      <c r="G386" s="164"/>
      <c r="H386" s="164"/>
      <c r="I386" s="71"/>
      <c r="N386" s="72" t="str">
        <f t="shared" ca="1" si="134"/>
        <v>1905,..,2905</v>
      </c>
      <c r="O386" s="72">
        <f t="shared" ref="O386:P386" ca="1" si="138">O385+1</f>
        <v>1905</v>
      </c>
      <c r="P386" s="72">
        <f t="shared" ca="1" si="138"/>
        <v>2905</v>
      </c>
    </row>
    <row r="387" spans="1:16" s="72" customFormat="1" ht="15.75" customHeight="1" x14ac:dyDescent="0.25">
      <c r="A387" s="164">
        <v>6</v>
      </c>
      <c r="B387" s="164"/>
      <c r="C387" s="109" t="s">
        <v>239</v>
      </c>
      <c r="D387" s="109">
        <f>62.13*10.764</f>
        <v>668.76732000000004</v>
      </c>
      <c r="E387" s="109">
        <v>0</v>
      </c>
      <c r="F387" s="109">
        <f t="shared" ref="F387:F390" si="139">D387*(($F$214)+1)+E387</f>
        <v>1070.0277120000001</v>
      </c>
      <c r="G387" s="164"/>
      <c r="H387" s="164"/>
      <c r="I387" s="71"/>
      <c r="N387" s="72" t="str">
        <f t="shared" ca="1" si="134"/>
        <v>1906,..,2906</v>
      </c>
      <c r="O387" s="72">
        <f t="shared" ref="O387:P387" ca="1" si="140">O386+1</f>
        <v>1906</v>
      </c>
      <c r="P387" s="72">
        <f t="shared" ca="1" si="140"/>
        <v>2906</v>
      </c>
    </row>
    <row r="388" spans="1:16" s="72" customFormat="1" ht="15.75" customHeight="1" x14ac:dyDescent="0.25">
      <c r="A388" s="164">
        <v>7</v>
      </c>
      <c r="B388" s="164"/>
      <c r="C388" s="109" t="s">
        <v>228</v>
      </c>
      <c r="D388" s="109">
        <f>58.49*10.764</f>
        <v>629.58636000000001</v>
      </c>
      <c r="E388" s="109">
        <v>0</v>
      </c>
      <c r="F388" s="109">
        <f t="shared" si="139"/>
        <v>1007.3381760000001</v>
      </c>
      <c r="G388" s="164"/>
      <c r="H388" s="164"/>
      <c r="I388" s="71"/>
      <c r="N388" s="72" t="str">
        <f t="shared" ca="1" si="134"/>
        <v>1907,..,2907</v>
      </c>
      <c r="O388" s="72">
        <f t="shared" ref="O388:P388" ca="1" si="141">O387+1</f>
        <v>1907</v>
      </c>
      <c r="P388" s="72">
        <f t="shared" ca="1" si="141"/>
        <v>2907</v>
      </c>
    </row>
    <row r="389" spans="1:16" s="72" customFormat="1" ht="15.75" customHeight="1" x14ac:dyDescent="0.25">
      <c r="A389" s="164">
        <v>8</v>
      </c>
      <c r="B389" s="164"/>
      <c r="C389" s="109" t="s">
        <v>228</v>
      </c>
      <c r="D389" s="109">
        <f>58.49*10.764</f>
        <v>629.58636000000001</v>
      </c>
      <c r="E389" s="109">
        <v>0</v>
      </c>
      <c r="F389" s="109">
        <f t="shared" si="139"/>
        <v>1007.3381760000001</v>
      </c>
      <c r="G389" s="164"/>
      <c r="H389" s="164"/>
      <c r="I389" s="71"/>
      <c r="N389" s="72" t="str">
        <f t="shared" ca="1" si="134"/>
        <v>1908,..,2908</v>
      </c>
      <c r="O389" s="72">
        <f t="shared" ref="O389:P389" ca="1" si="142">O388+1</f>
        <v>1908</v>
      </c>
      <c r="P389" s="72">
        <f t="shared" ca="1" si="142"/>
        <v>2908</v>
      </c>
    </row>
    <row r="390" spans="1:16" s="72" customFormat="1" ht="15.75" customHeight="1" x14ac:dyDescent="0.25">
      <c r="A390" s="164">
        <v>9</v>
      </c>
      <c r="B390" s="164"/>
      <c r="C390" s="109" t="s">
        <v>240</v>
      </c>
      <c r="D390" s="109">
        <f>45.58*10.764</f>
        <v>490.62311999999997</v>
      </c>
      <c r="E390" s="109">
        <v>0</v>
      </c>
      <c r="F390" s="109">
        <f t="shared" si="139"/>
        <v>784.99699199999998</v>
      </c>
      <c r="G390" s="164"/>
      <c r="H390" s="164"/>
      <c r="I390" s="71"/>
      <c r="N390" s="72" t="str">
        <f t="shared" ca="1" si="134"/>
        <v>1909,..,2909</v>
      </c>
      <c r="O390" s="72">
        <f t="shared" ref="O390:P390" ca="1" si="143">O389+1</f>
        <v>1909</v>
      </c>
      <c r="P390" s="72">
        <f t="shared" ca="1" si="143"/>
        <v>2909</v>
      </c>
    </row>
    <row r="391" spans="1:16" s="72" customFormat="1" x14ac:dyDescent="0.25">
      <c r="A391" s="169" t="s">
        <v>249</v>
      </c>
      <c r="B391" s="169"/>
      <c r="C391" s="169"/>
      <c r="D391" s="169"/>
      <c r="E391" s="169"/>
      <c r="F391" s="169"/>
      <c r="G391" s="169"/>
      <c r="H391" s="169"/>
    </row>
    <row r="392" spans="1:16" s="72" customFormat="1" x14ac:dyDescent="0.25">
      <c r="A392" s="169" t="s">
        <v>238</v>
      </c>
      <c r="B392" s="169"/>
      <c r="C392" s="169"/>
      <c r="D392" s="169"/>
      <c r="E392" s="169"/>
      <c r="F392" s="169"/>
      <c r="G392" s="169"/>
      <c r="H392" s="169"/>
    </row>
    <row r="393" spans="1:16" s="72" customFormat="1" x14ac:dyDescent="0.25">
      <c r="A393" s="169" t="s">
        <v>213</v>
      </c>
      <c r="B393" s="169"/>
      <c r="C393" s="169"/>
      <c r="D393" s="169"/>
      <c r="E393" s="169"/>
      <c r="F393" s="169"/>
      <c r="G393" s="169"/>
      <c r="H393" s="169"/>
    </row>
    <row r="394" spans="1:16" s="72" customFormat="1" x14ac:dyDescent="0.25">
      <c r="A394" s="169" t="s">
        <v>212</v>
      </c>
      <c r="B394" s="169"/>
      <c r="C394" s="169"/>
      <c r="D394" s="169"/>
      <c r="E394" s="169"/>
      <c r="F394" s="169"/>
      <c r="G394" s="169"/>
      <c r="H394" s="169"/>
      <c r="I394" s="71"/>
      <c r="L394" s="167"/>
      <c r="M394" s="167"/>
    </row>
    <row r="395" spans="1:16" s="72" customFormat="1" x14ac:dyDescent="0.25">
      <c r="A395" s="164">
        <v>1</v>
      </c>
      <c r="B395" s="164"/>
      <c r="C395" s="102" t="s">
        <v>228</v>
      </c>
      <c r="D395" s="102">
        <f>52.19*10.764</f>
        <v>561.77315999999996</v>
      </c>
      <c r="E395" s="102">
        <v>0</v>
      </c>
      <c r="F395" s="102">
        <f>D395*(($F$214)+1)+E395</f>
        <v>898.83705599999996</v>
      </c>
      <c r="G395" s="164" t="str">
        <f>A394</f>
        <v>1st Floor</v>
      </c>
      <c r="H395" s="164"/>
      <c r="I395" s="71"/>
      <c r="N395" s="71"/>
    </row>
    <row r="396" spans="1:16" s="72" customFormat="1" x14ac:dyDescent="0.25">
      <c r="A396" s="164">
        <f>A395+1</f>
        <v>2</v>
      </c>
      <c r="B396" s="164"/>
      <c r="C396" s="102" t="s">
        <v>227</v>
      </c>
      <c r="D396" s="102">
        <f>40.97*10.764</f>
        <v>441.00107999999994</v>
      </c>
      <c r="E396" s="102">
        <v>0</v>
      </c>
      <c r="F396" s="102">
        <f t="shared" ref="F396:F397" si="144">D396*(($F$214)+1)+E396</f>
        <v>705.60172799999998</v>
      </c>
      <c r="G396" s="164" t="str">
        <f t="shared" ref="G396:G403" si="145">G395</f>
        <v>1st Floor</v>
      </c>
      <c r="H396" s="164"/>
      <c r="I396" s="71"/>
      <c r="N396" s="71"/>
    </row>
    <row r="397" spans="1:16" s="72" customFormat="1" x14ac:dyDescent="0.25">
      <c r="A397" s="164">
        <f>A396+1</f>
        <v>3</v>
      </c>
      <c r="B397" s="164"/>
      <c r="C397" s="102" t="s">
        <v>227</v>
      </c>
      <c r="D397" s="102">
        <f>40.97*10.764</f>
        <v>441.00107999999994</v>
      </c>
      <c r="E397" s="102">
        <v>0</v>
      </c>
      <c r="F397" s="102">
        <f t="shared" si="144"/>
        <v>705.60172799999998</v>
      </c>
      <c r="G397" s="164" t="str">
        <f t="shared" si="145"/>
        <v>1st Floor</v>
      </c>
      <c r="H397" s="164"/>
      <c r="I397" s="71"/>
      <c r="N397" s="71"/>
    </row>
    <row r="398" spans="1:16" s="72" customFormat="1" x14ac:dyDescent="0.25">
      <c r="A398" s="164">
        <f t="shared" ref="A398:A403" si="146">A397+1</f>
        <v>4</v>
      </c>
      <c r="B398" s="164"/>
      <c r="C398" s="164" t="s">
        <v>214</v>
      </c>
      <c r="D398" s="164"/>
      <c r="E398" s="164"/>
      <c r="F398" s="164"/>
      <c r="G398" s="164" t="str">
        <f t="shared" si="145"/>
        <v>1st Floor</v>
      </c>
      <c r="H398" s="164"/>
      <c r="I398" s="71"/>
      <c r="N398" s="71"/>
    </row>
    <row r="399" spans="1:16" s="72" customFormat="1" ht="15.75" customHeight="1" x14ac:dyDescent="0.25">
      <c r="A399" s="164">
        <f t="shared" si="146"/>
        <v>5</v>
      </c>
      <c r="B399" s="164"/>
      <c r="C399" s="102" t="s">
        <v>145</v>
      </c>
      <c r="D399" s="102">
        <f>69.88*10.764</f>
        <v>752.18831999999986</v>
      </c>
      <c r="E399" s="102">
        <v>0</v>
      </c>
      <c r="F399" s="102">
        <f t="shared" ref="F399" si="147">D399*(($F$214)+1)+E399</f>
        <v>1203.5013119999999</v>
      </c>
      <c r="G399" s="164" t="str">
        <f t="shared" si="145"/>
        <v>1st Floor</v>
      </c>
      <c r="H399" s="164"/>
      <c r="I399" s="71"/>
      <c r="N399" s="71"/>
    </row>
    <row r="400" spans="1:16" s="72" customFormat="1" x14ac:dyDescent="0.25">
      <c r="A400" s="164">
        <f t="shared" si="146"/>
        <v>6</v>
      </c>
      <c r="B400" s="164"/>
      <c r="C400" s="102" t="s">
        <v>239</v>
      </c>
      <c r="D400" s="102">
        <f>61.84*10.764</f>
        <v>665.64576</v>
      </c>
      <c r="E400" s="102">
        <v>0</v>
      </c>
      <c r="F400" s="102">
        <f>D400*(($F$214)+1)+E400</f>
        <v>1065.033216</v>
      </c>
      <c r="G400" s="164" t="str">
        <f t="shared" si="145"/>
        <v>1st Floor</v>
      </c>
      <c r="H400" s="164"/>
      <c r="I400" s="71"/>
      <c r="N400" s="71"/>
    </row>
    <row r="401" spans="1:16" s="72" customFormat="1" x14ac:dyDescent="0.25">
      <c r="A401" s="164">
        <f>A400+1</f>
        <v>7</v>
      </c>
      <c r="B401" s="164"/>
      <c r="C401" s="43" t="s">
        <v>228</v>
      </c>
      <c r="D401" s="43">
        <f>59.12*10.764</f>
        <v>636.36767999999995</v>
      </c>
      <c r="E401" s="43">
        <v>0</v>
      </c>
      <c r="F401" s="43">
        <f>D401*(($F$214)+1)+E401</f>
        <v>1018.1882879999999</v>
      </c>
      <c r="G401" s="164" t="str">
        <f t="shared" si="145"/>
        <v>1st Floor</v>
      </c>
      <c r="H401" s="164"/>
      <c r="I401" s="71"/>
      <c r="N401" s="71"/>
    </row>
    <row r="402" spans="1:16" s="72" customFormat="1" x14ac:dyDescent="0.25">
      <c r="A402" s="164">
        <f t="shared" si="146"/>
        <v>8</v>
      </c>
      <c r="B402" s="164"/>
      <c r="C402" s="43" t="s">
        <v>228</v>
      </c>
      <c r="D402" s="43">
        <f>59.12*10.764</f>
        <v>636.36767999999995</v>
      </c>
      <c r="E402" s="43">
        <v>0</v>
      </c>
      <c r="F402" s="43">
        <f>D402*(($F$214)+1)+E402</f>
        <v>1018.1882879999999</v>
      </c>
      <c r="G402" s="164" t="str">
        <f t="shared" si="145"/>
        <v>1st Floor</v>
      </c>
      <c r="H402" s="164"/>
      <c r="I402" s="71"/>
      <c r="N402" s="71"/>
    </row>
    <row r="403" spans="1:16" s="72" customFormat="1" x14ac:dyDescent="0.25">
      <c r="A403" s="164">
        <f t="shared" si="146"/>
        <v>9</v>
      </c>
      <c r="B403" s="164"/>
      <c r="C403" s="43" t="s">
        <v>240</v>
      </c>
      <c r="D403" s="43">
        <f>45.4*10.764</f>
        <v>488.68559999999997</v>
      </c>
      <c r="E403" s="43">
        <v>0</v>
      </c>
      <c r="F403" s="43">
        <f>D403*(($F$214)+1)+E403</f>
        <v>781.89696000000004</v>
      </c>
      <c r="G403" s="164" t="str">
        <f t="shared" si="145"/>
        <v>1st Floor</v>
      </c>
      <c r="H403" s="164"/>
      <c r="I403" s="71"/>
      <c r="N403" s="71"/>
    </row>
    <row r="404" spans="1:16" s="72" customFormat="1" ht="15.75" customHeight="1" x14ac:dyDescent="0.25">
      <c r="A404" s="170" t="s">
        <v>245</v>
      </c>
      <c r="B404" s="171"/>
      <c r="C404" s="171"/>
      <c r="D404" s="171"/>
      <c r="E404" s="171"/>
      <c r="F404" s="171"/>
      <c r="G404" s="171"/>
      <c r="H404" s="172"/>
      <c r="I404" s="71"/>
      <c r="P404" s="73"/>
    </row>
    <row r="405" spans="1:16" s="72" customFormat="1" ht="15.75" customHeight="1" x14ac:dyDescent="0.25">
      <c r="A405" s="165">
        <v>1</v>
      </c>
      <c r="B405" s="166"/>
      <c r="C405" s="43" t="s">
        <v>228</v>
      </c>
      <c r="D405" s="43">
        <f>52.19*10.764</f>
        <v>561.77315999999996</v>
      </c>
      <c r="E405" s="43">
        <v>0</v>
      </c>
      <c r="F405" s="43">
        <f t="shared" ref="F405:F413" si="148">D405*(($F$214)+1)+E405</f>
        <v>898.83705599999996</v>
      </c>
      <c r="G405" s="173" t="str">
        <f>A404</f>
        <v>2nd to 7th, 9th to 13th &amp; 15th  Floor</v>
      </c>
      <c r="H405" s="174"/>
      <c r="I405" s="71"/>
      <c r="N405" s="72" t="str">
        <f t="shared" ref="N405:N413" ca="1" si="149">O405&amp;""&amp;",..,"&amp;""&amp;P405</f>
        <v>201,..,1501</v>
      </c>
      <c r="O405" s="72">
        <f ca="1">(SUMPRODUCT(MID(0&amp;(LEFT(A404,SUM(LEN(A404)-LEN(SUBSTITUTE(A404,{"0","1","2"},""))))), LARGE(INDEX(ISNUMBER(--MID((LEFT(A404,SUM(LEN(A404)-LEN(SUBSTITUTE(A404,{"0","1","2"},""))))), ROW(INDIRECT("1:"&amp;LEN((LEFT(A404,SUM(LEN(A404)-LEN(SUBSTITUTE(A404,{"0","1","2"},"")))))))), 1)) * ROW(INDIRECT("1:"&amp;LEN((LEFT(A404,SUM(LEN(A404)-LEN(SUBSTITUTE(A404,{"0","1","2"},"")))))))), 0), ROW(INDIRECT("1:"&amp;LEN((LEFT(A404,SUM(LEN(A404)-LEN(SUBSTITUTE(A404,{"0","1","2"},"")))))))))+1, 1) * 10^ROW(INDIRECT("1:"&amp;LEN((LEFT(A404,SUM(LEN(A404)-LEN(SUBSTITUTE(A404,{"0","1","2"},""))))))))/10))*100+1</f>
        <v>201</v>
      </c>
      <c r="P405" s="72">
        <f ca="1">(SUMPRODUCT(MID(0&amp;(--TRIM(RIGHT(SUBSTITUTE(LEFT(A404,_xlfn.AGGREGATE(16,6,FIND({0,1,2,3,4,5,6,7,8,9},A404,ROW(INDIRECT("1:"&amp;LEN(A404)))),1))," ",REPT(" ",LEN(A404))),LEN(A404)))), LARGE(INDEX(ISNUMBER(--MID((--TRIM(RIGHT(SUBSTITUTE(LEFT(A404,_xlfn.AGGREGATE(16,6,FIND({0,1,2,3,4,5,6,7,8,9},A404,ROW(INDIRECT("1:"&amp;LEN(A404)))),1))," ",REPT(" ",LEN(A404))),LEN(A404)))), ROW(INDIRECT("1:"&amp;LEN((--TRIM(RIGHT(SUBSTITUTE(LEFT(A404,_xlfn.AGGREGATE(16,6,FIND({0,1,2,3,4,5,6,7,8,9},A404,ROW(INDIRECT("1:"&amp;LEN(A404)))),1))," ",REPT(" ",LEN(A404))),LEN(A404))))))), 1)) * ROW(INDIRECT("1:"&amp;LEN((--TRIM(RIGHT(SUBSTITUTE(LEFT(A404,_xlfn.AGGREGATE(16,6,FIND({0,1,2,3,4,5,6,7,8,9},A404,ROW(INDIRECT("1:"&amp;LEN(A404)))),1))," ",REPT(" ",LEN(A404))),LEN(A404))))))), 0), ROW(INDIRECT("1:"&amp;LEN((--TRIM(RIGHT(SUBSTITUTE(LEFT(A404,_xlfn.AGGREGATE(16,6,FIND({0,1,2,3,4,5,6,7,8,9},A404,ROW(INDIRECT("1:"&amp;LEN(A404)))),1))," ",REPT(" ",LEN(A404))),LEN(A404))))))))+1, 1) * 10^ROW(INDIRECT("1:"&amp;LEN((--TRIM(RIGHT(SUBSTITUTE(LEFT(A404,_xlfn.AGGREGATE(16,6,FIND({0,1,2,3,4,5,6,7,8,9},A404,ROW(INDIRECT("1:"&amp;LEN(A404)))),1))," ",REPT(" ",LEN(A404))),LEN(A404)))))))/10))*100+1</f>
        <v>1501</v>
      </c>
    </row>
    <row r="406" spans="1:16" s="72" customFormat="1" ht="15.75" customHeight="1" x14ac:dyDescent="0.25">
      <c r="A406" s="165">
        <v>2</v>
      </c>
      <c r="B406" s="166"/>
      <c r="C406" s="43" t="s">
        <v>228</v>
      </c>
      <c r="D406" s="43">
        <f>54.58*10.764</f>
        <v>587.49911999999995</v>
      </c>
      <c r="E406" s="43">
        <v>0</v>
      </c>
      <c r="F406" s="43">
        <f t="shared" si="148"/>
        <v>939.99859199999992</v>
      </c>
      <c r="G406" s="175"/>
      <c r="H406" s="176"/>
      <c r="I406" s="71"/>
      <c r="N406" s="72" t="str">
        <f t="shared" ca="1" si="149"/>
        <v>202,..,1502</v>
      </c>
      <c r="O406" s="72">
        <f t="shared" ref="O406:P406" ca="1" si="150">O405+1</f>
        <v>202</v>
      </c>
      <c r="P406" s="72">
        <f t="shared" ca="1" si="150"/>
        <v>1502</v>
      </c>
    </row>
    <row r="407" spans="1:16" s="72" customFormat="1" ht="15.75" customHeight="1" x14ac:dyDescent="0.25">
      <c r="A407" s="165">
        <v>3</v>
      </c>
      <c r="B407" s="166"/>
      <c r="C407" s="43" t="s">
        <v>228</v>
      </c>
      <c r="D407" s="43">
        <f>54.58*10.764</f>
        <v>587.49911999999995</v>
      </c>
      <c r="E407" s="43">
        <v>0</v>
      </c>
      <c r="F407" s="43">
        <f t="shared" si="148"/>
        <v>939.99859199999992</v>
      </c>
      <c r="G407" s="175"/>
      <c r="H407" s="176"/>
      <c r="I407" s="71"/>
      <c r="N407" s="72" t="str">
        <f t="shared" ca="1" si="149"/>
        <v>203,..,1503</v>
      </c>
      <c r="O407" s="72">
        <f t="shared" ref="O407:P407" ca="1" si="151">O406+1</f>
        <v>203</v>
      </c>
      <c r="P407" s="72">
        <f t="shared" ca="1" si="151"/>
        <v>1503</v>
      </c>
    </row>
    <row r="408" spans="1:16" s="72" customFormat="1" ht="15.75" customHeight="1" x14ac:dyDescent="0.25">
      <c r="A408" s="165">
        <v>4</v>
      </c>
      <c r="B408" s="166"/>
      <c r="C408" s="43" t="s">
        <v>239</v>
      </c>
      <c r="D408" s="43">
        <f>61.84*10.764</f>
        <v>665.64576</v>
      </c>
      <c r="E408" s="43">
        <v>0</v>
      </c>
      <c r="F408" s="43">
        <f t="shared" si="148"/>
        <v>1065.033216</v>
      </c>
      <c r="G408" s="175"/>
      <c r="H408" s="176"/>
      <c r="I408" s="71"/>
      <c r="N408" s="72" t="str">
        <f t="shared" ca="1" si="149"/>
        <v>204,..,1504</v>
      </c>
      <c r="O408" s="72">
        <f t="shared" ref="O408:P408" ca="1" si="152">O407+1</f>
        <v>204</v>
      </c>
      <c r="P408" s="72">
        <f t="shared" ca="1" si="152"/>
        <v>1504</v>
      </c>
    </row>
    <row r="409" spans="1:16" s="72" customFormat="1" ht="15.75" customHeight="1" x14ac:dyDescent="0.25">
      <c r="A409" s="165">
        <v>5</v>
      </c>
      <c r="B409" s="166"/>
      <c r="C409" s="43" t="s">
        <v>145</v>
      </c>
      <c r="D409" s="43">
        <f>69.88*10.764</f>
        <v>752.18831999999986</v>
      </c>
      <c r="E409" s="43">
        <v>0</v>
      </c>
      <c r="F409" s="43">
        <f t="shared" si="148"/>
        <v>1203.5013119999999</v>
      </c>
      <c r="G409" s="175"/>
      <c r="H409" s="176"/>
      <c r="I409" s="71"/>
      <c r="N409" s="72" t="str">
        <f t="shared" ca="1" si="149"/>
        <v>205,..,1505</v>
      </c>
      <c r="O409" s="72">
        <f t="shared" ref="O409:P409" ca="1" si="153">O408+1</f>
        <v>205</v>
      </c>
      <c r="P409" s="72">
        <f t="shared" ca="1" si="153"/>
        <v>1505</v>
      </c>
    </row>
    <row r="410" spans="1:16" s="72" customFormat="1" ht="15.75" customHeight="1" x14ac:dyDescent="0.25">
      <c r="A410" s="165">
        <v>6</v>
      </c>
      <c r="B410" s="166"/>
      <c r="C410" s="43" t="s">
        <v>239</v>
      </c>
      <c r="D410" s="43">
        <f>61.84*10.764</f>
        <v>665.64576</v>
      </c>
      <c r="E410" s="43">
        <v>0</v>
      </c>
      <c r="F410" s="43">
        <f t="shared" si="148"/>
        <v>1065.033216</v>
      </c>
      <c r="G410" s="175"/>
      <c r="H410" s="176"/>
      <c r="I410" s="71"/>
      <c r="N410" s="72" t="str">
        <f t="shared" ca="1" si="149"/>
        <v>206,..,1506</v>
      </c>
      <c r="O410" s="72">
        <f t="shared" ref="O410:P410" ca="1" si="154">O409+1</f>
        <v>206</v>
      </c>
      <c r="P410" s="72">
        <f t="shared" ca="1" si="154"/>
        <v>1506</v>
      </c>
    </row>
    <row r="411" spans="1:16" s="72" customFormat="1" ht="15.75" customHeight="1" x14ac:dyDescent="0.25">
      <c r="A411" s="165">
        <v>7</v>
      </c>
      <c r="B411" s="166"/>
      <c r="C411" s="43" t="s">
        <v>228</v>
      </c>
      <c r="D411" s="43">
        <f>59.12*10.764</f>
        <v>636.36767999999995</v>
      </c>
      <c r="E411" s="43">
        <v>0</v>
      </c>
      <c r="F411" s="43">
        <f t="shared" si="148"/>
        <v>1018.1882879999999</v>
      </c>
      <c r="G411" s="175"/>
      <c r="H411" s="176"/>
      <c r="I411" s="71"/>
      <c r="N411" s="72" t="str">
        <f t="shared" ca="1" si="149"/>
        <v>207,..,1507</v>
      </c>
      <c r="O411" s="72">
        <f t="shared" ref="O411:P411" ca="1" si="155">O410+1</f>
        <v>207</v>
      </c>
      <c r="P411" s="72">
        <f t="shared" ca="1" si="155"/>
        <v>1507</v>
      </c>
    </row>
    <row r="412" spans="1:16" s="72" customFormat="1" ht="15.75" customHeight="1" x14ac:dyDescent="0.25">
      <c r="A412" s="165">
        <v>8</v>
      </c>
      <c r="B412" s="166"/>
      <c r="C412" s="43" t="s">
        <v>228</v>
      </c>
      <c r="D412" s="43">
        <f>59.12*10.764</f>
        <v>636.36767999999995</v>
      </c>
      <c r="E412" s="43">
        <v>0</v>
      </c>
      <c r="F412" s="43">
        <f t="shared" si="148"/>
        <v>1018.1882879999999</v>
      </c>
      <c r="G412" s="175"/>
      <c r="H412" s="176"/>
      <c r="I412" s="71"/>
      <c r="N412" s="72" t="str">
        <f t="shared" ca="1" si="149"/>
        <v>208,..,1508</v>
      </c>
      <c r="O412" s="72">
        <f t="shared" ref="O412:P412" ca="1" si="156">O411+1</f>
        <v>208</v>
      </c>
      <c r="P412" s="72">
        <f t="shared" ca="1" si="156"/>
        <v>1508</v>
      </c>
    </row>
    <row r="413" spans="1:16" s="72" customFormat="1" ht="15.75" customHeight="1" x14ac:dyDescent="0.25">
      <c r="A413" s="165">
        <v>9</v>
      </c>
      <c r="B413" s="166"/>
      <c r="C413" s="43" t="s">
        <v>240</v>
      </c>
      <c r="D413" s="43">
        <f>45.4*10.764</f>
        <v>488.68559999999997</v>
      </c>
      <c r="E413" s="43">
        <v>0</v>
      </c>
      <c r="F413" s="43">
        <f t="shared" si="148"/>
        <v>781.89696000000004</v>
      </c>
      <c r="G413" s="175"/>
      <c r="H413" s="176"/>
      <c r="I413" s="71"/>
      <c r="N413" s="72" t="str">
        <f t="shared" ca="1" si="149"/>
        <v>209,..,1509</v>
      </c>
      <c r="O413" s="72">
        <f t="shared" ref="O413:P413" ca="1" si="157">O412+1</f>
        <v>209</v>
      </c>
      <c r="P413" s="72">
        <f t="shared" ca="1" si="157"/>
        <v>1509</v>
      </c>
    </row>
    <row r="414" spans="1:16" s="72" customFormat="1" ht="15.75" customHeight="1" x14ac:dyDescent="0.25">
      <c r="A414" s="170" t="s">
        <v>242</v>
      </c>
      <c r="B414" s="171"/>
      <c r="C414" s="171"/>
      <c r="D414" s="171"/>
      <c r="E414" s="171"/>
      <c r="F414" s="171"/>
      <c r="G414" s="171"/>
      <c r="H414" s="172"/>
      <c r="I414" s="71"/>
      <c r="P414" s="73"/>
    </row>
    <row r="415" spans="1:16" s="72" customFormat="1" ht="15.75" customHeight="1" x14ac:dyDescent="0.25">
      <c r="A415" s="165">
        <v>1</v>
      </c>
      <c r="B415" s="166"/>
      <c r="C415" s="43" t="s">
        <v>228</v>
      </c>
      <c r="D415" s="43">
        <f>52.19*10.764</f>
        <v>561.77315999999996</v>
      </c>
      <c r="E415" s="43">
        <v>0</v>
      </c>
      <c r="F415" s="43">
        <f t="shared" ref="F415:F418" si="158">D415*(($F$214)+1)+E415</f>
        <v>898.83705599999996</v>
      </c>
      <c r="G415" s="173" t="str">
        <f>A414</f>
        <v>8th &amp; 14th Floor (Part Refuge Area)</v>
      </c>
      <c r="H415" s="174"/>
      <c r="I415" s="71"/>
      <c r="N415" s="72" t="str">
        <f t="shared" ref="N415:N423" ca="1" si="159">O415&amp;""&amp;",..,"&amp;""&amp;P415</f>
        <v>801,..,1401</v>
      </c>
      <c r="O415" s="72">
        <f ca="1">(SUMPRODUCT(MID(0&amp;(LEFT(A414,SUM(LEN(A414)-LEN(SUBSTITUTE(A414,{"0","1","2"},""))))), LARGE(INDEX(ISNUMBER(--MID((LEFT(A414,SUM(LEN(A414)-LEN(SUBSTITUTE(A414,{"0","1","2"},""))))), ROW(INDIRECT("1:"&amp;LEN((LEFT(A414,SUM(LEN(A414)-LEN(SUBSTITUTE(A414,{"0","1","2"},"")))))))), 1)) * ROW(INDIRECT("1:"&amp;LEN((LEFT(A414,SUM(LEN(A414)-LEN(SUBSTITUTE(A414,{"0","1","2"},"")))))))), 0), ROW(INDIRECT("1:"&amp;LEN((LEFT(A414,SUM(LEN(A414)-LEN(SUBSTITUTE(A414,{"0","1","2"},"")))))))))+1, 1) * 10^ROW(INDIRECT("1:"&amp;LEN((LEFT(A414,SUM(LEN(A414)-LEN(SUBSTITUTE(A414,{"0","1","2"},""))))))))/10))*100+1</f>
        <v>801</v>
      </c>
      <c r="P415" s="72">
        <f ca="1">(SUMPRODUCT(MID(0&amp;(--TRIM(RIGHT(SUBSTITUTE(LEFT(A414,_xlfn.AGGREGATE(16,6,FIND({0,1,2,3,4,5,6,7,8,9},A414,ROW(INDIRECT("1:"&amp;LEN(A414)))),1))," ",REPT(" ",LEN(A414))),LEN(A414)))), LARGE(INDEX(ISNUMBER(--MID((--TRIM(RIGHT(SUBSTITUTE(LEFT(A414,_xlfn.AGGREGATE(16,6,FIND({0,1,2,3,4,5,6,7,8,9},A414,ROW(INDIRECT("1:"&amp;LEN(A414)))),1))," ",REPT(" ",LEN(A414))),LEN(A414)))), ROW(INDIRECT("1:"&amp;LEN((--TRIM(RIGHT(SUBSTITUTE(LEFT(A414,_xlfn.AGGREGATE(16,6,FIND({0,1,2,3,4,5,6,7,8,9},A414,ROW(INDIRECT("1:"&amp;LEN(A414)))),1))," ",REPT(" ",LEN(A414))),LEN(A414))))))), 1)) * ROW(INDIRECT("1:"&amp;LEN((--TRIM(RIGHT(SUBSTITUTE(LEFT(A414,_xlfn.AGGREGATE(16,6,FIND({0,1,2,3,4,5,6,7,8,9},A414,ROW(INDIRECT("1:"&amp;LEN(A414)))),1))," ",REPT(" ",LEN(A414))),LEN(A414))))))), 0), ROW(INDIRECT("1:"&amp;LEN((--TRIM(RIGHT(SUBSTITUTE(LEFT(A414,_xlfn.AGGREGATE(16,6,FIND({0,1,2,3,4,5,6,7,8,9},A414,ROW(INDIRECT("1:"&amp;LEN(A414)))),1))," ",REPT(" ",LEN(A414))),LEN(A414))))))))+1, 1) * 10^ROW(INDIRECT("1:"&amp;LEN((--TRIM(RIGHT(SUBSTITUTE(LEFT(A414,_xlfn.AGGREGATE(16,6,FIND({0,1,2,3,4,5,6,7,8,9},A414,ROW(INDIRECT("1:"&amp;LEN(A414)))),1))," ",REPT(" ",LEN(A414))),LEN(A414)))))))/10))*100+1</f>
        <v>1401</v>
      </c>
    </row>
    <row r="416" spans="1:16" s="72" customFormat="1" ht="15.75" customHeight="1" x14ac:dyDescent="0.25">
      <c r="A416" s="165">
        <v>2</v>
      </c>
      <c r="B416" s="166"/>
      <c r="C416" s="43" t="s">
        <v>228</v>
      </c>
      <c r="D416" s="43">
        <f>54.58*10.764</f>
        <v>587.49911999999995</v>
      </c>
      <c r="E416" s="43">
        <v>0</v>
      </c>
      <c r="F416" s="43">
        <f t="shared" si="158"/>
        <v>939.99859199999992</v>
      </c>
      <c r="G416" s="175"/>
      <c r="H416" s="176"/>
      <c r="I416" s="71"/>
      <c r="N416" s="72" t="str">
        <f t="shared" ca="1" si="159"/>
        <v>802,..,1402</v>
      </c>
      <c r="O416" s="72">
        <f t="shared" ref="O416:P416" ca="1" si="160">O415+1</f>
        <v>802</v>
      </c>
      <c r="P416" s="72">
        <f t="shared" ca="1" si="160"/>
        <v>1402</v>
      </c>
    </row>
    <row r="417" spans="1:16" s="72" customFormat="1" ht="15.75" customHeight="1" x14ac:dyDescent="0.25">
      <c r="A417" s="165">
        <v>3</v>
      </c>
      <c r="B417" s="166"/>
      <c r="C417" s="43" t="s">
        <v>228</v>
      </c>
      <c r="D417" s="43">
        <f>54.58*10.764</f>
        <v>587.49911999999995</v>
      </c>
      <c r="E417" s="43">
        <v>0</v>
      </c>
      <c r="F417" s="43">
        <f t="shared" si="158"/>
        <v>939.99859199999992</v>
      </c>
      <c r="G417" s="175"/>
      <c r="H417" s="176"/>
      <c r="I417" s="71"/>
      <c r="N417" s="72" t="str">
        <f t="shared" ca="1" si="159"/>
        <v>803,..,1403</v>
      </c>
      <c r="O417" s="72">
        <f t="shared" ref="O417:P417" ca="1" si="161">O416+1</f>
        <v>803</v>
      </c>
      <c r="P417" s="72">
        <f t="shared" ca="1" si="161"/>
        <v>1403</v>
      </c>
    </row>
    <row r="418" spans="1:16" s="72" customFormat="1" ht="15.75" customHeight="1" x14ac:dyDescent="0.25">
      <c r="A418" s="165">
        <v>4</v>
      </c>
      <c r="B418" s="166"/>
      <c r="C418" s="43" t="s">
        <v>239</v>
      </c>
      <c r="D418" s="43">
        <f>61.84*10.764</f>
        <v>665.64576</v>
      </c>
      <c r="E418" s="43">
        <v>0</v>
      </c>
      <c r="F418" s="43">
        <f t="shared" si="158"/>
        <v>1065.033216</v>
      </c>
      <c r="G418" s="175"/>
      <c r="H418" s="176"/>
      <c r="I418" s="71"/>
      <c r="N418" s="72" t="str">
        <f t="shared" ca="1" si="159"/>
        <v>804,..,1404</v>
      </c>
      <c r="O418" s="72">
        <f t="shared" ref="O418:P418" ca="1" si="162">O417+1</f>
        <v>804</v>
      </c>
      <c r="P418" s="72">
        <f t="shared" ca="1" si="162"/>
        <v>1404</v>
      </c>
    </row>
    <row r="419" spans="1:16" s="72" customFormat="1" ht="15.75" customHeight="1" x14ac:dyDescent="0.25">
      <c r="A419" s="165">
        <v>5</v>
      </c>
      <c r="B419" s="166"/>
      <c r="C419" s="165" t="s">
        <v>211</v>
      </c>
      <c r="D419" s="168"/>
      <c r="E419" s="168"/>
      <c r="F419" s="166"/>
      <c r="G419" s="175"/>
      <c r="H419" s="176"/>
      <c r="I419" s="71"/>
      <c r="N419" s="72" t="str">
        <f t="shared" ca="1" si="159"/>
        <v>805,..,1405</v>
      </c>
      <c r="O419" s="72">
        <f t="shared" ref="O419:P419" ca="1" si="163">O418+1</f>
        <v>805</v>
      </c>
      <c r="P419" s="72">
        <f t="shared" ca="1" si="163"/>
        <v>1405</v>
      </c>
    </row>
    <row r="420" spans="1:16" s="72" customFormat="1" ht="15.75" customHeight="1" x14ac:dyDescent="0.25">
      <c r="A420" s="165">
        <v>6</v>
      </c>
      <c r="B420" s="166"/>
      <c r="C420" s="43" t="s">
        <v>239</v>
      </c>
      <c r="D420" s="43">
        <f>61.84*10.764</f>
        <v>665.64576</v>
      </c>
      <c r="E420" s="43">
        <v>0</v>
      </c>
      <c r="F420" s="43">
        <f t="shared" ref="F420:F423" si="164">D420*(($F$214)+1)+E420</f>
        <v>1065.033216</v>
      </c>
      <c r="G420" s="175"/>
      <c r="H420" s="176"/>
      <c r="I420" s="71"/>
      <c r="N420" s="72" t="str">
        <f t="shared" ca="1" si="159"/>
        <v>806,..,1406</v>
      </c>
      <c r="O420" s="72">
        <f t="shared" ref="O420:P420" ca="1" si="165">O419+1</f>
        <v>806</v>
      </c>
      <c r="P420" s="72">
        <f t="shared" ca="1" si="165"/>
        <v>1406</v>
      </c>
    </row>
    <row r="421" spans="1:16" s="72" customFormat="1" ht="15.75" customHeight="1" x14ac:dyDescent="0.25">
      <c r="A421" s="165">
        <v>7</v>
      </c>
      <c r="B421" s="166"/>
      <c r="C421" s="43" t="s">
        <v>228</v>
      </c>
      <c r="D421" s="43">
        <f>59.12*10.764</f>
        <v>636.36767999999995</v>
      </c>
      <c r="E421" s="43">
        <v>0</v>
      </c>
      <c r="F421" s="43">
        <f t="shared" si="164"/>
        <v>1018.1882879999999</v>
      </c>
      <c r="G421" s="175"/>
      <c r="H421" s="176"/>
      <c r="I421" s="71"/>
      <c r="N421" s="72" t="str">
        <f t="shared" ca="1" si="159"/>
        <v>807,..,1407</v>
      </c>
      <c r="O421" s="72">
        <f t="shared" ref="O421:P421" ca="1" si="166">O420+1</f>
        <v>807</v>
      </c>
      <c r="P421" s="72">
        <f t="shared" ca="1" si="166"/>
        <v>1407</v>
      </c>
    </row>
    <row r="422" spans="1:16" s="72" customFormat="1" ht="15.75" customHeight="1" x14ac:dyDescent="0.25">
      <c r="A422" s="165">
        <v>8</v>
      </c>
      <c r="B422" s="166"/>
      <c r="C422" s="43" t="s">
        <v>228</v>
      </c>
      <c r="D422" s="43">
        <f>59.12*10.764</f>
        <v>636.36767999999995</v>
      </c>
      <c r="E422" s="43">
        <v>0</v>
      </c>
      <c r="F422" s="43">
        <f t="shared" si="164"/>
        <v>1018.1882879999999</v>
      </c>
      <c r="G422" s="175"/>
      <c r="H422" s="176"/>
      <c r="I422" s="71"/>
      <c r="N422" s="72" t="str">
        <f t="shared" ca="1" si="159"/>
        <v>808,..,1408</v>
      </c>
      <c r="O422" s="72">
        <f t="shared" ref="O422:P422" ca="1" si="167">O421+1</f>
        <v>808</v>
      </c>
      <c r="P422" s="72">
        <f t="shared" ca="1" si="167"/>
        <v>1408</v>
      </c>
    </row>
    <row r="423" spans="1:16" s="72" customFormat="1" ht="15.75" customHeight="1" x14ac:dyDescent="0.25">
      <c r="A423" s="165">
        <v>9</v>
      </c>
      <c r="B423" s="166"/>
      <c r="C423" s="43" t="s">
        <v>240</v>
      </c>
      <c r="D423" s="43">
        <f>45.4*10.764</f>
        <v>488.68559999999997</v>
      </c>
      <c r="E423" s="43">
        <v>0</v>
      </c>
      <c r="F423" s="43">
        <f t="shared" si="164"/>
        <v>781.89696000000004</v>
      </c>
      <c r="G423" s="175"/>
      <c r="H423" s="176"/>
      <c r="I423" s="71"/>
      <c r="N423" s="72" t="str">
        <f t="shared" ca="1" si="159"/>
        <v>809,..,1409</v>
      </c>
      <c r="O423" s="72">
        <f t="shared" ref="O423:P423" ca="1" si="168">O422+1</f>
        <v>809</v>
      </c>
      <c r="P423" s="72">
        <f t="shared" ca="1" si="168"/>
        <v>1409</v>
      </c>
    </row>
    <row r="424" spans="1:16" s="72" customFormat="1" ht="15.75" customHeight="1" x14ac:dyDescent="0.25">
      <c r="A424" s="169" t="s">
        <v>243</v>
      </c>
      <c r="B424" s="169"/>
      <c r="C424" s="169"/>
      <c r="D424" s="169"/>
      <c r="E424" s="169"/>
      <c r="F424" s="169"/>
      <c r="G424" s="169"/>
      <c r="H424" s="169"/>
      <c r="I424" s="71"/>
      <c r="P424" s="73"/>
    </row>
    <row r="425" spans="1:16" s="72" customFormat="1" ht="15.75" customHeight="1" x14ac:dyDescent="0.25">
      <c r="A425" s="164">
        <v>1</v>
      </c>
      <c r="B425" s="164"/>
      <c r="C425" s="109" t="s">
        <v>228</v>
      </c>
      <c r="D425" s="109">
        <f>52.41*10.764</f>
        <v>564.14123999999993</v>
      </c>
      <c r="E425" s="109">
        <v>0</v>
      </c>
      <c r="F425" s="109">
        <f t="shared" ref="F425:F433" si="169">D425*(($F$214)+1)+E425</f>
        <v>902.6259839999999</v>
      </c>
      <c r="G425" s="164" t="str">
        <f>A424</f>
        <v>16th to 18th, 20th to 23rd, 25th to 28th &amp; 30th to 32nd Floor</v>
      </c>
      <c r="H425" s="164"/>
      <c r="I425" s="71"/>
      <c r="N425" s="72" t="str">
        <f t="shared" ref="N425:N433" ca="1" si="170">O425&amp;""&amp;",..,"&amp;""&amp;P425</f>
        <v>16101,..,3201</v>
      </c>
      <c r="O425" s="72">
        <f ca="1">(SUMPRODUCT(MID(0&amp;(LEFT(A424,SUM(LEN(A424)-LEN(SUBSTITUTE(A424,{"0","1","2"},""))))), LARGE(INDEX(ISNUMBER(--MID((LEFT(A424,SUM(LEN(A424)-LEN(SUBSTITUTE(A424,{"0","1","2"},""))))), ROW(INDIRECT("1:"&amp;LEN((LEFT(A424,SUM(LEN(A424)-LEN(SUBSTITUTE(A424,{"0","1","2"},"")))))))), 1)) * ROW(INDIRECT("1:"&amp;LEN((LEFT(A424,SUM(LEN(A424)-LEN(SUBSTITUTE(A424,{"0","1","2"},"")))))))), 0), ROW(INDIRECT("1:"&amp;LEN((LEFT(A424,SUM(LEN(A424)-LEN(SUBSTITUTE(A424,{"0","1","2"},"")))))))))+1, 1) * 10^ROW(INDIRECT("1:"&amp;LEN((LEFT(A424,SUM(LEN(A424)-LEN(SUBSTITUTE(A424,{"0","1","2"},""))))))))/10))*100+1</f>
        <v>16101</v>
      </c>
      <c r="P425" s="72">
        <f ca="1">(SUMPRODUCT(MID(0&amp;(--TRIM(RIGHT(SUBSTITUTE(LEFT(A424,_xlfn.AGGREGATE(16,6,FIND({0,1,2,3,4,5,6,7,8,9},A424,ROW(INDIRECT("1:"&amp;LEN(A424)))),1))," ",REPT(" ",LEN(A424))),LEN(A424)))), LARGE(INDEX(ISNUMBER(--MID((--TRIM(RIGHT(SUBSTITUTE(LEFT(A424,_xlfn.AGGREGATE(16,6,FIND({0,1,2,3,4,5,6,7,8,9},A424,ROW(INDIRECT("1:"&amp;LEN(A424)))),1))," ",REPT(" ",LEN(A424))),LEN(A424)))), ROW(INDIRECT("1:"&amp;LEN((--TRIM(RIGHT(SUBSTITUTE(LEFT(A424,_xlfn.AGGREGATE(16,6,FIND({0,1,2,3,4,5,6,7,8,9},A424,ROW(INDIRECT("1:"&amp;LEN(A424)))),1))," ",REPT(" ",LEN(A424))),LEN(A424))))))), 1)) * ROW(INDIRECT("1:"&amp;LEN((--TRIM(RIGHT(SUBSTITUTE(LEFT(A424,_xlfn.AGGREGATE(16,6,FIND({0,1,2,3,4,5,6,7,8,9},A424,ROW(INDIRECT("1:"&amp;LEN(A424)))),1))," ",REPT(" ",LEN(A424))),LEN(A424))))))), 0), ROW(INDIRECT("1:"&amp;LEN((--TRIM(RIGHT(SUBSTITUTE(LEFT(A424,_xlfn.AGGREGATE(16,6,FIND({0,1,2,3,4,5,6,7,8,9},A424,ROW(INDIRECT("1:"&amp;LEN(A424)))),1))," ",REPT(" ",LEN(A424))),LEN(A424))))))))+1, 1) * 10^ROW(INDIRECT("1:"&amp;LEN((--TRIM(RIGHT(SUBSTITUTE(LEFT(A424,_xlfn.AGGREGATE(16,6,FIND({0,1,2,3,4,5,6,7,8,9},A424,ROW(INDIRECT("1:"&amp;LEN(A424)))),1))," ",REPT(" ",LEN(A424))),LEN(A424)))))))/10))*100+1</f>
        <v>3201</v>
      </c>
    </row>
    <row r="426" spans="1:16" s="72" customFormat="1" ht="15.75" customHeight="1" x14ac:dyDescent="0.25">
      <c r="A426" s="164">
        <v>2</v>
      </c>
      <c r="B426" s="164"/>
      <c r="C426" s="109" t="s">
        <v>228</v>
      </c>
      <c r="D426" s="109">
        <f>54.77*10.764</f>
        <v>589.54427999999996</v>
      </c>
      <c r="E426" s="109">
        <v>0</v>
      </c>
      <c r="F426" s="109">
        <f t="shared" si="169"/>
        <v>943.270848</v>
      </c>
      <c r="G426" s="164"/>
      <c r="H426" s="164"/>
      <c r="I426" s="71"/>
      <c r="N426" s="72" t="str">
        <f t="shared" ca="1" si="170"/>
        <v>16102,..,3202</v>
      </c>
      <c r="O426" s="72">
        <f t="shared" ref="O426:P426" ca="1" si="171">O425+1</f>
        <v>16102</v>
      </c>
      <c r="P426" s="72">
        <f t="shared" ca="1" si="171"/>
        <v>3202</v>
      </c>
    </row>
    <row r="427" spans="1:16" s="72" customFormat="1" ht="15.75" customHeight="1" x14ac:dyDescent="0.25">
      <c r="A427" s="164">
        <v>3</v>
      </c>
      <c r="B427" s="164"/>
      <c r="C427" s="109" t="s">
        <v>228</v>
      </c>
      <c r="D427" s="109">
        <f>54.77*10.764</f>
        <v>589.54427999999996</v>
      </c>
      <c r="E427" s="109">
        <v>0</v>
      </c>
      <c r="F427" s="109">
        <f t="shared" si="169"/>
        <v>943.270848</v>
      </c>
      <c r="G427" s="164"/>
      <c r="H427" s="164"/>
      <c r="I427" s="71"/>
      <c r="N427" s="72" t="str">
        <f t="shared" ca="1" si="170"/>
        <v>16103,..,3203</v>
      </c>
      <c r="O427" s="72">
        <f t="shared" ref="O427:P427" ca="1" si="172">O426+1</f>
        <v>16103</v>
      </c>
      <c r="P427" s="72">
        <f t="shared" ca="1" si="172"/>
        <v>3203</v>
      </c>
    </row>
    <row r="428" spans="1:16" s="72" customFormat="1" ht="15.75" customHeight="1" x14ac:dyDescent="0.25">
      <c r="A428" s="164">
        <v>4</v>
      </c>
      <c r="B428" s="164"/>
      <c r="C428" s="109" t="s">
        <v>239</v>
      </c>
      <c r="D428" s="109">
        <f>62.13*10.764</f>
        <v>668.76732000000004</v>
      </c>
      <c r="E428" s="109">
        <v>0</v>
      </c>
      <c r="F428" s="109">
        <f t="shared" si="169"/>
        <v>1070.0277120000001</v>
      </c>
      <c r="G428" s="164"/>
      <c r="H428" s="164"/>
      <c r="I428" s="71"/>
      <c r="N428" s="72" t="str">
        <f t="shared" ca="1" si="170"/>
        <v>16104,..,3204</v>
      </c>
      <c r="O428" s="72">
        <f t="shared" ref="O428:P428" ca="1" si="173">O427+1</f>
        <v>16104</v>
      </c>
      <c r="P428" s="72">
        <f t="shared" ca="1" si="173"/>
        <v>3204</v>
      </c>
    </row>
    <row r="429" spans="1:16" s="72" customFormat="1" ht="15.75" customHeight="1" x14ac:dyDescent="0.25">
      <c r="A429" s="164">
        <v>5</v>
      </c>
      <c r="B429" s="164"/>
      <c r="C429" s="109" t="s">
        <v>145</v>
      </c>
      <c r="D429" s="109">
        <f>70.54*10.764</f>
        <v>759.29255999999998</v>
      </c>
      <c r="E429" s="109">
        <v>0</v>
      </c>
      <c r="F429" s="109">
        <f t="shared" si="169"/>
        <v>1214.8680959999999</v>
      </c>
      <c r="G429" s="164"/>
      <c r="H429" s="164"/>
      <c r="I429" s="71"/>
      <c r="N429" s="72" t="str">
        <f t="shared" ca="1" si="170"/>
        <v>16105,..,3205</v>
      </c>
      <c r="O429" s="72">
        <f t="shared" ref="O429:P429" ca="1" si="174">O428+1</f>
        <v>16105</v>
      </c>
      <c r="P429" s="72">
        <f t="shared" ca="1" si="174"/>
        <v>3205</v>
      </c>
    </row>
    <row r="430" spans="1:16" s="72" customFormat="1" ht="15.75" customHeight="1" x14ac:dyDescent="0.25">
      <c r="A430" s="164">
        <v>6</v>
      </c>
      <c r="B430" s="164"/>
      <c r="C430" s="109" t="s">
        <v>239</v>
      </c>
      <c r="D430" s="109">
        <f>62.13*10.764</f>
        <v>668.76732000000004</v>
      </c>
      <c r="E430" s="109">
        <v>0</v>
      </c>
      <c r="F430" s="109">
        <f t="shared" si="169"/>
        <v>1070.0277120000001</v>
      </c>
      <c r="G430" s="164"/>
      <c r="H430" s="164"/>
      <c r="I430" s="71"/>
      <c r="N430" s="72" t="str">
        <f t="shared" ca="1" si="170"/>
        <v>16106,..,3206</v>
      </c>
      <c r="O430" s="72">
        <f t="shared" ref="O430:P430" ca="1" si="175">O429+1</f>
        <v>16106</v>
      </c>
      <c r="P430" s="72">
        <f t="shared" ca="1" si="175"/>
        <v>3206</v>
      </c>
    </row>
    <row r="431" spans="1:16" s="72" customFormat="1" ht="15.75" customHeight="1" x14ac:dyDescent="0.25">
      <c r="A431" s="164">
        <v>7</v>
      </c>
      <c r="B431" s="164"/>
      <c r="C431" s="109" t="s">
        <v>228</v>
      </c>
      <c r="D431" s="109">
        <f>60.04*10.764</f>
        <v>646.27055999999993</v>
      </c>
      <c r="E431" s="109">
        <v>0</v>
      </c>
      <c r="F431" s="109">
        <f t="shared" si="169"/>
        <v>1034.0328959999999</v>
      </c>
      <c r="G431" s="164"/>
      <c r="H431" s="164"/>
      <c r="I431" s="71"/>
      <c r="N431" s="72" t="str">
        <f t="shared" ca="1" si="170"/>
        <v>16107,..,3207</v>
      </c>
      <c r="O431" s="72">
        <f t="shared" ref="O431:P431" ca="1" si="176">O430+1</f>
        <v>16107</v>
      </c>
      <c r="P431" s="72">
        <f t="shared" ca="1" si="176"/>
        <v>3207</v>
      </c>
    </row>
    <row r="432" spans="1:16" s="72" customFormat="1" ht="15.75" customHeight="1" x14ac:dyDescent="0.25">
      <c r="A432" s="164">
        <v>8</v>
      </c>
      <c r="B432" s="164"/>
      <c r="C432" s="109" t="s">
        <v>228</v>
      </c>
      <c r="D432" s="109">
        <f>60.04*10.764</f>
        <v>646.27055999999993</v>
      </c>
      <c r="E432" s="109">
        <v>0</v>
      </c>
      <c r="F432" s="109">
        <f t="shared" si="169"/>
        <v>1034.0328959999999</v>
      </c>
      <c r="G432" s="164"/>
      <c r="H432" s="164"/>
      <c r="I432" s="71"/>
      <c r="N432" s="72" t="str">
        <f t="shared" ca="1" si="170"/>
        <v>16108,..,3208</v>
      </c>
      <c r="O432" s="72">
        <f t="shared" ref="O432:P432" ca="1" si="177">O431+1</f>
        <v>16108</v>
      </c>
      <c r="P432" s="72">
        <f t="shared" ca="1" si="177"/>
        <v>3208</v>
      </c>
    </row>
    <row r="433" spans="1:16" s="72" customFormat="1" ht="15.75" customHeight="1" x14ac:dyDescent="0.25">
      <c r="A433" s="164">
        <v>9</v>
      </c>
      <c r="B433" s="164"/>
      <c r="C433" s="109" t="s">
        <v>240</v>
      </c>
      <c r="D433" s="109">
        <f>45.58*10.764</f>
        <v>490.62311999999997</v>
      </c>
      <c r="E433" s="109">
        <v>0</v>
      </c>
      <c r="F433" s="109">
        <f t="shared" si="169"/>
        <v>784.99699199999998</v>
      </c>
      <c r="G433" s="164"/>
      <c r="H433" s="164"/>
      <c r="I433" s="71"/>
      <c r="N433" s="72" t="str">
        <f t="shared" ca="1" si="170"/>
        <v>16109,..,3209</v>
      </c>
      <c r="O433" s="72">
        <f t="shared" ref="O433:P433" ca="1" si="178">O432+1</f>
        <v>16109</v>
      </c>
      <c r="P433" s="72">
        <f t="shared" ca="1" si="178"/>
        <v>3209</v>
      </c>
    </row>
    <row r="434" spans="1:16" s="72" customFormat="1" ht="15.75" customHeight="1" x14ac:dyDescent="0.25">
      <c r="A434" s="169" t="s">
        <v>244</v>
      </c>
      <c r="B434" s="169"/>
      <c r="C434" s="169"/>
      <c r="D434" s="169"/>
      <c r="E434" s="169"/>
      <c r="F434" s="169"/>
      <c r="G434" s="169"/>
      <c r="H434" s="169"/>
      <c r="I434" s="71"/>
      <c r="P434" s="73"/>
    </row>
    <row r="435" spans="1:16" s="72" customFormat="1" ht="15.75" customHeight="1" x14ac:dyDescent="0.25">
      <c r="A435" s="164">
        <v>1</v>
      </c>
      <c r="B435" s="164"/>
      <c r="C435" s="109" t="s">
        <v>228</v>
      </c>
      <c r="D435" s="109">
        <f>52.41*10.764</f>
        <v>564.14123999999993</v>
      </c>
      <c r="E435" s="109">
        <v>0</v>
      </c>
      <c r="F435" s="109">
        <f t="shared" ref="F435:F438" si="179">D435*(($F$214)+1)+E435</f>
        <v>902.6259839999999</v>
      </c>
      <c r="G435" s="164" t="str">
        <f>A434</f>
        <v>19th, 24th &amp; 29th Floor (Part Refuge Area)</v>
      </c>
      <c r="H435" s="164"/>
      <c r="I435" s="71"/>
      <c r="N435" s="72" t="str">
        <f t="shared" ref="N435:N443" ca="1" si="180">O435&amp;""&amp;",..,"&amp;""&amp;P435</f>
        <v>1901,..,2901</v>
      </c>
      <c r="O435" s="72">
        <f ca="1">(SUMPRODUCT(MID(0&amp;(LEFT(A434,SUM(LEN(A434)-LEN(SUBSTITUTE(A434,{"0","1","2"},""))))), LARGE(INDEX(ISNUMBER(--MID((LEFT(A434,SUM(LEN(A434)-LEN(SUBSTITUTE(A434,{"0","1","2"},""))))), ROW(INDIRECT("1:"&amp;LEN((LEFT(A434,SUM(LEN(A434)-LEN(SUBSTITUTE(A434,{"0","1","2"},"")))))))), 1)) * ROW(INDIRECT("1:"&amp;LEN((LEFT(A434,SUM(LEN(A434)-LEN(SUBSTITUTE(A434,{"0","1","2"},"")))))))), 0), ROW(INDIRECT("1:"&amp;LEN((LEFT(A434,SUM(LEN(A434)-LEN(SUBSTITUTE(A434,{"0","1","2"},"")))))))))+1, 1) * 10^ROW(INDIRECT("1:"&amp;LEN((LEFT(A434,SUM(LEN(A434)-LEN(SUBSTITUTE(A434,{"0","1","2"},""))))))))/10))*100+1</f>
        <v>1901</v>
      </c>
      <c r="P435" s="72">
        <f ca="1">(SUMPRODUCT(MID(0&amp;(--TRIM(RIGHT(SUBSTITUTE(LEFT(A434,_xlfn.AGGREGATE(16,6,FIND({0,1,2,3,4,5,6,7,8,9},A434,ROW(INDIRECT("1:"&amp;LEN(A434)))),1))," ",REPT(" ",LEN(A434))),LEN(A434)))), LARGE(INDEX(ISNUMBER(--MID((--TRIM(RIGHT(SUBSTITUTE(LEFT(A434,_xlfn.AGGREGATE(16,6,FIND({0,1,2,3,4,5,6,7,8,9},A434,ROW(INDIRECT("1:"&amp;LEN(A434)))),1))," ",REPT(" ",LEN(A434))),LEN(A434)))), ROW(INDIRECT("1:"&amp;LEN((--TRIM(RIGHT(SUBSTITUTE(LEFT(A434,_xlfn.AGGREGATE(16,6,FIND({0,1,2,3,4,5,6,7,8,9},A434,ROW(INDIRECT("1:"&amp;LEN(A434)))),1))," ",REPT(" ",LEN(A434))),LEN(A434))))))), 1)) * ROW(INDIRECT("1:"&amp;LEN((--TRIM(RIGHT(SUBSTITUTE(LEFT(A434,_xlfn.AGGREGATE(16,6,FIND({0,1,2,3,4,5,6,7,8,9},A434,ROW(INDIRECT("1:"&amp;LEN(A434)))),1))," ",REPT(" ",LEN(A434))),LEN(A434))))))), 0), ROW(INDIRECT("1:"&amp;LEN((--TRIM(RIGHT(SUBSTITUTE(LEFT(A434,_xlfn.AGGREGATE(16,6,FIND({0,1,2,3,4,5,6,7,8,9},A434,ROW(INDIRECT("1:"&amp;LEN(A434)))),1))," ",REPT(" ",LEN(A434))),LEN(A434))))))))+1, 1) * 10^ROW(INDIRECT("1:"&amp;LEN((--TRIM(RIGHT(SUBSTITUTE(LEFT(A434,_xlfn.AGGREGATE(16,6,FIND({0,1,2,3,4,5,6,7,8,9},A434,ROW(INDIRECT("1:"&amp;LEN(A434)))),1))," ",REPT(" ",LEN(A434))),LEN(A434)))))))/10))*100+1</f>
        <v>2901</v>
      </c>
    </row>
    <row r="436" spans="1:16" s="72" customFormat="1" ht="15.75" customHeight="1" x14ac:dyDescent="0.25">
      <c r="A436" s="164">
        <v>2</v>
      </c>
      <c r="B436" s="164"/>
      <c r="C436" s="109" t="s">
        <v>228</v>
      </c>
      <c r="D436" s="109">
        <f>54.77*10.764</f>
        <v>589.54427999999996</v>
      </c>
      <c r="E436" s="109">
        <v>0</v>
      </c>
      <c r="F436" s="109">
        <f t="shared" si="179"/>
        <v>943.270848</v>
      </c>
      <c r="G436" s="164"/>
      <c r="H436" s="164"/>
      <c r="I436" s="71"/>
      <c r="N436" s="72" t="str">
        <f t="shared" ca="1" si="180"/>
        <v>1902,..,2902</v>
      </c>
      <c r="O436" s="72">
        <f t="shared" ref="O436:P436" ca="1" si="181">O435+1</f>
        <v>1902</v>
      </c>
      <c r="P436" s="72">
        <f t="shared" ca="1" si="181"/>
        <v>2902</v>
      </c>
    </row>
    <row r="437" spans="1:16" s="72" customFormat="1" ht="15.75" customHeight="1" x14ac:dyDescent="0.25">
      <c r="A437" s="164">
        <v>3</v>
      </c>
      <c r="B437" s="164"/>
      <c r="C437" s="109" t="s">
        <v>228</v>
      </c>
      <c r="D437" s="109">
        <f>54.77*10.764</f>
        <v>589.54427999999996</v>
      </c>
      <c r="E437" s="109">
        <v>0</v>
      </c>
      <c r="F437" s="109">
        <f t="shared" si="179"/>
        <v>943.270848</v>
      </c>
      <c r="G437" s="164"/>
      <c r="H437" s="164"/>
      <c r="I437" s="71"/>
      <c r="N437" s="72" t="str">
        <f t="shared" ca="1" si="180"/>
        <v>1903,..,2903</v>
      </c>
      <c r="O437" s="72">
        <f t="shared" ref="O437:P437" ca="1" si="182">O436+1</f>
        <v>1903</v>
      </c>
      <c r="P437" s="72">
        <f t="shared" ca="1" si="182"/>
        <v>2903</v>
      </c>
    </row>
    <row r="438" spans="1:16" s="72" customFormat="1" ht="15.75" customHeight="1" x14ac:dyDescent="0.25">
      <c r="A438" s="164">
        <v>4</v>
      </c>
      <c r="B438" s="164"/>
      <c r="C438" s="109" t="s">
        <v>239</v>
      </c>
      <c r="D438" s="109">
        <f>62.13*10.764</f>
        <v>668.76732000000004</v>
      </c>
      <c r="E438" s="109">
        <v>0</v>
      </c>
      <c r="F438" s="109">
        <f t="shared" si="179"/>
        <v>1070.0277120000001</v>
      </c>
      <c r="G438" s="164"/>
      <c r="H438" s="164"/>
      <c r="I438" s="71"/>
      <c r="N438" s="72" t="str">
        <f t="shared" ca="1" si="180"/>
        <v>1904,..,2904</v>
      </c>
      <c r="O438" s="72">
        <f t="shared" ref="O438:P438" ca="1" si="183">O437+1</f>
        <v>1904</v>
      </c>
      <c r="P438" s="72">
        <f t="shared" ca="1" si="183"/>
        <v>2904</v>
      </c>
    </row>
    <row r="439" spans="1:16" s="72" customFormat="1" ht="15.75" customHeight="1" x14ac:dyDescent="0.25">
      <c r="A439" s="164">
        <v>5</v>
      </c>
      <c r="B439" s="164"/>
      <c r="C439" s="164" t="s">
        <v>211</v>
      </c>
      <c r="D439" s="164"/>
      <c r="E439" s="164"/>
      <c r="F439" s="164"/>
      <c r="G439" s="164"/>
      <c r="H439" s="164"/>
      <c r="I439" s="71"/>
      <c r="N439" s="72" t="str">
        <f t="shared" ca="1" si="180"/>
        <v>1905,..,2905</v>
      </c>
      <c r="O439" s="72">
        <f t="shared" ref="O439:P439" ca="1" si="184">O438+1</f>
        <v>1905</v>
      </c>
      <c r="P439" s="72">
        <f t="shared" ca="1" si="184"/>
        <v>2905</v>
      </c>
    </row>
    <row r="440" spans="1:16" s="72" customFormat="1" ht="15.75" customHeight="1" x14ac:dyDescent="0.25">
      <c r="A440" s="164">
        <v>6</v>
      </c>
      <c r="B440" s="164"/>
      <c r="C440" s="109" t="s">
        <v>239</v>
      </c>
      <c r="D440" s="109">
        <f>62.13*10.764</f>
        <v>668.76732000000004</v>
      </c>
      <c r="E440" s="109">
        <v>0</v>
      </c>
      <c r="F440" s="109">
        <f t="shared" ref="F440:F443" si="185">D440*(($F$214)+1)+E440</f>
        <v>1070.0277120000001</v>
      </c>
      <c r="G440" s="164"/>
      <c r="H440" s="164"/>
      <c r="I440" s="71"/>
      <c r="N440" s="72" t="str">
        <f t="shared" ca="1" si="180"/>
        <v>1906,..,2906</v>
      </c>
      <c r="O440" s="72">
        <f t="shared" ref="O440:P440" ca="1" si="186">O439+1</f>
        <v>1906</v>
      </c>
      <c r="P440" s="72">
        <f t="shared" ca="1" si="186"/>
        <v>2906</v>
      </c>
    </row>
    <row r="441" spans="1:16" s="72" customFormat="1" ht="15.75" customHeight="1" x14ac:dyDescent="0.25">
      <c r="A441" s="164">
        <v>7</v>
      </c>
      <c r="B441" s="164"/>
      <c r="C441" s="109" t="s">
        <v>228</v>
      </c>
      <c r="D441" s="109">
        <f>60.04*10.764</f>
        <v>646.27055999999993</v>
      </c>
      <c r="E441" s="109">
        <v>0</v>
      </c>
      <c r="F441" s="109">
        <f t="shared" si="185"/>
        <v>1034.0328959999999</v>
      </c>
      <c r="G441" s="164"/>
      <c r="H441" s="164"/>
      <c r="I441" s="71"/>
      <c r="N441" s="72" t="str">
        <f t="shared" ca="1" si="180"/>
        <v>1907,..,2907</v>
      </c>
      <c r="O441" s="72">
        <f t="shared" ref="O441:P441" ca="1" si="187">O440+1</f>
        <v>1907</v>
      </c>
      <c r="P441" s="72">
        <f t="shared" ca="1" si="187"/>
        <v>2907</v>
      </c>
    </row>
    <row r="442" spans="1:16" s="72" customFormat="1" ht="15.75" customHeight="1" x14ac:dyDescent="0.25">
      <c r="A442" s="164">
        <v>8</v>
      </c>
      <c r="B442" s="164"/>
      <c r="C442" s="109" t="s">
        <v>228</v>
      </c>
      <c r="D442" s="109">
        <f>60.04*10.764</f>
        <v>646.27055999999993</v>
      </c>
      <c r="E442" s="109">
        <v>0</v>
      </c>
      <c r="F442" s="109">
        <f t="shared" si="185"/>
        <v>1034.0328959999999</v>
      </c>
      <c r="G442" s="164"/>
      <c r="H442" s="164"/>
      <c r="I442" s="71"/>
      <c r="N442" s="72" t="str">
        <f t="shared" ca="1" si="180"/>
        <v>1908,..,2908</v>
      </c>
      <c r="O442" s="72">
        <f t="shared" ref="O442:P442" ca="1" si="188">O441+1</f>
        <v>1908</v>
      </c>
      <c r="P442" s="72">
        <f t="shared" ca="1" si="188"/>
        <v>2908</v>
      </c>
    </row>
    <row r="443" spans="1:16" s="72" customFormat="1" ht="15.75" customHeight="1" x14ac:dyDescent="0.25">
      <c r="A443" s="164">
        <v>9</v>
      </c>
      <c r="B443" s="164"/>
      <c r="C443" s="109" t="s">
        <v>240</v>
      </c>
      <c r="D443" s="109">
        <f>45.58*10.764</f>
        <v>490.62311999999997</v>
      </c>
      <c r="E443" s="109">
        <v>0</v>
      </c>
      <c r="F443" s="109">
        <f t="shared" si="185"/>
        <v>784.99699199999998</v>
      </c>
      <c r="G443" s="164"/>
      <c r="H443" s="164"/>
      <c r="I443" s="71"/>
      <c r="N443" s="72" t="str">
        <f t="shared" ca="1" si="180"/>
        <v>1909,..,2909</v>
      </c>
      <c r="O443" s="72">
        <f t="shared" ref="O443:P443" ca="1" si="189">O442+1</f>
        <v>1909</v>
      </c>
      <c r="P443" s="72">
        <f t="shared" ca="1" si="189"/>
        <v>2909</v>
      </c>
    </row>
    <row r="444" spans="1:16" s="72" customFormat="1" x14ac:dyDescent="0.25">
      <c r="A444" s="169" t="s">
        <v>250</v>
      </c>
      <c r="B444" s="169"/>
      <c r="C444" s="169"/>
      <c r="D444" s="169"/>
      <c r="E444" s="169"/>
      <c r="F444" s="169"/>
      <c r="G444" s="169"/>
      <c r="H444" s="169"/>
    </row>
    <row r="445" spans="1:16" s="72" customFormat="1" x14ac:dyDescent="0.25">
      <c r="A445" s="169" t="s">
        <v>238</v>
      </c>
      <c r="B445" s="169"/>
      <c r="C445" s="169"/>
      <c r="D445" s="169"/>
      <c r="E445" s="169"/>
      <c r="F445" s="169"/>
      <c r="G445" s="169"/>
      <c r="H445" s="169"/>
    </row>
    <row r="446" spans="1:16" s="72" customFormat="1" x14ac:dyDescent="0.25">
      <c r="A446" s="169" t="s">
        <v>213</v>
      </c>
      <c r="B446" s="169"/>
      <c r="C446" s="169"/>
      <c r="D446" s="169"/>
      <c r="E446" s="169"/>
      <c r="F446" s="169"/>
      <c r="G446" s="169"/>
      <c r="H446" s="169"/>
    </row>
    <row r="447" spans="1:16" s="72" customFormat="1" x14ac:dyDescent="0.25">
      <c r="A447" s="169" t="s">
        <v>212</v>
      </c>
      <c r="B447" s="169"/>
      <c r="C447" s="169"/>
      <c r="D447" s="169"/>
      <c r="E447" s="169"/>
      <c r="F447" s="169"/>
      <c r="G447" s="169"/>
      <c r="H447" s="169"/>
      <c r="I447" s="71"/>
      <c r="L447" s="167"/>
      <c r="M447" s="167"/>
    </row>
    <row r="448" spans="1:16" s="72" customFormat="1" x14ac:dyDescent="0.25">
      <c r="A448" s="164">
        <v>1</v>
      </c>
      <c r="B448" s="164"/>
      <c r="C448" s="102" t="s">
        <v>228</v>
      </c>
      <c r="D448" s="102">
        <f>(52.58+1.05*2.4)*10.764</f>
        <v>593.09640000000002</v>
      </c>
      <c r="E448" s="102">
        <v>0</v>
      </c>
      <c r="F448" s="102">
        <f>D448*(($F$214)+1)+E448</f>
        <v>948.95424000000003</v>
      </c>
      <c r="G448" s="164" t="str">
        <f>A447</f>
        <v>1st Floor</v>
      </c>
      <c r="H448" s="164"/>
      <c r="I448" s="71"/>
      <c r="N448" s="71"/>
    </row>
    <row r="449" spans="1:16" s="72" customFormat="1" x14ac:dyDescent="0.25">
      <c r="A449" s="164">
        <f>A448+1</f>
        <v>2</v>
      </c>
      <c r="B449" s="164"/>
      <c r="C449" s="43" t="s">
        <v>227</v>
      </c>
      <c r="D449" s="43">
        <f>(41+1.05*2.2)*10.764</f>
        <v>466.18883999999997</v>
      </c>
      <c r="E449" s="43">
        <v>0</v>
      </c>
      <c r="F449" s="43">
        <f t="shared" ref="F449:F450" si="190">D449*(($F$214)+1)+E449</f>
        <v>745.90214400000002</v>
      </c>
      <c r="G449" s="164" t="str">
        <f t="shared" ref="G449:G456" si="191">G448</f>
        <v>1st Floor</v>
      </c>
      <c r="H449" s="164"/>
      <c r="I449" s="71"/>
      <c r="N449" s="71"/>
    </row>
    <row r="450" spans="1:16" s="72" customFormat="1" x14ac:dyDescent="0.25">
      <c r="A450" s="164">
        <f>A449+1</f>
        <v>3</v>
      </c>
      <c r="B450" s="164"/>
      <c r="C450" s="43" t="s">
        <v>227</v>
      </c>
      <c r="D450" s="84">
        <f>(41+1.05*2.2)*10.764</f>
        <v>466.18883999999997</v>
      </c>
      <c r="E450" s="43">
        <v>0</v>
      </c>
      <c r="F450" s="43">
        <f t="shared" si="190"/>
        <v>745.90214400000002</v>
      </c>
      <c r="G450" s="164" t="str">
        <f t="shared" si="191"/>
        <v>1st Floor</v>
      </c>
      <c r="H450" s="164"/>
      <c r="I450" s="71"/>
      <c r="N450" s="71"/>
    </row>
    <row r="451" spans="1:16" s="72" customFormat="1" x14ac:dyDescent="0.25">
      <c r="A451" s="164">
        <f t="shared" ref="A451:A456" si="192">A450+1</f>
        <v>4</v>
      </c>
      <c r="B451" s="164"/>
      <c r="C451" s="165" t="s">
        <v>214</v>
      </c>
      <c r="D451" s="168"/>
      <c r="E451" s="168"/>
      <c r="F451" s="166"/>
      <c r="G451" s="164" t="str">
        <f t="shared" si="191"/>
        <v>1st Floor</v>
      </c>
      <c r="H451" s="164"/>
      <c r="I451" s="71"/>
      <c r="N451" s="71"/>
    </row>
    <row r="452" spans="1:16" s="72" customFormat="1" ht="15.75" customHeight="1" x14ac:dyDescent="0.25">
      <c r="A452" s="164">
        <f t="shared" si="192"/>
        <v>5</v>
      </c>
      <c r="B452" s="164"/>
      <c r="C452" s="43" t="s">
        <v>145</v>
      </c>
      <c r="D452" s="43">
        <f>(69.88+1.05*2.35+1.05*1.42)*10.764</f>
        <v>794.79761399999995</v>
      </c>
      <c r="E452" s="43">
        <v>0</v>
      </c>
      <c r="F452" s="43">
        <f t="shared" ref="F452" si="193">D452*(($F$214)+1)+E452</f>
        <v>1271.6761824</v>
      </c>
      <c r="G452" s="164" t="str">
        <f t="shared" si="191"/>
        <v>1st Floor</v>
      </c>
      <c r="H452" s="164"/>
      <c r="I452" s="71"/>
      <c r="N452" s="71"/>
    </row>
    <row r="453" spans="1:16" s="72" customFormat="1" x14ac:dyDescent="0.25">
      <c r="A453" s="164">
        <f t="shared" si="192"/>
        <v>6</v>
      </c>
      <c r="B453" s="164"/>
      <c r="C453" s="43" t="s">
        <v>239</v>
      </c>
      <c r="D453" s="43">
        <f>(61.84+2.375*1.05+1.4*1.025)*10.764</f>
        <v>707.93482500000005</v>
      </c>
      <c r="E453" s="43">
        <v>0</v>
      </c>
      <c r="F453" s="43">
        <f>D453*(($F$214)+1)+E453</f>
        <v>1132.6957200000002</v>
      </c>
      <c r="G453" s="164" t="str">
        <f t="shared" si="191"/>
        <v>1st Floor</v>
      </c>
      <c r="H453" s="164"/>
      <c r="I453" s="71"/>
      <c r="N453" s="71"/>
    </row>
    <row r="454" spans="1:16" s="72" customFormat="1" x14ac:dyDescent="0.25">
      <c r="A454" s="164">
        <f>A453+1</f>
        <v>7</v>
      </c>
      <c r="B454" s="164"/>
      <c r="C454" s="43" t="s">
        <v>228</v>
      </c>
      <c r="D454" s="43">
        <f>(59.12+2.2*1.05+1.5*0.825)*10.764</f>
        <v>674.55296999999996</v>
      </c>
      <c r="E454" s="43">
        <v>0</v>
      </c>
      <c r="F454" s="43">
        <f>D454*(($F$214)+1)+E454</f>
        <v>1079.284752</v>
      </c>
      <c r="G454" s="164" t="str">
        <f t="shared" si="191"/>
        <v>1st Floor</v>
      </c>
      <c r="H454" s="164"/>
      <c r="I454" s="71"/>
      <c r="N454" s="71"/>
    </row>
    <row r="455" spans="1:16" s="72" customFormat="1" x14ac:dyDescent="0.25">
      <c r="A455" s="164">
        <f t="shared" si="192"/>
        <v>8</v>
      </c>
      <c r="B455" s="164"/>
      <c r="C455" s="43" t="s">
        <v>228</v>
      </c>
      <c r="D455" s="84">
        <f>(59.12+2.2*1.05+1.5*0.825)*10.764</f>
        <v>674.55296999999996</v>
      </c>
      <c r="E455" s="43">
        <v>0</v>
      </c>
      <c r="F455" s="43">
        <f>D455*(($F$214)+1)+E455</f>
        <v>1079.284752</v>
      </c>
      <c r="G455" s="164" t="str">
        <f t="shared" si="191"/>
        <v>1st Floor</v>
      </c>
      <c r="H455" s="164"/>
      <c r="I455" s="71"/>
      <c r="N455" s="71"/>
    </row>
    <row r="456" spans="1:16" s="72" customFormat="1" x14ac:dyDescent="0.25">
      <c r="A456" s="164">
        <f t="shared" si="192"/>
        <v>9</v>
      </c>
      <c r="B456" s="164"/>
      <c r="C456" s="43" t="s">
        <v>240</v>
      </c>
      <c r="D456" s="43">
        <f>(45.4+2.15*1.05)*10.764</f>
        <v>512.98532999999998</v>
      </c>
      <c r="E456" s="43">
        <v>0</v>
      </c>
      <c r="F456" s="43">
        <f>D456*(($F$214)+1)+E456</f>
        <v>820.77652799999998</v>
      </c>
      <c r="G456" s="164" t="str">
        <f t="shared" si="191"/>
        <v>1st Floor</v>
      </c>
      <c r="H456" s="164"/>
      <c r="I456" s="71"/>
      <c r="N456" s="71"/>
    </row>
    <row r="457" spans="1:16" s="72" customFormat="1" ht="15.75" customHeight="1" x14ac:dyDescent="0.25">
      <c r="A457" s="170" t="s">
        <v>271</v>
      </c>
      <c r="B457" s="171"/>
      <c r="C457" s="171"/>
      <c r="D457" s="171"/>
      <c r="E457" s="171"/>
      <c r="F457" s="171"/>
      <c r="G457" s="171"/>
      <c r="H457" s="172"/>
      <c r="I457" s="71"/>
      <c r="P457" s="73"/>
    </row>
    <row r="458" spans="1:16" s="72" customFormat="1" ht="15.75" customHeight="1" x14ac:dyDescent="0.25">
      <c r="A458" s="165">
        <v>1</v>
      </c>
      <c r="B458" s="166"/>
      <c r="C458" s="43" t="s">
        <v>228</v>
      </c>
      <c r="D458" s="84">
        <f>(52.58+1.05*2.4)*10.764</f>
        <v>593.09640000000002</v>
      </c>
      <c r="E458" s="43">
        <v>0</v>
      </c>
      <c r="F458" s="43">
        <f t="shared" ref="F458:F466" si="194">D458*(($F$214)+1)+E458</f>
        <v>948.95424000000003</v>
      </c>
      <c r="G458" s="173" t="str">
        <f>A457</f>
        <v>2nd to 7th, 9th to 13th &amp; 15th Floor</v>
      </c>
      <c r="H458" s="174"/>
      <c r="I458" s="71"/>
      <c r="N458" s="72" t="str">
        <f t="shared" ref="N458:N466" ca="1" si="195">O458&amp;""&amp;",..,"&amp;""&amp;P458</f>
        <v>201,..,1501</v>
      </c>
      <c r="O458" s="72">
        <f ca="1">(SUMPRODUCT(MID(0&amp;(LEFT(A457,SUM(LEN(A457)-LEN(SUBSTITUTE(A457,{"0","1","2"},""))))), LARGE(INDEX(ISNUMBER(--MID((LEFT(A457,SUM(LEN(A457)-LEN(SUBSTITUTE(A457,{"0","1","2"},""))))), ROW(INDIRECT("1:"&amp;LEN((LEFT(A457,SUM(LEN(A457)-LEN(SUBSTITUTE(A457,{"0","1","2"},"")))))))), 1)) * ROW(INDIRECT("1:"&amp;LEN((LEFT(A457,SUM(LEN(A457)-LEN(SUBSTITUTE(A457,{"0","1","2"},"")))))))), 0), ROW(INDIRECT("1:"&amp;LEN((LEFT(A457,SUM(LEN(A457)-LEN(SUBSTITUTE(A457,{"0","1","2"},"")))))))))+1, 1) * 10^ROW(INDIRECT("1:"&amp;LEN((LEFT(A457,SUM(LEN(A457)-LEN(SUBSTITUTE(A457,{"0","1","2"},""))))))))/10))*100+1</f>
        <v>201</v>
      </c>
      <c r="P458" s="72">
        <f ca="1">(SUMPRODUCT(MID(0&amp;(--TRIM(RIGHT(SUBSTITUTE(LEFT(A457,_xlfn.AGGREGATE(16,6,FIND({0,1,2,3,4,5,6,7,8,9},A457,ROW(INDIRECT("1:"&amp;LEN(A457)))),1))," ",REPT(" ",LEN(A457))),LEN(A457)))), LARGE(INDEX(ISNUMBER(--MID((--TRIM(RIGHT(SUBSTITUTE(LEFT(A457,_xlfn.AGGREGATE(16,6,FIND({0,1,2,3,4,5,6,7,8,9},A457,ROW(INDIRECT("1:"&amp;LEN(A457)))),1))," ",REPT(" ",LEN(A457))),LEN(A457)))), ROW(INDIRECT("1:"&amp;LEN((--TRIM(RIGHT(SUBSTITUTE(LEFT(A457,_xlfn.AGGREGATE(16,6,FIND({0,1,2,3,4,5,6,7,8,9},A457,ROW(INDIRECT("1:"&amp;LEN(A457)))),1))," ",REPT(" ",LEN(A457))),LEN(A457))))))), 1)) * ROW(INDIRECT("1:"&amp;LEN((--TRIM(RIGHT(SUBSTITUTE(LEFT(A457,_xlfn.AGGREGATE(16,6,FIND({0,1,2,3,4,5,6,7,8,9},A457,ROW(INDIRECT("1:"&amp;LEN(A457)))),1))," ",REPT(" ",LEN(A457))),LEN(A457))))))), 0), ROW(INDIRECT("1:"&amp;LEN((--TRIM(RIGHT(SUBSTITUTE(LEFT(A457,_xlfn.AGGREGATE(16,6,FIND({0,1,2,3,4,5,6,7,8,9},A457,ROW(INDIRECT("1:"&amp;LEN(A457)))),1))," ",REPT(" ",LEN(A457))),LEN(A457))))))))+1, 1) * 10^ROW(INDIRECT("1:"&amp;LEN((--TRIM(RIGHT(SUBSTITUTE(LEFT(A457,_xlfn.AGGREGATE(16,6,FIND({0,1,2,3,4,5,6,7,8,9},A457,ROW(INDIRECT("1:"&amp;LEN(A457)))),1))," ",REPT(" ",LEN(A457))),LEN(A457)))))))/10))*100+1</f>
        <v>1501</v>
      </c>
    </row>
    <row r="459" spans="1:16" s="72" customFormat="1" ht="15.75" customHeight="1" x14ac:dyDescent="0.25">
      <c r="A459" s="165">
        <v>2</v>
      </c>
      <c r="B459" s="166"/>
      <c r="C459" s="43" t="s">
        <v>228</v>
      </c>
      <c r="D459" s="43">
        <f>(54.61+1.05*2.2)*10.764</f>
        <v>612.68687999999997</v>
      </c>
      <c r="E459" s="43">
        <v>0</v>
      </c>
      <c r="F459" s="43">
        <f t="shared" si="194"/>
        <v>980.29900799999996</v>
      </c>
      <c r="G459" s="175"/>
      <c r="H459" s="176"/>
      <c r="I459" s="71"/>
      <c r="N459" s="72" t="str">
        <f t="shared" ca="1" si="195"/>
        <v>202,..,1502</v>
      </c>
      <c r="O459" s="72">
        <f t="shared" ref="O459:P459" ca="1" si="196">O458+1</f>
        <v>202</v>
      </c>
      <c r="P459" s="72">
        <f t="shared" ca="1" si="196"/>
        <v>1502</v>
      </c>
    </row>
    <row r="460" spans="1:16" s="72" customFormat="1" ht="15.75" customHeight="1" x14ac:dyDescent="0.25">
      <c r="A460" s="165">
        <v>3</v>
      </c>
      <c r="B460" s="166"/>
      <c r="C460" s="43" t="s">
        <v>228</v>
      </c>
      <c r="D460" s="84">
        <f>(54.61+1.05*2.2)*10.764</f>
        <v>612.68687999999997</v>
      </c>
      <c r="E460" s="43">
        <v>0</v>
      </c>
      <c r="F460" s="43">
        <f t="shared" si="194"/>
        <v>980.29900799999996</v>
      </c>
      <c r="G460" s="175"/>
      <c r="H460" s="176"/>
      <c r="I460" s="71"/>
      <c r="N460" s="72" t="str">
        <f t="shared" ca="1" si="195"/>
        <v>203,..,1503</v>
      </c>
      <c r="O460" s="72">
        <f t="shared" ref="O460:P460" ca="1" si="197">O459+1</f>
        <v>203</v>
      </c>
      <c r="P460" s="72">
        <f t="shared" ca="1" si="197"/>
        <v>1503</v>
      </c>
    </row>
    <row r="461" spans="1:16" s="72" customFormat="1" ht="15.75" customHeight="1" x14ac:dyDescent="0.25">
      <c r="A461" s="165">
        <v>4</v>
      </c>
      <c r="B461" s="166"/>
      <c r="C461" s="43" t="s">
        <v>239</v>
      </c>
      <c r="D461" s="43">
        <f>(61.84+1.05*2.375+1.025*1.4)*10.764</f>
        <v>707.93482500000005</v>
      </c>
      <c r="E461" s="43">
        <v>0</v>
      </c>
      <c r="F461" s="43">
        <f t="shared" si="194"/>
        <v>1132.6957200000002</v>
      </c>
      <c r="G461" s="175"/>
      <c r="H461" s="176"/>
      <c r="I461" s="71"/>
      <c r="N461" s="72" t="str">
        <f t="shared" ca="1" si="195"/>
        <v>204,..,1504</v>
      </c>
      <c r="O461" s="72">
        <f t="shared" ref="O461:P461" ca="1" si="198">O460+1</f>
        <v>204</v>
      </c>
      <c r="P461" s="72">
        <f t="shared" ca="1" si="198"/>
        <v>1504</v>
      </c>
    </row>
    <row r="462" spans="1:16" s="72" customFormat="1" ht="15.75" customHeight="1" x14ac:dyDescent="0.25">
      <c r="A462" s="165">
        <v>5</v>
      </c>
      <c r="B462" s="166"/>
      <c r="C462" s="43" t="s">
        <v>145</v>
      </c>
      <c r="D462" s="84">
        <f>(69.88+1.05*2.35+1.05*1.42)*10.764</f>
        <v>794.79761399999995</v>
      </c>
      <c r="E462" s="43">
        <v>0</v>
      </c>
      <c r="F462" s="43">
        <f t="shared" si="194"/>
        <v>1271.6761824</v>
      </c>
      <c r="G462" s="175"/>
      <c r="H462" s="176"/>
      <c r="I462" s="71"/>
      <c r="N462" s="72" t="str">
        <f t="shared" ca="1" si="195"/>
        <v>205,..,1505</v>
      </c>
      <c r="O462" s="72">
        <f t="shared" ref="O462:P462" ca="1" si="199">O461+1</f>
        <v>205</v>
      </c>
      <c r="P462" s="72">
        <f t="shared" ca="1" si="199"/>
        <v>1505</v>
      </c>
    </row>
    <row r="463" spans="1:16" s="72" customFormat="1" ht="15.75" customHeight="1" x14ac:dyDescent="0.25">
      <c r="A463" s="165">
        <v>6</v>
      </c>
      <c r="B463" s="166"/>
      <c r="C463" s="43" t="s">
        <v>239</v>
      </c>
      <c r="D463" s="84">
        <f>(61.84+2.375*1.05+1.4*1.025)*10.764</f>
        <v>707.93482500000005</v>
      </c>
      <c r="E463" s="43">
        <v>0</v>
      </c>
      <c r="F463" s="43">
        <f t="shared" si="194"/>
        <v>1132.6957200000002</v>
      </c>
      <c r="G463" s="175"/>
      <c r="H463" s="176"/>
      <c r="I463" s="71"/>
      <c r="N463" s="72" t="str">
        <f t="shared" ca="1" si="195"/>
        <v>206,..,1506</v>
      </c>
      <c r="O463" s="72">
        <f t="shared" ref="O463:P463" ca="1" si="200">O462+1</f>
        <v>206</v>
      </c>
      <c r="P463" s="72">
        <f t="shared" ca="1" si="200"/>
        <v>1506</v>
      </c>
    </row>
    <row r="464" spans="1:16" s="72" customFormat="1" ht="15.75" customHeight="1" x14ac:dyDescent="0.25">
      <c r="A464" s="165">
        <v>7</v>
      </c>
      <c r="B464" s="166"/>
      <c r="C464" s="43" t="s">
        <v>228</v>
      </c>
      <c r="D464" s="84">
        <f>(59.12+2.2*1.05+1.5*0.825)*10.764</f>
        <v>674.55296999999996</v>
      </c>
      <c r="E464" s="43">
        <v>0</v>
      </c>
      <c r="F464" s="43">
        <f t="shared" si="194"/>
        <v>1079.284752</v>
      </c>
      <c r="G464" s="175"/>
      <c r="H464" s="176"/>
      <c r="I464" s="71"/>
      <c r="N464" s="72" t="str">
        <f t="shared" ca="1" si="195"/>
        <v>207,..,1507</v>
      </c>
      <c r="O464" s="72">
        <f t="shared" ref="O464:P464" ca="1" si="201">O463+1</f>
        <v>207</v>
      </c>
      <c r="P464" s="72">
        <f t="shared" ca="1" si="201"/>
        <v>1507</v>
      </c>
    </row>
    <row r="465" spans="1:16" s="72" customFormat="1" ht="15.75" customHeight="1" x14ac:dyDescent="0.25">
      <c r="A465" s="165">
        <v>8</v>
      </c>
      <c r="B465" s="166"/>
      <c r="C465" s="43" t="s">
        <v>228</v>
      </c>
      <c r="D465" s="84">
        <f>(59.12+2.2*1.05+1.5*0.825)*10.764</f>
        <v>674.55296999999996</v>
      </c>
      <c r="E465" s="43">
        <v>0</v>
      </c>
      <c r="F465" s="43">
        <f t="shared" si="194"/>
        <v>1079.284752</v>
      </c>
      <c r="G465" s="175"/>
      <c r="H465" s="176"/>
      <c r="I465" s="71"/>
      <c r="N465" s="72" t="str">
        <f t="shared" ca="1" si="195"/>
        <v>208,..,1508</v>
      </c>
      <c r="O465" s="72">
        <f t="shared" ref="O465:P465" ca="1" si="202">O464+1</f>
        <v>208</v>
      </c>
      <c r="P465" s="72">
        <f t="shared" ca="1" si="202"/>
        <v>1508</v>
      </c>
    </row>
    <row r="466" spans="1:16" s="72" customFormat="1" ht="15.75" customHeight="1" x14ac:dyDescent="0.25">
      <c r="A466" s="165">
        <v>9</v>
      </c>
      <c r="B466" s="166"/>
      <c r="C466" s="43" t="s">
        <v>240</v>
      </c>
      <c r="D466" s="84">
        <f>(45.4+2.15*1.05)*10.764</f>
        <v>512.98532999999998</v>
      </c>
      <c r="E466" s="43">
        <v>0</v>
      </c>
      <c r="F466" s="43">
        <f t="shared" si="194"/>
        <v>820.77652799999998</v>
      </c>
      <c r="G466" s="175"/>
      <c r="H466" s="176"/>
      <c r="I466" s="71"/>
      <c r="N466" s="72" t="str">
        <f t="shared" ca="1" si="195"/>
        <v>209,..,1509</v>
      </c>
      <c r="O466" s="72">
        <f t="shared" ref="O466:P466" ca="1" si="203">O465+1</f>
        <v>209</v>
      </c>
      <c r="P466" s="72">
        <f t="shared" ca="1" si="203"/>
        <v>1509</v>
      </c>
    </row>
    <row r="467" spans="1:16" s="72" customFormat="1" ht="15.75" customHeight="1" x14ac:dyDescent="0.25">
      <c r="A467" s="170" t="s">
        <v>242</v>
      </c>
      <c r="B467" s="171"/>
      <c r="C467" s="171"/>
      <c r="D467" s="171"/>
      <c r="E467" s="171"/>
      <c r="F467" s="171"/>
      <c r="G467" s="171"/>
      <c r="H467" s="172"/>
      <c r="I467" s="71"/>
      <c r="P467" s="73"/>
    </row>
    <row r="468" spans="1:16" s="72" customFormat="1" ht="15.75" customHeight="1" x14ac:dyDescent="0.25">
      <c r="A468" s="165">
        <v>1</v>
      </c>
      <c r="B468" s="166"/>
      <c r="C468" s="43" t="s">
        <v>228</v>
      </c>
      <c r="D468" s="84">
        <f>(52.58+1.05*2.4)*10.764</f>
        <v>593.09640000000002</v>
      </c>
      <c r="E468" s="43">
        <v>0</v>
      </c>
      <c r="F468" s="43">
        <f t="shared" ref="F468:F471" si="204">D468*(($F$214)+1)+E468</f>
        <v>948.95424000000003</v>
      </c>
      <c r="G468" s="173" t="str">
        <f>A467</f>
        <v>8th &amp; 14th Floor (Part Refuge Area)</v>
      </c>
      <c r="H468" s="174"/>
      <c r="I468" s="71"/>
      <c r="N468" s="72" t="str">
        <f t="shared" ref="N468:N476" ca="1" si="205">O468&amp;""&amp;",..,"&amp;""&amp;P468</f>
        <v>801,..,1401</v>
      </c>
      <c r="O468" s="72">
        <f ca="1">(SUMPRODUCT(MID(0&amp;(LEFT(A467,SUM(LEN(A467)-LEN(SUBSTITUTE(A467,{"0","1","2"},""))))), LARGE(INDEX(ISNUMBER(--MID((LEFT(A467,SUM(LEN(A467)-LEN(SUBSTITUTE(A467,{"0","1","2"},""))))), ROW(INDIRECT("1:"&amp;LEN((LEFT(A467,SUM(LEN(A467)-LEN(SUBSTITUTE(A467,{"0","1","2"},"")))))))), 1)) * ROW(INDIRECT("1:"&amp;LEN((LEFT(A467,SUM(LEN(A467)-LEN(SUBSTITUTE(A467,{"0","1","2"},"")))))))), 0), ROW(INDIRECT("1:"&amp;LEN((LEFT(A467,SUM(LEN(A467)-LEN(SUBSTITUTE(A467,{"0","1","2"},"")))))))))+1, 1) * 10^ROW(INDIRECT("1:"&amp;LEN((LEFT(A467,SUM(LEN(A467)-LEN(SUBSTITUTE(A467,{"0","1","2"},""))))))))/10))*100+1</f>
        <v>801</v>
      </c>
      <c r="P468" s="72">
        <f ca="1">(SUMPRODUCT(MID(0&amp;(--TRIM(RIGHT(SUBSTITUTE(LEFT(A467,_xlfn.AGGREGATE(16,6,FIND({0,1,2,3,4,5,6,7,8,9},A467,ROW(INDIRECT("1:"&amp;LEN(A467)))),1))," ",REPT(" ",LEN(A467))),LEN(A467)))), LARGE(INDEX(ISNUMBER(--MID((--TRIM(RIGHT(SUBSTITUTE(LEFT(A467,_xlfn.AGGREGATE(16,6,FIND({0,1,2,3,4,5,6,7,8,9},A467,ROW(INDIRECT("1:"&amp;LEN(A467)))),1))," ",REPT(" ",LEN(A467))),LEN(A467)))), ROW(INDIRECT("1:"&amp;LEN((--TRIM(RIGHT(SUBSTITUTE(LEFT(A467,_xlfn.AGGREGATE(16,6,FIND({0,1,2,3,4,5,6,7,8,9},A467,ROW(INDIRECT("1:"&amp;LEN(A467)))),1))," ",REPT(" ",LEN(A467))),LEN(A467))))))), 1)) * ROW(INDIRECT("1:"&amp;LEN((--TRIM(RIGHT(SUBSTITUTE(LEFT(A467,_xlfn.AGGREGATE(16,6,FIND({0,1,2,3,4,5,6,7,8,9},A467,ROW(INDIRECT("1:"&amp;LEN(A467)))),1))," ",REPT(" ",LEN(A467))),LEN(A467))))))), 0), ROW(INDIRECT("1:"&amp;LEN((--TRIM(RIGHT(SUBSTITUTE(LEFT(A467,_xlfn.AGGREGATE(16,6,FIND({0,1,2,3,4,5,6,7,8,9},A467,ROW(INDIRECT("1:"&amp;LEN(A467)))),1))," ",REPT(" ",LEN(A467))),LEN(A467))))))))+1, 1) * 10^ROW(INDIRECT("1:"&amp;LEN((--TRIM(RIGHT(SUBSTITUTE(LEFT(A467,_xlfn.AGGREGATE(16,6,FIND({0,1,2,3,4,5,6,7,8,9},A467,ROW(INDIRECT("1:"&amp;LEN(A467)))),1))," ",REPT(" ",LEN(A467))),LEN(A467)))))))/10))*100+1</f>
        <v>1401</v>
      </c>
    </row>
    <row r="469" spans="1:16" s="72" customFormat="1" ht="15.75" customHeight="1" x14ac:dyDescent="0.25">
      <c r="A469" s="165">
        <v>2</v>
      </c>
      <c r="B469" s="166"/>
      <c r="C469" s="43" t="s">
        <v>228</v>
      </c>
      <c r="D469" s="84">
        <f>(54.61+1.05*2.2)*10.764</f>
        <v>612.68687999999997</v>
      </c>
      <c r="E469" s="43">
        <v>0</v>
      </c>
      <c r="F469" s="43">
        <f t="shared" si="204"/>
        <v>980.29900799999996</v>
      </c>
      <c r="G469" s="175"/>
      <c r="H469" s="176"/>
      <c r="I469" s="71"/>
      <c r="N469" s="72" t="str">
        <f t="shared" ca="1" si="205"/>
        <v>802,..,1402</v>
      </c>
      <c r="O469" s="72">
        <f t="shared" ref="O469:P469" ca="1" si="206">O468+1</f>
        <v>802</v>
      </c>
      <c r="P469" s="72">
        <f t="shared" ca="1" si="206"/>
        <v>1402</v>
      </c>
    </row>
    <row r="470" spans="1:16" s="72" customFormat="1" ht="15.75" customHeight="1" x14ac:dyDescent="0.25">
      <c r="A470" s="165">
        <v>3</v>
      </c>
      <c r="B470" s="166"/>
      <c r="C470" s="43" t="s">
        <v>228</v>
      </c>
      <c r="D470" s="84">
        <f>(54.61+1.05*2.2)*10.764</f>
        <v>612.68687999999997</v>
      </c>
      <c r="E470" s="43">
        <v>0</v>
      </c>
      <c r="F470" s="43">
        <f t="shared" si="204"/>
        <v>980.29900799999996</v>
      </c>
      <c r="G470" s="175"/>
      <c r="H470" s="176"/>
      <c r="I470" s="71"/>
      <c r="N470" s="72" t="str">
        <f t="shared" ca="1" si="205"/>
        <v>803,..,1403</v>
      </c>
      <c r="O470" s="72">
        <f t="shared" ref="O470:P470" ca="1" si="207">O469+1</f>
        <v>803</v>
      </c>
      <c r="P470" s="72">
        <f t="shared" ca="1" si="207"/>
        <v>1403</v>
      </c>
    </row>
    <row r="471" spans="1:16" s="72" customFormat="1" ht="15.75" customHeight="1" x14ac:dyDescent="0.25">
      <c r="A471" s="165">
        <v>4</v>
      </c>
      <c r="B471" s="166"/>
      <c r="C471" s="43" t="s">
        <v>239</v>
      </c>
      <c r="D471" s="84">
        <f>(61.84+1.05*2.375+1.025*1.4)*10.764</f>
        <v>707.93482500000005</v>
      </c>
      <c r="E471" s="43">
        <v>0</v>
      </c>
      <c r="F471" s="43">
        <f t="shared" si="204"/>
        <v>1132.6957200000002</v>
      </c>
      <c r="G471" s="175"/>
      <c r="H471" s="176"/>
      <c r="I471" s="71"/>
      <c r="N471" s="72" t="str">
        <f t="shared" ca="1" si="205"/>
        <v>804,..,1404</v>
      </c>
      <c r="O471" s="72">
        <f t="shared" ref="O471:P471" ca="1" si="208">O470+1</f>
        <v>804</v>
      </c>
      <c r="P471" s="72">
        <f t="shared" ca="1" si="208"/>
        <v>1404</v>
      </c>
    </row>
    <row r="472" spans="1:16" s="72" customFormat="1" ht="15.75" customHeight="1" x14ac:dyDescent="0.25">
      <c r="A472" s="165">
        <v>5</v>
      </c>
      <c r="B472" s="166"/>
      <c r="C472" s="165" t="s">
        <v>211</v>
      </c>
      <c r="D472" s="168"/>
      <c r="E472" s="168"/>
      <c r="F472" s="166"/>
      <c r="G472" s="175"/>
      <c r="H472" s="176"/>
      <c r="I472" s="71"/>
      <c r="N472" s="72" t="str">
        <f t="shared" ca="1" si="205"/>
        <v>805,..,1405</v>
      </c>
      <c r="O472" s="72">
        <f t="shared" ref="O472:P472" ca="1" si="209">O471+1</f>
        <v>805</v>
      </c>
      <c r="P472" s="72">
        <f t="shared" ca="1" si="209"/>
        <v>1405</v>
      </c>
    </row>
    <row r="473" spans="1:16" s="72" customFormat="1" ht="15.75" customHeight="1" x14ac:dyDescent="0.25">
      <c r="A473" s="165">
        <v>6</v>
      </c>
      <c r="B473" s="166"/>
      <c r="C473" s="43" t="s">
        <v>239</v>
      </c>
      <c r="D473" s="84">
        <f>(61.84+2.375*1.05+1.4*1.025)*10.764</f>
        <v>707.93482500000005</v>
      </c>
      <c r="E473" s="43">
        <v>0</v>
      </c>
      <c r="F473" s="43">
        <f t="shared" ref="F473:F476" si="210">D473*(($F$214)+1)+E473</f>
        <v>1132.6957200000002</v>
      </c>
      <c r="G473" s="175"/>
      <c r="H473" s="176"/>
      <c r="I473" s="71"/>
      <c r="N473" s="72" t="str">
        <f t="shared" ca="1" si="205"/>
        <v>806,..,1406</v>
      </c>
      <c r="O473" s="72">
        <f t="shared" ref="O473:P473" ca="1" si="211">O472+1</f>
        <v>806</v>
      </c>
      <c r="P473" s="72">
        <f t="shared" ca="1" si="211"/>
        <v>1406</v>
      </c>
    </row>
    <row r="474" spans="1:16" s="72" customFormat="1" ht="15.75" customHeight="1" x14ac:dyDescent="0.25">
      <c r="A474" s="165">
        <v>7</v>
      </c>
      <c r="B474" s="166"/>
      <c r="C474" s="43" t="s">
        <v>228</v>
      </c>
      <c r="D474" s="84">
        <f>(59.12+2.2*1.05+1.5*0.825)*10.764</f>
        <v>674.55296999999996</v>
      </c>
      <c r="E474" s="43">
        <v>0</v>
      </c>
      <c r="F474" s="43">
        <f t="shared" si="210"/>
        <v>1079.284752</v>
      </c>
      <c r="G474" s="175"/>
      <c r="H474" s="176"/>
      <c r="I474" s="71"/>
      <c r="N474" s="72" t="str">
        <f t="shared" ca="1" si="205"/>
        <v>807,..,1407</v>
      </c>
      <c r="O474" s="72">
        <f t="shared" ref="O474:P474" ca="1" si="212">O473+1</f>
        <v>807</v>
      </c>
      <c r="P474" s="72">
        <f t="shared" ca="1" si="212"/>
        <v>1407</v>
      </c>
    </row>
    <row r="475" spans="1:16" s="72" customFormat="1" ht="15.75" customHeight="1" x14ac:dyDescent="0.25">
      <c r="A475" s="165">
        <v>8</v>
      </c>
      <c r="B475" s="166"/>
      <c r="C475" s="43" t="s">
        <v>228</v>
      </c>
      <c r="D475" s="84">
        <f>(59.12+2.2*1.05+1.5*0.825)*10.764</f>
        <v>674.55296999999996</v>
      </c>
      <c r="E475" s="43">
        <v>0</v>
      </c>
      <c r="F475" s="43">
        <f t="shared" si="210"/>
        <v>1079.284752</v>
      </c>
      <c r="G475" s="175"/>
      <c r="H475" s="176"/>
      <c r="I475" s="71"/>
      <c r="N475" s="72" t="str">
        <f t="shared" ca="1" si="205"/>
        <v>808,..,1408</v>
      </c>
      <c r="O475" s="72">
        <f t="shared" ref="O475:P475" ca="1" si="213">O474+1</f>
        <v>808</v>
      </c>
      <c r="P475" s="72">
        <f t="shared" ca="1" si="213"/>
        <v>1408</v>
      </c>
    </row>
    <row r="476" spans="1:16" s="72" customFormat="1" ht="15.75" customHeight="1" x14ac:dyDescent="0.25">
      <c r="A476" s="165">
        <v>9</v>
      </c>
      <c r="B476" s="166"/>
      <c r="C476" s="43" t="s">
        <v>240</v>
      </c>
      <c r="D476" s="84">
        <f>(45.4+2.15*1.05)*10.764</f>
        <v>512.98532999999998</v>
      </c>
      <c r="E476" s="43">
        <v>0</v>
      </c>
      <c r="F476" s="43">
        <f t="shared" si="210"/>
        <v>820.77652799999998</v>
      </c>
      <c r="G476" s="175"/>
      <c r="H476" s="176"/>
      <c r="I476" s="71"/>
      <c r="N476" s="72" t="str">
        <f t="shared" ca="1" si="205"/>
        <v>809,..,1409</v>
      </c>
      <c r="O476" s="72">
        <f t="shared" ref="O476:P476" ca="1" si="214">O475+1</f>
        <v>809</v>
      </c>
      <c r="P476" s="72">
        <f t="shared" ca="1" si="214"/>
        <v>1409</v>
      </c>
    </row>
    <row r="477" spans="1:16" s="72" customFormat="1" ht="15.75" customHeight="1" x14ac:dyDescent="0.25">
      <c r="A477" s="169" t="s">
        <v>243</v>
      </c>
      <c r="B477" s="169"/>
      <c r="C477" s="169"/>
      <c r="D477" s="169"/>
      <c r="E477" s="169"/>
      <c r="F477" s="169"/>
      <c r="G477" s="169"/>
      <c r="H477" s="169"/>
      <c r="I477" s="71"/>
      <c r="P477" s="73"/>
    </row>
    <row r="478" spans="1:16" s="72" customFormat="1" ht="15.75" customHeight="1" x14ac:dyDescent="0.25">
      <c r="A478" s="164">
        <v>1</v>
      </c>
      <c r="B478" s="164"/>
      <c r="C478" s="109" t="s">
        <v>228</v>
      </c>
      <c r="D478" s="109">
        <f>(52.88+1.05*2.4)*10.764</f>
        <v>596.32560000000001</v>
      </c>
      <c r="E478" s="109">
        <v>0</v>
      </c>
      <c r="F478" s="109">
        <f t="shared" ref="F478:F486" si="215">D478*(($F$214)+1)+E478</f>
        <v>954.12096000000008</v>
      </c>
      <c r="G478" s="164" t="str">
        <f>A477</f>
        <v>16th to 18th, 20th to 23rd, 25th to 28th &amp; 30th to 32nd Floor</v>
      </c>
      <c r="H478" s="164"/>
      <c r="I478" s="71"/>
      <c r="N478" s="72" t="str">
        <f t="shared" ref="N478:N486" ca="1" si="216">O478&amp;""&amp;",..,"&amp;""&amp;P478</f>
        <v>16101,..,3201</v>
      </c>
      <c r="O478" s="72">
        <f ca="1">(SUMPRODUCT(MID(0&amp;(LEFT(A477,SUM(LEN(A477)-LEN(SUBSTITUTE(A477,{"0","1","2"},""))))), LARGE(INDEX(ISNUMBER(--MID((LEFT(A477,SUM(LEN(A477)-LEN(SUBSTITUTE(A477,{"0","1","2"},""))))), ROW(INDIRECT("1:"&amp;LEN((LEFT(A477,SUM(LEN(A477)-LEN(SUBSTITUTE(A477,{"0","1","2"},"")))))))), 1)) * ROW(INDIRECT("1:"&amp;LEN((LEFT(A477,SUM(LEN(A477)-LEN(SUBSTITUTE(A477,{"0","1","2"},"")))))))), 0), ROW(INDIRECT("1:"&amp;LEN((LEFT(A477,SUM(LEN(A477)-LEN(SUBSTITUTE(A477,{"0","1","2"},"")))))))))+1, 1) * 10^ROW(INDIRECT("1:"&amp;LEN((LEFT(A477,SUM(LEN(A477)-LEN(SUBSTITUTE(A477,{"0","1","2"},""))))))))/10))*100+1</f>
        <v>16101</v>
      </c>
      <c r="P478" s="72">
        <f ca="1">(SUMPRODUCT(MID(0&amp;(--TRIM(RIGHT(SUBSTITUTE(LEFT(A477,_xlfn.AGGREGATE(16,6,FIND({0,1,2,3,4,5,6,7,8,9},A477,ROW(INDIRECT("1:"&amp;LEN(A477)))),1))," ",REPT(" ",LEN(A477))),LEN(A477)))), LARGE(INDEX(ISNUMBER(--MID((--TRIM(RIGHT(SUBSTITUTE(LEFT(A477,_xlfn.AGGREGATE(16,6,FIND({0,1,2,3,4,5,6,7,8,9},A477,ROW(INDIRECT("1:"&amp;LEN(A477)))),1))," ",REPT(" ",LEN(A477))),LEN(A477)))), ROW(INDIRECT("1:"&amp;LEN((--TRIM(RIGHT(SUBSTITUTE(LEFT(A477,_xlfn.AGGREGATE(16,6,FIND({0,1,2,3,4,5,6,7,8,9},A477,ROW(INDIRECT("1:"&amp;LEN(A477)))),1))," ",REPT(" ",LEN(A477))),LEN(A477))))))), 1)) * ROW(INDIRECT("1:"&amp;LEN((--TRIM(RIGHT(SUBSTITUTE(LEFT(A477,_xlfn.AGGREGATE(16,6,FIND({0,1,2,3,4,5,6,7,8,9},A477,ROW(INDIRECT("1:"&amp;LEN(A477)))),1))," ",REPT(" ",LEN(A477))),LEN(A477))))))), 0), ROW(INDIRECT("1:"&amp;LEN((--TRIM(RIGHT(SUBSTITUTE(LEFT(A477,_xlfn.AGGREGATE(16,6,FIND({0,1,2,3,4,5,6,7,8,9},A477,ROW(INDIRECT("1:"&amp;LEN(A477)))),1))," ",REPT(" ",LEN(A477))),LEN(A477))))))))+1, 1) * 10^ROW(INDIRECT("1:"&amp;LEN((--TRIM(RIGHT(SUBSTITUTE(LEFT(A477,_xlfn.AGGREGATE(16,6,FIND({0,1,2,3,4,5,6,7,8,9},A477,ROW(INDIRECT("1:"&amp;LEN(A477)))),1))," ",REPT(" ",LEN(A477))),LEN(A477)))))))/10))*100+1</f>
        <v>3201</v>
      </c>
    </row>
    <row r="479" spans="1:16" s="72" customFormat="1" ht="15.75" customHeight="1" x14ac:dyDescent="0.25">
      <c r="A479" s="164">
        <v>2</v>
      </c>
      <c r="B479" s="164"/>
      <c r="C479" s="109" t="s">
        <v>228</v>
      </c>
      <c r="D479" s="109">
        <f>(54.8+1.05*2.2)*10.764</f>
        <v>614.73203999999998</v>
      </c>
      <c r="E479" s="109">
        <v>0</v>
      </c>
      <c r="F479" s="109">
        <f t="shared" si="215"/>
        <v>983.57126400000004</v>
      </c>
      <c r="G479" s="164"/>
      <c r="H479" s="164"/>
      <c r="I479" s="71"/>
      <c r="N479" s="72" t="str">
        <f t="shared" ca="1" si="216"/>
        <v>16102,..,3202</v>
      </c>
      <c r="O479" s="72">
        <f t="shared" ref="O479:P479" ca="1" si="217">O478+1</f>
        <v>16102</v>
      </c>
      <c r="P479" s="72">
        <f t="shared" ca="1" si="217"/>
        <v>3202</v>
      </c>
    </row>
    <row r="480" spans="1:16" s="72" customFormat="1" ht="15.75" customHeight="1" x14ac:dyDescent="0.25">
      <c r="A480" s="164">
        <v>3</v>
      </c>
      <c r="B480" s="164"/>
      <c r="C480" s="109" t="s">
        <v>228</v>
      </c>
      <c r="D480" s="109">
        <f>(54.8+1.05*2.2)*10.764</f>
        <v>614.73203999999998</v>
      </c>
      <c r="E480" s="109">
        <v>0</v>
      </c>
      <c r="F480" s="109">
        <f t="shared" si="215"/>
        <v>983.57126400000004</v>
      </c>
      <c r="G480" s="164"/>
      <c r="H480" s="164"/>
      <c r="I480" s="71"/>
      <c r="N480" s="72" t="str">
        <f t="shared" ca="1" si="216"/>
        <v>16103,..,3203</v>
      </c>
      <c r="O480" s="72">
        <f t="shared" ref="O480:P480" ca="1" si="218">O479+1</f>
        <v>16103</v>
      </c>
      <c r="P480" s="72">
        <f t="shared" ca="1" si="218"/>
        <v>3203</v>
      </c>
    </row>
    <row r="481" spans="1:16" s="72" customFormat="1" ht="15.75" customHeight="1" x14ac:dyDescent="0.25">
      <c r="A481" s="164">
        <v>4</v>
      </c>
      <c r="B481" s="164"/>
      <c r="C481" s="109" t="s">
        <v>239</v>
      </c>
      <c r="D481" s="109">
        <f>(62.13+1.05*2.425+1.025*1.4)*10.764</f>
        <v>711.62149499999998</v>
      </c>
      <c r="E481" s="109">
        <v>0</v>
      </c>
      <c r="F481" s="109">
        <f t="shared" si="215"/>
        <v>1138.594392</v>
      </c>
      <c r="G481" s="164"/>
      <c r="H481" s="164"/>
      <c r="I481" s="71"/>
      <c r="N481" s="72" t="str">
        <f t="shared" ca="1" si="216"/>
        <v>16104,..,3204</v>
      </c>
      <c r="O481" s="72">
        <f t="shared" ref="O481:P481" ca="1" si="219">O480+1</f>
        <v>16104</v>
      </c>
      <c r="P481" s="72">
        <f t="shared" ca="1" si="219"/>
        <v>3204</v>
      </c>
    </row>
    <row r="482" spans="1:16" s="72" customFormat="1" ht="15.75" customHeight="1" x14ac:dyDescent="0.25">
      <c r="A482" s="164">
        <v>5</v>
      </c>
      <c r="B482" s="164"/>
      <c r="C482" s="109" t="s">
        <v>145</v>
      </c>
      <c r="D482" s="109">
        <f>(70.54+1.05*2.35+1.05*1.42)*10.764</f>
        <v>801.90185400000007</v>
      </c>
      <c r="E482" s="109">
        <v>0</v>
      </c>
      <c r="F482" s="109">
        <f t="shared" si="215"/>
        <v>1283.0429664000003</v>
      </c>
      <c r="G482" s="164"/>
      <c r="H482" s="164"/>
      <c r="I482" s="71"/>
      <c r="N482" s="72" t="str">
        <f t="shared" ca="1" si="216"/>
        <v>16105,..,3205</v>
      </c>
      <c r="O482" s="72">
        <f t="shared" ref="O482:P482" ca="1" si="220">O481+1</f>
        <v>16105</v>
      </c>
      <c r="P482" s="72">
        <f t="shared" ca="1" si="220"/>
        <v>3205</v>
      </c>
    </row>
    <row r="483" spans="1:16" s="72" customFormat="1" ht="15.75" customHeight="1" x14ac:dyDescent="0.25">
      <c r="A483" s="164">
        <v>6</v>
      </c>
      <c r="B483" s="164"/>
      <c r="C483" s="109" t="s">
        <v>239</v>
      </c>
      <c r="D483" s="109">
        <f>(62.13+2.4*1.05+1.4*1.025)*10.764</f>
        <v>711.33894000000009</v>
      </c>
      <c r="E483" s="109">
        <v>0</v>
      </c>
      <c r="F483" s="109">
        <f t="shared" si="215"/>
        <v>1138.1423040000002</v>
      </c>
      <c r="G483" s="164"/>
      <c r="H483" s="164"/>
      <c r="I483" s="71"/>
      <c r="N483" s="72" t="str">
        <f t="shared" ca="1" si="216"/>
        <v>16106,..,3206</v>
      </c>
      <c r="O483" s="72">
        <f t="shared" ref="O483:P483" ca="1" si="221">O482+1</f>
        <v>16106</v>
      </c>
      <c r="P483" s="72">
        <f t="shared" ca="1" si="221"/>
        <v>3206</v>
      </c>
    </row>
    <row r="484" spans="1:16" s="72" customFormat="1" ht="15.75" customHeight="1" x14ac:dyDescent="0.25">
      <c r="A484" s="164">
        <v>7</v>
      </c>
      <c r="B484" s="164"/>
      <c r="C484" s="109" t="s">
        <v>228</v>
      </c>
      <c r="D484" s="109">
        <f>(60.04+2.2*1.05+1.5*0.825)*10.764</f>
        <v>684.45584999999994</v>
      </c>
      <c r="E484" s="109">
        <v>0</v>
      </c>
      <c r="F484" s="109">
        <f t="shared" si="215"/>
        <v>1095.1293599999999</v>
      </c>
      <c r="G484" s="164"/>
      <c r="H484" s="164"/>
      <c r="I484" s="71"/>
      <c r="N484" s="72" t="str">
        <f t="shared" ca="1" si="216"/>
        <v>16107,..,3207</v>
      </c>
      <c r="O484" s="72">
        <f t="shared" ref="O484:P484" ca="1" si="222">O483+1</f>
        <v>16107</v>
      </c>
      <c r="P484" s="72">
        <f t="shared" ca="1" si="222"/>
        <v>3207</v>
      </c>
    </row>
    <row r="485" spans="1:16" s="72" customFormat="1" ht="15.75" customHeight="1" x14ac:dyDescent="0.25">
      <c r="A485" s="164">
        <v>8</v>
      </c>
      <c r="B485" s="164"/>
      <c r="C485" s="109" t="s">
        <v>228</v>
      </c>
      <c r="D485" s="109">
        <f>(60.04+2.2*1.05+1.5*0.825)*10.764</f>
        <v>684.45584999999994</v>
      </c>
      <c r="E485" s="109">
        <v>0</v>
      </c>
      <c r="F485" s="109">
        <f t="shared" si="215"/>
        <v>1095.1293599999999</v>
      </c>
      <c r="G485" s="164"/>
      <c r="H485" s="164"/>
      <c r="I485" s="71"/>
      <c r="N485" s="72" t="str">
        <f t="shared" ca="1" si="216"/>
        <v>16108,..,3208</v>
      </c>
      <c r="O485" s="72">
        <f t="shared" ref="O485:P485" ca="1" si="223">O484+1</f>
        <v>16108</v>
      </c>
      <c r="P485" s="72">
        <f t="shared" ca="1" si="223"/>
        <v>3208</v>
      </c>
    </row>
    <row r="486" spans="1:16" s="72" customFormat="1" ht="15.75" customHeight="1" x14ac:dyDescent="0.25">
      <c r="A486" s="164">
        <v>9</v>
      </c>
      <c r="B486" s="164"/>
      <c r="C486" s="109" t="s">
        <v>240</v>
      </c>
      <c r="D486" s="109">
        <f>(45.57+2.15*1.05)*10.764</f>
        <v>514.81520999999998</v>
      </c>
      <c r="E486" s="109">
        <v>0</v>
      </c>
      <c r="F486" s="109">
        <f t="shared" si="215"/>
        <v>823.70433600000001</v>
      </c>
      <c r="G486" s="164"/>
      <c r="H486" s="164"/>
      <c r="I486" s="71"/>
      <c r="N486" s="72" t="str">
        <f t="shared" ca="1" si="216"/>
        <v>16109,..,3209</v>
      </c>
      <c r="O486" s="72">
        <f t="shared" ref="O486:P486" ca="1" si="224">O485+1</f>
        <v>16109</v>
      </c>
      <c r="P486" s="72">
        <f t="shared" ca="1" si="224"/>
        <v>3209</v>
      </c>
    </row>
    <row r="487" spans="1:16" s="72" customFormat="1" ht="15.75" customHeight="1" x14ac:dyDescent="0.25">
      <c r="A487" s="169" t="s">
        <v>244</v>
      </c>
      <c r="B487" s="169"/>
      <c r="C487" s="169"/>
      <c r="D487" s="169"/>
      <c r="E487" s="169"/>
      <c r="F487" s="169"/>
      <c r="G487" s="169"/>
      <c r="H487" s="169"/>
      <c r="I487" s="71"/>
      <c r="P487" s="73"/>
    </row>
    <row r="488" spans="1:16" s="72" customFormat="1" ht="15.75" customHeight="1" x14ac:dyDescent="0.25">
      <c r="A488" s="164">
        <v>1</v>
      </c>
      <c r="B488" s="164"/>
      <c r="C488" s="102" t="s">
        <v>228</v>
      </c>
      <c r="D488" s="102">
        <f>(52.88+1.05*2.4)*10.764</f>
        <v>596.32560000000001</v>
      </c>
      <c r="E488" s="102">
        <v>0</v>
      </c>
      <c r="F488" s="102">
        <f t="shared" ref="F488:F491" si="225">D488*(($F$214)+1)+E488</f>
        <v>954.12096000000008</v>
      </c>
      <c r="G488" s="164" t="str">
        <f>A487</f>
        <v>19th, 24th &amp; 29th Floor (Part Refuge Area)</v>
      </c>
      <c r="H488" s="164"/>
      <c r="I488" s="71"/>
      <c r="N488" s="72" t="str">
        <f t="shared" ref="N488:N496" ca="1" si="226">O488&amp;""&amp;",..,"&amp;""&amp;P488</f>
        <v>1901,..,2901</v>
      </c>
      <c r="O488" s="72">
        <f ca="1">(SUMPRODUCT(MID(0&amp;(LEFT(A487,SUM(LEN(A487)-LEN(SUBSTITUTE(A487,{"0","1","2"},""))))), LARGE(INDEX(ISNUMBER(--MID((LEFT(A487,SUM(LEN(A487)-LEN(SUBSTITUTE(A487,{"0","1","2"},""))))), ROW(INDIRECT("1:"&amp;LEN((LEFT(A487,SUM(LEN(A487)-LEN(SUBSTITUTE(A487,{"0","1","2"},"")))))))), 1)) * ROW(INDIRECT("1:"&amp;LEN((LEFT(A487,SUM(LEN(A487)-LEN(SUBSTITUTE(A487,{"0","1","2"},"")))))))), 0), ROW(INDIRECT("1:"&amp;LEN((LEFT(A487,SUM(LEN(A487)-LEN(SUBSTITUTE(A487,{"0","1","2"},"")))))))))+1, 1) * 10^ROW(INDIRECT("1:"&amp;LEN((LEFT(A487,SUM(LEN(A487)-LEN(SUBSTITUTE(A487,{"0","1","2"},""))))))))/10))*100+1</f>
        <v>1901</v>
      </c>
      <c r="P488" s="72">
        <f ca="1">(SUMPRODUCT(MID(0&amp;(--TRIM(RIGHT(SUBSTITUTE(LEFT(A487,_xlfn.AGGREGATE(16,6,FIND({0,1,2,3,4,5,6,7,8,9},A487,ROW(INDIRECT("1:"&amp;LEN(A487)))),1))," ",REPT(" ",LEN(A487))),LEN(A487)))), LARGE(INDEX(ISNUMBER(--MID((--TRIM(RIGHT(SUBSTITUTE(LEFT(A487,_xlfn.AGGREGATE(16,6,FIND({0,1,2,3,4,5,6,7,8,9},A487,ROW(INDIRECT("1:"&amp;LEN(A487)))),1))," ",REPT(" ",LEN(A487))),LEN(A487)))), ROW(INDIRECT("1:"&amp;LEN((--TRIM(RIGHT(SUBSTITUTE(LEFT(A487,_xlfn.AGGREGATE(16,6,FIND({0,1,2,3,4,5,6,7,8,9},A487,ROW(INDIRECT("1:"&amp;LEN(A487)))),1))," ",REPT(" ",LEN(A487))),LEN(A487))))))), 1)) * ROW(INDIRECT("1:"&amp;LEN((--TRIM(RIGHT(SUBSTITUTE(LEFT(A487,_xlfn.AGGREGATE(16,6,FIND({0,1,2,3,4,5,6,7,8,9},A487,ROW(INDIRECT("1:"&amp;LEN(A487)))),1))," ",REPT(" ",LEN(A487))),LEN(A487))))))), 0), ROW(INDIRECT("1:"&amp;LEN((--TRIM(RIGHT(SUBSTITUTE(LEFT(A487,_xlfn.AGGREGATE(16,6,FIND({0,1,2,3,4,5,6,7,8,9},A487,ROW(INDIRECT("1:"&amp;LEN(A487)))),1))," ",REPT(" ",LEN(A487))),LEN(A487))))))))+1, 1) * 10^ROW(INDIRECT("1:"&amp;LEN((--TRIM(RIGHT(SUBSTITUTE(LEFT(A487,_xlfn.AGGREGATE(16,6,FIND({0,1,2,3,4,5,6,7,8,9},A487,ROW(INDIRECT("1:"&amp;LEN(A487)))),1))," ",REPT(" ",LEN(A487))),LEN(A487)))))))/10))*100+1</f>
        <v>2901</v>
      </c>
    </row>
    <row r="489" spans="1:16" s="72" customFormat="1" ht="15.75" customHeight="1" x14ac:dyDescent="0.25">
      <c r="A489" s="164">
        <v>2</v>
      </c>
      <c r="B489" s="164"/>
      <c r="C489" s="102" t="s">
        <v>228</v>
      </c>
      <c r="D489" s="102">
        <f>(54.8+1.05*2.2)*10.764</f>
        <v>614.73203999999998</v>
      </c>
      <c r="E489" s="102">
        <v>0</v>
      </c>
      <c r="F489" s="102">
        <f t="shared" si="225"/>
        <v>983.57126400000004</v>
      </c>
      <c r="G489" s="164"/>
      <c r="H489" s="164"/>
      <c r="I489" s="71"/>
      <c r="N489" s="72" t="str">
        <f t="shared" ca="1" si="226"/>
        <v>1902,..,2902</v>
      </c>
      <c r="O489" s="72">
        <f t="shared" ref="O489:P489" ca="1" si="227">O488+1</f>
        <v>1902</v>
      </c>
      <c r="P489" s="72">
        <f t="shared" ca="1" si="227"/>
        <v>2902</v>
      </c>
    </row>
    <row r="490" spans="1:16" s="72" customFormat="1" ht="15.75" customHeight="1" x14ac:dyDescent="0.25">
      <c r="A490" s="164">
        <v>3</v>
      </c>
      <c r="B490" s="164"/>
      <c r="C490" s="102" t="s">
        <v>228</v>
      </c>
      <c r="D490" s="102">
        <f>(54.8+1.05*2.2)*10.764</f>
        <v>614.73203999999998</v>
      </c>
      <c r="E490" s="102">
        <v>0</v>
      </c>
      <c r="F490" s="102">
        <f t="shared" si="225"/>
        <v>983.57126400000004</v>
      </c>
      <c r="G490" s="164"/>
      <c r="H490" s="164"/>
      <c r="I490" s="71"/>
      <c r="N490" s="72" t="str">
        <f t="shared" ca="1" si="226"/>
        <v>1903,..,2903</v>
      </c>
      <c r="O490" s="72">
        <f t="shared" ref="O490:P490" ca="1" si="228">O489+1</f>
        <v>1903</v>
      </c>
      <c r="P490" s="72">
        <f t="shared" ca="1" si="228"/>
        <v>2903</v>
      </c>
    </row>
    <row r="491" spans="1:16" s="72" customFormat="1" ht="15.75" customHeight="1" x14ac:dyDescent="0.25">
      <c r="A491" s="164">
        <v>4</v>
      </c>
      <c r="B491" s="164"/>
      <c r="C491" s="102" t="s">
        <v>239</v>
      </c>
      <c r="D491" s="102">
        <f>(62.13+1.05*2.425+1.025*1.4)*10.764</f>
        <v>711.62149499999998</v>
      </c>
      <c r="E491" s="102">
        <v>0</v>
      </c>
      <c r="F491" s="102">
        <f t="shared" si="225"/>
        <v>1138.594392</v>
      </c>
      <c r="G491" s="164"/>
      <c r="H491" s="164"/>
      <c r="I491" s="71"/>
      <c r="N491" s="72" t="str">
        <f t="shared" ca="1" si="226"/>
        <v>1904,..,2904</v>
      </c>
      <c r="O491" s="72">
        <f t="shared" ref="O491:P491" ca="1" si="229">O490+1</f>
        <v>1904</v>
      </c>
      <c r="P491" s="72">
        <f t="shared" ca="1" si="229"/>
        <v>2904</v>
      </c>
    </row>
    <row r="492" spans="1:16" s="72" customFormat="1" ht="15.75" customHeight="1" x14ac:dyDescent="0.25">
      <c r="A492" s="164">
        <v>5</v>
      </c>
      <c r="B492" s="164"/>
      <c r="C492" s="164" t="s">
        <v>211</v>
      </c>
      <c r="D492" s="164"/>
      <c r="E492" s="164"/>
      <c r="F492" s="164"/>
      <c r="G492" s="164"/>
      <c r="H492" s="164"/>
      <c r="I492" s="71"/>
      <c r="N492" s="72" t="str">
        <f t="shared" ca="1" si="226"/>
        <v>1905,..,2905</v>
      </c>
      <c r="O492" s="72">
        <f t="shared" ref="O492:P492" ca="1" si="230">O491+1</f>
        <v>1905</v>
      </c>
      <c r="P492" s="72">
        <f t="shared" ca="1" si="230"/>
        <v>2905</v>
      </c>
    </row>
    <row r="493" spans="1:16" s="72" customFormat="1" ht="15.75" customHeight="1" x14ac:dyDescent="0.25">
      <c r="A493" s="164">
        <v>6</v>
      </c>
      <c r="B493" s="164"/>
      <c r="C493" s="102" t="s">
        <v>239</v>
      </c>
      <c r="D493" s="102">
        <f>(62.13+2.4*1.05+1.4*1.025)*10.764</f>
        <v>711.33894000000009</v>
      </c>
      <c r="E493" s="102">
        <v>0</v>
      </c>
      <c r="F493" s="102">
        <f t="shared" ref="F493:F496" si="231">D493*(($F$214)+1)+E493</f>
        <v>1138.1423040000002</v>
      </c>
      <c r="G493" s="164"/>
      <c r="H493" s="164"/>
      <c r="I493" s="71"/>
      <c r="N493" s="72" t="str">
        <f t="shared" ca="1" si="226"/>
        <v>1906,..,2906</v>
      </c>
      <c r="O493" s="72">
        <f t="shared" ref="O493:P493" ca="1" si="232">O492+1</f>
        <v>1906</v>
      </c>
      <c r="P493" s="72">
        <f t="shared" ca="1" si="232"/>
        <v>2906</v>
      </c>
    </row>
    <row r="494" spans="1:16" s="72" customFormat="1" ht="15.75" customHeight="1" x14ac:dyDescent="0.25">
      <c r="A494" s="164">
        <v>7</v>
      </c>
      <c r="B494" s="164"/>
      <c r="C494" s="102" t="s">
        <v>228</v>
      </c>
      <c r="D494" s="102">
        <f>(60.04+2.2*1.05+1.5*0.825)*10.764</f>
        <v>684.45584999999994</v>
      </c>
      <c r="E494" s="102">
        <v>0</v>
      </c>
      <c r="F494" s="102">
        <f t="shared" si="231"/>
        <v>1095.1293599999999</v>
      </c>
      <c r="G494" s="164"/>
      <c r="H494" s="164"/>
      <c r="I494" s="71"/>
      <c r="N494" s="72" t="str">
        <f t="shared" ca="1" si="226"/>
        <v>1907,..,2907</v>
      </c>
      <c r="O494" s="72">
        <f t="shared" ref="O494:P494" ca="1" si="233">O493+1</f>
        <v>1907</v>
      </c>
      <c r="P494" s="72">
        <f t="shared" ca="1" si="233"/>
        <v>2907</v>
      </c>
    </row>
    <row r="495" spans="1:16" s="72" customFormat="1" ht="15.75" customHeight="1" x14ac:dyDescent="0.25">
      <c r="A495" s="164">
        <v>8</v>
      </c>
      <c r="B495" s="164"/>
      <c r="C495" s="102" t="s">
        <v>228</v>
      </c>
      <c r="D495" s="102">
        <f>(60.04+2.2*1.05+1.5*0.825)*10.764</f>
        <v>684.45584999999994</v>
      </c>
      <c r="E495" s="102">
        <v>0</v>
      </c>
      <c r="F495" s="102">
        <f t="shared" si="231"/>
        <v>1095.1293599999999</v>
      </c>
      <c r="G495" s="164"/>
      <c r="H495" s="164"/>
      <c r="I495" s="71"/>
      <c r="N495" s="72" t="str">
        <f t="shared" ca="1" si="226"/>
        <v>1908,..,2908</v>
      </c>
      <c r="O495" s="72">
        <f t="shared" ref="O495:P495" ca="1" si="234">O494+1</f>
        <v>1908</v>
      </c>
      <c r="P495" s="72">
        <f t="shared" ca="1" si="234"/>
        <v>2908</v>
      </c>
    </row>
    <row r="496" spans="1:16" s="72" customFormat="1" ht="15.75" customHeight="1" x14ac:dyDescent="0.25">
      <c r="A496" s="164">
        <v>9</v>
      </c>
      <c r="B496" s="164"/>
      <c r="C496" s="102" t="s">
        <v>240</v>
      </c>
      <c r="D496" s="102">
        <f>(45.57+2.15*1.05)*10.764</f>
        <v>514.81520999999998</v>
      </c>
      <c r="E496" s="102">
        <v>0</v>
      </c>
      <c r="F496" s="102">
        <f t="shared" si="231"/>
        <v>823.70433600000001</v>
      </c>
      <c r="G496" s="164"/>
      <c r="H496" s="164"/>
      <c r="I496" s="71"/>
      <c r="N496" s="72" t="str">
        <f t="shared" ca="1" si="226"/>
        <v>1909,..,2909</v>
      </c>
      <c r="O496" s="72">
        <f t="shared" ref="O496:P496" ca="1" si="235">O495+1</f>
        <v>1909</v>
      </c>
      <c r="P496" s="72">
        <f t="shared" ca="1" si="235"/>
        <v>2909</v>
      </c>
    </row>
    <row r="497" spans="1:14" s="72" customFormat="1" x14ac:dyDescent="0.25">
      <c r="A497" s="177" t="s">
        <v>262</v>
      </c>
      <c r="B497" s="178"/>
      <c r="C497" s="178"/>
      <c r="D497" s="178"/>
      <c r="E497" s="178"/>
      <c r="F497" s="178"/>
      <c r="G497" s="178"/>
      <c r="H497" s="179"/>
    </row>
    <row r="498" spans="1:14" s="72" customFormat="1" x14ac:dyDescent="0.25">
      <c r="A498" s="170" t="s">
        <v>238</v>
      </c>
      <c r="B498" s="171"/>
      <c r="C498" s="171"/>
      <c r="D498" s="171"/>
      <c r="E498" s="171"/>
      <c r="F498" s="171"/>
      <c r="G498" s="171"/>
      <c r="H498" s="172"/>
    </row>
    <row r="499" spans="1:14" s="72" customFormat="1" x14ac:dyDescent="0.25">
      <c r="A499" s="180" t="s">
        <v>283</v>
      </c>
      <c r="B499" s="181"/>
      <c r="C499" s="181"/>
      <c r="D499" s="181"/>
      <c r="E499" s="181"/>
      <c r="F499" s="181"/>
      <c r="G499" s="181"/>
      <c r="H499" s="182"/>
    </row>
    <row r="500" spans="1:14" s="72" customFormat="1" x14ac:dyDescent="0.25">
      <c r="A500" s="169" t="s">
        <v>212</v>
      </c>
      <c r="B500" s="169"/>
      <c r="C500" s="169"/>
      <c r="D500" s="169"/>
      <c r="E500" s="169"/>
      <c r="F500" s="169"/>
      <c r="G500" s="169"/>
      <c r="H500" s="169"/>
      <c r="I500" s="71"/>
      <c r="L500" s="167"/>
      <c r="M500" s="167"/>
    </row>
    <row r="501" spans="1:14" s="72" customFormat="1" x14ac:dyDescent="0.25">
      <c r="A501" s="164">
        <v>1</v>
      </c>
      <c r="B501" s="164"/>
      <c r="C501" s="165" t="s">
        <v>284</v>
      </c>
      <c r="D501" s="168"/>
      <c r="E501" s="168"/>
      <c r="F501" s="166"/>
      <c r="G501" s="164" t="str">
        <f>A500</f>
        <v>1st Floor</v>
      </c>
      <c r="H501" s="164"/>
      <c r="I501" s="71">
        <f>2.9*4.45+2.05*1.82+2.45*2.6+0.56*0.9+3.05*2.95+1.95*0.9+1*0.9+2.15*1.35+1.35*2.15+1.48*0.65+1*0.8</f>
        <v>42.729500000000002</v>
      </c>
      <c r="J501" s="72">
        <f>2.15*1.05</f>
        <v>2.2574999999999998</v>
      </c>
      <c r="K501" s="71">
        <f>I501+J501</f>
        <v>44.987000000000002</v>
      </c>
      <c r="N501" s="71"/>
    </row>
    <row r="502" spans="1:14" s="72" customFormat="1" x14ac:dyDescent="0.25">
      <c r="A502" s="164">
        <f>A501+1</f>
        <v>2</v>
      </c>
      <c r="B502" s="164"/>
      <c r="C502" s="43" t="s">
        <v>227</v>
      </c>
      <c r="D502" s="43">
        <f>33.46*10.764</f>
        <v>360.16343999999998</v>
      </c>
      <c r="E502" s="85">
        <v>0</v>
      </c>
      <c r="F502" s="43">
        <f t="shared" ref="F502:F504" si="236">D502*(($F$214)+1)+E502</f>
        <v>576.26150399999995</v>
      </c>
      <c r="G502" s="164" t="str">
        <f t="shared" ref="G502:G509" si="237">G501</f>
        <v>1st Floor</v>
      </c>
      <c r="H502" s="164"/>
      <c r="I502" s="71"/>
      <c r="N502" s="71"/>
    </row>
    <row r="503" spans="1:14" s="72" customFormat="1" x14ac:dyDescent="0.25">
      <c r="A503" s="164">
        <f>A502+1</f>
        <v>3</v>
      </c>
      <c r="B503" s="164"/>
      <c r="C503" s="43" t="s">
        <v>227</v>
      </c>
      <c r="D503" s="85">
        <f>33.46*10.764</f>
        <v>360.16343999999998</v>
      </c>
      <c r="E503" s="43">
        <v>0</v>
      </c>
      <c r="F503" s="43">
        <f t="shared" si="236"/>
        <v>576.26150399999995</v>
      </c>
      <c r="G503" s="164" t="str">
        <f t="shared" si="237"/>
        <v>1st Floor</v>
      </c>
      <c r="H503" s="164"/>
      <c r="I503" s="71"/>
      <c r="N503" s="71"/>
    </row>
    <row r="504" spans="1:14" s="72" customFormat="1" ht="15.75" customHeight="1" x14ac:dyDescent="0.25">
      <c r="A504" s="164">
        <f t="shared" ref="A504:A509" si="238">A503+1</f>
        <v>4</v>
      </c>
      <c r="B504" s="164"/>
      <c r="C504" s="85" t="s">
        <v>239</v>
      </c>
      <c r="D504" s="85">
        <f>61.84*10.764</f>
        <v>665.64576</v>
      </c>
      <c r="E504" s="85">
        <v>0</v>
      </c>
      <c r="F504" s="85">
        <f t="shared" si="236"/>
        <v>1065.033216</v>
      </c>
      <c r="G504" s="165" t="str">
        <f t="shared" si="237"/>
        <v>1st Floor</v>
      </c>
      <c r="H504" s="166"/>
      <c r="I504" s="71"/>
      <c r="N504" s="71"/>
    </row>
    <row r="505" spans="1:14" s="72" customFormat="1" ht="15.75" customHeight="1" x14ac:dyDescent="0.25">
      <c r="A505" s="164">
        <f t="shared" si="238"/>
        <v>5</v>
      </c>
      <c r="B505" s="164"/>
      <c r="C505" s="43" t="s">
        <v>145</v>
      </c>
      <c r="D505" s="43">
        <f>70.19*10.764</f>
        <v>755.52515999999991</v>
      </c>
      <c r="E505" s="43">
        <v>0</v>
      </c>
      <c r="F505" s="43">
        <f t="shared" ref="F505" si="239">D505*(($F$214)+1)+E505</f>
        <v>1208.840256</v>
      </c>
      <c r="G505" s="164" t="str">
        <f t="shared" si="237"/>
        <v>1st Floor</v>
      </c>
      <c r="H505" s="164"/>
      <c r="I505" s="71"/>
      <c r="N505" s="71"/>
    </row>
    <row r="506" spans="1:14" s="72" customFormat="1" x14ac:dyDescent="0.25">
      <c r="A506" s="164">
        <f t="shared" si="238"/>
        <v>6</v>
      </c>
      <c r="B506" s="164"/>
      <c r="C506" s="43" t="s">
        <v>239</v>
      </c>
      <c r="D506" s="43">
        <f>61.84*10.764</f>
        <v>665.64576</v>
      </c>
      <c r="E506" s="43">
        <v>0</v>
      </c>
      <c r="F506" s="43">
        <f>D506*(($F$214)+1)+E506</f>
        <v>1065.033216</v>
      </c>
      <c r="G506" s="164" t="str">
        <f t="shared" si="237"/>
        <v>1st Floor</v>
      </c>
      <c r="H506" s="164"/>
      <c r="I506" s="71"/>
      <c r="N506" s="71"/>
    </row>
    <row r="507" spans="1:14" s="72" customFormat="1" x14ac:dyDescent="0.25">
      <c r="A507" s="164">
        <f>A506+1</f>
        <v>7</v>
      </c>
      <c r="B507" s="164"/>
      <c r="C507" s="43" t="s">
        <v>228</v>
      </c>
      <c r="D507" s="43">
        <f>59.08*10.764</f>
        <v>635.93711999999994</v>
      </c>
      <c r="E507" s="43">
        <v>0</v>
      </c>
      <c r="F507" s="43">
        <f>D507*(($F$214)+1)+E507</f>
        <v>1017.4993919999999</v>
      </c>
      <c r="G507" s="164" t="str">
        <f t="shared" si="237"/>
        <v>1st Floor</v>
      </c>
      <c r="H507" s="164"/>
      <c r="I507" s="71"/>
      <c r="N507" s="71"/>
    </row>
    <row r="508" spans="1:14" s="72" customFormat="1" x14ac:dyDescent="0.25">
      <c r="A508" s="164">
        <f t="shared" si="238"/>
        <v>8</v>
      </c>
      <c r="B508" s="164"/>
      <c r="C508" s="43" t="s">
        <v>228</v>
      </c>
      <c r="D508" s="85">
        <f>59.08*10.764</f>
        <v>635.93711999999994</v>
      </c>
      <c r="E508" s="43">
        <v>0</v>
      </c>
      <c r="F508" s="43">
        <f>D508*(($F$214)+1)+E508</f>
        <v>1017.4993919999999</v>
      </c>
      <c r="G508" s="164" t="str">
        <f t="shared" si="237"/>
        <v>1st Floor</v>
      </c>
      <c r="H508" s="164"/>
      <c r="I508" s="71"/>
      <c r="N508" s="71"/>
    </row>
    <row r="509" spans="1:14" s="72" customFormat="1" x14ac:dyDescent="0.25">
      <c r="A509" s="164">
        <f t="shared" si="238"/>
        <v>9</v>
      </c>
      <c r="B509" s="164"/>
      <c r="C509" s="43" t="s">
        <v>240</v>
      </c>
      <c r="D509" s="43">
        <f>45.4*10.764</f>
        <v>488.68559999999997</v>
      </c>
      <c r="E509" s="43">
        <v>0</v>
      </c>
      <c r="F509" s="43">
        <f>D509*(($F$214)+1)+E509</f>
        <v>781.89696000000004</v>
      </c>
      <c r="G509" s="164" t="str">
        <f t="shared" si="237"/>
        <v>1st Floor</v>
      </c>
      <c r="H509" s="164"/>
      <c r="I509" s="71"/>
      <c r="N509" s="71"/>
    </row>
    <row r="510" spans="1:14" s="72" customFormat="1" x14ac:dyDescent="0.25">
      <c r="A510" s="169" t="s">
        <v>245</v>
      </c>
      <c r="B510" s="169"/>
      <c r="C510" s="169"/>
      <c r="D510" s="169"/>
      <c r="E510" s="169"/>
      <c r="F510" s="169"/>
      <c r="G510" s="169"/>
      <c r="H510" s="169"/>
      <c r="I510" s="71"/>
      <c r="L510" s="167"/>
      <c r="M510" s="167"/>
    </row>
    <row r="511" spans="1:14" s="72" customFormat="1" x14ac:dyDescent="0.25">
      <c r="A511" s="164">
        <v>1</v>
      </c>
      <c r="B511" s="164"/>
      <c r="C511" s="43" t="s">
        <v>228</v>
      </c>
      <c r="D511" s="43">
        <f>52.61*10.764</f>
        <v>566.29404</v>
      </c>
      <c r="E511" s="43">
        <v>0</v>
      </c>
      <c r="F511" s="43">
        <f>D511*(($F$214)+1)+E511</f>
        <v>906.07046400000002</v>
      </c>
      <c r="G511" s="164" t="str">
        <f>A510</f>
        <v>2nd to 7th, 9th to 13th &amp; 15th  Floor</v>
      </c>
      <c r="H511" s="164"/>
      <c r="I511" s="71">
        <f>2.9*4.45+2.05*1.82+2.45*2.6+0.56*0.9+3.05*2.95+1.95*0.9+1*0.9+2.15*1.35+1.35*2.15+1.48*0.65+1*0.8</f>
        <v>42.729500000000002</v>
      </c>
      <c r="J511" s="72">
        <f>2.15*1.05</f>
        <v>2.2574999999999998</v>
      </c>
      <c r="K511" s="71">
        <f>I511+J511</f>
        <v>44.987000000000002</v>
      </c>
      <c r="N511" s="71"/>
    </row>
    <row r="512" spans="1:14" s="72" customFormat="1" x14ac:dyDescent="0.25">
      <c r="A512" s="164">
        <f>A511+1</f>
        <v>2</v>
      </c>
      <c r="B512" s="164"/>
      <c r="C512" s="43" t="s">
        <v>240</v>
      </c>
      <c r="D512" s="43">
        <f>45.91*10.764</f>
        <v>494.17523999999992</v>
      </c>
      <c r="E512" s="43">
        <v>0</v>
      </c>
      <c r="F512" s="43">
        <f t="shared" ref="F512:F514" si="240">D512*(($F$214)+1)+E512</f>
        <v>790.68038399999989</v>
      </c>
      <c r="G512" s="164" t="str">
        <f t="shared" ref="G512:G519" si="241">G511</f>
        <v>2nd to 7th, 9th to 13th &amp; 15th  Floor</v>
      </c>
      <c r="H512" s="164"/>
      <c r="I512" s="71"/>
      <c r="N512" s="71"/>
    </row>
    <row r="513" spans="1:14" s="72" customFormat="1" x14ac:dyDescent="0.25">
      <c r="A513" s="164">
        <f>A512+1</f>
        <v>3</v>
      </c>
      <c r="B513" s="164"/>
      <c r="C513" s="43" t="s">
        <v>240</v>
      </c>
      <c r="D513" s="85">
        <f>45.91*10.764</f>
        <v>494.17523999999992</v>
      </c>
      <c r="E513" s="43">
        <v>0</v>
      </c>
      <c r="F513" s="43">
        <f t="shared" si="240"/>
        <v>790.68038399999989</v>
      </c>
      <c r="G513" s="164" t="str">
        <f t="shared" si="241"/>
        <v>2nd to 7th, 9th to 13th &amp; 15th  Floor</v>
      </c>
      <c r="H513" s="164"/>
      <c r="I513" s="71"/>
      <c r="N513" s="71"/>
    </row>
    <row r="514" spans="1:14" s="72" customFormat="1" ht="15.75" customHeight="1" x14ac:dyDescent="0.25">
      <c r="A514" s="164">
        <f t="shared" ref="A514:A519" si="242">A513+1</f>
        <v>4</v>
      </c>
      <c r="B514" s="164"/>
      <c r="C514" s="43" t="s">
        <v>239</v>
      </c>
      <c r="D514" s="43">
        <f>61.84*10.764</f>
        <v>665.64576</v>
      </c>
      <c r="E514" s="43">
        <v>0</v>
      </c>
      <c r="F514" s="43">
        <f t="shared" si="240"/>
        <v>1065.033216</v>
      </c>
      <c r="G514" s="165" t="str">
        <f t="shared" si="241"/>
        <v>2nd to 7th, 9th to 13th &amp; 15th  Floor</v>
      </c>
      <c r="H514" s="166"/>
      <c r="I514" s="71"/>
      <c r="N514" s="71"/>
    </row>
    <row r="515" spans="1:14" s="72" customFormat="1" ht="15.75" customHeight="1" x14ac:dyDescent="0.25">
      <c r="A515" s="164">
        <f t="shared" si="242"/>
        <v>5</v>
      </c>
      <c r="B515" s="164"/>
      <c r="C515" s="43" t="s">
        <v>145</v>
      </c>
      <c r="D515" s="43">
        <f>70.19*10.764</f>
        <v>755.52515999999991</v>
      </c>
      <c r="E515" s="43">
        <v>0</v>
      </c>
      <c r="F515" s="43">
        <f t="shared" ref="F515" si="243">D515*(($F$214)+1)+E515</f>
        <v>1208.840256</v>
      </c>
      <c r="G515" s="164" t="str">
        <f t="shared" si="241"/>
        <v>2nd to 7th, 9th to 13th &amp; 15th  Floor</v>
      </c>
      <c r="H515" s="164"/>
      <c r="I515" s="71"/>
      <c r="N515" s="71"/>
    </row>
    <row r="516" spans="1:14" s="72" customFormat="1" x14ac:dyDescent="0.25">
      <c r="A516" s="164">
        <f t="shared" si="242"/>
        <v>6</v>
      </c>
      <c r="B516" s="164"/>
      <c r="C516" s="43" t="s">
        <v>239</v>
      </c>
      <c r="D516" s="43">
        <f>61.84*10.764</f>
        <v>665.64576</v>
      </c>
      <c r="E516" s="43">
        <v>0</v>
      </c>
      <c r="F516" s="43">
        <f>D516*(($F$214)+1)+E516</f>
        <v>1065.033216</v>
      </c>
      <c r="G516" s="164" t="str">
        <f t="shared" si="241"/>
        <v>2nd to 7th, 9th to 13th &amp; 15th  Floor</v>
      </c>
      <c r="H516" s="164"/>
      <c r="I516" s="71"/>
      <c r="N516" s="71"/>
    </row>
    <row r="517" spans="1:14" s="72" customFormat="1" x14ac:dyDescent="0.25">
      <c r="A517" s="164">
        <f>A516+1</f>
        <v>7</v>
      </c>
      <c r="B517" s="164"/>
      <c r="C517" s="43" t="s">
        <v>228</v>
      </c>
      <c r="D517" s="43">
        <f>59.08*10.764</f>
        <v>635.93711999999994</v>
      </c>
      <c r="E517" s="43">
        <v>0</v>
      </c>
      <c r="F517" s="43">
        <f>D517*(($F$214)+1)+E517</f>
        <v>1017.4993919999999</v>
      </c>
      <c r="G517" s="164" t="str">
        <f t="shared" si="241"/>
        <v>2nd to 7th, 9th to 13th &amp; 15th  Floor</v>
      </c>
      <c r="H517" s="164"/>
      <c r="I517" s="71"/>
      <c r="N517" s="71"/>
    </row>
    <row r="518" spans="1:14" s="72" customFormat="1" x14ac:dyDescent="0.25">
      <c r="A518" s="164">
        <f t="shared" si="242"/>
        <v>8</v>
      </c>
      <c r="B518" s="164"/>
      <c r="C518" s="43" t="s">
        <v>228</v>
      </c>
      <c r="D518" s="85">
        <f>59.08*10.764</f>
        <v>635.93711999999994</v>
      </c>
      <c r="E518" s="43">
        <v>0</v>
      </c>
      <c r="F518" s="43">
        <f>D518*(($F$214)+1)+E518</f>
        <v>1017.4993919999999</v>
      </c>
      <c r="G518" s="164" t="str">
        <f t="shared" si="241"/>
        <v>2nd to 7th, 9th to 13th &amp; 15th  Floor</v>
      </c>
      <c r="H518" s="164"/>
      <c r="I518" s="71"/>
      <c r="N518" s="71"/>
    </row>
    <row r="519" spans="1:14" s="72" customFormat="1" x14ac:dyDescent="0.25">
      <c r="A519" s="164">
        <f t="shared" si="242"/>
        <v>9</v>
      </c>
      <c r="B519" s="164"/>
      <c r="C519" s="43" t="s">
        <v>240</v>
      </c>
      <c r="D519" s="43">
        <f>45.39*10.764</f>
        <v>488.57795999999996</v>
      </c>
      <c r="E519" s="43">
        <v>0</v>
      </c>
      <c r="F519" s="43">
        <f>D519*(($F$214)+1)+E519</f>
        <v>781.72473600000001</v>
      </c>
      <c r="G519" s="164" t="str">
        <f t="shared" si="241"/>
        <v>2nd to 7th, 9th to 13th &amp; 15th  Floor</v>
      </c>
      <c r="H519" s="164"/>
      <c r="I519" s="71"/>
      <c r="N519" s="71"/>
    </row>
    <row r="520" spans="1:14" s="72" customFormat="1" x14ac:dyDescent="0.25">
      <c r="A520" s="169" t="s">
        <v>242</v>
      </c>
      <c r="B520" s="169"/>
      <c r="C520" s="169"/>
      <c r="D520" s="169"/>
      <c r="E520" s="169"/>
      <c r="F520" s="169"/>
      <c r="G520" s="169"/>
      <c r="H520" s="169"/>
      <c r="I520" s="71"/>
      <c r="L520" s="167"/>
      <c r="M520" s="167"/>
    </row>
    <row r="521" spans="1:14" s="72" customFormat="1" x14ac:dyDescent="0.25">
      <c r="A521" s="164">
        <v>1</v>
      </c>
      <c r="B521" s="164"/>
      <c r="C521" s="85" t="s">
        <v>228</v>
      </c>
      <c r="D521" s="85">
        <f>52.61*10.764</f>
        <v>566.29404</v>
      </c>
      <c r="E521" s="43">
        <v>0</v>
      </c>
      <c r="F521" s="43">
        <f>D521*(($F$214)+1)+E521</f>
        <v>906.07046400000002</v>
      </c>
      <c r="G521" s="164" t="str">
        <f>A520</f>
        <v>8th &amp; 14th Floor (Part Refuge Area)</v>
      </c>
      <c r="H521" s="164"/>
      <c r="I521" s="71">
        <f>2.9*4.45+2.05*1.82+2.45*2.6+0.56*0.9+3.05*2.95+1.95*0.9+1*0.9+2.15*1.35+1.35*2.15+1.48*0.65+1*0.8</f>
        <v>42.729500000000002</v>
      </c>
      <c r="J521" s="72">
        <f>2.15*1.05</f>
        <v>2.2574999999999998</v>
      </c>
      <c r="K521" s="71">
        <f>I521+J521</f>
        <v>44.987000000000002</v>
      </c>
      <c r="N521" s="71"/>
    </row>
    <row r="522" spans="1:14" s="72" customFormat="1" x14ac:dyDescent="0.25">
      <c r="A522" s="164">
        <f>A521+1</f>
        <v>2</v>
      </c>
      <c r="B522" s="164"/>
      <c r="C522" s="85" t="s">
        <v>240</v>
      </c>
      <c r="D522" s="85">
        <f>45.91*10.764</f>
        <v>494.17523999999992</v>
      </c>
      <c r="E522" s="43">
        <v>0</v>
      </c>
      <c r="F522" s="43">
        <f>D522*(($F$214)+1)+E522</f>
        <v>790.68038399999989</v>
      </c>
      <c r="G522" s="164" t="str">
        <f t="shared" ref="G522:G529" si="244">G521</f>
        <v>8th &amp; 14th Floor (Part Refuge Area)</v>
      </c>
      <c r="H522" s="164"/>
      <c r="I522" s="71"/>
      <c r="N522" s="71"/>
    </row>
    <row r="523" spans="1:14" s="72" customFormat="1" x14ac:dyDescent="0.25">
      <c r="A523" s="164">
        <f>A522+1</f>
        <v>3</v>
      </c>
      <c r="B523" s="164"/>
      <c r="C523" s="85" t="s">
        <v>240</v>
      </c>
      <c r="D523" s="85">
        <f>45.91*10.764</f>
        <v>494.17523999999992</v>
      </c>
      <c r="E523" s="43">
        <v>0</v>
      </c>
      <c r="F523" s="43">
        <f>D523*(($F$214)+1)+E523</f>
        <v>790.68038399999989</v>
      </c>
      <c r="G523" s="164" t="str">
        <f t="shared" si="244"/>
        <v>8th &amp; 14th Floor (Part Refuge Area)</v>
      </c>
      <c r="H523" s="164"/>
      <c r="I523" s="71"/>
      <c r="N523" s="71"/>
    </row>
    <row r="524" spans="1:14" s="72" customFormat="1" ht="15.75" customHeight="1" x14ac:dyDescent="0.25">
      <c r="A524" s="164">
        <f t="shared" ref="A524:A529" si="245">A523+1</f>
        <v>4</v>
      </c>
      <c r="B524" s="164"/>
      <c r="C524" s="85" t="s">
        <v>239</v>
      </c>
      <c r="D524" s="85">
        <f>61.84*10.764</f>
        <v>665.64576</v>
      </c>
      <c r="E524" s="43">
        <v>0</v>
      </c>
      <c r="F524" s="43">
        <f>D524*(($F$214)+1)+E524</f>
        <v>1065.033216</v>
      </c>
      <c r="G524" s="165" t="str">
        <f t="shared" si="244"/>
        <v>8th &amp; 14th Floor (Part Refuge Area)</v>
      </c>
      <c r="H524" s="166"/>
      <c r="I524" s="71"/>
      <c r="N524" s="71"/>
    </row>
    <row r="525" spans="1:14" s="72" customFormat="1" ht="15.75" customHeight="1" x14ac:dyDescent="0.25">
      <c r="A525" s="164">
        <f t="shared" si="245"/>
        <v>5</v>
      </c>
      <c r="B525" s="164"/>
      <c r="C525" s="165" t="s">
        <v>211</v>
      </c>
      <c r="D525" s="168"/>
      <c r="E525" s="168"/>
      <c r="F525" s="166"/>
      <c r="G525" s="164" t="str">
        <f t="shared" si="244"/>
        <v>8th &amp; 14th Floor (Part Refuge Area)</v>
      </c>
      <c r="H525" s="164"/>
      <c r="I525" s="71"/>
      <c r="N525" s="71"/>
    </row>
    <row r="526" spans="1:14" s="72" customFormat="1" x14ac:dyDescent="0.25">
      <c r="A526" s="164">
        <f t="shared" si="245"/>
        <v>6</v>
      </c>
      <c r="B526" s="164"/>
      <c r="C526" s="85" t="s">
        <v>239</v>
      </c>
      <c r="D526" s="85">
        <f>61.84*10.764</f>
        <v>665.64576</v>
      </c>
      <c r="E526" s="43">
        <v>0</v>
      </c>
      <c r="F526" s="43">
        <f>D526*(($F$214)+1)+E526</f>
        <v>1065.033216</v>
      </c>
      <c r="G526" s="164" t="str">
        <f t="shared" si="244"/>
        <v>8th &amp; 14th Floor (Part Refuge Area)</v>
      </c>
      <c r="H526" s="164"/>
      <c r="I526" s="71"/>
      <c r="N526" s="71"/>
    </row>
    <row r="527" spans="1:14" s="72" customFormat="1" x14ac:dyDescent="0.25">
      <c r="A527" s="164">
        <f>A526+1</f>
        <v>7</v>
      </c>
      <c r="B527" s="164"/>
      <c r="C527" s="85" t="s">
        <v>228</v>
      </c>
      <c r="D527" s="85">
        <f>59.08*10.764</f>
        <v>635.93711999999994</v>
      </c>
      <c r="E527" s="43">
        <v>0</v>
      </c>
      <c r="F527" s="43">
        <f>D527*(($F$214)+1)+E527</f>
        <v>1017.4993919999999</v>
      </c>
      <c r="G527" s="164" t="str">
        <f t="shared" si="244"/>
        <v>8th &amp; 14th Floor (Part Refuge Area)</v>
      </c>
      <c r="H527" s="164"/>
      <c r="I527" s="71"/>
      <c r="N527" s="71"/>
    </row>
    <row r="528" spans="1:14" s="72" customFormat="1" x14ac:dyDescent="0.25">
      <c r="A528" s="164">
        <f t="shared" si="245"/>
        <v>8</v>
      </c>
      <c r="B528" s="164"/>
      <c r="C528" s="85" t="s">
        <v>228</v>
      </c>
      <c r="D528" s="85">
        <f>59.08*10.764</f>
        <v>635.93711999999994</v>
      </c>
      <c r="E528" s="43">
        <v>0</v>
      </c>
      <c r="F528" s="43">
        <f>D528*(($F$214)+1)+E528</f>
        <v>1017.4993919999999</v>
      </c>
      <c r="G528" s="164" t="str">
        <f t="shared" si="244"/>
        <v>8th &amp; 14th Floor (Part Refuge Area)</v>
      </c>
      <c r="H528" s="164"/>
      <c r="I528" s="71"/>
      <c r="N528" s="71"/>
    </row>
    <row r="529" spans="1:14" s="72" customFormat="1" x14ac:dyDescent="0.25">
      <c r="A529" s="164">
        <f t="shared" si="245"/>
        <v>9</v>
      </c>
      <c r="B529" s="164"/>
      <c r="C529" s="85" t="s">
        <v>240</v>
      </c>
      <c r="D529" s="85">
        <f>45.39*10.764</f>
        <v>488.57795999999996</v>
      </c>
      <c r="E529" s="43">
        <v>0</v>
      </c>
      <c r="F529" s="43">
        <f>D529*(($F$214)+1)+E529</f>
        <v>781.72473600000001</v>
      </c>
      <c r="G529" s="164" t="str">
        <f t="shared" si="244"/>
        <v>8th &amp; 14th Floor (Part Refuge Area)</v>
      </c>
      <c r="H529" s="164"/>
      <c r="I529" s="71"/>
      <c r="N529" s="71"/>
    </row>
    <row r="530" spans="1:14" s="72" customFormat="1" x14ac:dyDescent="0.25">
      <c r="A530" s="169" t="s">
        <v>243</v>
      </c>
      <c r="B530" s="169"/>
      <c r="C530" s="169"/>
      <c r="D530" s="169"/>
      <c r="E530" s="169"/>
      <c r="F530" s="169"/>
      <c r="G530" s="169"/>
      <c r="H530" s="169"/>
      <c r="I530" s="71"/>
      <c r="L530" s="167"/>
      <c r="M530" s="167"/>
    </row>
    <row r="531" spans="1:14" s="72" customFormat="1" x14ac:dyDescent="0.25">
      <c r="A531" s="164">
        <v>1</v>
      </c>
      <c r="B531" s="164"/>
      <c r="C531" s="102" t="s">
        <v>228</v>
      </c>
      <c r="D531" s="102">
        <f>52.8*10.764</f>
        <v>568.33919999999989</v>
      </c>
      <c r="E531" s="102">
        <v>0</v>
      </c>
      <c r="F531" s="102">
        <f>D531*(($F$214)+1)+E531</f>
        <v>909.34271999999987</v>
      </c>
      <c r="G531" s="164" t="str">
        <f>A530</f>
        <v>16th to 18th, 20th to 23rd, 25th to 28th &amp; 30th to 32nd Floor</v>
      </c>
      <c r="H531" s="164"/>
      <c r="I531" s="71">
        <f>2.9*4.45+2.05*1.82+2.45*2.6+0.56*0.9+3.05*2.95+1.95*0.9+1*0.9+2.15*1.35+1.35*2.15+1.48*0.65+1*0.8</f>
        <v>42.729500000000002</v>
      </c>
      <c r="J531" s="72">
        <f>2.15*1.05</f>
        <v>2.2574999999999998</v>
      </c>
      <c r="K531" s="71">
        <f>I531+J531</f>
        <v>44.987000000000002</v>
      </c>
      <c r="N531" s="71"/>
    </row>
    <row r="532" spans="1:14" s="72" customFormat="1" x14ac:dyDescent="0.25">
      <c r="A532" s="164">
        <f>A531+1</f>
        <v>2</v>
      </c>
      <c r="B532" s="164"/>
      <c r="C532" s="102" t="s">
        <v>240</v>
      </c>
      <c r="D532" s="102">
        <f>46.03*10.764</f>
        <v>495.46691999999996</v>
      </c>
      <c r="E532" s="102">
        <v>0</v>
      </c>
      <c r="F532" s="102">
        <f t="shared" ref="F532:F535" si="246">D532*(($F$214)+1)+E532</f>
        <v>792.747072</v>
      </c>
      <c r="G532" s="164" t="str">
        <f t="shared" ref="G532:G539" si="247">G531</f>
        <v>16th to 18th, 20th to 23rd, 25th to 28th &amp; 30th to 32nd Floor</v>
      </c>
      <c r="H532" s="164"/>
      <c r="I532" s="71"/>
      <c r="N532" s="71"/>
    </row>
    <row r="533" spans="1:14" s="72" customFormat="1" x14ac:dyDescent="0.25">
      <c r="A533" s="164">
        <f>A532+1</f>
        <v>3</v>
      </c>
      <c r="B533" s="164"/>
      <c r="C533" s="102" t="s">
        <v>240</v>
      </c>
      <c r="D533" s="102">
        <f>46.1*10.764</f>
        <v>496.22039999999998</v>
      </c>
      <c r="E533" s="102">
        <v>0</v>
      </c>
      <c r="F533" s="102">
        <f t="shared" si="246"/>
        <v>793.95263999999997</v>
      </c>
      <c r="G533" s="164" t="str">
        <f t="shared" si="247"/>
        <v>16th to 18th, 20th to 23rd, 25th to 28th &amp; 30th to 32nd Floor</v>
      </c>
      <c r="H533" s="164"/>
      <c r="I533" s="71"/>
      <c r="N533" s="71"/>
    </row>
    <row r="534" spans="1:14" s="72" customFormat="1" ht="15.75" customHeight="1" x14ac:dyDescent="0.25">
      <c r="A534" s="164">
        <f t="shared" ref="A534:A539" si="248">A533+1</f>
        <v>4</v>
      </c>
      <c r="B534" s="164"/>
      <c r="C534" s="102" t="s">
        <v>239</v>
      </c>
      <c r="D534" s="102">
        <f>62.12*10.764</f>
        <v>668.65967999999998</v>
      </c>
      <c r="E534" s="102">
        <v>0</v>
      </c>
      <c r="F534" s="102">
        <f t="shared" si="246"/>
        <v>1069.8554879999999</v>
      </c>
      <c r="G534" s="164" t="str">
        <f t="shared" si="247"/>
        <v>16th to 18th, 20th to 23rd, 25th to 28th &amp; 30th to 32nd Floor</v>
      </c>
      <c r="H534" s="164"/>
      <c r="I534" s="71"/>
      <c r="N534" s="71"/>
    </row>
    <row r="535" spans="1:14" s="72" customFormat="1" ht="15.75" customHeight="1" x14ac:dyDescent="0.25">
      <c r="A535" s="164">
        <f t="shared" si="248"/>
        <v>5</v>
      </c>
      <c r="B535" s="164"/>
      <c r="C535" s="102" t="s">
        <v>145</v>
      </c>
      <c r="D535" s="102">
        <f>70.6*10.764</f>
        <v>759.93839999999989</v>
      </c>
      <c r="E535" s="102">
        <v>0</v>
      </c>
      <c r="F535" s="102">
        <f t="shared" si="246"/>
        <v>1215.9014399999999</v>
      </c>
      <c r="G535" s="164" t="str">
        <f t="shared" si="247"/>
        <v>16th to 18th, 20th to 23rd, 25th to 28th &amp; 30th to 32nd Floor</v>
      </c>
      <c r="H535" s="164"/>
      <c r="I535" s="71"/>
      <c r="N535" s="71"/>
    </row>
    <row r="536" spans="1:14" s="72" customFormat="1" x14ac:dyDescent="0.25">
      <c r="A536" s="164">
        <f t="shared" si="248"/>
        <v>6</v>
      </c>
      <c r="B536" s="164"/>
      <c r="C536" s="102" t="s">
        <v>239</v>
      </c>
      <c r="D536" s="102">
        <f>62.13*10.764</f>
        <v>668.76732000000004</v>
      </c>
      <c r="E536" s="102">
        <v>0</v>
      </c>
      <c r="F536" s="102">
        <f>D536*(($F$214)+1)+E536</f>
        <v>1070.0277120000001</v>
      </c>
      <c r="G536" s="164" t="str">
        <f t="shared" si="247"/>
        <v>16th to 18th, 20th to 23rd, 25th to 28th &amp; 30th to 32nd Floor</v>
      </c>
      <c r="H536" s="164"/>
      <c r="I536" s="71"/>
      <c r="N536" s="71"/>
    </row>
    <row r="537" spans="1:14" s="72" customFormat="1" x14ac:dyDescent="0.25">
      <c r="A537" s="164">
        <f>A536+1</f>
        <v>7</v>
      </c>
      <c r="B537" s="164"/>
      <c r="C537" s="102" t="s">
        <v>228</v>
      </c>
      <c r="D537" s="102">
        <f>60.76*10.764</f>
        <v>654.02063999999996</v>
      </c>
      <c r="E537" s="102">
        <v>0</v>
      </c>
      <c r="F537" s="102">
        <f>D537*(($F$214)+1)+E537</f>
        <v>1046.4330239999999</v>
      </c>
      <c r="G537" s="164" t="str">
        <f t="shared" si="247"/>
        <v>16th to 18th, 20th to 23rd, 25th to 28th &amp; 30th to 32nd Floor</v>
      </c>
      <c r="H537" s="164"/>
      <c r="I537" s="71"/>
      <c r="N537" s="71"/>
    </row>
    <row r="538" spans="1:14" s="72" customFormat="1" x14ac:dyDescent="0.25">
      <c r="A538" s="164">
        <f t="shared" si="248"/>
        <v>8</v>
      </c>
      <c r="B538" s="164"/>
      <c r="C538" s="102" t="s">
        <v>228</v>
      </c>
      <c r="D538" s="102">
        <f>59.96*10.764</f>
        <v>645.40944000000002</v>
      </c>
      <c r="E538" s="102">
        <v>0</v>
      </c>
      <c r="F538" s="102">
        <f>D538*(($F$214)+1)+E538</f>
        <v>1032.6551040000002</v>
      </c>
      <c r="G538" s="164" t="str">
        <f t="shared" si="247"/>
        <v>16th to 18th, 20th to 23rd, 25th to 28th &amp; 30th to 32nd Floor</v>
      </c>
      <c r="H538" s="164"/>
      <c r="I538" s="71"/>
      <c r="N538" s="71"/>
    </row>
    <row r="539" spans="1:14" s="72" customFormat="1" x14ac:dyDescent="0.25">
      <c r="A539" s="164">
        <f t="shared" si="248"/>
        <v>9</v>
      </c>
      <c r="B539" s="164"/>
      <c r="C539" s="85" t="s">
        <v>240</v>
      </c>
      <c r="D539" s="43">
        <f>45.5*10.764</f>
        <v>489.76199999999994</v>
      </c>
      <c r="E539" s="43">
        <v>0</v>
      </c>
      <c r="F539" s="43">
        <f>D539*(($F$214)+1)+E539</f>
        <v>783.61919999999998</v>
      </c>
      <c r="G539" s="164" t="str">
        <f t="shared" si="247"/>
        <v>16th to 18th, 20th to 23rd, 25th to 28th &amp; 30th to 32nd Floor</v>
      </c>
      <c r="H539" s="164"/>
      <c r="I539" s="71"/>
      <c r="N539" s="71"/>
    </row>
    <row r="540" spans="1:14" s="86" customFormat="1" x14ac:dyDescent="0.25">
      <c r="A540" s="169" t="s">
        <v>285</v>
      </c>
      <c r="B540" s="169"/>
      <c r="C540" s="169"/>
      <c r="D540" s="169"/>
      <c r="E540" s="169"/>
      <c r="F540" s="169"/>
      <c r="G540" s="169"/>
      <c r="H540" s="169"/>
      <c r="I540" s="71"/>
      <c r="L540" s="167"/>
      <c r="M540" s="167"/>
    </row>
    <row r="541" spans="1:14" s="86" customFormat="1" x14ac:dyDescent="0.25">
      <c r="A541" s="164">
        <v>1</v>
      </c>
      <c r="B541" s="164"/>
      <c r="C541" s="85" t="s">
        <v>228</v>
      </c>
      <c r="D541" s="85">
        <f>52.8*10.764</f>
        <v>568.33919999999989</v>
      </c>
      <c r="E541" s="85">
        <v>0</v>
      </c>
      <c r="F541" s="85">
        <f>D541*(($F$214)+1)+E541</f>
        <v>909.34271999999987</v>
      </c>
      <c r="G541" s="164" t="str">
        <f>A540</f>
        <v>19th 24th &amp; 29th Floor (Part Refuge Area)</v>
      </c>
      <c r="H541" s="164"/>
      <c r="I541" s="71">
        <f>2.9*4.45+2.05*1.82+2.45*2.6+0.56*0.9+3.05*2.95+1.95*0.9+1*0.9+2.15*1.35+1.35*2.15+1.48*0.65+1*0.8</f>
        <v>42.729500000000002</v>
      </c>
      <c r="J541" s="86">
        <f>2.15*1.05</f>
        <v>2.2574999999999998</v>
      </c>
      <c r="K541" s="71">
        <f>I541+J541</f>
        <v>44.987000000000002</v>
      </c>
      <c r="N541" s="71"/>
    </row>
    <row r="542" spans="1:14" s="86" customFormat="1" x14ac:dyDescent="0.25">
      <c r="A542" s="164">
        <f>A541+1</f>
        <v>2</v>
      </c>
      <c r="B542" s="164"/>
      <c r="C542" s="85" t="s">
        <v>240</v>
      </c>
      <c r="D542" s="85">
        <f>46.03*10.764</f>
        <v>495.46691999999996</v>
      </c>
      <c r="E542" s="85">
        <v>0</v>
      </c>
      <c r="F542" s="85">
        <f t="shared" ref="F542:F544" si="249">D542*(($F$214)+1)+E542</f>
        <v>792.747072</v>
      </c>
      <c r="G542" s="164" t="str">
        <f t="shared" ref="G542:G549" si="250">G541</f>
        <v>19th 24th &amp; 29th Floor (Part Refuge Area)</v>
      </c>
      <c r="H542" s="164"/>
      <c r="I542" s="71"/>
      <c r="N542" s="71"/>
    </row>
    <row r="543" spans="1:14" s="86" customFormat="1" x14ac:dyDescent="0.25">
      <c r="A543" s="164">
        <f>A542+1</f>
        <v>3</v>
      </c>
      <c r="B543" s="164"/>
      <c r="C543" s="85" t="s">
        <v>240</v>
      </c>
      <c r="D543" s="85">
        <f>46.1*10.764</f>
        <v>496.22039999999998</v>
      </c>
      <c r="E543" s="85">
        <v>0</v>
      </c>
      <c r="F543" s="85">
        <f t="shared" si="249"/>
        <v>793.95263999999997</v>
      </c>
      <c r="G543" s="164" t="str">
        <f t="shared" si="250"/>
        <v>19th 24th &amp; 29th Floor (Part Refuge Area)</v>
      </c>
      <c r="H543" s="164"/>
      <c r="I543" s="71"/>
      <c r="N543" s="71"/>
    </row>
    <row r="544" spans="1:14" s="86" customFormat="1" ht="15.75" customHeight="1" x14ac:dyDescent="0.25">
      <c r="A544" s="164">
        <f t="shared" ref="A544:A549" si="251">A543+1</f>
        <v>4</v>
      </c>
      <c r="B544" s="164"/>
      <c r="C544" s="85" t="s">
        <v>239</v>
      </c>
      <c r="D544" s="85">
        <f>62.12*10.764</f>
        <v>668.65967999999998</v>
      </c>
      <c r="E544" s="85">
        <v>0</v>
      </c>
      <c r="F544" s="85">
        <f t="shared" si="249"/>
        <v>1069.8554879999999</v>
      </c>
      <c r="G544" s="165" t="str">
        <f t="shared" si="250"/>
        <v>19th 24th &amp; 29th Floor (Part Refuge Area)</v>
      </c>
      <c r="H544" s="166"/>
      <c r="I544" s="71"/>
      <c r="N544" s="71"/>
    </row>
    <row r="545" spans="1:14" s="86" customFormat="1" ht="15.75" customHeight="1" x14ac:dyDescent="0.25">
      <c r="A545" s="164">
        <f t="shared" si="251"/>
        <v>5</v>
      </c>
      <c r="B545" s="164"/>
      <c r="C545" s="165" t="s">
        <v>211</v>
      </c>
      <c r="D545" s="168"/>
      <c r="E545" s="168"/>
      <c r="F545" s="166"/>
      <c r="G545" s="164" t="str">
        <f t="shared" si="250"/>
        <v>19th 24th &amp; 29th Floor (Part Refuge Area)</v>
      </c>
      <c r="H545" s="164"/>
      <c r="I545" s="71"/>
      <c r="N545" s="71"/>
    </row>
    <row r="546" spans="1:14" s="86" customFormat="1" x14ac:dyDescent="0.25">
      <c r="A546" s="164">
        <f t="shared" si="251"/>
        <v>6</v>
      </c>
      <c r="B546" s="164"/>
      <c r="C546" s="85" t="s">
        <v>239</v>
      </c>
      <c r="D546" s="85">
        <f>62.13*10.764</f>
        <v>668.76732000000004</v>
      </c>
      <c r="E546" s="85">
        <v>0</v>
      </c>
      <c r="F546" s="85">
        <f>D546*(($F$214)+1)+E546</f>
        <v>1070.0277120000001</v>
      </c>
      <c r="G546" s="164" t="str">
        <f t="shared" si="250"/>
        <v>19th 24th &amp; 29th Floor (Part Refuge Area)</v>
      </c>
      <c r="H546" s="164"/>
      <c r="I546" s="71"/>
      <c r="N546" s="71"/>
    </row>
    <row r="547" spans="1:14" s="86" customFormat="1" x14ac:dyDescent="0.25">
      <c r="A547" s="164">
        <f>A546+1</f>
        <v>7</v>
      </c>
      <c r="B547" s="164"/>
      <c r="C547" s="85" t="s">
        <v>228</v>
      </c>
      <c r="D547" s="85">
        <f>60.76*10.764</f>
        <v>654.02063999999996</v>
      </c>
      <c r="E547" s="85">
        <v>0</v>
      </c>
      <c r="F547" s="85">
        <f>D547*(($F$214)+1)+E547</f>
        <v>1046.4330239999999</v>
      </c>
      <c r="G547" s="164" t="str">
        <f t="shared" si="250"/>
        <v>19th 24th &amp; 29th Floor (Part Refuge Area)</v>
      </c>
      <c r="H547" s="164"/>
      <c r="I547" s="71"/>
      <c r="N547" s="71"/>
    </row>
    <row r="548" spans="1:14" s="86" customFormat="1" x14ac:dyDescent="0.25">
      <c r="A548" s="164">
        <f t="shared" si="251"/>
        <v>8</v>
      </c>
      <c r="B548" s="164"/>
      <c r="C548" s="85" t="s">
        <v>228</v>
      </c>
      <c r="D548" s="85">
        <f>59.96*10.764</f>
        <v>645.40944000000002</v>
      </c>
      <c r="E548" s="85">
        <v>0</v>
      </c>
      <c r="F548" s="85">
        <f>D548*(($F$214)+1)+E548</f>
        <v>1032.6551040000002</v>
      </c>
      <c r="G548" s="164" t="str">
        <f t="shared" si="250"/>
        <v>19th 24th &amp; 29th Floor (Part Refuge Area)</v>
      </c>
      <c r="H548" s="164"/>
      <c r="I548" s="71"/>
      <c r="N548" s="71"/>
    </row>
    <row r="549" spans="1:14" s="86" customFormat="1" x14ac:dyDescent="0.25">
      <c r="A549" s="164">
        <f t="shared" si="251"/>
        <v>9</v>
      </c>
      <c r="B549" s="164"/>
      <c r="C549" s="85" t="s">
        <v>240</v>
      </c>
      <c r="D549" s="85">
        <f>45.5*10.764</f>
        <v>489.76199999999994</v>
      </c>
      <c r="E549" s="85">
        <v>0</v>
      </c>
      <c r="F549" s="85">
        <f>D549*(($F$214)+1)+E549</f>
        <v>783.61919999999998</v>
      </c>
      <c r="G549" s="164" t="str">
        <f t="shared" si="250"/>
        <v>19th 24th &amp; 29th Floor (Part Refuge Area)</v>
      </c>
      <c r="H549" s="164"/>
      <c r="I549" s="71"/>
      <c r="N549" s="71"/>
    </row>
    <row r="550" spans="1:14" s="82" customFormat="1" x14ac:dyDescent="0.25">
      <c r="A550" s="170" t="s">
        <v>272</v>
      </c>
      <c r="B550" s="171"/>
      <c r="C550" s="171"/>
      <c r="D550" s="171"/>
      <c r="E550" s="171"/>
      <c r="F550" s="171"/>
      <c r="G550" s="171"/>
      <c r="H550" s="172"/>
    </row>
    <row r="551" spans="1:14" s="82" customFormat="1" x14ac:dyDescent="0.25">
      <c r="A551" s="170" t="s">
        <v>238</v>
      </c>
      <c r="B551" s="171"/>
      <c r="C551" s="171"/>
      <c r="D551" s="171"/>
      <c r="E551" s="171"/>
      <c r="F551" s="171"/>
      <c r="G551" s="171"/>
      <c r="H551" s="172"/>
    </row>
    <row r="552" spans="1:14" s="82" customFormat="1" x14ac:dyDescent="0.25">
      <c r="A552" s="170" t="s">
        <v>274</v>
      </c>
      <c r="B552" s="171"/>
      <c r="C552" s="171"/>
      <c r="D552" s="171"/>
      <c r="E552" s="171"/>
      <c r="F552" s="171"/>
      <c r="G552" s="171"/>
      <c r="H552" s="172"/>
    </row>
    <row r="553" spans="1:14" s="82" customFormat="1" x14ac:dyDescent="0.25">
      <c r="A553" s="169" t="s">
        <v>212</v>
      </c>
      <c r="B553" s="169"/>
      <c r="C553" s="169"/>
      <c r="D553" s="169"/>
      <c r="E553" s="169"/>
      <c r="F553" s="169"/>
      <c r="G553" s="169"/>
      <c r="H553" s="169"/>
      <c r="I553" s="71"/>
      <c r="L553" s="167"/>
      <c r="M553" s="167"/>
    </row>
    <row r="554" spans="1:14" s="82" customFormat="1" x14ac:dyDescent="0.25">
      <c r="A554" s="164">
        <v>1</v>
      </c>
      <c r="B554" s="164"/>
      <c r="C554" s="81" t="s">
        <v>240</v>
      </c>
      <c r="D554" s="81">
        <f>(45.22+2.1*1.125)*10.764</f>
        <v>512.17802999999992</v>
      </c>
      <c r="E554" s="81">
        <v>0</v>
      </c>
      <c r="F554" s="81">
        <f>D554*(($F$214)+1)+E554</f>
        <v>819.48484799999994</v>
      </c>
      <c r="G554" s="164" t="str">
        <f>A553</f>
        <v>1st Floor</v>
      </c>
      <c r="H554" s="164"/>
      <c r="I554" s="71">
        <f>4.35*2.9+2.75*2.45+2.175*2.55+3*2.98+2.25*1.35+1*1.05+1.35*2.15+0.9*2.175</f>
        <v>42.786250000000003</v>
      </c>
      <c r="J554" s="82">
        <f>2.1*1.125</f>
        <v>2.3625000000000003</v>
      </c>
      <c r="K554" s="83">
        <f>I554+J554</f>
        <v>45.14875</v>
      </c>
      <c r="N554" s="71"/>
    </row>
    <row r="555" spans="1:14" s="82" customFormat="1" x14ac:dyDescent="0.25">
      <c r="A555" s="164">
        <f>A554+1</f>
        <v>2</v>
      </c>
      <c r="B555" s="164"/>
      <c r="C555" s="81" t="s">
        <v>227</v>
      </c>
      <c r="D555" s="81">
        <f>(33.64+2.085*1.05)*10.764</f>
        <v>385.66604699999999</v>
      </c>
      <c r="E555" s="81">
        <v>0</v>
      </c>
      <c r="F555" s="81">
        <f t="shared" ref="F555:F556" si="252">D555*(($F$214)+1)+E555</f>
        <v>617.06567519999999</v>
      </c>
      <c r="G555" s="164" t="str">
        <f t="shared" ref="G555:G561" si="253">G554</f>
        <v>1st Floor</v>
      </c>
      <c r="H555" s="164"/>
      <c r="I555" s="71"/>
      <c r="N555" s="71"/>
    </row>
    <row r="556" spans="1:14" s="82" customFormat="1" x14ac:dyDescent="0.25">
      <c r="A556" s="164">
        <f>A555+1</f>
        <v>3</v>
      </c>
      <c r="B556" s="164"/>
      <c r="C556" s="81" t="s">
        <v>227</v>
      </c>
      <c r="D556" s="81">
        <f>(33.64+2.085*1.05)*10.764</f>
        <v>385.66604699999999</v>
      </c>
      <c r="E556" s="81">
        <v>0</v>
      </c>
      <c r="F556" s="81">
        <f t="shared" si="252"/>
        <v>617.06567519999999</v>
      </c>
      <c r="G556" s="164" t="str">
        <f t="shared" si="253"/>
        <v>1st Floor</v>
      </c>
      <c r="H556" s="164"/>
      <c r="I556" s="71"/>
      <c r="N556" s="71"/>
    </row>
    <row r="557" spans="1:14" s="82" customFormat="1" ht="15.75" customHeight="1" x14ac:dyDescent="0.25">
      <c r="A557" s="164">
        <f t="shared" ref="A557:A561" si="254">A556+1</f>
        <v>4</v>
      </c>
      <c r="B557" s="164"/>
      <c r="C557" s="81" t="s">
        <v>240</v>
      </c>
      <c r="D557" s="81">
        <f>(45.22+2.1*1.125)*10.764</f>
        <v>512.17802999999992</v>
      </c>
      <c r="E557" s="81">
        <v>0</v>
      </c>
      <c r="F557" s="81">
        <f t="shared" ref="F557" si="255">D557*(($F$214)+1)+E557</f>
        <v>819.48484799999994</v>
      </c>
      <c r="G557" s="165" t="str">
        <f t="shared" si="253"/>
        <v>1st Floor</v>
      </c>
      <c r="H557" s="166"/>
      <c r="I557" s="71"/>
      <c r="N557" s="71"/>
    </row>
    <row r="558" spans="1:14" s="82" customFormat="1" ht="15.75" customHeight="1" x14ac:dyDescent="0.25">
      <c r="A558" s="164">
        <f t="shared" si="254"/>
        <v>5</v>
      </c>
      <c r="B558" s="164"/>
      <c r="C558" s="165" t="s">
        <v>275</v>
      </c>
      <c r="D558" s="168"/>
      <c r="E558" s="168"/>
      <c r="F558" s="166"/>
      <c r="G558" s="164" t="str">
        <f t="shared" si="253"/>
        <v>1st Floor</v>
      </c>
      <c r="H558" s="164"/>
      <c r="I558" s="71"/>
      <c r="N558" s="71"/>
    </row>
    <row r="559" spans="1:14" s="82" customFormat="1" x14ac:dyDescent="0.25">
      <c r="A559" s="164">
        <f t="shared" si="254"/>
        <v>6</v>
      </c>
      <c r="B559" s="164"/>
      <c r="C559" s="81" t="s">
        <v>228</v>
      </c>
      <c r="D559" s="81">
        <f>(53.71+2.35*1.05+1.83*0.875)*10.764</f>
        <v>621.93046500000003</v>
      </c>
      <c r="E559" s="81">
        <v>0</v>
      </c>
      <c r="F559" s="81">
        <f>D559*(($F$214)+1)+E559</f>
        <v>995.08874400000013</v>
      </c>
      <c r="G559" s="164" t="str">
        <f t="shared" si="253"/>
        <v>1st Floor</v>
      </c>
      <c r="H559" s="164"/>
      <c r="I559" s="71"/>
      <c r="N559" s="71"/>
    </row>
    <row r="560" spans="1:14" s="82" customFormat="1" x14ac:dyDescent="0.25">
      <c r="A560" s="164">
        <f>A559+1</f>
        <v>7</v>
      </c>
      <c r="B560" s="164"/>
      <c r="C560" s="81" t="s">
        <v>239</v>
      </c>
      <c r="D560" s="81">
        <f>(62.47+2.25*1.06+1.66*0.875)*10.764</f>
        <v>713.73392999999999</v>
      </c>
      <c r="E560" s="81">
        <v>0</v>
      </c>
      <c r="F560" s="81">
        <f>D560*(($F$214)+1)+E560</f>
        <v>1141.9742880000001</v>
      </c>
      <c r="G560" s="164" t="str">
        <f t="shared" si="253"/>
        <v>1st Floor</v>
      </c>
      <c r="H560" s="164"/>
      <c r="I560" s="71"/>
      <c r="N560" s="71"/>
    </row>
    <row r="561" spans="1:14" s="82" customFormat="1" x14ac:dyDescent="0.25">
      <c r="A561" s="164">
        <f t="shared" si="254"/>
        <v>8</v>
      </c>
      <c r="B561" s="164"/>
      <c r="C561" s="81" t="s">
        <v>240</v>
      </c>
      <c r="D561" s="81">
        <f>(45.22+2.1*1.125)*10.764</f>
        <v>512.17802999999992</v>
      </c>
      <c r="E561" s="81">
        <v>0</v>
      </c>
      <c r="F561" s="81">
        <f>D561*(($F$214)+1)+E561</f>
        <v>819.48484799999994</v>
      </c>
      <c r="G561" s="164" t="str">
        <f t="shared" si="253"/>
        <v>1st Floor</v>
      </c>
      <c r="H561" s="164"/>
      <c r="I561" s="71"/>
      <c r="N561" s="71"/>
    </row>
    <row r="562" spans="1:14" s="82" customFormat="1" x14ac:dyDescent="0.25">
      <c r="A562" s="169" t="s">
        <v>271</v>
      </c>
      <c r="B562" s="169"/>
      <c r="C562" s="169"/>
      <c r="D562" s="169"/>
      <c r="E562" s="169"/>
      <c r="F562" s="169"/>
      <c r="G562" s="169"/>
      <c r="H562" s="169"/>
      <c r="I562" s="71"/>
      <c r="L562" s="167"/>
      <c r="M562" s="167"/>
    </row>
    <row r="563" spans="1:14" s="82" customFormat="1" x14ac:dyDescent="0.25">
      <c r="A563" s="164">
        <v>1</v>
      </c>
      <c r="B563" s="164"/>
      <c r="C563" s="109" t="s">
        <v>240</v>
      </c>
      <c r="D563" s="109">
        <f>(45.22+2.1*1.125)*10.764</f>
        <v>512.17802999999992</v>
      </c>
      <c r="E563" s="109">
        <v>0</v>
      </c>
      <c r="F563" s="109">
        <f>D563*(($F$214)+1)+E563</f>
        <v>819.48484799999994</v>
      </c>
      <c r="G563" s="164" t="str">
        <f>A562</f>
        <v>2nd to 7th, 9th to 13th &amp; 15th Floor</v>
      </c>
      <c r="H563" s="164"/>
      <c r="I563" s="71">
        <f>4.35*2.9+2.75*2.45+2.175*2.55+3*2.98+2.25*1.35+1*1.05+1.35*2.15+0.9*2.175</f>
        <v>42.786250000000003</v>
      </c>
      <c r="J563" s="82">
        <f>2.1*1.125</f>
        <v>2.3625000000000003</v>
      </c>
      <c r="K563" s="83">
        <f>I563+J563</f>
        <v>45.14875</v>
      </c>
      <c r="N563" s="71"/>
    </row>
    <row r="564" spans="1:14" s="82" customFormat="1" x14ac:dyDescent="0.25">
      <c r="A564" s="164">
        <f>A563+1</f>
        <v>2</v>
      </c>
      <c r="B564" s="164"/>
      <c r="C564" s="109" t="s">
        <v>240</v>
      </c>
      <c r="D564" s="109">
        <f>(46.02+2.085*1.05)*10.764</f>
        <v>518.92436699999996</v>
      </c>
      <c r="E564" s="109">
        <v>0</v>
      </c>
      <c r="F564" s="109">
        <f t="shared" ref="F564:F567" si="256">D564*(($F$214)+1)+E564</f>
        <v>830.27898719999996</v>
      </c>
      <c r="G564" s="164" t="str">
        <f t="shared" ref="G564:G570" si="257">G563</f>
        <v>2nd to 7th, 9th to 13th &amp; 15th Floor</v>
      </c>
      <c r="H564" s="164"/>
      <c r="I564" s="71"/>
      <c r="N564" s="71"/>
    </row>
    <row r="565" spans="1:14" s="82" customFormat="1" x14ac:dyDescent="0.25">
      <c r="A565" s="164">
        <f>A564+1</f>
        <v>3</v>
      </c>
      <c r="B565" s="164"/>
      <c r="C565" s="109" t="s">
        <v>240</v>
      </c>
      <c r="D565" s="109">
        <f>(46.02+2.085*1.05)*10.764</f>
        <v>518.92436699999996</v>
      </c>
      <c r="E565" s="109">
        <v>0</v>
      </c>
      <c r="F565" s="109">
        <f t="shared" si="256"/>
        <v>830.27898719999996</v>
      </c>
      <c r="G565" s="164" t="str">
        <f t="shared" si="257"/>
        <v>2nd to 7th, 9th to 13th &amp; 15th Floor</v>
      </c>
      <c r="H565" s="164"/>
      <c r="I565" s="71"/>
      <c r="N565" s="71"/>
    </row>
    <row r="566" spans="1:14" s="82" customFormat="1" ht="15.75" customHeight="1" x14ac:dyDescent="0.25">
      <c r="A566" s="164">
        <f t="shared" ref="A566:A570" si="258">A565+1</f>
        <v>4</v>
      </c>
      <c r="B566" s="164"/>
      <c r="C566" s="109" t="s">
        <v>240</v>
      </c>
      <c r="D566" s="109">
        <f>(45.22+2.1*1.125)*10.764</f>
        <v>512.17802999999992</v>
      </c>
      <c r="E566" s="109">
        <v>0</v>
      </c>
      <c r="F566" s="109">
        <f t="shared" si="256"/>
        <v>819.48484799999994</v>
      </c>
      <c r="G566" s="164" t="str">
        <f t="shared" si="257"/>
        <v>2nd to 7th, 9th to 13th &amp; 15th Floor</v>
      </c>
      <c r="H566" s="164"/>
      <c r="I566" s="71"/>
      <c r="N566" s="71"/>
    </row>
    <row r="567" spans="1:14" s="82" customFormat="1" ht="15.75" customHeight="1" x14ac:dyDescent="0.25">
      <c r="A567" s="164">
        <f t="shared" si="258"/>
        <v>5</v>
      </c>
      <c r="B567" s="164"/>
      <c r="C567" s="109" t="s">
        <v>240</v>
      </c>
      <c r="D567" s="109">
        <f>(45.22+2.1*1.125)*10.764</f>
        <v>512.17802999999992</v>
      </c>
      <c r="E567" s="109">
        <v>0</v>
      </c>
      <c r="F567" s="109">
        <f t="shared" si="256"/>
        <v>819.48484799999994</v>
      </c>
      <c r="G567" s="164" t="str">
        <f t="shared" si="257"/>
        <v>2nd to 7th, 9th to 13th &amp; 15th Floor</v>
      </c>
      <c r="H567" s="164"/>
      <c r="I567" s="71"/>
      <c r="N567" s="71"/>
    </row>
    <row r="568" spans="1:14" s="82" customFormat="1" x14ac:dyDescent="0.25">
      <c r="A568" s="164">
        <f t="shared" si="258"/>
        <v>6</v>
      </c>
      <c r="B568" s="164"/>
      <c r="C568" s="109" t="s">
        <v>228</v>
      </c>
      <c r="D568" s="109">
        <f>(53.71+2.35*1.05+1.83*0.875)*10.764</f>
        <v>621.93046500000003</v>
      </c>
      <c r="E568" s="109">
        <v>0</v>
      </c>
      <c r="F568" s="109">
        <f>D568*(($F$214)+1)+E568</f>
        <v>995.08874400000013</v>
      </c>
      <c r="G568" s="164" t="str">
        <f t="shared" si="257"/>
        <v>2nd to 7th, 9th to 13th &amp; 15th Floor</v>
      </c>
      <c r="H568" s="164"/>
      <c r="I568" s="71"/>
      <c r="N568" s="71"/>
    </row>
    <row r="569" spans="1:14" s="82" customFormat="1" x14ac:dyDescent="0.25">
      <c r="A569" s="164">
        <f>A568+1</f>
        <v>7</v>
      </c>
      <c r="B569" s="164"/>
      <c r="C569" s="109" t="s">
        <v>239</v>
      </c>
      <c r="D569" s="109">
        <f>(62.47+2.25*1.06+1.66*0.875)*10.764</f>
        <v>713.73392999999999</v>
      </c>
      <c r="E569" s="109">
        <v>0</v>
      </c>
      <c r="F569" s="109">
        <f>D569*(($F$214)+1)+E569</f>
        <v>1141.9742880000001</v>
      </c>
      <c r="G569" s="164" t="str">
        <f t="shared" si="257"/>
        <v>2nd to 7th, 9th to 13th &amp; 15th Floor</v>
      </c>
      <c r="H569" s="164"/>
      <c r="I569" s="71"/>
      <c r="N569" s="71"/>
    </row>
    <row r="570" spans="1:14" s="82" customFormat="1" x14ac:dyDescent="0.25">
      <c r="A570" s="164">
        <f t="shared" si="258"/>
        <v>8</v>
      </c>
      <c r="B570" s="164"/>
      <c r="C570" s="109" t="s">
        <v>240</v>
      </c>
      <c r="D570" s="109">
        <f>(45.22+2.1*1.125)*10.764</f>
        <v>512.17802999999992</v>
      </c>
      <c r="E570" s="109">
        <v>0</v>
      </c>
      <c r="F570" s="109">
        <f>D570*(($F$214)+1)+E570</f>
        <v>819.48484799999994</v>
      </c>
      <c r="G570" s="164" t="str">
        <f t="shared" si="257"/>
        <v>2nd to 7th, 9th to 13th &amp; 15th Floor</v>
      </c>
      <c r="H570" s="164"/>
      <c r="I570" s="71"/>
      <c r="N570" s="71"/>
    </row>
    <row r="571" spans="1:14" s="82" customFormat="1" x14ac:dyDescent="0.25">
      <c r="A571" s="169" t="s">
        <v>242</v>
      </c>
      <c r="B571" s="169"/>
      <c r="C571" s="169"/>
      <c r="D571" s="169"/>
      <c r="E571" s="169"/>
      <c r="F571" s="169"/>
      <c r="G571" s="169"/>
      <c r="H571" s="169"/>
      <c r="I571" s="71"/>
      <c r="L571" s="167"/>
      <c r="M571" s="167"/>
    </row>
    <row r="572" spans="1:14" s="82" customFormat="1" x14ac:dyDescent="0.25">
      <c r="A572" s="164">
        <v>1</v>
      </c>
      <c r="B572" s="164"/>
      <c r="C572" s="164" t="s">
        <v>211</v>
      </c>
      <c r="D572" s="164"/>
      <c r="E572" s="164"/>
      <c r="F572" s="164"/>
      <c r="G572" s="164" t="str">
        <f>A571</f>
        <v>8th &amp; 14th Floor (Part Refuge Area)</v>
      </c>
      <c r="H572" s="164"/>
      <c r="I572" s="71">
        <f>4.35*2.9+2.75*2.45+2.175*2.55+3*2.98+2.25*1.35+1*1.05+1.35*2.15+0.9*2.175</f>
        <v>42.786250000000003</v>
      </c>
      <c r="J572" s="82">
        <f>2.1*1.125</f>
        <v>2.3625000000000003</v>
      </c>
      <c r="K572" s="83">
        <f>I572+J572</f>
        <v>45.14875</v>
      </c>
      <c r="N572" s="71"/>
    </row>
    <row r="573" spans="1:14" s="82" customFormat="1" x14ac:dyDescent="0.25">
      <c r="A573" s="164">
        <f>A572+1</f>
        <v>2</v>
      </c>
      <c r="B573" s="164"/>
      <c r="C573" s="109" t="s">
        <v>240</v>
      </c>
      <c r="D573" s="109">
        <f>(46.02+2.085*1.05)*10.764</f>
        <v>518.92436699999996</v>
      </c>
      <c r="E573" s="109">
        <v>0</v>
      </c>
      <c r="F573" s="109">
        <f t="shared" ref="F573:F576" si="259">D573*(($F$214)+1)+E573</f>
        <v>830.27898719999996</v>
      </c>
      <c r="G573" s="164" t="str">
        <f t="shared" ref="G573:G579" si="260">G572</f>
        <v>8th &amp; 14th Floor (Part Refuge Area)</v>
      </c>
      <c r="H573" s="164"/>
      <c r="I573" s="71"/>
      <c r="N573" s="71"/>
    </row>
    <row r="574" spans="1:14" s="82" customFormat="1" x14ac:dyDescent="0.25">
      <c r="A574" s="164">
        <f>A573+1</f>
        <v>3</v>
      </c>
      <c r="B574" s="164"/>
      <c r="C574" s="81" t="s">
        <v>240</v>
      </c>
      <c r="D574" s="81">
        <f>(46.02+2.085*1.05)*10.764</f>
        <v>518.92436699999996</v>
      </c>
      <c r="E574" s="81">
        <v>0</v>
      </c>
      <c r="F574" s="81">
        <f t="shared" si="259"/>
        <v>830.27898719999996</v>
      </c>
      <c r="G574" s="164" t="str">
        <f t="shared" si="260"/>
        <v>8th &amp; 14th Floor (Part Refuge Area)</v>
      </c>
      <c r="H574" s="164"/>
      <c r="I574" s="71"/>
      <c r="N574" s="71"/>
    </row>
    <row r="575" spans="1:14" s="82" customFormat="1" ht="15.75" customHeight="1" x14ac:dyDescent="0.25">
      <c r="A575" s="164">
        <f t="shared" ref="A575:A579" si="261">A574+1</f>
        <v>4</v>
      </c>
      <c r="B575" s="164"/>
      <c r="C575" s="81" t="s">
        <v>240</v>
      </c>
      <c r="D575" s="81">
        <f>(45.22+2.1*1.125)*10.764</f>
        <v>512.17802999999992</v>
      </c>
      <c r="E575" s="81">
        <v>0</v>
      </c>
      <c r="F575" s="81">
        <f t="shared" si="259"/>
        <v>819.48484799999994</v>
      </c>
      <c r="G575" s="165" t="str">
        <f t="shared" si="260"/>
        <v>8th &amp; 14th Floor (Part Refuge Area)</v>
      </c>
      <c r="H575" s="166"/>
      <c r="I575" s="71"/>
      <c r="N575" s="71"/>
    </row>
    <row r="576" spans="1:14" s="82" customFormat="1" ht="15.75" customHeight="1" x14ac:dyDescent="0.25">
      <c r="A576" s="164">
        <f t="shared" si="261"/>
        <v>5</v>
      </c>
      <c r="B576" s="164"/>
      <c r="C576" s="81" t="s">
        <v>240</v>
      </c>
      <c r="D576" s="81">
        <f>(45.22+2.1*1.125)*10.764</f>
        <v>512.17802999999992</v>
      </c>
      <c r="E576" s="81">
        <v>0</v>
      </c>
      <c r="F576" s="81">
        <f t="shared" si="259"/>
        <v>819.48484799999994</v>
      </c>
      <c r="G576" s="164" t="str">
        <f t="shared" si="260"/>
        <v>8th &amp; 14th Floor (Part Refuge Area)</v>
      </c>
      <c r="H576" s="164"/>
      <c r="I576" s="71"/>
      <c r="N576" s="71"/>
    </row>
    <row r="577" spans="1:14" s="82" customFormat="1" x14ac:dyDescent="0.25">
      <c r="A577" s="164">
        <f t="shared" si="261"/>
        <v>6</v>
      </c>
      <c r="B577" s="164"/>
      <c r="C577" s="81" t="s">
        <v>228</v>
      </c>
      <c r="D577" s="81">
        <f>(53.71+2.35*1.05+1.83*0.875)*10.764</f>
        <v>621.93046500000003</v>
      </c>
      <c r="E577" s="81">
        <v>0</v>
      </c>
      <c r="F577" s="81">
        <f>D577*(($F$214)+1)+E577</f>
        <v>995.08874400000013</v>
      </c>
      <c r="G577" s="164" t="str">
        <f t="shared" si="260"/>
        <v>8th &amp; 14th Floor (Part Refuge Area)</v>
      </c>
      <c r="H577" s="164"/>
      <c r="I577" s="71"/>
      <c r="N577" s="71"/>
    </row>
    <row r="578" spans="1:14" s="82" customFormat="1" x14ac:dyDescent="0.25">
      <c r="A578" s="164">
        <f>A577+1</f>
        <v>7</v>
      </c>
      <c r="B578" s="164"/>
      <c r="C578" s="81" t="s">
        <v>239</v>
      </c>
      <c r="D578" s="81">
        <f>(62.47+2.25*1.06+1.66*0.875)*10.764</f>
        <v>713.73392999999999</v>
      </c>
      <c r="E578" s="81">
        <v>0</v>
      </c>
      <c r="F578" s="81">
        <f>D578*(($F$214)+1)+E578</f>
        <v>1141.9742880000001</v>
      </c>
      <c r="G578" s="164" t="str">
        <f t="shared" si="260"/>
        <v>8th &amp; 14th Floor (Part Refuge Area)</v>
      </c>
      <c r="H578" s="164"/>
      <c r="I578" s="71"/>
      <c r="N578" s="71"/>
    </row>
    <row r="579" spans="1:14" s="82" customFormat="1" x14ac:dyDescent="0.25">
      <c r="A579" s="164">
        <f t="shared" si="261"/>
        <v>8</v>
      </c>
      <c r="B579" s="164"/>
      <c r="C579" s="81" t="s">
        <v>240</v>
      </c>
      <c r="D579" s="81">
        <f>(45.22+2.1*1.125)*10.764</f>
        <v>512.17802999999992</v>
      </c>
      <c r="E579" s="81">
        <v>0</v>
      </c>
      <c r="F579" s="81">
        <f>D579*(($F$214)+1)+E579</f>
        <v>819.48484799999994</v>
      </c>
      <c r="G579" s="164" t="str">
        <f t="shared" si="260"/>
        <v>8th &amp; 14th Floor (Part Refuge Area)</v>
      </c>
      <c r="H579" s="164"/>
      <c r="I579" s="71"/>
      <c r="N579" s="71"/>
    </row>
    <row r="580" spans="1:14" s="82" customFormat="1" x14ac:dyDescent="0.25">
      <c r="A580" s="169" t="s">
        <v>276</v>
      </c>
      <c r="B580" s="169"/>
      <c r="C580" s="169"/>
      <c r="D580" s="169"/>
      <c r="E580" s="169"/>
      <c r="F580" s="169"/>
      <c r="G580" s="169"/>
      <c r="H580" s="169"/>
      <c r="I580" s="71"/>
      <c r="L580" s="167"/>
      <c r="M580" s="167"/>
    </row>
    <row r="581" spans="1:14" s="82" customFormat="1" x14ac:dyDescent="0.25">
      <c r="A581" s="164">
        <v>1</v>
      </c>
      <c r="B581" s="164"/>
      <c r="C581" s="102" t="s">
        <v>240</v>
      </c>
      <c r="D581" s="102">
        <f>(45.38+2.1*1.125)*10.764</f>
        <v>513.90026999999998</v>
      </c>
      <c r="E581" s="102">
        <v>0</v>
      </c>
      <c r="F581" s="102">
        <f>D581*(($F$214)+1)+E581</f>
        <v>822.24043200000006</v>
      </c>
      <c r="G581" s="164" t="str">
        <f>A580</f>
        <v>16th to 18th, 20th to 23th, 25th to 28th, 30th to 32nd Floor</v>
      </c>
      <c r="H581" s="164"/>
      <c r="I581" s="71">
        <f>4.35*2.9+2.75*2.45+2.175*2.55+3*2.98+2.25*1.35+1*1.05+1.35*2.15+0.9*2.175</f>
        <v>42.786250000000003</v>
      </c>
      <c r="J581" s="82">
        <f>2.1*1.125</f>
        <v>2.3625000000000003</v>
      </c>
      <c r="K581" s="83">
        <f>I581+J581</f>
        <v>45.14875</v>
      </c>
      <c r="N581" s="71"/>
    </row>
    <row r="582" spans="1:14" s="82" customFormat="1" x14ac:dyDescent="0.25">
      <c r="A582" s="164">
        <f>A581+1</f>
        <v>2</v>
      </c>
      <c r="B582" s="164"/>
      <c r="C582" s="102" t="s">
        <v>240</v>
      </c>
      <c r="D582" s="102">
        <f>(46.26+2.085*1.05)*10.764</f>
        <v>521.50772699999993</v>
      </c>
      <c r="E582" s="102">
        <v>0</v>
      </c>
      <c r="F582" s="102">
        <f t="shared" ref="F582:F585" si="262">D582*(($F$214)+1)+E582</f>
        <v>834.41236319999996</v>
      </c>
      <c r="G582" s="164" t="str">
        <f t="shared" ref="G582:G588" si="263">G581</f>
        <v>16th to 18th, 20th to 23th, 25th to 28th, 30th to 32nd Floor</v>
      </c>
      <c r="H582" s="164"/>
      <c r="I582" s="71"/>
      <c r="N582" s="71"/>
    </row>
    <row r="583" spans="1:14" s="82" customFormat="1" x14ac:dyDescent="0.25">
      <c r="A583" s="164">
        <f>A582+1</f>
        <v>3</v>
      </c>
      <c r="B583" s="164"/>
      <c r="C583" s="102" t="s">
        <v>240</v>
      </c>
      <c r="D583" s="102">
        <f>(46.16+2.085*1.05)*10.764</f>
        <v>520.4313269999999</v>
      </c>
      <c r="E583" s="102">
        <v>0</v>
      </c>
      <c r="F583" s="102">
        <f t="shared" si="262"/>
        <v>832.6901231999999</v>
      </c>
      <c r="G583" s="164" t="str">
        <f t="shared" si="263"/>
        <v>16th to 18th, 20th to 23th, 25th to 28th, 30th to 32nd Floor</v>
      </c>
      <c r="H583" s="164"/>
      <c r="I583" s="71"/>
      <c r="N583" s="71"/>
    </row>
    <row r="584" spans="1:14" s="82" customFormat="1" ht="15.75" customHeight="1" x14ac:dyDescent="0.25">
      <c r="A584" s="164">
        <f t="shared" ref="A584:A588" si="264">A583+1</f>
        <v>4</v>
      </c>
      <c r="B584" s="164"/>
      <c r="C584" s="102" t="s">
        <v>240</v>
      </c>
      <c r="D584" s="102">
        <f>(45.6+2.1*1.125)*10.764</f>
        <v>516.26834999999994</v>
      </c>
      <c r="E584" s="102">
        <v>0</v>
      </c>
      <c r="F584" s="102">
        <f t="shared" si="262"/>
        <v>826.02936</v>
      </c>
      <c r="G584" s="164" t="str">
        <f t="shared" si="263"/>
        <v>16th to 18th, 20th to 23th, 25th to 28th, 30th to 32nd Floor</v>
      </c>
      <c r="H584" s="164"/>
      <c r="I584" s="71"/>
      <c r="N584" s="71"/>
    </row>
    <row r="585" spans="1:14" s="82" customFormat="1" ht="15.75" customHeight="1" x14ac:dyDescent="0.25">
      <c r="A585" s="164">
        <f t="shared" si="264"/>
        <v>5</v>
      </c>
      <c r="B585" s="164"/>
      <c r="C585" s="102" t="s">
        <v>240</v>
      </c>
      <c r="D585" s="102">
        <f>(45.46+2.1*1.125)*10.764</f>
        <v>514.76138999999989</v>
      </c>
      <c r="E585" s="102">
        <v>0</v>
      </c>
      <c r="F585" s="102">
        <f t="shared" si="262"/>
        <v>823.61822399999983</v>
      </c>
      <c r="G585" s="164" t="str">
        <f t="shared" si="263"/>
        <v>16th to 18th, 20th to 23th, 25th to 28th, 30th to 32nd Floor</v>
      </c>
      <c r="H585" s="164"/>
      <c r="I585" s="71"/>
      <c r="N585" s="71"/>
    </row>
    <row r="586" spans="1:14" s="82" customFormat="1" x14ac:dyDescent="0.25">
      <c r="A586" s="164">
        <f t="shared" si="264"/>
        <v>6</v>
      </c>
      <c r="B586" s="164"/>
      <c r="C586" s="81" t="s">
        <v>228</v>
      </c>
      <c r="D586" s="81">
        <f>(53.77+2.35*1.05+1.83*0.875)*10.764</f>
        <v>622.57630500000005</v>
      </c>
      <c r="E586" s="81">
        <v>0</v>
      </c>
      <c r="F586" s="81">
        <f>D586*(($F$214)+1)+E586</f>
        <v>996.12208800000008</v>
      </c>
      <c r="G586" s="164" t="str">
        <f t="shared" si="263"/>
        <v>16th to 18th, 20th to 23th, 25th to 28th, 30th to 32nd Floor</v>
      </c>
      <c r="H586" s="164"/>
      <c r="I586" s="71"/>
      <c r="N586" s="71"/>
    </row>
    <row r="587" spans="1:14" s="82" customFormat="1" x14ac:dyDescent="0.25">
      <c r="A587" s="164">
        <f>A586+1</f>
        <v>7</v>
      </c>
      <c r="B587" s="164"/>
      <c r="C587" s="81" t="s">
        <v>239</v>
      </c>
      <c r="D587" s="81">
        <f>(62.66+2.25*1.06+1.66*0.875)*10.764</f>
        <v>715.77909</v>
      </c>
      <c r="E587" s="81">
        <v>0</v>
      </c>
      <c r="F587" s="81">
        <f>D587*(($F$214)+1)+E587</f>
        <v>1145.2465440000001</v>
      </c>
      <c r="G587" s="164" t="str">
        <f t="shared" si="263"/>
        <v>16th to 18th, 20th to 23th, 25th to 28th, 30th to 32nd Floor</v>
      </c>
      <c r="H587" s="164"/>
      <c r="I587" s="71"/>
      <c r="N587" s="71"/>
    </row>
    <row r="588" spans="1:14" s="82" customFormat="1" x14ac:dyDescent="0.25">
      <c r="A588" s="164">
        <f t="shared" si="264"/>
        <v>8</v>
      </c>
      <c r="B588" s="164"/>
      <c r="C588" s="81" t="s">
        <v>240</v>
      </c>
      <c r="D588" s="81">
        <f>(45.38+2.1*1.125)*10.764</f>
        <v>513.90026999999998</v>
      </c>
      <c r="E588" s="81">
        <v>0</v>
      </c>
      <c r="F588" s="81">
        <f>D588*(($F$214)+1)+E588</f>
        <v>822.24043200000006</v>
      </c>
      <c r="G588" s="164" t="str">
        <f t="shared" si="263"/>
        <v>16th to 18th, 20th to 23th, 25th to 28th, 30th to 32nd Floor</v>
      </c>
      <c r="H588" s="164"/>
      <c r="I588" s="71"/>
      <c r="N588" s="71"/>
    </row>
    <row r="589" spans="1:14" s="82" customFormat="1" x14ac:dyDescent="0.25">
      <c r="A589" s="169" t="s">
        <v>244</v>
      </c>
      <c r="B589" s="169"/>
      <c r="C589" s="169"/>
      <c r="D589" s="169"/>
      <c r="E589" s="169"/>
      <c r="F589" s="169"/>
      <c r="G589" s="169"/>
      <c r="H589" s="169"/>
      <c r="I589" s="71"/>
      <c r="L589" s="167"/>
      <c r="M589" s="167"/>
    </row>
    <row r="590" spans="1:14" s="82" customFormat="1" x14ac:dyDescent="0.25">
      <c r="A590" s="164">
        <v>1</v>
      </c>
      <c r="B590" s="164"/>
      <c r="C590" s="165" t="s">
        <v>211</v>
      </c>
      <c r="D590" s="168"/>
      <c r="E590" s="168"/>
      <c r="F590" s="166"/>
      <c r="G590" s="164" t="str">
        <f>A589</f>
        <v>19th, 24th &amp; 29th Floor (Part Refuge Area)</v>
      </c>
      <c r="H590" s="164"/>
      <c r="I590" s="71">
        <f>4.35*2.9+2.75*2.45+2.175*2.55+3*2.98+2.25*1.35+1*1.05+1.35*2.15+0.9*2.175</f>
        <v>42.786250000000003</v>
      </c>
      <c r="J590" s="82">
        <f>2.1*1.125</f>
        <v>2.3625000000000003</v>
      </c>
      <c r="K590" s="83">
        <f>I590+J590</f>
        <v>45.14875</v>
      </c>
      <c r="N590" s="71"/>
    </row>
    <row r="591" spans="1:14" s="82" customFormat="1" x14ac:dyDescent="0.25">
      <c r="A591" s="164">
        <f>A590+1</f>
        <v>2</v>
      </c>
      <c r="B591" s="164"/>
      <c r="C591" s="81" t="s">
        <v>240</v>
      </c>
      <c r="D591" s="81">
        <f>(46.26+2.085*1.05)*10.764</f>
        <v>521.50772699999993</v>
      </c>
      <c r="E591" s="81">
        <v>0</v>
      </c>
      <c r="F591" s="81">
        <f t="shared" ref="F591:F594" si="265">D591*(($F$214)+1)+E591</f>
        <v>834.41236319999996</v>
      </c>
      <c r="G591" s="164" t="str">
        <f t="shared" ref="G591:G597" si="266">G590</f>
        <v>19th, 24th &amp; 29th Floor (Part Refuge Area)</v>
      </c>
      <c r="H591" s="164"/>
      <c r="I591" s="71"/>
      <c r="N591" s="71"/>
    </row>
    <row r="592" spans="1:14" s="82" customFormat="1" x14ac:dyDescent="0.25">
      <c r="A592" s="164">
        <f>A591+1</f>
        <v>3</v>
      </c>
      <c r="B592" s="164"/>
      <c r="C592" s="81" t="s">
        <v>240</v>
      </c>
      <c r="D592" s="81">
        <f>(46.16+2.085*1.05)*10.764</f>
        <v>520.4313269999999</v>
      </c>
      <c r="E592" s="81">
        <v>0</v>
      </c>
      <c r="F592" s="81">
        <f t="shared" si="265"/>
        <v>832.6901231999999</v>
      </c>
      <c r="G592" s="164" t="str">
        <f t="shared" si="266"/>
        <v>19th, 24th &amp; 29th Floor (Part Refuge Area)</v>
      </c>
      <c r="H592" s="164"/>
      <c r="I592" s="71"/>
      <c r="N592" s="71"/>
    </row>
    <row r="593" spans="1:14" s="82" customFormat="1" ht="15.75" customHeight="1" x14ac:dyDescent="0.25">
      <c r="A593" s="164">
        <f t="shared" ref="A593:A597" si="267">A592+1</f>
        <v>4</v>
      </c>
      <c r="B593" s="164"/>
      <c r="C593" s="81" t="s">
        <v>240</v>
      </c>
      <c r="D593" s="81">
        <f>(45.6+2.1*1.125)*10.764</f>
        <v>516.26834999999994</v>
      </c>
      <c r="E593" s="81">
        <v>0</v>
      </c>
      <c r="F593" s="81">
        <f t="shared" si="265"/>
        <v>826.02936</v>
      </c>
      <c r="G593" s="165" t="str">
        <f t="shared" si="266"/>
        <v>19th, 24th &amp; 29th Floor (Part Refuge Area)</v>
      </c>
      <c r="H593" s="166"/>
      <c r="I593" s="71"/>
      <c r="N593" s="71"/>
    </row>
    <row r="594" spans="1:14" s="82" customFormat="1" ht="15.75" customHeight="1" x14ac:dyDescent="0.25">
      <c r="A594" s="164">
        <f t="shared" si="267"/>
        <v>5</v>
      </c>
      <c r="B594" s="164"/>
      <c r="C594" s="81" t="s">
        <v>240</v>
      </c>
      <c r="D594" s="81">
        <f>(45.46+2.1*1.125)*10.764</f>
        <v>514.76138999999989</v>
      </c>
      <c r="E594" s="81">
        <v>0</v>
      </c>
      <c r="F594" s="81">
        <f t="shared" si="265"/>
        <v>823.61822399999983</v>
      </c>
      <c r="G594" s="164" t="str">
        <f t="shared" si="266"/>
        <v>19th, 24th &amp; 29th Floor (Part Refuge Area)</v>
      </c>
      <c r="H594" s="164"/>
      <c r="I594" s="71"/>
      <c r="N594" s="71"/>
    </row>
    <row r="595" spans="1:14" s="82" customFormat="1" x14ac:dyDescent="0.25">
      <c r="A595" s="164">
        <f t="shared" si="267"/>
        <v>6</v>
      </c>
      <c r="B595" s="164"/>
      <c r="C595" s="81" t="s">
        <v>228</v>
      </c>
      <c r="D595" s="81">
        <f>(53.77+2.35*1.05+1.83*0.875)*10.764</f>
        <v>622.57630500000005</v>
      </c>
      <c r="E595" s="81">
        <v>0</v>
      </c>
      <c r="F595" s="81">
        <f>D595*(($F$214)+1)+E595</f>
        <v>996.12208800000008</v>
      </c>
      <c r="G595" s="164" t="str">
        <f t="shared" si="266"/>
        <v>19th, 24th &amp; 29th Floor (Part Refuge Area)</v>
      </c>
      <c r="H595" s="164"/>
      <c r="I595" s="71"/>
      <c r="N595" s="71"/>
    </row>
    <row r="596" spans="1:14" s="82" customFormat="1" x14ac:dyDescent="0.25">
      <c r="A596" s="164">
        <f>A595+1</f>
        <v>7</v>
      </c>
      <c r="B596" s="164"/>
      <c r="C596" s="81" t="s">
        <v>239</v>
      </c>
      <c r="D596" s="81">
        <f>(62.66+2.25*1.06+1.66*0.875)*10.764</f>
        <v>715.77909</v>
      </c>
      <c r="E596" s="81">
        <v>0</v>
      </c>
      <c r="F596" s="81">
        <f>D596*(($F$214)+1)+E596</f>
        <v>1145.2465440000001</v>
      </c>
      <c r="G596" s="164" t="str">
        <f t="shared" si="266"/>
        <v>19th, 24th &amp; 29th Floor (Part Refuge Area)</v>
      </c>
      <c r="H596" s="164"/>
      <c r="I596" s="71"/>
      <c r="N596" s="71"/>
    </row>
    <row r="597" spans="1:14" s="82" customFormat="1" x14ac:dyDescent="0.25">
      <c r="A597" s="164">
        <f t="shared" si="267"/>
        <v>8</v>
      </c>
      <c r="B597" s="164"/>
      <c r="C597" s="81" t="s">
        <v>240</v>
      </c>
      <c r="D597" s="81">
        <f>(45.38+2.1*1.125)*10.764</f>
        <v>513.90026999999998</v>
      </c>
      <c r="E597" s="81">
        <v>0</v>
      </c>
      <c r="F597" s="81">
        <f>D597*(($F$214)+1)+E597</f>
        <v>822.24043200000006</v>
      </c>
      <c r="G597" s="164" t="str">
        <f t="shared" si="266"/>
        <v>19th, 24th &amp; 29th Floor (Part Refuge Area)</v>
      </c>
      <c r="H597" s="164"/>
      <c r="I597" s="71"/>
      <c r="N597" s="71"/>
    </row>
    <row r="598" spans="1:14" s="69" customFormat="1" x14ac:dyDescent="0.25">
      <c r="A598" s="229" t="s">
        <v>74</v>
      </c>
      <c r="B598" s="229"/>
      <c r="C598" s="229"/>
      <c r="D598" s="229"/>
      <c r="E598" s="229"/>
      <c r="F598" s="229"/>
      <c r="G598" s="229"/>
      <c r="H598" s="229"/>
    </row>
    <row r="599" spans="1:14" s="69" customFormat="1" ht="48.75" customHeight="1" x14ac:dyDescent="0.25">
      <c r="A599" s="46">
        <v>1</v>
      </c>
      <c r="B599" s="143" t="s">
        <v>317</v>
      </c>
      <c r="C599" s="144"/>
      <c r="D599" s="144"/>
      <c r="E599" s="144"/>
      <c r="F599" s="144"/>
      <c r="G599" s="144"/>
      <c r="H599" s="145"/>
    </row>
    <row r="600" spans="1:14" s="69" customFormat="1" x14ac:dyDescent="0.25">
      <c r="A600" s="45">
        <f>A599+1</f>
        <v>2</v>
      </c>
      <c r="B600" s="143" t="s">
        <v>230</v>
      </c>
      <c r="C600" s="144"/>
      <c r="D600" s="144"/>
      <c r="E600" s="144"/>
      <c r="F600" s="144"/>
      <c r="G600" s="144"/>
      <c r="H600" s="145"/>
    </row>
    <row r="601" spans="1:14" s="69" customFormat="1" x14ac:dyDescent="0.25">
      <c r="A601" s="45">
        <f t="shared" ref="A601:A609" si="268">A600+1</f>
        <v>3</v>
      </c>
      <c r="B601" s="238" t="s">
        <v>157</v>
      </c>
      <c r="C601" s="239"/>
      <c r="D601" s="239"/>
      <c r="E601" s="239"/>
      <c r="F601" s="239"/>
      <c r="G601" s="239"/>
      <c r="H601" s="240"/>
    </row>
    <row r="602" spans="1:14" s="69" customFormat="1" x14ac:dyDescent="0.25">
      <c r="A602" s="45">
        <f t="shared" si="268"/>
        <v>4</v>
      </c>
      <c r="B602" s="238" t="s">
        <v>252</v>
      </c>
      <c r="C602" s="239"/>
      <c r="D602" s="239"/>
      <c r="E602" s="239"/>
      <c r="F602" s="239"/>
      <c r="G602" s="239"/>
      <c r="H602" s="240"/>
    </row>
    <row r="603" spans="1:14" s="69" customFormat="1" x14ac:dyDescent="0.25">
      <c r="A603" s="45">
        <f t="shared" si="268"/>
        <v>5</v>
      </c>
      <c r="B603" s="238" t="s">
        <v>158</v>
      </c>
      <c r="C603" s="239"/>
      <c r="D603" s="239"/>
      <c r="E603" s="239"/>
      <c r="F603" s="239"/>
      <c r="G603" s="239"/>
      <c r="H603" s="240"/>
    </row>
    <row r="604" spans="1:14" s="69" customFormat="1" x14ac:dyDescent="0.25">
      <c r="A604" s="45">
        <f t="shared" si="268"/>
        <v>6</v>
      </c>
      <c r="B604" s="238" t="s">
        <v>159</v>
      </c>
      <c r="C604" s="239"/>
      <c r="D604" s="239"/>
      <c r="E604" s="239"/>
      <c r="F604" s="239"/>
      <c r="G604" s="239"/>
      <c r="H604" s="240"/>
    </row>
    <row r="605" spans="1:14" s="69" customFormat="1" x14ac:dyDescent="0.25">
      <c r="A605" s="45">
        <f t="shared" si="268"/>
        <v>7</v>
      </c>
      <c r="B605" s="143" t="s">
        <v>251</v>
      </c>
      <c r="C605" s="144"/>
      <c r="D605" s="144"/>
      <c r="E605" s="144"/>
      <c r="F605" s="144"/>
      <c r="G605" s="144"/>
      <c r="H605" s="145"/>
    </row>
    <row r="606" spans="1:14" s="69" customFormat="1" ht="32.25" customHeight="1" x14ac:dyDescent="0.25">
      <c r="A606" s="45">
        <f t="shared" si="268"/>
        <v>8</v>
      </c>
      <c r="B606" s="143" t="s">
        <v>314</v>
      </c>
      <c r="C606" s="144"/>
      <c r="D606" s="144"/>
      <c r="E606" s="144"/>
      <c r="F606" s="144"/>
      <c r="G606" s="144"/>
      <c r="H606" s="145"/>
    </row>
    <row r="607" spans="1:14" s="69" customFormat="1" ht="16.5" customHeight="1" x14ac:dyDescent="0.25">
      <c r="A607" s="46">
        <v>9</v>
      </c>
      <c r="B607" s="143" t="s">
        <v>277</v>
      </c>
      <c r="C607" s="144"/>
      <c r="D607" s="144"/>
      <c r="E607" s="144"/>
      <c r="F607" s="144"/>
      <c r="G607" s="144"/>
      <c r="H607" s="145"/>
    </row>
    <row r="608" spans="1:14" s="69" customFormat="1" ht="16.5" customHeight="1" x14ac:dyDescent="0.25">
      <c r="A608" s="97">
        <f t="shared" si="268"/>
        <v>10</v>
      </c>
      <c r="B608" s="143" t="s">
        <v>280</v>
      </c>
      <c r="C608" s="144"/>
      <c r="D608" s="144"/>
      <c r="E608" s="144"/>
      <c r="F608" s="144"/>
      <c r="G608" s="144"/>
      <c r="H608" s="145"/>
    </row>
    <row r="609" spans="1:8" s="69" customFormat="1" ht="16.5" customHeight="1" x14ac:dyDescent="0.25">
      <c r="A609" s="97">
        <f t="shared" si="268"/>
        <v>11</v>
      </c>
      <c r="B609" s="143" t="s">
        <v>279</v>
      </c>
      <c r="C609" s="144"/>
      <c r="D609" s="144"/>
      <c r="E609" s="144"/>
      <c r="F609" s="144"/>
      <c r="G609" s="144"/>
      <c r="H609" s="145"/>
    </row>
    <row r="610" spans="1:8" s="69" customFormat="1" x14ac:dyDescent="0.25">
      <c r="A610" s="100">
        <v>12</v>
      </c>
      <c r="B610" s="244" t="s">
        <v>308</v>
      </c>
      <c r="C610" s="245"/>
      <c r="D610" s="245"/>
      <c r="E610" s="245"/>
      <c r="F610" s="245"/>
      <c r="G610" s="245"/>
      <c r="H610" s="246"/>
    </row>
    <row r="611" spans="1:8" x14ac:dyDescent="0.25">
      <c r="A611" s="209" t="s">
        <v>67</v>
      </c>
      <c r="B611" s="209"/>
      <c r="C611" s="209"/>
      <c r="D611" s="209"/>
      <c r="E611" s="209"/>
      <c r="F611" s="209"/>
      <c r="G611" s="209"/>
      <c r="H611" s="209"/>
    </row>
    <row r="612" spans="1:8" x14ac:dyDescent="0.25">
      <c r="A612" s="135" t="s">
        <v>68</v>
      </c>
      <c r="B612" s="135"/>
      <c r="C612" s="135"/>
      <c r="D612" s="135"/>
      <c r="E612" s="135"/>
      <c r="F612" s="135"/>
      <c r="G612" s="135"/>
      <c r="H612" s="135"/>
    </row>
    <row r="613" spans="1:8" ht="15.75" customHeight="1" x14ac:dyDescent="0.25">
      <c r="A613" s="234" t="s">
        <v>69</v>
      </c>
      <c r="B613" s="234"/>
      <c r="C613" s="234"/>
      <c r="D613" s="234"/>
      <c r="E613" s="234"/>
      <c r="F613" s="234"/>
      <c r="G613" s="234"/>
      <c r="H613" s="234"/>
    </row>
    <row r="614" spans="1:8" x14ac:dyDescent="0.25">
      <c r="A614" s="135" t="s">
        <v>70</v>
      </c>
      <c r="B614" s="135"/>
      <c r="C614" s="135"/>
      <c r="D614" s="135"/>
      <c r="E614" s="135"/>
      <c r="F614" s="135"/>
      <c r="G614" s="135"/>
      <c r="H614" s="135"/>
    </row>
    <row r="615" spans="1:8" x14ac:dyDescent="0.25">
      <c r="A615" s="135" t="s">
        <v>71</v>
      </c>
      <c r="B615" s="135"/>
      <c r="C615" s="135"/>
      <c r="D615" s="135"/>
      <c r="E615" s="135"/>
      <c r="F615" s="135"/>
      <c r="G615" s="135"/>
      <c r="H615" s="135"/>
    </row>
    <row r="616" spans="1:8" x14ac:dyDescent="0.25">
      <c r="A616" s="135" t="s">
        <v>160</v>
      </c>
      <c r="B616" s="135"/>
      <c r="C616" s="135"/>
      <c r="D616" s="135"/>
      <c r="E616" s="135"/>
      <c r="F616" s="135"/>
      <c r="G616" s="135"/>
      <c r="H616" s="135"/>
    </row>
    <row r="617" spans="1:8" ht="35.25" customHeight="1" x14ac:dyDescent="0.25">
      <c r="A617" s="137" t="s">
        <v>161</v>
      </c>
      <c r="B617" s="137"/>
      <c r="C617" s="137"/>
      <c r="D617" s="137"/>
      <c r="E617" s="137"/>
      <c r="F617" s="137"/>
      <c r="G617" s="137"/>
      <c r="H617" s="137"/>
    </row>
    <row r="618" spans="1:8" x14ac:dyDescent="0.25">
      <c r="A618" s="227" t="s">
        <v>105</v>
      </c>
      <c r="B618" s="227"/>
      <c r="C618" s="227" t="s">
        <v>316</v>
      </c>
      <c r="D618" s="227"/>
      <c r="E618" s="227" t="s">
        <v>138</v>
      </c>
      <c r="F618" s="227"/>
      <c r="G618" s="227" t="s">
        <v>315</v>
      </c>
      <c r="H618" s="227"/>
    </row>
    <row r="619" spans="1:8" x14ac:dyDescent="0.25">
      <c r="A619" s="226" t="s">
        <v>107</v>
      </c>
      <c r="B619" s="226"/>
      <c r="C619" s="226"/>
      <c r="D619" s="226"/>
      <c r="E619" s="226"/>
      <c r="F619" s="226"/>
      <c r="G619" s="226"/>
      <c r="H619" s="226"/>
    </row>
    <row r="620" spans="1:8" x14ac:dyDescent="0.25">
      <c r="A620" s="226"/>
      <c r="B620" s="226"/>
      <c r="C620" s="226"/>
      <c r="D620" s="226"/>
      <c r="E620" s="226"/>
      <c r="F620" s="226"/>
      <c r="G620" s="226"/>
      <c r="H620" s="226"/>
    </row>
    <row r="621" spans="1:8" x14ac:dyDescent="0.25">
      <c r="A621" s="226"/>
      <c r="B621" s="226"/>
      <c r="C621" s="226"/>
      <c r="D621" s="226"/>
      <c r="E621" s="226"/>
      <c r="F621" s="226"/>
      <c r="G621" s="226"/>
      <c r="H621" s="226"/>
    </row>
    <row r="622" spans="1:8" x14ac:dyDescent="0.25">
      <c r="A622" s="226"/>
      <c r="B622" s="226"/>
      <c r="C622" s="226"/>
      <c r="D622" s="226"/>
      <c r="E622" s="226"/>
      <c r="F622" s="226"/>
      <c r="G622" s="226"/>
      <c r="H622" s="226"/>
    </row>
    <row r="623" spans="1:8" x14ac:dyDescent="0.25">
      <c r="A623" s="74" t="s">
        <v>72</v>
      </c>
      <c r="B623" s="75"/>
      <c r="C623" s="75"/>
      <c r="D623" s="74" t="str">
        <f>E8</f>
        <v>Runwal Gardens Phase 4 Bldg No.31 to 38</v>
      </c>
      <c r="F623" s="75"/>
      <c r="G623" s="75"/>
      <c r="H623" s="75"/>
    </row>
    <row r="624" spans="1:8" x14ac:dyDescent="0.25">
      <c r="A624" s="75"/>
      <c r="B624" s="75"/>
      <c r="C624" s="75"/>
      <c r="D624" s="75"/>
      <c r="E624" s="75"/>
      <c r="F624" s="75"/>
      <c r="G624" s="75"/>
      <c r="H624" s="75"/>
    </row>
    <row r="625" spans="1:8" x14ac:dyDescent="0.25">
      <c r="A625" s="75"/>
      <c r="B625" s="75"/>
      <c r="C625" s="75"/>
      <c r="D625" s="75"/>
      <c r="E625" s="75"/>
      <c r="F625" s="75"/>
      <c r="G625" s="75"/>
      <c r="H625" s="75"/>
    </row>
    <row r="626" spans="1:8" ht="15" customHeight="1" x14ac:dyDescent="0.25"/>
    <row r="652" spans="11:11" x14ac:dyDescent="0.25">
      <c r="K652"/>
    </row>
    <row r="666" spans="1:1" x14ac:dyDescent="0.25">
      <c r="A666" s="77" t="s">
        <v>73</v>
      </c>
    </row>
  </sheetData>
  <mergeCells count="989">
    <mergeCell ref="I188:S188"/>
    <mergeCell ref="B610:H610"/>
    <mergeCell ref="A72:B72"/>
    <mergeCell ref="C72:H72"/>
    <mergeCell ref="A74:B74"/>
    <mergeCell ref="C74:H74"/>
    <mergeCell ref="A75:B75"/>
    <mergeCell ref="E75:F75"/>
    <mergeCell ref="G75:H75"/>
    <mergeCell ref="A76:B76"/>
    <mergeCell ref="E76:F85"/>
    <mergeCell ref="G76:H85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100:B100"/>
    <mergeCell ref="C100:H100"/>
    <mergeCell ref="A102:B102"/>
    <mergeCell ref="E103:F103"/>
    <mergeCell ref="G103:H103"/>
    <mergeCell ref="A104:B104"/>
    <mergeCell ref="E104:F113"/>
    <mergeCell ref="G104:H113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A549:B549"/>
    <mergeCell ref="G549:H549"/>
    <mergeCell ref="C545:F545"/>
    <mergeCell ref="A544:B544"/>
    <mergeCell ref="G544:H544"/>
    <mergeCell ref="A545:B545"/>
    <mergeCell ref="G545:H545"/>
    <mergeCell ref="A546:B546"/>
    <mergeCell ref="G546:H546"/>
    <mergeCell ref="A547:B547"/>
    <mergeCell ref="G547:H547"/>
    <mergeCell ref="A548:B548"/>
    <mergeCell ref="G548:H548"/>
    <mergeCell ref="C501:F501"/>
    <mergeCell ref="A540:H540"/>
    <mergeCell ref="L540:M540"/>
    <mergeCell ref="A541:B541"/>
    <mergeCell ref="G541:H541"/>
    <mergeCell ref="A542:B542"/>
    <mergeCell ref="G542:H542"/>
    <mergeCell ref="A543:B543"/>
    <mergeCell ref="G543:H543"/>
    <mergeCell ref="A504:B504"/>
    <mergeCell ref="G504:H504"/>
    <mergeCell ref="A506:B506"/>
    <mergeCell ref="G506:H506"/>
    <mergeCell ref="A507:B507"/>
    <mergeCell ref="G507:H507"/>
    <mergeCell ref="A508:B508"/>
    <mergeCell ref="G508:H508"/>
    <mergeCell ref="A509:B509"/>
    <mergeCell ref="G509:H509"/>
    <mergeCell ref="A510:H510"/>
    <mergeCell ref="L510:M510"/>
    <mergeCell ref="A511:B511"/>
    <mergeCell ref="G511:H511"/>
    <mergeCell ref="A518:B518"/>
    <mergeCell ref="A596:B596"/>
    <mergeCell ref="G596:H596"/>
    <mergeCell ref="A597:B597"/>
    <mergeCell ref="G597:H597"/>
    <mergeCell ref="C590:F590"/>
    <mergeCell ref="A591:B591"/>
    <mergeCell ref="G591:H591"/>
    <mergeCell ref="A592:B592"/>
    <mergeCell ref="G592:H592"/>
    <mergeCell ref="A593:B593"/>
    <mergeCell ref="G593:H593"/>
    <mergeCell ref="A594:B594"/>
    <mergeCell ref="G594:H594"/>
    <mergeCell ref="A595:B595"/>
    <mergeCell ref="G595:H595"/>
    <mergeCell ref="A589:H589"/>
    <mergeCell ref="L589:M589"/>
    <mergeCell ref="A590:B590"/>
    <mergeCell ref="G590:H590"/>
    <mergeCell ref="A581:B581"/>
    <mergeCell ref="G581:H581"/>
    <mergeCell ref="A582:B582"/>
    <mergeCell ref="G582:H582"/>
    <mergeCell ref="A583:B583"/>
    <mergeCell ref="G583:H583"/>
    <mergeCell ref="A584:B584"/>
    <mergeCell ref="G584:H584"/>
    <mergeCell ref="A585:B585"/>
    <mergeCell ref="G585:H585"/>
    <mergeCell ref="A586:B586"/>
    <mergeCell ref="G586:H586"/>
    <mergeCell ref="A587:B587"/>
    <mergeCell ref="G587:H587"/>
    <mergeCell ref="A588:B588"/>
    <mergeCell ref="G588:H588"/>
    <mergeCell ref="A577:B577"/>
    <mergeCell ref="G577:H577"/>
    <mergeCell ref="A578:B578"/>
    <mergeCell ref="G578:H578"/>
    <mergeCell ref="A579:B579"/>
    <mergeCell ref="G579:H579"/>
    <mergeCell ref="C572:F572"/>
    <mergeCell ref="A580:H580"/>
    <mergeCell ref="L580:M580"/>
    <mergeCell ref="A572:B572"/>
    <mergeCell ref="G572:H572"/>
    <mergeCell ref="A573:B573"/>
    <mergeCell ref="G573:H573"/>
    <mergeCell ref="A574:B574"/>
    <mergeCell ref="G574:H574"/>
    <mergeCell ref="A575:B575"/>
    <mergeCell ref="G575:H575"/>
    <mergeCell ref="A576:B576"/>
    <mergeCell ref="G576:H576"/>
    <mergeCell ref="A569:B569"/>
    <mergeCell ref="G569:H569"/>
    <mergeCell ref="A570:B570"/>
    <mergeCell ref="G570:H570"/>
    <mergeCell ref="C558:F558"/>
    <mergeCell ref="A571:H571"/>
    <mergeCell ref="L571:M571"/>
    <mergeCell ref="A564:B564"/>
    <mergeCell ref="G564:H564"/>
    <mergeCell ref="A565:B565"/>
    <mergeCell ref="G565:H565"/>
    <mergeCell ref="A566:B566"/>
    <mergeCell ref="G566:H566"/>
    <mergeCell ref="A567:B567"/>
    <mergeCell ref="G567:H567"/>
    <mergeCell ref="A568:B568"/>
    <mergeCell ref="G568:H568"/>
    <mergeCell ref="A560:B560"/>
    <mergeCell ref="G560:H560"/>
    <mergeCell ref="A561:B561"/>
    <mergeCell ref="G561:H561"/>
    <mergeCell ref="A562:H562"/>
    <mergeCell ref="L562:M562"/>
    <mergeCell ref="A563:B563"/>
    <mergeCell ref="G563:H563"/>
    <mergeCell ref="A556:B556"/>
    <mergeCell ref="G556:H556"/>
    <mergeCell ref="A557:B557"/>
    <mergeCell ref="G557:H557"/>
    <mergeCell ref="A558:B558"/>
    <mergeCell ref="G558:H558"/>
    <mergeCell ref="A559:B559"/>
    <mergeCell ref="G559:H559"/>
    <mergeCell ref="A550:H550"/>
    <mergeCell ref="A551:H551"/>
    <mergeCell ref="A552:H552"/>
    <mergeCell ref="A553:H553"/>
    <mergeCell ref="L553:M553"/>
    <mergeCell ref="A554:B554"/>
    <mergeCell ref="G554:H554"/>
    <mergeCell ref="A555:B555"/>
    <mergeCell ref="G555:H555"/>
    <mergeCell ref="I195:P195"/>
    <mergeCell ref="I198:R199"/>
    <mergeCell ref="I197:R197"/>
    <mergeCell ref="A50:H50"/>
    <mergeCell ref="A53:H53"/>
    <mergeCell ref="A381:H381"/>
    <mergeCell ref="A382:B382"/>
    <mergeCell ref="G382:H390"/>
    <mergeCell ref="A383:B383"/>
    <mergeCell ref="A384:B384"/>
    <mergeCell ref="A385:B385"/>
    <mergeCell ref="A386:B386"/>
    <mergeCell ref="C386:F386"/>
    <mergeCell ref="A387:B387"/>
    <mergeCell ref="A388:B388"/>
    <mergeCell ref="A389:B389"/>
    <mergeCell ref="A390:B390"/>
    <mergeCell ref="A371:H371"/>
    <mergeCell ref="A372:B372"/>
    <mergeCell ref="G372:H380"/>
    <mergeCell ref="A373:B373"/>
    <mergeCell ref="A374:B374"/>
    <mergeCell ref="A375:B375"/>
    <mergeCell ref="A376:B376"/>
    <mergeCell ref="A377:B377"/>
    <mergeCell ref="A378:B378"/>
    <mergeCell ref="A379:B379"/>
    <mergeCell ref="A380:B380"/>
    <mergeCell ref="A361:H361"/>
    <mergeCell ref="A362:B362"/>
    <mergeCell ref="G362:H370"/>
    <mergeCell ref="A363:B363"/>
    <mergeCell ref="A364:B364"/>
    <mergeCell ref="A365:B365"/>
    <mergeCell ref="A366:B366"/>
    <mergeCell ref="C366:F366"/>
    <mergeCell ref="A367:B367"/>
    <mergeCell ref="A368:B368"/>
    <mergeCell ref="A369:B369"/>
    <mergeCell ref="A370:B370"/>
    <mergeCell ref="A351:H351"/>
    <mergeCell ref="A352:B352"/>
    <mergeCell ref="G352:H360"/>
    <mergeCell ref="A353:B353"/>
    <mergeCell ref="A354:B354"/>
    <mergeCell ref="A355:B355"/>
    <mergeCell ref="A356:B356"/>
    <mergeCell ref="A357:B357"/>
    <mergeCell ref="A358:B358"/>
    <mergeCell ref="A359:B359"/>
    <mergeCell ref="A360:B360"/>
    <mergeCell ref="G344:H344"/>
    <mergeCell ref="C345:F345"/>
    <mergeCell ref="G345:H345"/>
    <mergeCell ref="G346:H346"/>
    <mergeCell ref="G347:H347"/>
    <mergeCell ref="G348:H348"/>
    <mergeCell ref="A349:B349"/>
    <mergeCell ref="G349:H349"/>
    <mergeCell ref="A350:B350"/>
    <mergeCell ref="G350:H350"/>
    <mergeCell ref="A347:B347"/>
    <mergeCell ref="A348:B348"/>
    <mergeCell ref="A346:B346"/>
    <mergeCell ref="A344:B344"/>
    <mergeCell ref="A345:B345"/>
    <mergeCell ref="A332:B332"/>
    <mergeCell ref="A333:B333"/>
    <mergeCell ref="C333:F333"/>
    <mergeCell ref="A334:B334"/>
    <mergeCell ref="A335:B335"/>
    <mergeCell ref="A336:B336"/>
    <mergeCell ref="A337:B337"/>
    <mergeCell ref="C313:F313"/>
    <mergeCell ref="A318:H318"/>
    <mergeCell ref="A319:B319"/>
    <mergeCell ref="G319:H327"/>
    <mergeCell ref="A320:B320"/>
    <mergeCell ref="A321:B321"/>
    <mergeCell ref="A44:D44"/>
    <mergeCell ref="A286:H286"/>
    <mergeCell ref="A95:B95"/>
    <mergeCell ref="A99:B99"/>
    <mergeCell ref="E131:F131"/>
    <mergeCell ref="G131:H131"/>
    <mergeCell ref="A132:B132"/>
    <mergeCell ref="E132:F141"/>
    <mergeCell ref="G132:H141"/>
    <mergeCell ref="A133:B133"/>
    <mergeCell ref="A134:B134"/>
    <mergeCell ref="A135:B135"/>
    <mergeCell ref="A136:B136"/>
    <mergeCell ref="A137:B137"/>
    <mergeCell ref="A138:B138"/>
    <mergeCell ref="A139:B139"/>
    <mergeCell ref="C213:C214"/>
    <mergeCell ref="A199:H199"/>
    <mergeCell ref="E90:F99"/>
    <mergeCell ref="G90:H99"/>
    <mergeCell ref="A195:E195"/>
    <mergeCell ref="A208:B208"/>
    <mergeCell ref="C102:H102"/>
    <mergeCell ref="A103:B103"/>
    <mergeCell ref="L341:M341"/>
    <mergeCell ref="A339:H339"/>
    <mergeCell ref="A340:H340"/>
    <mergeCell ref="A341:H341"/>
    <mergeCell ref="A338:H338"/>
    <mergeCell ref="A322:B322"/>
    <mergeCell ref="L288:M288"/>
    <mergeCell ref="A289:B289"/>
    <mergeCell ref="G289:H289"/>
    <mergeCell ref="A290:B290"/>
    <mergeCell ref="G290:H290"/>
    <mergeCell ref="A291:B291"/>
    <mergeCell ref="G291:H291"/>
    <mergeCell ref="A292:B292"/>
    <mergeCell ref="G292:H292"/>
    <mergeCell ref="C292:F292"/>
    <mergeCell ref="G297:H297"/>
    <mergeCell ref="A298:H298"/>
    <mergeCell ref="A299:B299"/>
    <mergeCell ref="G299:H307"/>
    <mergeCell ref="A300:B300"/>
    <mergeCell ref="A301:B301"/>
    <mergeCell ref="A302:B302"/>
    <mergeCell ref="A303:B303"/>
    <mergeCell ref="F188:H188"/>
    <mergeCell ref="G264:H273"/>
    <mergeCell ref="G240:H249"/>
    <mergeCell ref="G229:H238"/>
    <mergeCell ref="G275:H284"/>
    <mergeCell ref="B604:H604"/>
    <mergeCell ref="B599:H599"/>
    <mergeCell ref="B600:H600"/>
    <mergeCell ref="B601:H601"/>
    <mergeCell ref="B602:H602"/>
    <mergeCell ref="B603:H603"/>
    <mergeCell ref="A342:B342"/>
    <mergeCell ref="A343:B343"/>
    <mergeCell ref="A325:B325"/>
    <mergeCell ref="A326:B326"/>
    <mergeCell ref="A327:B327"/>
    <mergeCell ref="A313:B313"/>
    <mergeCell ref="A314:B314"/>
    <mergeCell ref="A315:B315"/>
    <mergeCell ref="A316:B316"/>
    <mergeCell ref="A317:B317"/>
    <mergeCell ref="A304:B304"/>
    <mergeCell ref="A305:B305"/>
    <mergeCell ref="A306:B306"/>
    <mergeCell ref="G342:H342"/>
    <mergeCell ref="G343:H343"/>
    <mergeCell ref="A616:H616"/>
    <mergeCell ref="A223:B223"/>
    <mergeCell ref="A613:H613"/>
    <mergeCell ref="A218:B218"/>
    <mergeCell ref="A200:B200"/>
    <mergeCell ref="D213:D214"/>
    <mergeCell ref="E213:E214"/>
    <mergeCell ref="G213:H214"/>
    <mergeCell ref="A307:B307"/>
    <mergeCell ref="A308:H308"/>
    <mergeCell ref="A309:B309"/>
    <mergeCell ref="G309:H317"/>
    <mergeCell ref="A310:B310"/>
    <mergeCell ref="A311:B311"/>
    <mergeCell ref="A312:B312"/>
    <mergeCell ref="A323:B323"/>
    <mergeCell ref="A324:B324"/>
    <mergeCell ref="A328:H328"/>
    <mergeCell ref="A329:B329"/>
    <mergeCell ref="G329:H337"/>
    <mergeCell ref="A330:B330"/>
    <mergeCell ref="A331:B331"/>
    <mergeCell ref="D69:H69"/>
    <mergeCell ref="D64:H64"/>
    <mergeCell ref="C62:E62"/>
    <mergeCell ref="G62:H62"/>
    <mergeCell ref="A60:B61"/>
    <mergeCell ref="C60:E60"/>
    <mergeCell ref="G60:H60"/>
    <mergeCell ref="C61:H61"/>
    <mergeCell ref="A68:C68"/>
    <mergeCell ref="A69:C69"/>
    <mergeCell ref="D68:H68"/>
    <mergeCell ref="A619:H622"/>
    <mergeCell ref="A618:B618"/>
    <mergeCell ref="E618:F618"/>
    <mergeCell ref="C618:D618"/>
    <mergeCell ref="G618:H618"/>
    <mergeCell ref="A217:H217"/>
    <mergeCell ref="A201:B201"/>
    <mergeCell ref="A231:B231"/>
    <mergeCell ref="A209:B209"/>
    <mergeCell ref="A614:H614"/>
    <mergeCell ref="A617:H617"/>
    <mergeCell ref="A615:H615"/>
    <mergeCell ref="A598:H598"/>
    <mergeCell ref="A611:H611"/>
    <mergeCell ref="A612:H612"/>
    <mergeCell ref="G209:H209"/>
    <mergeCell ref="A210:H210"/>
    <mergeCell ref="G220:H220"/>
    <mergeCell ref="C201:D201"/>
    <mergeCell ref="E201:F201"/>
    <mergeCell ref="G201:H201"/>
    <mergeCell ref="B213:B214"/>
    <mergeCell ref="A228:H228"/>
    <mergeCell ref="B605:H605"/>
    <mergeCell ref="C186:H186"/>
    <mergeCell ref="A198:E198"/>
    <mergeCell ref="A189:E189"/>
    <mergeCell ref="A187:H187"/>
    <mergeCell ref="A184:E184"/>
    <mergeCell ref="F184:H184"/>
    <mergeCell ref="A90:B90"/>
    <mergeCell ref="G89:H89"/>
    <mergeCell ref="A88:B88"/>
    <mergeCell ref="A94:B94"/>
    <mergeCell ref="C88:H88"/>
    <mergeCell ref="F198:H198"/>
    <mergeCell ref="F195:H195"/>
    <mergeCell ref="F193:H193"/>
    <mergeCell ref="F197:H197"/>
    <mergeCell ref="A192:E192"/>
    <mergeCell ref="F192:H192"/>
    <mergeCell ref="A193:E193"/>
    <mergeCell ref="A185:H185"/>
    <mergeCell ref="A186:B186"/>
    <mergeCell ref="A141:B141"/>
    <mergeCell ref="A188:E188"/>
    <mergeCell ref="A128:B128"/>
    <mergeCell ref="C128:H128"/>
    <mergeCell ref="A26:D26"/>
    <mergeCell ref="E26:H26"/>
    <mergeCell ref="E21:F21"/>
    <mergeCell ref="G21:H21"/>
    <mergeCell ref="A22:B22"/>
    <mergeCell ref="C22:D22"/>
    <mergeCell ref="E22:F22"/>
    <mergeCell ref="E15:H15"/>
    <mergeCell ref="E16:H16"/>
    <mergeCell ref="A18:B18"/>
    <mergeCell ref="C18:H18"/>
    <mergeCell ref="G22:H22"/>
    <mergeCell ref="A23:B23"/>
    <mergeCell ref="C23:D23"/>
    <mergeCell ref="E23:F23"/>
    <mergeCell ref="G23:H23"/>
    <mergeCell ref="A5:D5"/>
    <mergeCell ref="A11:D11"/>
    <mergeCell ref="E11:H11"/>
    <mergeCell ref="A24:D25"/>
    <mergeCell ref="E24:H25"/>
    <mergeCell ref="A12:D12"/>
    <mergeCell ref="E12:H12"/>
    <mergeCell ref="E13:H13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33:D33"/>
    <mergeCell ref="E33:H33"/>
    <mergeCell ref="C35:E35"/>
    <mergeCell ref="A36:B36"/>
    <mergeCell ref="C36:E36"/>
    <mergeCell ref="E5:H5"/>
    <mergeCell ref="A6:D6"/>
    <mergeCell ref="E6:H6"/>
    <mergeCell ref="A7:D7"/>
    <mergeCell ref="E7:H7"/>
    <mergeCell ref="A19:B19"/>
    <mergeCell ref="A28:D28"/>
    <mergeCell ref="C19:H19"/>
    <mergeCell ref="E14:H14"/>
    <mergeCell ref="A32:D32"/>
    <mergeCell ref="E32:H32"/>
    <mergeCell ref="A29:D29"/>
    <mergeCell ref="E29:H29"/>
    <mergeCell ref="A20:B20"/>
    <mergeCell ref="C20:D20"/>
    <mergeCell ref="E20:F20"/>
    <mergeCell ref="G20:H20"/>
    <mergeCell ref="A21:B21"/>
    <mergeCell ref="C21:D21"/>
    <mergeCell ref="C34:E34"/>
    <mergeCell ref="F37:H37"/>
    <mergeCell ref="F34:H34"/>
    <mergeCell ref="F35:H35"/>
    <mergeCell ref="F36:H36"/>
    <mergeCell ref="A39:H39"/>
    <mergeCell ref="A38:B38"/>
    <mergeCell ref="A66:C66"/>
    <mergeCell ref="G52:H52"/>
    <mergeCell ref="A45:D45"/>
    <mergeCell ref="E45:H45"/>
    <mergeCell ref="A51:B51"/>
    <mergeCell ref="C52:E52"/>
    <mergeCell ref="A42:H42"/>
    <mergeCell ref="C38:E38"/>
    <mergeCell ref="F38:H38"/>
    <mergeCell ref="A40:B40"/>
    <mergeCell ref="A43:D43"/>
    <mergeCell ref="E43:H43"/>
    <mergeCell ref="A37:B37"/>
    <mergeCell ref="C37:E37"/>
    <mergeCell ref="A34:B34"/>
    <mergeCell ref="A54:B54"/>
    <mergeCell ref="C54:E54"/>
    <mergeCell ref="C200:D200"/>
    <mergeCell ref="E200:F200"/>
    <mergeCell ref="G200:H200"/>
    <mergeCell ref="E44:H44"/>
    <mergeCell ref="A96:B96"/>
    <mergeCell ref="A97:B97"/>
    <mergeCell ref="E46:H46"/>
    <mergeCell ref="E47:H47"/>
    <mergeCell ref="E48:H48"/>
    <mergeCell ref="A46:D46"/>
    <mergeCell ref="A47:D47"/>
    <mergeCell ref="A48:D48"/>
    <mergeCell ref="A49:H49"/>
    <mergeCell ref="A52:B52"/>
    <mergeCell ref="A63:H63"/>
    <mergeCell ref="A64:C64"/>
    <mergeCell ref="A65:C65"/>
    <mergeCell ref="D65:H65"/>
    <mergeCell ref="A86:B86"/>
    <mergeCell ref="C86:H86"/>
    <mergeCell ref="D70:H70"/>
    <mergeCell ref="C51:E51"/>
    <mergeCell ref="G51:H51"/>
    <mergeCell ref="A71:C71"/>
    <mergeCell ref="E209:F209"/>
    <mergeCell ref="A204:B204"/>
    <mergeCell ref="C204:D204"/>
    <mergeCell ref="E204:F204"/>
    <mergeCell ref="G204:H204"/>
    <mergeCell ref="A205:B205"/>
    <mergeCell ref="C205:D205"/>
    <mergeCell ref="E205:F205"/>
    <mergeCell ref="G205:H205"/>
    <mergeCell ref="A206:B206"/>
    <mergeCell ref="C206:D206"/>
    <mergeCell ref="E206:F206"/>
    <mergeCell ref="G206:H206"/>
    <mergeCell ref="A207:B207"/>
    <mergeCell ref="C207:D207"/>
    <mergeCell ref="E207:F207"/>
    <mergeCell ref="G207:H207"/>
    <mergeCell ref="C208:D208"/>
    <mergeCell ref="E208:F208"/>
    <mergeCell ref="G208:H208"/>
    <mergeCell ref="A235:B235"/>
    <mergeCell ref="A236:B236"/>
    <mergeCell ref="A237:B237"/>
    <mergeCell ref="A238:B238"/>
    <mergeCell ref="F189:H189"/>
    <mergeCell ref="A194:E194"/>
    <mergeCell ref="F194:H194"/>
    <mergeCell ref="A190:E190"/>
    <mergeCell ref="F190:H190"/>
    <mergeCell ref="A191:E191"/>
    <mergeCell ref="F191:H191"/>
    <mergeCell ref="A202:B202"/>
    <mergeCell ref="C202:D202"/>
    <mergeCell ref="E202:F202"/>
    <mergeCell ref="G202:H202"/>
    <mergeCell ref="A203:B203"/>
    <mergeCell ref="C203:D203"/>
    <mergeCell ref="E203:F203"/>
    <mergeCell ref="G203:H203"/>
    <mergeCell ref="A216:H216"/>
    <mergeCell ref="A215:H215"/>
    <mergeCell ref="A211:H211"/>
    <mergeCell ref="A197:E197"/>
    <mergeCell ref="C209:D209"/>
    <mergeCell ref="A252:H252"/>
    <mergeCell ref="A243:B243"/>
    <mergeCell ref="A250:H250"/>
    <mergeCell ref="A251:H251"/>
    <mergeCell ref="A287:H287"/>
    <mergeCell ref="A288:H288"/>
    <mergeCell ref="A249:B249"/>
    <mergeCell ref="C249:F249"/>
    <mergeCell ref="A258:B258"/>
    <mergeCell ref="G258:H258"/>
    <mergeCell ref="A259:B259"/>
    <mergeCell ref="G259:H259"/>
    <mergeCell ref="A260:B260"/>
    <mergeCell ref="G260:H260"/>
    <mergeCell ref="G261:H261"/>
    <mergeCell ref="A262:B262"/>
    <mergeCell ref="G262:H262"/>
    <mergeCell ref="A271:B271"/>
    <mergeCell ref="A272:B272"/>
    <mergeCell ref="A283:B283"/>
    <mergeCell ref="A284:B284"/>
    <mergeCell ref="A261:B261"/>
    <mergeCell ref="A265:B265"/>
    <mergeCell ref="A266:B266"/>
    <mergeCell ref="A255:B255"/>
    <mergeCell ref="A293:B293"/>
    <mergeCell ref="G293:H293"/>
    <mergeCell ref="A280:B280"/>
    <mergeCell ref="A281:B281"/>
    <mergeCell ref="A282:B282"/>
    <mergeCell ref="A273:B273"/>
    <mergeCell ref="A274:H274"/>
    <mergeCell ref="A275:B275"/>
    <mergeCell ref="A276:B276"/>
    <mergeCell ref="A277:B277"/>
    <mergeCell ref="A268:B268"/>
    <mergeCell ref="A269:B269"/>
    <mergeCell ref="A270:B270"/>
    <mergeCell ref="G255:H255"/>
    <mergeCell ref="A256:B256"/>
    <mergeCell ref="G256:H256"/>
    <mergeCell ref="A267:B267"/>
    <mergeCell ref="A285:H285"/>
    <mergeCell ref="A257:B257"/>
    <mergeCell ref="G257:H257"/>
    <mergeCell ref="C284:F284"/>
    <mergeCell ref="C262:F262"/>
    <mergeCell ref="A263:H263"/>
    <mergeCell ref="A225:B225"/>
    <mergeCell ref="G221:H221"/>
    <mergeCell ref="G218:H218"/>
    <mergeCell ref="G223:H223"/>
    <mergeCell ref="A221:B221"/>
    <mergeCell ref="A234:B234"/>
    <mergeCell ref="G222:H222"/>
    <mergeCell ref="A233:B233"/>
    <mergeCell ref="A232:B232"/>
    <mergeCell ref="A229:B229"/>
    <mergeCell ref="G227:H227"/>
    <mergeCell ref="A224:B224"/>
    <mergeCell ref="G224:H224"/>
    <mergeCell ref="A230:B230"/>
    <mergeCell ref="G219:H219"/>
    <mergeCell ref="L252:M252"/>
    <mergeCell ref="A253:B253"/>
    <mergeCell ref="G253:H253"/>
    <mergeCell ref="A244:B244"/>
    <mergeCell ref="A245:B245"/>
    <mergeCell ref="A246:B246"/>
    <mergeCell ref="A247:B247"/>
    <mergeCell ref="A248:B248"/>
    <mergeCell ref="A89:B89"/>
    <mergeCell ref="A92:B92"/>
    <mergeCell ref="A91:B91"/>
    <mergeCell ref="A93:B93"/>
    <mergeCell ref="E89:F89"/>
    <mergeCell ref="G225:H225"/>
    <mergeCell ref="A226:B226"/>
    <mergeCell ref="G226:H226"/>
    <mergeCell ref="A227:B227"/>
    <mergeCell ref="C222:F222"/>
    <mergeCell ref="A196:E196"/>
    <mergeCell ref="F196:H196"/>
    <mergeCell ref="L217:M217"/>
    <mergeCell ref="A212:H212"/>
    <mergeCell ref="A213:A214"/>
    <mergeCell ref="A222:B222"/>
    <mergeCell ref="A264:B264"/>
    <mergeCell ref="A219:B219"/>
    <mergeCell ref="A220:B220"/>
    <mergeCell ref="B607:H607"/>
    <mergeCell ref="A294:B294"/>
    <mergeCell ref="G294:H294"/>
    <mergeCell ref="A295:B295"/>
    <mergeCell ref="G295:H295"/>
    <mergeCell ref="A296:B296"/>
    <mergeCell ref="G296:H296"/>
    <mergeCell ref="A297:B297"/>
    <mergeCell ref="A278:B278"/>
    <mergeCell ref="A279:B279"/>
    <mergeCell ref="A239:H239"/>
    <mergeCell ref="A240:B240"/>
    <mergeCell ref="A241:B241"/>
    <mergeCell ref="A242:B242"/>
    <mergeCell ref="A254:B254"/>
    <mergeCell ref="G254:H254"/>
    <mergeCell ref="A391:H391"/>
    <mergeCell ref="A392:H392"/>
    <mergeCell ref="A393:H393"/>
    <mergeCell ref="A394:H394"/>
    <mergeCell ref="A399:B399"/>
    <mergeCell ref="L394:M394"/>
    <mergeCell ref="A395:B395"/>
    <mergeCell ref="G395:H395"/>
    <mergeCell ref="A396:B396"/>
    <mergeCell ref="G396:H396"/>
    <mergeCell ref="A397:B397"/>
    <mergeCell ref="G397:H397"/>
    <mergeCell ref="A398:B398"/>
    <mergeCell ref="C398:F398"/>
    <mergeCell ref="G398:H398"/>
    <mergeCell ref="G399:H399"/>
    <mergeCell ref="A400:B400"/>
    <mergeCell ref="G400:H400"/>
    <mergeCell ref="A401:B401"/>
    <mergeCell ref="G401:H401"/>
    <mergeCell ref="A402:B402"/>
    <mergeCell ref="G402:H402"/>
    <mergeCell ref="A403:B403"/>
    <mergeCell ref="G403:H403"/>
    <mergeCell ref="A404:H404"/>
    <mergeCell ref="A405:B405"/>
    <mergeCell ref="G405:H413"/>
    <mergeCell ref="A406:B406"/>
    <mergeCell ref="A407:B407"/>
    <mergeCell ref="A408:B408"/>
    <mergeCell ref="A409:B409"/>
    <mergeCell ref="A410:B410"/>
    <mergeCell ref="A411:B411"/>
    <mergeCell ref="A412:B412"/>
    <mergeCell ref="A413:B413"/>
    <mergeCell ref="A414:H414"/>
    <mergeCell ref="A415:B415"/>
    <mergeCell ref="G415:H423"/>
    <mergeCell ref="A416:B416"/>
    <mergeCell ref="A417:B417"/>
    <mergeCell ref="A418:B418"/>
    <mergeCell ref="A419:B419"/>
    <mergeCell ref="C419:F419"/>
    <mergeCell ref="A420:B420"/>
    <mergeCell ref="A421:B421"/>
    <mergeCell ref="A422:B422"/>
    <mergeCell ref="A423:B423"/>
    <mergeCell ref="A424:H424"/>
    <mergeCell ref="A425:B425"/>
    <mergeCell ref="G425:H433"/>
    <mergeCell ref="A426:B426"/>
    <mergeCell ref="A427:B427"/>
    <mergeCell ref="A428:B428"/>
    <mergeCell ref="A429:B429"/>
    <mergeCell ref="A430:B430"/>
    <mergeCell ref="A431:B431"/>
    <mergeCell ref="A432:B432"/>
    <mergeCell ref="A433:B433"/>
    <mergeCell ref="A434:H434"/>
    <mergeCell ref="A435:B435"/>
    <mergeCell ref="G435:H443"/>
    <mergeCell ref="A436:B436"/>
    <mergeCell ref="A437:B437"/>
    <mergeCell ref="A438:B438"/>
    <mergeCell ref="A439:B439"/>
    <mergeCell ref="C439:F439"/>
    <mergeCell ref="A440:B440"/>
    <mergeCell ref="A441:B441"/>
    <mergeCell ref="A442:B442"/>
    <mergeCell ref="A443:B443"/>
    <mergeCell ref="A444:H444"/>
    <mergeCell ref="A445:H445"/>
    <mergeCell ref="A446:H446"/>
    <mergeCell ref="A447:H447"/>
    <mergeCell ref="L447:M447"/>
    <mergeCell ref="A448:B448"/>
    <mergeCell ref="G448:H448"/>
    <mergeCell ref="A449:B449"/>
    <mergeCell ref="G449:H449"/>
    <mergeCell ref="A450:B450"/>
    <mergeCell ref="G450:H450"/>
    <mergeCell ref="A451:B451"/>
    <mergeCell ref="C451:F451"/>
    <mergeCell ref="G451:H451"/>
    <mergeCell ref="A452:B452"/>
    <mergeCell ref="G452:H452"/>
    <mergeCell ref="A453:B453"/>
    <mergeCell ref="G453:H453"/>
    <mergeCell ref="A476:B476"/>
    <mergeCell ref="A454:B454"/>
    <mergeCell ref="G454:H454"/>
    <mergeCell ref="A455:B455"/>
    <mergeCell ref="G455:H455"/>
    <mergeCell ref="A456:B456"/>
    <mergeCell ref="G456:H456"/>
    <mergeCell ref="A457:H457"/>
    <mergeCell ref="A458:B458"/>
    <mergeCell ref="G458:H466"/>
    <mergeCell ref="A459:B459"/>
    <mergeCell ref="A460:B460"/>
    <mergeCell ref="A461:B461"/>
    <mergeCell ref="A462:B462"/>
    <mergeCell ref="A463:B463"/>
    <mergeCell ref="A464:B464"/>
    <mergeCell ref="A465:B465"/>
    <mergeCell ref="A466:B466"/>
    <mergeCell ref="A472:B472"/>
    <mergeCell ref="C472:F472"/>
    <mergeCell ref="A497:H497"/>
    <mergeCell ref="B606:H606"/>
    <mergeCell ref="A487:H487"/>
    <mergeCell ref="A488:B488"/>
    <mergeCell ref="G488:H496"/>
    <mergeCell ref="A489:B489"/>
    <mergeCell ref="A490:B490"/>
    <mergeCell ref="A491:B491"/>
    <mergeCell ref="A492:B492"/>
    <mergeCell ref="C492:F492"/>
    <mergeCell ref="A493:B493"/>
    <mergeCell ref="A494:B494"/>
    <mergeCell ref="A495:B495"/>
    <mergeCell ref="A496:B496"/>
    <mergeCell ref="A498:H498"/>
    <mergeCell ref="A499:H499"/>
    <mergeCell ref="A500:H500"/>
    <mergeCell ref="A502:B502"/>
    <mergeCell ref="G502:H502"/>
    <mergeCell ref="A503:B503"/>
    <mergeCell ref="G503:H503"/>
    <mergeCell ref="A505:B505"/>
    <mergeCell ref="G505:H505"/>
    <mergeCell ref="G518:H518"/>
    <mergeCell ref="L500:M500"/>
    <mergeCell ref="A501:B501"/>
    <mergeCell ref="G501:H501"/>
    <mergeCell ref="A169:B169"/>
    <mergeCell ref="A480:B480"/>
    <mergeCell ref="A481:B481"/>
    <mergeCell ref="A482:B482"/>
    <mergeCell ref="A483:B483"/>
    <mergeCell ref="A484:B484"/>
    <mergeCell ref="A485:B485"/>
    <mergeCell ref="A486:B486"/>
    <mergeCell ref="A467:H467"/>
    <mergeCell ref="A468:B468"/>
    <mergeCell ref="G468:H476"/>
    <mergeCell ref="A469:B469"/>
    <mergeCell ref="A473:B473"/>
    <mergeCell ref="A474:B474"/>
    <mergeCell ref="A475:B475"/>
    <mergeCell ref="A477:H477"/>
    <mergeCell ref="A478:B478"/>
    <mergeCell ref="G478:H486"/>
    <mergeCell ref="A479:B479"/>
    <mergeCell ref="A470:B470"/>
    <mergeCell ref="A471:B471"/>
    <mergeCell ref="A519:B519"/>
    <mergeCell ref="G519:H519"/>
    <mergeCell ref="A520:H520"/>
    <mergeCell ref="A512:B512"/>
    <mergeCell ref="G512:H512"/>
    <mergeCell ref="A513:B513"/>
    <mergeCell ref="G513:H513"/>
    <mergeCell ref="A514:B514"/>
    <mergeCell ref="G514:H514"/>
    <mergeCell ref="A515:B515"/>
    <mergeCell ref="G515:H515"/>
    <mergeCell ref="A516:B516"/>
    <mergeCell ref="G516:H516"/>
    <mergeCell ref="A517:B517"/>
    <mergeCell ref="G517:H517"/>
    <mergeCell ref="A539:B539"/>
    <mergeCell ref="G539:H539"/>
    <mergeCell ref="A530:H530"/>
    <mergeCell ref="A535:B535"/>
    <mergeCell ref="G535:H535"/>
    <mergeCell ref="A536:B536"/>
    <mergeCell ref="G536:H536"/>
    <mergeCell ref="A537:B537"/>
    <mergeCell ref="G537:H537"/>
    <mergeCell ref="A538:B538"/>
    <mergeCell ref="G538:H538"/>
    <mergeCell ref="A531:B531"/>
    <mergeCell ref="G531:H531"/>
    <mergeCell ref="A532:B532"/>
    <mergeCell ref="G532:H532"/>
    <mergeCell ref="A533:B533"/>
    <mergeCell ref="G533:H533"/>
    <mergeCell ref="A534:B534"/>
    <mergeCell ref="G534:H534"/>
    <mergeCell ref="A524:B524"/>
    <mergeCell ref="G524:H524"/>
    <mergeCell ref="A525:B525"/>
    <mergeCell ref="G525:H525"/>
    <mergeCell ref="L530:M530"/>
    <mergeCell ref="L520:M520"/>
    <mergeCell ref="C525:F525"/>
    <mergeCell ref="A528:B528"/>
    <mergeCell ref="A521:B521"/>
    <mergeCell ref="G521:H521"/>
    <mergeCell ref="B608:H608"/>
    <mergeCell ref="A156:B156"/>
    <mergeCell ref="C156:H156"/>
    <mergeCell ref="A158:B158"/>
    <mergeCell ref="C158:H158"/>
    <mergeCell ref="A159:B159"/>
    <mergeCell ref="E159:F159"/>
    <mergeCell ref="G159:H159"/>
    <mergeCell ref="A160:B160"/>
    <mergeCell ref="E160:F169"/>
    <mergeCell ref="G160:H169"/>
    <mergeCell ref="A161:B161"/>
    <mergeCell ref="A162:B162"/>
    <mergeCell ref="A163:B163"/>
    <mergeCell ref="A164:B164"/>
    <mergeCell ref="A165:B165"/>
    <mergeCell ref="A166:B166"/>
    <mergeCell ref="A167:B167"/>
    <mergeCell ref="A168:B168"/>
    <mergeCell ref="G527:H527"/>
    <mergeCell ref="A522:B522"/>
    <mergeCell ref="G522:H522"/>
    <mergeCell ref="A523:B523"/>
    <mergeCell ref="G523:H523"/>
    <mergeCell ref="B609:H609"/>
    <mergeCell ref="E17:H17"/>
    <mergeCell ref="A13:D17"/>
    <mergeCell ref="A57:H57"/>
    <mergeCell ref="A58:B58"/>
    <mergeCell ref="C58:E58"/>
    <mergeCell ref="G58:H58"/>
    <mergeCell ref="A59:B59"/>
    <mergeCell ref="C59:E59"/>
    <mergeCell ref="G59:H59"/>
    <mergeCell ref="A35:B35"/>
    <mergeCell ref="E28:H28"/>
    <mergeCell ref="A30:D30"/>
    <mergeCell ref="E30:H30"/>
    <mergeCell ref="A27:D27"/>
    <mergeCell ref="E27:H27"/>
    <mergeCell ref="A31:D31"/>
    <mergeCell ref="E31:H31"/>
    <mergeCell ref="A526:B526"/>
    <mergeCell ref="G526:H526"/>
    <mergeCell ref="A527:B527"/>
    <mergeCell ref="G528:H528"/>
    <mergeCell ref="A529:B529"/>
    <mergeCell ref="G529:H529"/>
    <mergeCell ref="A172:B172"/>
    <mergeCell ref="C172:H172"/>
    <mergeCell ref="A173:B173"/>
    <mergeCell ref="E173:F173"/>
    <mergeCell ref="G173:H173"/>
    <mergeCell ref="A114:B114"/>
    <mergeCell ref="C114:H114"/>
    <mergeCell ref="A116:B116"/>
    <mergeCell ref="C116:H116"/>
    <mergeCell ref="A117:B117"/>
    <mergeCell ref="E117:F117"/>
    <mergeCell ref="G117:H117"/>
    <mergeCell ref="A118:B118"/>
    <mergeCell ref="E118:F127"/>
    <mergeCell ref="G118:H127"/>
    <mergeCell ref="A119:B119"/>
    <mergeCell ref="A120:B120"/>
    <mergeCell ref="A121:B121"/>
    <mergeCell ref="A122:B122"/>
    <mergeCell ref="A131:B131"/>
    <mergeCell ref="A142:B142"/>
    <mergeCell ref="C142:H142"/>
    <mergeCell ref="A144:B144"/>
    <mergeCell ref="C144:H144"/>
    <mergeCell ref="C40:H40"/>
    <mergeCell ref="A41:B41"/>
    <mergeCell ref="C41:H41"/>
    <mergeCell ref="A170:B170"/>
    <mergeCell ref="C170:H170"/>
    <mergeCell ref="D71:H71"/>
    <mergeCell ref="D66:H66"/>
    <mergeCell ref="A62:B62"/>
    <mergeCell ref="A70:C70"/>
    <mergeCell ref="A98:B98"/>
    <mergeCell ref="G54:H54"/>
    <mergeCell ref="A55:B55"/>
    <mergeCell ref="C55:E55"/>
    <mergeCell ref="G55:H55"/>
    <mergeCell ref="A56:B56"/>
    <mergeCell ref="C56:E56"/>
    <mergeCell ref="G56:H56"/>
    <mergeCell ref="A145:B145"/>
    <mergeCell ref="E145:F145"/>
    <mergeCell ref="G145:H145"/>
    <mergeCell ref="A146:B146"/>
    <mergeCell ref="E146:F155"/>
    <mergeCell ref="A67:C67"/>
    <mergeCell ref="D67:H67"/>
    <mergeCell ref="A174:B174"/>
    <mergeCell ref="E174:F183"/>
    <mergeCell ref="G174:H183"/>
    <mergeCell ref="A175:B175"/>
    <mergeCell ref="A176:B176"/>
    <mergeCell ref="A177:B177"/>
    <mergeCell ref="A178:B178"/>
    <mergeCell ref="A179:B179"/>
    <mergeCell ref="A180:B180"/>
    <mergeCell ref="A181:B181"/>
    <mergeCell ref="A182:B182"/>
    <mergeCell ref="A183:B183"/>
    <mergeCell ref="A123:B123"/>
    <mergeCell ref="A124:B124"/>
    <mergeCell ref="A125:B125"/>
    <mergeCell ref="A126:B126"/>
    <mergeCell ref="A127:B127"/>
    <mergeCell ref="A130:B130"/>
    <mergeCell ref="C130:H130"/>
    <mergeCell ref="G146:H155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A155:B155"/>
    <mergeCell ref="A140:B140"/>
  </mergeCells>
  <hyperlinks>
    <hyperlink ref="C41" r:id="rId1"/>
  </hyperlinks>
  <printOptions horizontalCentered="1"/>
  <pageMargins left="0.27559055118110237" right="0.27559055118110237" top="0.78740157480314965" bottom="0.78740157480314965" header="0.19685039370078741" footer="0.19685039370078741"/>
  <pageSetup paperSize="9" fitToHeight="0" orientation="portrait" r:id="rId2"/>
  <headerFooter>
    <oddHeader>&amp;C&amp;G</oddHeader>
    <oddFooter>&amp;L&amp;"Times New Roman,Bold"&amp;12Ref No: &amp;F&amp;C&amp;G&amp;R&amp;"Times New Roman,Bold"&amp;12                                      &amp;P</oddFooter>
  </headerFooter>
  <rowBreaks count="8" manualBreakCount="8">
    <brk id="49" max="16383" man="1"/>
    <brk id="71" max="16383" man="1"/>
    <brk id="99" max="16383" man="1"/>
    <brk id="127" max="16383" man="1"/>
    <brk id="155" max="16383" man="1"/>
    <brk id="284" max="16383" man="1"/>
    <brk id="622" max="16383" man="1"/>
    <brk id="665" max="7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1"/>
  <sheetViews>
    <sheetView topLeftCell="A28" workbookViewId="0">
      <selection activeCell="C32" sqref="C32"/>
    </sheetView>
  </sheetViews>
  <sheetFormatPr defaultRowHeight="15" x14ac:dyDescent="0.25"/>
  <sheetData>
    <row r="31" spans="3:3" x14ac:dyDescent="0.25">
      <c r="C31" t="s">
        <v>311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9"/>
  <sheetViews>
    <sheetView workbookViewId="0">
      <selection activeCell="D10" sqref="D10"/>
    </sheetView>
  </sheetViews>
  <sheetFormatPr defaultRowHeight="15" x14ac:dyDescent="0.25"/>
  <sheetData>
    <row r="9" spans="4:4" x14ac:dyDescent="0.25">
      <c r="D9" t="s">
        <v>310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4"/>
  <sheetViews>
    <sheetView zoomScale="85" zoomScaleNormal="85" workbookViewId="0">
      <selection activeCell="A13" sqref="A13"/>
    </sheetView>
  </sheetViews>
  <sheetFormatPr defaultRowHeight="15" x14ac:dyDescent="0.25"/>
  <cols>
    <col min="1" max="1" width="23.7109375" bestFit="1" customWidth="1"/>
    <col min="2" max="2" width="13.5703125" customWidth="1"/>
    <col min="3" max="3" width="14.28515625" bestFit="1" customWidth="1"/>
    <col min="4" max="4" width="16.7109375" customWidth="1"/>
    <col min="5" max="5" width="20.140625" customWidth="1"/>
    <col min="6" max="6" width="22" bestFit="1" customWidth="1"/>
    <col min="7" max="7" width="23.85546875" customWidth="1"/>
    <col min="8" max="8" width="15.140625" customWidth="1"/>
    <col min="9" max="9" width="20" customWidth="1"/>
  </cols>
  <sheetData>
    <row r="1" spans="1:9" ht="19.5" x14ac:dyDescent="0.3">
      <c r="A1" s="249" t="s">
        <v>184</v>
      </c>
      <c r="B1" s="249"/>
      <c r="C1" s="249"/>
      <c r="D1" s="249"/>
      <c r="E1" s="249"/>
      <c r="F1" s="249"/>
      <c r="G1" s="249"/>
      <c r="H1" s="249"/>
      <c r="I1" s="249"/>
    </row>
    <row r="2" spans="1:9" ht="15" customHeight="1" x14ac:dyDescent="0.25">
      <c r="A2" s="247" t="s">
        <v>162</v>
      </c>
      <c r="B2" s="247"/>
      <c r="C2" s="247"/>
      <c r="D2" s="247"/>
      <c r="E2" s="247"/>
      <c r="F2" s="247"/>
      <c r="G2" s="247"/>
      <c r="H2" s="247"/>
      <c r="I2" s="247"/>
    </row>
    <row r="3" spans="1:9" x14ac:dyDescent="0.25">
      <c r="A3" s="34"/>
      <c r="B3" s="35" t="s">
        <v>163</v>
      </c>
      <c r="C3" s="35" t="s">
        <v>164</v>
      </c>
      <c r="D3" s="35" t="s">
        <v>165</v>
      </c>
      <c r="E3" s="35" t="s">
        <v>166</v>
      </c>
      <c r="F3" s="36" t="s">
        <v>167</v>
      </c>
      <c r="G3" s="36" t="s">
        <v>168</v>
      </c>
      <c r="H3" s="35" t="s">
        <v>169</v>
      </c>
      <c r="I3" s="37" t="s">
        <v>170</v>
      </c>
    </row>
    <row r="4" spans="1:9" x14ac:dyDescent="0.25">
      <c r="A4" s="21" t="s">
        <v>171</v>
      </c>
      <c r="B4" s="22">
        <v>0</v>
      </c>
      <c r="C4" s="22">
        <v>0</v>
      </c>
      <c r="D4" s="22">
        <v>20</v>
      </c>
      <c r="E4" s="22">
        <v>20</v>
      </c>
      <c r="F4" s="25">
        <v>20</v>
      </c>
      <c r="G4" s="26">
        <v>20</v>
      </c>
      <c r="H4" s="24">
        <v>0</v>
      </c>
      <c r="I4" s="24">
        <f t="shared" ref="I4:I11" si="0">G4/F4*E4</f>
        <v>20</v>
      </c>
    </row>
    <row r="5" spans="1:9" x14ac:dyDescent="0.25">
      <c r="A5" s="21" t="s">
        <v>51</v>
      </c>
      <c r="B5" s="22">
        <v>10</v>
      </c>
      <c r="C5" s="22">
        <v>10</v>
      </c>
      <c r="D5" s="22">
        <v>45</v>
      </c>
      <c r="E5" s="22">
        <v>25</v>
      </c>
      <c r="F5" s="27">
        <f>F4</f>
        <v>20</v>
      </c>
      <c r="G5" s="26">
        <v>20</v>
      </c>
      <c r="H5" s="24">
        <f t="shared" ref="H5:H11" si="1">G5/F5*C5</f>
        <v>10</v>
      </c>
      <c r="I5" s="24">
        <f t="shared" si="0"/>
        <v>25</v>
      </c>
    </row>
    <row r="6" spans="1:9" ht="25.5" x14ac:dyDescent="0.25">
      <c r="A6" s="21" t="s">
        <v>172</v>
      </c>
      <c r="B6" s="22">
        <v>50</v>
      </c>
      <c r="C6" s="22">
        <v>40</v>
      </c>
      <c r="D6" s="22">
        <v>75</v>
      </c>
      <c r="E6" s="22">
        <v>30</v>
      </c>
      <c r="F6" s="27">
        <v>25</v>
      </c>
      <c r="G6" s="26">
        <v>25</v>
      </c>
      <c r="H6" s="24">
        <f t="shared" si="1"/>
        <v>40</v>
      </c>
      <c r="I6" s="24">
        <f t="shared" si="0"/>
        <v>30</v>
      </c>
    </row>
    <row r="7" spans="1:9" ht="25.5" x14ac:dyDescent="0.25">
      <c r="A7" s="38" t="s">
        <v>173</v>
      </c>
      <c r="B7" s="22">
        <v>65</v>
      </c>
      <c r="C7" s="22">
        <v>15</v>
      </c>
      <c r="D7" s="22">
        <v>85</v>
      </c>
      <c r="E7" s="22">
        <v>10</v>
      </c>
      <c r="F7" s="27">
        <f>F4</f>
        <v>20</v>
      </c>
      <c r="G7" s="26">
        <v>20</v>
      </c>
      <c r="H7" s="24">
        <f t="shared" si="1"/>
        <v>15</v>
      </c>
      <c r="I7" s="24">
        <f t="shared" si="0"/>
        <v>10</v>
      </c>
    </row>
    <row r="8" spans="1:9" x14ac:dyDescent="0.25">
      <c r="A8" s="21" t="s">
        <v>174</v>
      </c>
      <c r="B8" s="22">
        <v>75</v>
      </c>
      <c r="C8" s="22">
        <v>10</v>
      </c>
      <c r="D8" s="22">
        <v>90</v>
      </c>
      <c r="E8" s="22">
        <v>5</v>
      </c>
      <c r="F8" s="27">
        <f>F4</f>
        <v>20</v>
      </c>
      <c r="G8" s="26">
        <v>20</v>
      </c>
      <c r="H8" s="24">
        <f t="shared" si="1"/>
        <v>10</v>
      </c>
      <c r="I8" s="24">
        <f t="shared" si="0"/>
        <v>5</v>
      </c>
    </row>
    <row r="9" spans="1:9" ht="25.5" x14ac:dyDescent="0.25">
      <c r="A9" s="21" t="s">
        <v>175</v>
      </c>
      <c r="B9" s="22">
        <v>85</v>
      </c>
      <c r="C9" s="22">
        <v>10</v>
      </c>
      <c r="D9" s="22">
        <v>95</v>
      </c>
      <c r="E9" s="22">
        <v>5</v>
      </c>
      <c r="F9" s="27">
        <f>F5</f>
        <v>20</v>
      </c>
      <c r="G9" s="26">
        <v>20</v>
      </c>
      <c r="H9" s="24">
        <f t="shared" si="1"/>
        <v>10</v>
      </c>
      <c r="I9" s="24">
        <f t="shared" si="0"/>
        <v>5</v>
      </c>
    </row>
    <row r="10" spans="1:9" ht="25.5" x14ac:dyDescent="0.25">
      <c r="A10" s="38" t="s">
        <v>193</v>
      </c>
      <c r="B10" s="22">
        <v>95</v>
      </c>
      <c r="C10" s="22">
        <v>10</v>
      </c>
      <c r="D10" s="22">
        <v>95</v>
      </c>
      <c r="E10" s="22">
        <v>0</v>
      </c>
      <c r="F10" s="27">
        <f>F4</f>
        <v>20</v>
      </c>
      <c r="G10" s="26">
        <v>0</v>
      </c>
      <c r="H10" s="24">
        <f t="shared" si="1"/>
        <v>0</v>
      </c>
      <c r="I10" s="24">
        <f t="shared" si="0"/>
        <v>0</v>
      </c>
    </row>
    <row r="11" spans="1:9" x14ac:dyDescent="0.25">
      <c r="A11" s="21" t="s">
        <v>177</v>
      </c>
      <c r="B11" s="22">
        <v>100</v>
      </c>
      <c r="C11" s="22">
        <v>5</v>
      </c>
      <c r="D11" s="22">
        <v>100</v>
      </c>
      <c r="E11" s="22">
        <v>5</v>
      </c>
      <c r="F11" s="27">
        <f>F4</f>
        <v>20</v>
      </c>
      <c r="G11" s="26">
        <v>0</v>
      </c>
      <c r="H11" s="24">
        <f t="shared" si="1"/>
        <v>0</v>
      </c>
      <c r="I11" s="24">
        <f t="shared" si="0"/>
        <v>0</v>
      </c>
    </row>
    <row r="12" spans="1:9" x14ac:dyDescent="0.25">
      <c r="A12" s="28"/>
      <c r="B12" s="28"/>
      <c r="C12" s="28">
        <f>SUM(C4:C11)</f>
        <v>100</v>
      </c>
      <c r="D12" s="28"/>
      <c r="E12" s="28">
        <f>SUM(E4:E11)</f>
        <v>100</v>
      </c>
      <c r="F12" s="28"/>
      <c r="G12" s="29" t="s">
        <v>178</v>
      </c>
      <c r="H12" s="30">
        <f>SUM(H4:H11)</f>
        <v>85</v>
      </c>
      <c r="I12" s="30">
        <f>SUM(I4:I11)</f>
        <v>95</v>
      </c>
    </row>
    <row r="14" spans="1:9" ht="19.5" x14ac:dyDescent="0.3">
      <c r="A14" s="250" t="s">
        <v>185</v>
      </c>
      <c r="B14" s="251"/>
      <c r="C14" s="251"/>
      <c r="D14" s="251"/>
      <c r="E14" s="251"/>
      <c r="F14" s="251"/>
      <c r="G14" s="251"/>
      <c r="H14" s="251"/>
      <c r="I14" s="252"/>
    </row>
    <row r="15" spans="1:9" x14ac:dyDescent="0.25">
      <c r="A15" s="248" t="s">
        <v>162</v>
      </c>
      <c r="B15" s="248"/>
      <c r="C15" s="248"/>
      <c r="D15" s="248"/>
      <c r="E15" s="248"/>
      <c r="F15" s="248"/>
      <c r="G15" s="248"/>
      <c r="H15" s="248"/>
      <c r="I15" s="248"/>
    </row>
    <row r="16" spans="1:9" x14ac:dyDescent="0.25">
      <c r="A16" s="21"/>
      <c r="B16" s="22" t="s">
        <v>163</v>
      </c>
      <c r="C16" s="22" t="s">
        <v>164</v>
      </c>
      <c r="D16" s="22" t="s">
        <v>165</v>
      </c>
      <c r="E16" s="22" t="s">
        <v>166</v>
      </c>
      <c r="F16" s="23" t="s">
        <v>167</v>
      </c>
      <c r="G16" s="23" t="s">
        <v>168</v>
      </c>
      <c r="H16" s="22" t="s">
        <v>169</v>
      </c>
      <c r="I16" s="24" t="s">
        <v>170</v>
      </c>
    </row>
    <row r="17" spans="1:9" x14ac:dyDescent="0.25">
      <c r="A17" s="21" t="s">
        <v>171</v>
      </c>
      <c r="B17" s="22">
        <v>0</v>
      </c>
      <c r="C17" s="22">
        <v>0</v>
      </c>
      <c r="D17" s="22">
        <v>20</v>
      </c>
      <c r="E17" s="22">
        <v>20</v>
      </c>
      <c r="F17" s="25">
        <v>30</v>
      </c>
      <c r="G17" s="26">
        <v>30</v>
      </c>
      <c r="H17" s="24">
        <v>0</v>
      </c>
      <c r="I17" s="24">
        <f t="shared" ref="I17:I26" si="2">G17/F17*E17</f>
        <v>20</v>
      </c>
    </row>
    <row r="18" spans="1:9" x14ac:dyDescent="0.25">
      <c r="A18" s="21" t="s">
        <v>51</v>
      </c>
      <c r="B18" s="22">
        <v>10</v>
      </c>
      <c r="C18" s="22">
        <v>10</v>
      </c>
      <c r="D18" s="33">
        <f>D17+I18</f>
        <v>45</v>
      </c>
      <c r="E18" s="22">
        <v>25</v>
      </c>
      <c r="F18" s="27">
        <f>F17</f>
        <v>30</v>
      </c>
      <c r="G18" s="26">
        <v>30</v>
      </c>
      <c r="H18" s="24">
        <f>G18/F18*C18</f>
        <v>10</v>
      </c>
      <c r="I18" s="24">
        <f t="shared" si="2"/>
        <v>25</v>
      </c>
    </row>
    <row r="19" spans="1:9" ht="25.5" x14ac:dyDescent="0.25">
      <c r="A19" s="21" t="s">
        <v>172</v>
      </c>
      <c r="B19" s="33">
        <f>B18+H19</f>
        <v>50</v>
      </c>
      <c r="C19" s="22">
        <v>40</v>
      </c>
      <c r="D19" s="33">
        <f>D18+I19</f>
        <v>75</v>
      </c>
      <c r="E19" s="22">
        <v>30</v>
      </c>
      <c r="F19" s="27">
        <v>35</v>
      </c>
      <c r="G19" s="26">
        <v>35</v>
      </c>
      <c r="H19" s="24">
        <f>G19/F19*C19</f>
        <v>40</v>
      </c>
      <c r="I19" s="24">
        <f t="shared" si="2"/>
        <v>30</v>
      </c>
    </row>
    <row r="20" spans="1:9" x14ac:dyDescent="0.25">
      <c r="A20" s="38" t="s">
        <v>180</v>
      </c>
      <c r="B20" s="33">
        <f t="shared" ref="B20:B25" si="3">B19+H20</f>
        <v>57.5</v>
      </c>
      <c r="C20" s="22">
        <v>7.5</v>
      </c>
      <c r="D20" s="33">
        <f t="shared" ref="D20:D25" si="4">D19+I20</f>
        <v>80</v>
      </c>
      <c r="E20" s="22">
        <v>5</v>
      </c>
      <c r="F20" s="27">
        <f>F17</f>
        <v>30</v>
      </c>
      <c r="G20" s="26">
        <v>30</v>
      </c>
      <c r="H20" s="24">
        <f>G20/F20*7.5</f>
        <v>7.5</v>
      </c>
      <c r="I20" s="24">
        <f t="shared" si="2"/>
        <v>5</v>
      </c>
    </row>
    <row r="21" spans="1:9" x14ac:dyDescent="0.25">
      <c r="A21" s="38" t="s">
        <v>181</v>
      </c>
      <c r="B21" s="33">
        <f t="shared" si="3"/>
        <v>65</v>
      </c>
      <c r="C21" s="22">
        <v>7.5</v>
      </c>
      <c r="D21" s="33">
        <f t="shared" si="4"/>
        <v>85</v>
      </c>
      <c r="E21" s="22">
        <v>5</v>
      </c>
      <c r="F21" s="27">
        <f>F18</f>
        <v>30</v>
      </c>
      <c r="G21" s="26">
        <v>30</v>
      </c>
      <c r="H21" s="24">
        <f>G21/F21*C21</f>
        <v>7.5</v>
      </c>
      <c r="I21" s="24">
        <f>G21/F21*E21</f>
        <v>5</v>
      </c>
    </row>
    <row r="22" spans="1:9" ht="25.5" x14ac:dyDescent="0.25">
      <c r="A22" s="21" t="s">
        <v>175</v>
      </c>
      <c r="B22" s="33">
        <f t="shared" si="3"/>
        <v>75</v>
      </c>
      <c r="C22" s="22">
        <v>10</v>
      </c>
      <c r="D22" s="33">
        <f t="shared" si="4"/>
        <v>90</v>
      </c>
      <c r="E22" s="22">
        <v>5</v>
      </c>
      <c r="F22" s="27">
        <f>F17</f>
        <v>30</v>
      </c>
      <c r="G22" s="26">
        <v>30</v>
      </c>
      <c r="H22" s="24">
        <f>G22/F22*C22</f>
        <v>10</v>
      </c>
      <c r="I22" s="24">
        <f>G22/F22*E22</f>
        <v>5</v>
      </c>
    </row>
    <row r="23" spans="1:9" x14ac:dyDescent="0.25">
      <c r="A23" s="21" t="s">
        <v>174</v>
      </c>
      <c r="B23" s="33">
        <f t="shared" si="3"/>
        <v>85</v>
      </c>
      <c r="C23" s="22">
        <v>10</v>
      </c>
      <c r="D23" s="33">
        <f t="shared" si="4"/>
        <v>95</v>
      </c>
      <c r="E23" s="22">
        <v>5</v>
      </c>
      <c r="F23" s="27">
        <f>F17</f>
        <v>30</v>
      </c>
      <c r="G23" s="26">
        <v>30</v>
      </c>
      <c r="H23" s="24">
        <f>G23/F23*C23</f>
        <v>10</v>
      </c>
      <c r="I23" s="24">
        <f>G23/F23*E23</f>
        <v>5</v>
      </c>
    </row>
    <row r="24" spans="1:9" x14ac:dyDescent="0.25">
      <c r="A24" s="38" t="s">
        <v>182</v>
      </c>
      <c r="B24" s="33">
        <f t="shared" si="3"/>
        <v>90</v>
      </c>
      <c r="C24" s="22">
        <v>5</v>
      </c>
      <c r="D24" s="33">
        <f t="shared" si="4"/>
        <v>95</v>
      </c>
      <c r="E24" s="22">
        <v>0</v>
      </c>
      <c r="F24" s="27">
        <f>F18</f>
        <v>30</v>
      </c>
      <c r="G24" s="26">
        <v>30</v>
      </c>
      <c r="H24" s="24">
        <f t="shared" ref="H24:H26" si="5">G24/F24*C24</f>
        <v>5</v>
      </c>
      <c r="I24" s="24">
        <f t="shared" si="2"/>
        <v>0</v>
      </c>
    </row>
    <row r="25" spans="1:9" ht="25.5" x14ac:dyDescent="0.25">
      <c r="A25" s="38" t="s">
        <v>176</v>
      </c>
      <c r="B25" s="33">
        <f t="shared" si="3"/>
        <v>95</v>
      </c>
      <c r="C25" s="22">
        <v>5</v>
      </c>
      <c r="D25" s="33">
        <f t="shared" si="4"/>
        <v>95</v>
      </c>
      <c r="E25" s="22">
        <v>0</v>
      </c>
      <c r="F25" s="27">
        <f>F17</f>
        <v>30</v>
      </c>
      <c r="G25" s="26">
        <v>30</v>
      </c>
      <c r="H25" s="24">
        <f t="shared" si="5"/>
        <v>5</v>
      </c>
      <c r="I25" s="24">
        <f t="shared" si="2"/>
        <v>0</v>
      </c>
    </row>
    <row r="26" spans="1:9" x14ac:dyDescent="0.25">
      <c r="A26" s="21" t="s">
        <v>177</v>
      </c>
      <c r="B26" s="22">
        <v>100</v>
      </c>
      <c r="C26" s="22">
        <v>5</v>
      </c>
      <c r="D26" s="22">
        <v>100</v>
      </c>
      <c r="E26" s="22">
        <v>5</v>
      </c>
      <c r="F26" s="27">
        <f>F17</f>
        <v>30</v>
      </c>
      <c r="G26" s="26">
        <v>30</v>
      </c>
      <c r="H26" s="24">
        <f t="shared" si="5"/>
        <v>5</v>
      </c>
      <c r="I26" s="24">
        <f t="shared" si="2"/>
        <v>5</v>
      </c>
    </row>
    <row r="27" spans="1:9" x14ac:dyDescent="0.25">
      <c r="A27" s="28"/>
      <c r="B27" s="28"/>
      <c r="C27" s="28">
        <f>SUM(C17:C26)</f>
        <v>100</v>
      </c>
      <c r="D27" s="28"/>
      <c r="E27" s="28">
        <f>SUM(E17:E26)</f>
        <v>100</v>
      </c>
      <c r="F27" s="28"/>
      <c r="G27" s="29" t="s">
        <v>178</v>
      </c>
      <c r="H27" s="30">
        <f>SUM(H17:H26)</f>
        <v>100</v>
      </c>
      <c r="I27" s="30">
        <f>SUM(I17:I26)</f>
        <v>100</v>
      </c>
    </row>
    <row r="30" spans="1:9" hidden="1" x14ac:dyDescent="0.25">
      <c r="C30" s="39" t="s">
        <v>183</v>
      </c>
      <c r="D30" s="39"/>
    </row>
    <row r="31" spans="1:9" hidden="1" x14ac:dyDescent="0.25"/>
    <row r="32" spans="1:9" hidden="1" x14ac:dyDescent="0.25">
      <c r="A32" s="247" t="s">
        <v>162</v>
      </c>
      <c r="B32" s="247"/>
      <c r="C32" s="247"/>
      <c r="D32" s="247"/>
      <c r="E32" s="247"/>
      <c r="F32" s="247"/>
      <c r="G32" s="247"/>
      <c r="H32" s="247"/>
      <c r="I32" s="247"/>
    </row>
    <row r="33" spans="1:9" hidden="1" x14ac:dyDescent="0.25">
      <c r="A33" s="21"/>
      <c r="B33" s="22" t="s">
        <v>163</v>
      </c>
      <c r="C33" s="22" t="s">
        <v>164</v>
      </c>
      <c r="D33" s="22" t="s">
        <v>165</v>
      </c>
      <c r="E33" s="22" t="s">
        <v>166</v>
      </c>
      <c r="F33" s="23" t="s">
        <v>167</v>
      </c>
      <c r="G33" s="23" t="s">
        <v>168</v>
      </c>
      <c r="H33" s="22" t="s">
        <v>169</v>
      </c>
      <c r="I33" s="24" t="s">
        <v>170</v>
      </c>
    </row>
    <row r="34" spans="1:9" hidden="1" x14ac:dyDescent="0.25">
      <c r="A34" s="21" t="s">
        <v>171</v>
      </c>
      <c r="B34" s="22">
        <v>0</v>
      </c>
      <c r="C34" s="22">
        <v>0</v>
      </c>
      <c r="D34" s="22">
        <v>20</v>
      </c>
      <c r="E34" s="22">
        <v>20</v>
      </c>
      <c r="F34" s="25">
        <v>30</v>
      </c>
      <c r="G34" s="26">
        <v>30</v>
      </c>
      <c r="H34" s="24">
        <v>0</v>
      </c>
      <c r="I34" s="24">
        <f t="shared" ref="I34:I37" si="6">G34/F34*E34</f>
        <v>20</v>
      </c>
    </row>
    <row r="35" spans="1:9" hidden="1" x14ac:dyDescent="0.25">
      <c r="A35" s="21" t="s">
        <v>51</v>
      </c>
      <c r="B35" s="22">
        <v>10</v>
      </c>
      <c r="C35" s="22">
        <v>10</v>
      </c>
      <c r="D35" s="33">
        <f>D34+I35</f>
        <v>45</v>
      </c>
      <c r="E35" s="22">
        <v>25</v>
      </c>
      <c r="F35" s="27">
        <f>F34</f>
        <v>30</v>
      </c>
      <c r="G35" s="26">
        <v>30</v>
      </c>
      <c r="H35" s="24">
        <f>G35/F35*C35</f>
        <v>10</v>
      </c>
      <c r="I35" s="24">
        <f t="shared" si="6"/>
        <v>25</v>
      </c>
    </row>
    <row r="36" spans="1:9" ht="25.5" hidden="1" x14ac:dyDescent="0.25">
      <c r="A36" s="21" t="s">
        <v>172</v>
      </c>
      <c r="B36" s="33">
        <f>B35+H36</f>
        <v>50</v>
      </c>
      <c r="C36" s="22">
        <v>40</v>
      </c>
      <c r="D36" s="33">
        <f>D35+I36</f>
        <v>75</v>
      </c>
      <c r="E36" s="22">
        <v>30</v>
      </c>
      <c r="F36" s="27">
        <v>35</v>
      </c>
      <c r="G36" s="26">
        <v>35</v>
      </c>
      <c r="H36" s="24">
        <f>G36/F36*C36</f>
        <v>40</v>
      </c>
      <c r="I36" s="24">
        <f t="shared" si="6"/>
        <v>30</v>
      </c>
    </row>
    <row r="37" spans="1:9" hidden="1" x14ac:dyDescent="0.25">
      <c r="A37" s="21" t="s">
        <v>180</v>
      </c>
      <c r="B37" s="33">
        <f t="shared" ref="B37:B42" si="7">B36+H37</f>
        <v>57.5</v>
      </c>
      <c r="C37" s="22">
        <v>10</v>
      </c>
      <c r="D37" s="33">
        <f t="shared" ref="D37:D42" si="8">D36+I37</f>
        <v>82.5</v>
      </c>
      <c r="E37" s="22">
        <v>7.5</v>
      </c>
      <c r="F37" s="27">
        <f>F34</f>
        <v>30</v>
      </c>
      <c r="G37" s="26">
        <v>30</v>
      </c>
      <c r="H37" s="24">
        <f>G37/F37*7.5</f>
        <v>7.5</v>
      </c>
      <c r="I37" s="24">
        <f t="shared" si="6"/>
        <v>7.5</v>
      </c>
    </row>
    <row r="38" spans="1:9" ht="25.5" hidden="1" x14ac:dyDescent="0.25">
      <c r="A38" s="21" t="s">
        <v>175</v>
      </c>
      <c r="B38" s="33">
        <f t="shared" si="7"/>
        <v>62.5</v>
      </c>
      <c r="C38" s="22">
        <v>5</v>
      </c>
      <c r="D38" s="33">
        <f t="shared" si="8"/>
        <v>85</v>
      </c>
      <c r="E38" s="22">
        <v>2.5</v>
      </c>
      <c r="F38" s="27">
        <f>F34</f>
        <v>30</v>
      </c>
      <c r="G38" s="26">
        <v>30</v>
      </c>
      <c r="H38" s="24">
        <f>G38/F38*C38</f>
        <v>5</v>
      </c>
      <c r="I38" s="24">
        <f>G38/F38*E38</f>
        <v>2.5</v>
      </c>
    </row>
    <row r="39" spans="1:9" hidden="1" x14ac:dyDescent="0.25">
      <c r="A39" s="21" t="s">
        <v>181</v>
      </c>
      <c r="B39" s="33">
        <f t="shared" si="7"/>
        <v>67.5</v>
      </c>
      <c r="C39" s="22">
        <v>5</v>
      </c>
      <c r="D39" s="33">
        <f t="shared" si="8"/>
        <v>87.5</v>
      </c>
      <c r="E39" s="22">
        <v>2.5</v>
      </c>
      <c r="F39" s="27">
        <f>F35</f>
        <v>30</v>
      </c>
      <c r="G39" s="26">
        <v>30</v>
      </c>
      <c r="H39" s="24">
        <f t="shared" ref="H39" si="9">G39/F39*C39</f>
        <v>5</v>
      </c>
      <c r="I39" s="24">
        <f t="shared" ref="I39" si="10">G39/F39*E39</f>
        <v>2.5</v>
      </c>
    </row>
    <row r="40" spans="1:9" hidden="1" x14ac:dyDescent="0.25">
      <c r="A40" s="21" t="s">
        <v>174</v>
      </c>
      <c r="B40" s="33">
        <f t="shared" si="7"/>
        <v>77.5</v>
      </c>
      <c r="C40" s="22">
        <v>10</v>
      </c>
      <c r="D40" s="33">
        <f t="shared" si="8"/>
        <v>90</v>
      </c>
      <c r="E40" s="22">
        <v>2.5</v>
      </c>
      <c r="F40" s="27">
        <f>F34</f>
        <v>30</v>
      </c>
      <c r="G40" s="26">
        <v>30</v>
      </c>
      <c r="H40" s="24">
        <f>G40/F40*C40</f>
        <v>10</v>
      </c>
      <c r="I40" s="24">
        <f>G40/F40*E40</f>
        <v>2.5</v>
      </c>
    </row>
    <row r="41" spans="1:9" hidden="1" x14ac:dyDescent="0.25">
      <c r="A41" s="21" t="s">
        <v>182</v>
      </c>
      <c r="B41" s="33">
        <f t="shared" si="7"/>
        <v>87.5</v>
      </c>
      <c r="C41" s="22">
        <v>10</v>
      </c>
      <c r="D41" s="33">
        <f t="shared" si="8"/>
        <v>95</v>
      </c>
      <c r="E41" s="22">
        <v>5</v>
      </c>
      <c r="F41" s="27">
        <f>F35</f>
        <v>30</v>
      </c>
      <c r="G41" s="26">
        <v>30</v>
      </c>
      <c r="H41" s="24">
        <f t="shared" ref="H41:H43" si="11">G41/F41*C41</f>
        <v>10</v>
      </c>
      <c r="I41" s="24">
        <f t="shared" ref="I41:I43" si="12">G41/F41*E41</f>
        <v>5</v>
      </c>
    </row>
    <row r="42" spans="1:9" ht="25.5" hidden="1" x14ac:dyDescent="0.25">
      <c r="A42" s="21" t="s">
        <v>176</v>
      </c>
      <c r="B42" s="33">
        <f t="shared" si="7"/>
        <v>92.5</v>
      </c>
      <c r="C42" s="22">
        <v>5</v>
      </c>
      <c r="D42" s="33">
        <f t="shared" si="8"/>
        <v>97.5</v>
      </c>
      <c r="E42" s="22">
        <v>2.5</v>
      </c>
      <c r="F42" s="27">
        <f>F34</f>
        <v>30</v>
      </c>
      <c r="G42" s="26">
        <v>30</v>
      </c>
      <c r="H42" s="24">
        <f t="shared" si="11"/>
        <v>5</v>
      </c>
      <c r="I42" s="24">
        <f t="shared" si="12"/>
        <v>2.5</v>
      </c>
    </row>
    <row r="43" spans="1:9" hidden="1" x14ac:dyDescent="0.25">
      <c r="A43" s="21" t="s">
        <v>177</v>
      </c>
      <c r="B43" s="22">
        <v>100</v>
      </c>
      <c r="C43" s="22">
        <v>5</v>
      </c>
      <c r="D43" s="22">
        <v>100</v>
      </c>
      <c r="E43" s="22">
        <v>2.5</v>
      </c>
      <c r="F43" s="27">
        <f>F34</f>
        <v>30</v>
      </c>
      <c r="G43" s="26">
        <v>30</v>
      </c>
      <c r="H43" s="24">
        <f t="shared" si="11"/>
        <v>5</v>
      </c>
      <c r="I43" s="24">
        <f t="shared" si="12"/>
        <v>2.5</v>
      </c>
    </row>
    <row r="44" spans="1:9" hidden="1" x14ac:dyDescent="0.25">
      <c r="A44" s="28"/>
      <c r="B44" s="28"/>
      <c r="C44" s="28">
        <f>SUM(C34:C43)</f>
        <v>100</v>
      </c>
      <c r="D44" s="28"/>
      <c r="E44" s="28">
        <f>SUM(E34:E43)</f>
        <v>100</v>
      </c>
      <c r="F44" s="28"/>
      <c r="G44" s="29" t="s">
        <v>178</v>
      </c>
      <c r="H44" s="30">
        <f>SUM(H34:H43)</f>
        <v>97.5</v>
      </c>
      <c r="I44" s="30">
        <f>SUM(I34:I43)</f>
        <v>100</v>
      </c>
    </row>
  </sheetData>
  <mergeCells count="5">
    <mergeCell ref="A2:I2"/>
    <mergeCell ref="A15:I15"/>
    <mergeCell ref="A32:I32"/>
    <mergeCell ref="A1:I1"/>
    <mergeCell ref="A14:I14"/>
  </mergeCells>
  <pageMargins left="0.7" right="0.7" top="0.75" bottom="0.75" header="0.3" footer="0.3"/>
  <pageSetup paperSize="9" orientation="portrait" horizontalDpi="300" verticalDpi="0" copies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L36"/>
  <sheetViews>
    <sheetView topLeftCell="A7" workbookViewId="0">
      <selection activeCell="C21" sqref="C21:D25"/>
    </sheetView>
  </sheetViews>
  <sheetFormatPr defaultRowHeight="15" x14ac:dyDescent="0.25"/>
  <cols>
    <col min="2" max="2" width="12.28515625" customWidth="1"/>
  </cols>
  <sheetData>
    <row r="2" spans="1:12" x14ac:dyDescent="0.25">
      <c r="B2" s="1" t="s">
        <v>75</v>
      </c>
      <c r="C2" s="253"/>
      <c r="D2" s="253"/>
    </row>
    <row r="3" spans="1:12" x14ac:dyDescent="0.25">
      <c r="D3" s="2"/>
      <c r="E3" s="2"/>
      <c r="F3" s="2"/>
      <c r="G3" s="2"/>
      <c r="H3" s="2"/>
      <c r="I3" s="2"/>
    </row>
    <row r="4" spans="1:12" x14ac:dyDescent="0.25">
      <c r="A4" s="1" t="s">
        <v>76</v>
      </c>
      <c r="B4" s="3" t="s">
        <v>77</v>
      </c>
      <c r="C4" s="254" t="s">
        <v>78</v>
      </c>
      <c r="D4" s="254"/>
      <c r="E4" s="254"/>
      <c r="F4" s="4"/>
      <c r="G4" s="254" t="s">
        <v>79</v>
      </c>
      <c r="H4" s="254"/>
      <c r="I4" s="254"/>
      <c r="J4" s="254" t="s">
        <v>80</v>
      </c>
      <c r="K4" s="254"/>
      <c r="L4" s="254"/>
    </row>
    <row r="5" spans="1:12" x14ac:dyDescent="0.25">
      <c r="A5" s="1">
        <v>202</v>
      </c>
      <c r="B5" s="3"/>
      <c r="C5" s="3" t="s">
        <v>81</v>
      </c>
      <c r="D5" s="3" t="s">
        <v>82</v>
      </c>
      <c r="E5" s="3" t="s">
        <v>59</v>
      </c>
      <c r="F5" s="3"/>
      <c r="G5" s="3" t="s">
        <v>81</v>
      </c>
      <c r="H5" s="3" t="s">
        <v>82</v>
      </c>
      <c r="I5" s="3" t="s">
        <v>59</v>
      </c>
      <c r="J5" s="3" t="s">
        <v>81</v>
      </c>
      <c r="K5" s="3" t="s">
        <v>82</v>
      </c>
      <c r="L5" s="3" t="s">
        <v>59</v>
      </c>
    </row>
    <row r="6" spans="1:12" x14ac:dyDescent="0.25">
      <c r="B6" s="5" t="s">
        <v>83</v>
      </c>
      <c r="C6" s="5"/>
      <c r="D6" s="5"/>
      <c r="E6" s="5">
        <f>C6*D6</f>
        <v>0</v>
      </c>
      <c r="F6" s="5" t="s">
        <v>84</v>
      </c>
      <c r="G6" s="5"/>
      <c r="H6" s="5"/>
      <c r="I6" s="5">
        <f>G6*H6</f>
        <v>0</v>
      </c>
      <c r="J6" s="5"/>
      <c r="K6" s="5"/>
      <c r="L6" s="5">
        <f>J6*K6</f>
        <v>0</v>
      </c>
    </row>
    <row r="7" spans="1:12" x14ac:dyDescent="0.25">
      <c r="B7" s="5"/>
      <c r="C7" s="5"/>
      <c r="D7" s="5"/>
      <c r="E7" s="5">
        <f t="shared" ref="E7:E33" si="0">C7*D7</f>
        <v>0</v>
      </c>
      <c r="F7" s="5" t="s">
        <v>85</v>
      </c>
      <c r="G7" s="5"/>
      <c r="H7" s="5"/>
      <c r="I7" s="5">
        <f t="shared" ref="I7:I29" si="1">G7*H7</f>
        <v>0</v>
      </c>
      <c r="J7" s="5"/>
      <c r="K7" s="5"/>
      <c r="L7" s="5">
        <f t="shared" ref="L7:L29" si="2">J7*K7</f>
        <v>0</v>
      </c>
    </row>
    <row r="8" spans="1:12" x14ac:dyDescent="0.25">
      <c r="B8" s="5"/>
      <c r="C8" s="5"/>
      <c r="D8" s="5"/>
      <c r="E8" s="5">
        <f t="shared" si="0"/>
        <v>0</v>
      </c>
      <c r="F8" s="5"/>
      <c r="G8" s="5"/>
      <c r="H8" s="5"/>
      <c r="I8" s="5">
        <f t="shared" si="1"/>
        <v>0</v>
      </c>
      <c r="J8" s="5"/>
      <c r="K8" s="5"/>
      <c r="L8" s="5">
        <f t="shared" si="2"/>
        <v>0</v>
      </c>
    </row>
    <row r="9" spans="1:12" x14ac:dyDescent="0.25">
      <c r="B9" s="5" t="s">
        <v>86</v>
      </c>
      <c r="C9" s="5"/>
      <c r="D9" s="5"/>
      <c r="E9" s="5">
        <f t="shared" si="0"/>
        <v>0</v>
      </c>
      <c r="F9" s="5" t="s">
        <v>84</v>
      </c>
      <c r="G9" s="5"/>
      <c r="H9" s="5"/>
      <c r="I9" s="5">
        <f t="shared" si="1"/>
        <v>0</v>
      </c>
      <c r="J9" s="5"/>
      <c r="K9" s="5"/>
      <c r="L9" s="5">
        <f t="shared" si="2"/>
        <v>0</v>
      </c>
    </row>
    <row r="10" spans="1:12" x14ac:dyDescent="0.25">
      <c r="B10" s="5"/>
      <c r="C10" s="5"/>
      <c r="D10" s="5"/>
      <c r="E10" s="5">
        <f t="shared" si="0"/>
        <v>0</v>
      </c>
      <c r="F10" s="5" t="s">
        <v>85</v>
      </c>
      <c r="G10" s="5"/>
      <c r="H10" s="5"/>
      <c r="I10" s="5">
        <f t="shared" si="1"/>
        <v>0</v>
      </c>
      <c r="J10" s="5"/>
      <c r="K10" s="5"/>
      <c r="L10" s="5">
        <f t="shared" si="2"/>
        <v>0</v>
      </c>
    </row>
    <row r="11" spans="1:12" x14ac:dyDescent="0.25">
      <c r="B11" s="5"/>
      <c r="C11" s="5"/>
      <c r="D11" s="5"/>
      <c r="E11" s="5">
        <f t="shared" si="0"/>
        <v>0</v>
      </c>
      <c r="F11" s="5"/>
      <c r="G11" s="5"/>
      <c r="H11" s="5"/>
      <c r="I11" s="5">
        <f t="shared" si="1"/>
        <v>0</v>
      </c>
      <c r="J11" s="5"/>
      <c r="K11" s="5"/>
      <c r="L11" s="5">
        <f t="shared" si="2"/>
        <v>0</v>
      </c>
    </row>
    <row r="12" spans="1:12" x14ac:dyDescent="0.25">
      <c r="B12" s="5"/>
      <c r="C12" s="5"/>
      <c r="D12" s="5"/>
      <c r="E12" s="5">
        <f t="shared" si="0"/>
        <v>0</v>
      </c>
      <c r="F12" s="5"/>
      <c r="G12" s="5"/>
      <c r="H12" s="5"/>
      <c r="I12" s="5">
        <f t="shared" si="1"/>
        <v>0</v>
      </c>
      <c r="J12" s="5"/>
      <c r="K12" s="5"/>
      <c r="L12" s="5">
        <f t="shared" si="2"/>
        <v>0</v>
      </c>
    </row>
    <row r="13" spans="1:12" x14ac:dyDescent="0.25">
      <c r="B13" s="5" t="s">
        <v>87</v>
      </c>
      <c r="C13" s="5"/>
      <c r="D13" s="5"/>
      <c r="E13" s="5">
        <f t="shared" si="0"/>
        <v>0</v>
      </c>
      <c r="F13" s="5" t="s">
        <v>84</v>
      </c>
      <c r="G13" s="5"/>
      <c r="H13" s="5"/>
      <c r="I13" s="5">
        <f t="shared" si="1"/>
        <v>0</v>
      </c>
      <c r="J13" s="5"/>
      <c r="K13" s="5"/>
      <c r="L13" s="5">
        <f t="shared" si="2"/>
        <v>0</v>
      </c>
    </row>
    <row r="14" spans="1:12" x14ac:dyDescent="0.25">
      <c r="B14" s="5"/>
      <c r="C14" s="5"/>
      <c r="D14" s="5"/>
      <c r="E14" s="5">
        <f t="shared" si="0"/>
        <v>0</v>
      </c>
      <c r="F14" s="5" t="s">
        <v>85</v>
      </c>
      <c r="G14" s="5"/>
      <c r="H14" s="5"/>
      <c r="I14" s="5">
        <f t="shared" si="1"/>
        <v>0</v>
      </c>
      <c r="J14" s="5"/>
      <c r="K14" s="5"/>
      <c r="L14" s="5">
        <f t="shared" si="2"/>
        <v>0</v>
      </c>
    </row>
    <row r="15" spans="1:12" x14ac:dyDescent="0.25">
      <c r="B15" s="5"/>
      <c r="C15" s="5"/>
      <c r="D15" s="5"/>
      <c r="E15" s="5">
        <f t="shared" si="0"/>
        <v>0</v>
      </c>
      <c r="F15" s="5"/>
      <c r="G15" s="5"/>
      <c r="H15" s="5"/>
      <c r="I15" s="5">
        <f t="shared" si="1"/>
        <v>0</v>
      </c>
      <c r="J15" s="5"/>
      <c r="K15" s="5"/>
      <c r="L15" s="5">
        <f t="shared" si="2"/>
        <v>0</v>
      </c>
    </row>
    <row r="16" spans="1:12" x14ac:dyDescent="0.25">
      <c r="B16" s="5"/>
      <c r="C16" s="5"/>
      <c r="D16" s="5"/>
      <c r="E16" s="5">
        <f t="shared" si="0"/>
        <v>0</v>
      </c>
      <c r="F16" s="5"/>
      <c r="G16" s="5"/>
      <c r="H16" s="5"/>
      <c r="I16" s="5">
        <f t="shared" si="1"/>
        <v>0</v>
      </c>
      <c r="J16" s="5"/>
      <c r="K16" s="5"/>
      <c r="L16" s="5">
        <f t="shared" si="2"/>
        <v>0</v>
      </c>
    </row>
    <row r="17" spans="2:12" x14ac:dyDescent="0.25">
      <c r="B17" s="5" t="s">
        <v>88</v>
      </c>
      <c r="C17" s="5"/>
      <c r="D17" s="5"/>
      <c r="E17" s="5">
        <f t="shared" si="0"/>
        <v>0</v>
      </c>
      <c r="F17" s="5" t="s">
        <v>84</v>
      </c>
      <c r="G17" s="5"/>
      <c r="H17" s="5"/>
      <c r="I17" s="5">
        <f t="shared" si="1"/>
        <v>0</v>
      </c>
      <c r="J17" s="5"/>
      <c r="K17" s="5"/>
      <c r="L17" s="5">
        <f t="shared" si="2"/>
        <v>0</v>
      </c>
    </row>
    <row r="18" spans="2:12" x14ac:dyDescent="0.25">
      <c r="B18" s="5"/>
      <c r="C18" s="5"/>
      <c r="D18" s="5"/>
      <c r="E18" s="5">
        <f t="shared" si="0"/>
        <v>0</v>
      </c>
      <c r="F18" s="5" t="s">
        <v>85</v>
      </c>
      <c r="G18" s="5"/>
      <c r="H18" s="5"/>
      <c r="I18" s="5">
        <f t="shared" si="1"/>
        <v>0</v>
      </c>
      <c r="J18" s="5"/>
      <c r="K18" s="5"/>
      <c r="L18" s="5">
        <f t="shared" si="2"/>
        <v>0</v>
      </c>
    </row>
    <row r="19" spans="2:12" x14ac:dyDescent="0.25">
      <c r="B19" s="5"/>
      <c r="C19" s="5"/>
      <c r="D19" s="5"/>
      <c r="E19" s="5">
        <f t="shared" si="0"/>
        <v>0</v>
      </c>
      <c r="F19" s="5"/>
      <c r="G19" s="5"/>
      <c r="H19" s="5"/>
      <c r="I19" s="5">
        <f t="shared" si="1"/>
        <v>0</v>
      </c>
      <c r="J19" s="5"/>
      <c r="K19" s="5"/>
      <c r="L19" s="5">
        <f t="shared" si="2"/>
        <v>0</v>
      </c>
    </row>
    <row r="20" spans="2:12" x14ac:dyDescent="0.25">
      <c r="B20" s="5" t="s">
        <v>88</v>
      </c>
      <c r="C20" s="5"/>
      <c r="D20" s="5"/>
      <c r="E20" s="5">
        <f t="shared" si="0"/>
        <v>0</v>
      </c>
      <c r="F20" s="5" t="s">
        <v>84</v>
      </c>
      <c r="G20" s="5"/>
      <c r="H20" s="5"/>
      <c r="I20" s="5">
        <f t="shared" si="1"/>
        <v>0</v>
      </c>
      <c r="J20" s="5"/>
      <c r="K20" s="5"/>
      <c r="L20" s="5">
        <f t="shared" si="2"/>
        <v>0</v>
      </c>
    </row>
    <row r="21" spans="2:12" x14ac:dyDescent="0.25">
      <c r="B21" s="5"/>
      <c r="C21" s="5"/>
      <c r="D21" s="5"/>
      <c r="E21" s="5">
        <f t="shared" si="0"/>
        <v>0</v>
      </c>
      <c r="F21" s="5" t="s">
        <v>85</v>
      </c>
      <c r="G21" s="5"/>
      <c r="H21" s="5"/>
      <c r="I21" s="5">
        <f t="shared" si="1"/>
        <v>0</v>
      </c>
      <c r="J21" s="5"/>
      <c r="K21" s="5"/>
      <c r="L21" s="5">
        <f t="shared" si="2"/>
        <v>0</v>
      </c>
    </row>
    <row r="22" spans="2:12" x14ac:dyDescent="0.25">
      <c r="B22" s="5"/>
      <c r="C22" s="5"/>
      <c r="D22" s="5"/>
      <c r="E22" s="5">
        <f t="shared" si="0"/>
        <v>0</v>
      </c>
      <c r="F22" s="5"/>
      <c r="G22" s="5"/>
      <c r="H22" s="5"/>
      <c r="I22" s="5">
        <f t="shared" si="1"/>
        <v>0</v>
      </c>
      <c r="J22" s="5"/>
      <c r="K22" s="5"/>
      <c r="L22" s="5">
        <f t="shared" si="2"/>
        <v>0</v>
      </c>
    </row>
    <row r="23" spans="2:12" x14ac:dyDescent="0.25">
      <c r="B23" s="5" t="s">
        <v>89</v>
      </c>
      <c r="C23" s="5"/>
      <c r="D23" s="5"/>
      <c r="E23" s="5">
        <f t="shared" si="0"/>
        <v>0</v>
      </c>
      <c r="F23" s="5" t="s">
        <v>90</v>
      </c>
      <c r="G23" s="5"/>
      <c r="H23" s="5"/>
      <c r="I23" s="5">
        <f t="shared" si="1"/>
        <v>0</v>
      </c>
      <c r="J23" s="5"/>
      <c r="K23" s="5"/>
      <c r="L23" s="5">
        <f t="shared" si="2"/>
        <v>0</v>
      </c>
    </row>
    <row r="24" spans="2:12" x14ac:dyDescent="0.25">
      <c r="B24" s="5" t="s">
        <v>91</v>
      </c>
      <c r="C24" s="5"/>
      <c r="D24" s="5"/>
      <c r="E24" s="5">
        <f t="shared" si="0"/>
        <v>0</v>
      </c>
      <c r="F24" s="5" t="s">
        <v>90</v>
      </c>
      <c r="G24" s="5"/>
      <c r="H24" s="5"/>
      <c r="I24" s="5">
        <f t="shared" si="1"/>
        <v>0</v>
      </c>
      <c r="J24" s="5"/>
      <c r="K24" s="5"/>
      <c r="L24" s="5">
        <f t="shared" si="2"/>
        <v>0</v>
      </c>
    </row>
    <row r="25" spans="2:12" x14ac:dyDescent="0.25">
      <c r="B25" s="5" t="s">
        <v>92</v>
      </c>
      <c r="C25" s="5"/>
      <c r="D25" s="5"/>
      <c r="E25" s="5">
        <f t="shared" si="0"/>
        <v>0</v>
      </c>
      <c r="F25" s="5" t="s">
        <v>90</v>
      </c>
      <c r="G25" s="5"/>
      <c r="H25" s="5"/>
      <c r="I25" s="5">
        <f t="shared" si="1"/>
        <v>0</v>
      </c>
      <c r="J25" s="5"/>
      <c r="K25" s="5"/>
      <c r="L25" s="5">
        <f t="shared" si="2"/>
        <v>0</v>
      </c>
    </row>
    <row r="26" spans="2:12" x14ac:dyDescent="0.25">
      <c r="B26" s="5"/>
      <c r="C26" s="5"/>
      <c r="D26" s="5"/>
      <c r="E26" s="5">
        <f t="shared" si="0"/>
        <v>0</v>
      </c>
      <c r="F26" s="5"/>
      <c r="G26" s="5"/>
      <c r="H26" s="5"/>
      <c r="I26" s="5">
        <f t="shared" si="1"/>
        <v>0</v>
      </c>
      <c r="J26" s="5"/>
      <c r="K26" s="5"/>
      <c r="L26" s="5">
        <f t="shared" si="2"/>
        <v>0</v>
      </c>
    </row>
    <row r="27" spans="2:12" x14ac:dyDescent="0.25">
      <c r="B27" s="5" t="s">
        <v>93</v>
      </c>
      <c r="C27" s="5"/>
      <c r="D27" s="5"/>
      <c r="E27" s="5">
        <f t="shared" si="0"/>
        <v>0</v>
      </c>
      <c r="F27" s="5"/>
      <c r="G27" s="5"/>
      <c r="H27" s="5"/>
      <c r="I27" s="5">
        <f t="shared" si="1"/>
        <v>0</v>
      </c>
      <c r="J27" s="5"/>
      <c r="K27" s="5"/>
      <c r="L27" s="5">
        <f t="shared" si="2"/>
        <v>0</v>
      </c>
    </row>
    <row r="28" spans="2:12" x14ac:dyDescent="0.25">
      <c r="B28" s="5" t="s">
        <v>94</v>
      </c>
      <c r="C28" s="5"/>
      <c r="D28" s="5"/>
      <c r="E28" s="5">
        <f t="shared" si="0"/>
        <v>0</v>
      </c>
      <c r="F28" s="5"/>
      <c r="G28" s="5"/>
      <c r="H28" s="5"/>
      <c r="I28" s="5">
        <f t="shared" si="1"/>
        <v>0</v>
      </c>
      <c r="J28" s="5"/>
      <c r="K28" s="5"/>
      <c r="L28" s="5">
        <f t="shared" si="2"/>
        <v>0</v>
      </c>
    </row>
    <row r="29" spans="2:12" x14ac:dyDescent="0.25">
      <c r="B29" s="5" t="s">
        <v>95</v>
      </c>
      <c r="C29" s="5"/>
      <c r="D29" s="5"/>
      <c r="E29" s="5">
        <f t="shared" si="0"/>
        <v>0</v>
      </c>
      <c r="F29" s="5"/>
      <c r="G29" s="5"/>
      <c r="H29" s="5"/>
      <c r="I29" s="5">
        <f t="shared" si="1"/>
        <v>0</v>
      </c>
      <c r="J29" s="5"/>
      <c r="K29" s="5"/>
      <c r="L29" s="5">
        <f t="shared" si="2"/>
        <v>0</v>
      </c>
    </row>
    <row r="30" spans="2:12" x14ac:dyDescent="0.25">
      <c r="B30" s="5" t="s">
        <v>96</v>
      </c>
      <c r="C30" s="5"/>
      <c r="D30" s="5"/>
      <c r="E30" s="5">
        <f t="shared" si="0"/>
        <v>0</v>
      </c>
      <c r="F30" s="5"/>
      <c r="G30" s="5"/>
      <c r="H30" s="5"/>
      <c r="I30" s="5">
        <f>G30*H30</f>
        <v>0</v>
      </c>
      <c r="J30" s="5"/>
      <c r="K30" s="5"/>
      <c r="L30" s="5">
        <f>J30*K30</f>
        <v>0</v>
      </c>
    </row>
    <row r="31" spans="2:12" x14ac:dyDescent="0.25">
      <c r="B31" s="5"/>
      <c r="C31" s="5"/>
      <c r="D31" s="5"/>
      <c r="E31" s="5">
        <f t="shared" si="0"/>
        <v>0</v>
      </c>
      <c r="F31" s="5"/>
      <c r="G31" s="5"/>
      <c r="H31" s="5"/>
      <c r="I31" s="5">
        <f>G31*H31</f>
        <v>0</v>
      </c>
      <c r="J31" s="5"/>
      <c r="K31" s="5"/>
      <c r="L31" s="5">
        <f>J31*K31</f>
        <v>0</v>
      </c>
    </row>
    <row r="32" spans="2:12" x14ac:dyDescent="0.25">
      <c r="B32" s="5"/>
      <c r="C32" s="5"/>
      <c r="D32" s="5"/>
      <c r="E32" s="5">
        <f t="shared" si="0"/>
        <v>0</v>
      </c>
      <c r="F32" s="5"/>
      <c r="G32" s="5"/>
      <c r="H32" s="5"/>
      <c r="I32" s="5">
        <f>G32*H32</f>
        <v>0</v>
      </c>
      <c r="J32" s="5"/>
      <c r="K32" s="5"/>
      <c r="L32" s="5">
        <f>J32*K32</f>
        <v>0</v>
      </c>
    </row>
    <row r="33" spans="2:12" x14ac:dyDescent="0.25">
      <c r="B33" s="5"/>
      <c r="C33" s="5"/>
      <c r="D33" s="5"/>
      <c r="E33" s="5">
        <f t="shared" si="0"/>
        <v>0</v>
      </c>
      <c r="F33" s="5"/>
      <c r="G33" s="5"/>
      <c r="H33" s="5"/>
      <c r="I33" s="5">
        <f>G33*H33</f>
        <v>0</v>
      </c>
      <c r="J33" s="5"/>
      <c r="K33" s="5"/>
      <c r="L33" s="5">
        <f>J33*K33</f>
        <v>0</v>
      </c>
    </row>
    <row r="34" spans="2:12" x14ac:dyDescent="0.25">
      <c r="B34" s="5" t="s">
        <v>60</v>
      </c>
      <c r="C34" s="5"/>
      <c r="D34" s="5">
        <f>E34*10.764</f>
        <v>0</v>
      </c>
      <c r="E34" s="5">
        <f>SUM(E6:E33)</f>
        <v>0</v>
      </c>
      <c r="F34" s="5"/>
      <c r="G34" s="5"/>
      <c r="H34" s="5">
        <f>I34*10.764</f>
        <v>0</v>
      </c>
      <c r="I34" s="5">
        <f>SUM(I6:I33)</f>
        <v>0</v>
      </c>
      <c r="J34" s="5"/>
      <c r="K34" s="5">
        <f>L34*10.764</f>
        <v>0</v>
      </c>
      <c r="L34" s="5">
        <f>SUM(L6:L33)</f>
        <v>0</v>
      </c>
    </row>
    <row r="36" spans="2:12" x14ac:dyDescent="0.25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115" zoomScaleNormal="115" workbookViewId="0">
      <selection activeCell="D13" sqref="D13"/>
    </sheetView>
  </sheetViews>
  <sheetFormatPr defaultColWidth="8.7109375" defaultRowHeight="15" x14ac:dyDescent="0.25"/>
  <cols>
    <col min="1" max="1" width="8.7109375" style="7"/>
    <col min="2" max="2" width="22.140625" style="7" customWidth="1"/>
    <col min="3" max="3" width="37" style="7" customWidth="1"/>
    <col min="4" max="5" width="11.42578125" style="7" customWidth="1"/>
    <col min="6" max="6" width="14" style="7" customWidth="1"/>
    <col min="7" max="7" width="20" style="7" customWidth="1"/>
    <col min="8" max="8" width="16.42578125" style="7" customWidth="1"/>
    <col min="9" max="16384" width="8.7109375" style="7"/>
  </cols>
  <sheetData>
    <row r="1" spans="1:9" ht="15" customHeight="1" x14ac:dyDescent="0.25">
      <c r="A1" s="6"/>
      <c r="B1" s="6"/>
      <c r="C1" s="6"/>
      <c r="D1" s="6"/>
      <c r="E1" s="6"/>
      <c r="F1" s="6"/>
      <c r="G1" s="6"/>
      <c r="H1" s="6"/>
    </row>
    <row r="2" spans="1:9" ht="15" customHeight="1" x14ac:dyDescent="0.25">
      <c r="A2" s="8"/>
      <c r="B2" s="8"/>
      <c r="C2" s="8"/>
      <c r="D2" s="8"/>
      <c r="E2" s="8"/>
      <c r="F2" s="8"/>
      <c r="G2" s="8"/>
      <c r="H2" s="8"/>
    </row>
    <row r="3" spans="1:9" ht="15.75" customHeight="1" x14ac:dyDescent="0.25">
      <c r="A3" s="8"/>
      <c r="B3" s="255" t="s">
        <v>139</v>
      </c>
      <c r="C3" s="255"/>
      <c r="D3" s="255"/>
      <c r="E3" s="255"/>
      <c r="F3" s="255"/>
      <c r="G3" s="255"/>
      <c r="H3" s="255"/>
    </row>
    <row r="4" spans="1:9" x14ac:dyDescent="0.25">
      <c r="A4" s="8"/>
      <c r="B4" s="9" t="s">
        <v>140</v>
      </c>
      <c r="C4" s="9" t="s">
        <v>141</v>
      </c>
      <c r="D4" s="9" t="s">
        <v>76</v>
      </c>
      <c r="E4" s="9" t="s">
        <v>142</v>
      </c>
      <c r="F4" s="9" t="s">
        <v>149</v>
      </c>
      <c r="G4" s="9" t="s">
        <v>150</v>
      </c>
      <c r="H4" s="9" t="s">
        <v>143</v>
      </c>
    </row>
    <row r="5" spans="1:9" ht="15" customHeight="1" x14ac:dyDescent="0.25">
      <c r="A5" s="8"/>
      <c r="B5" s="11" t="s">
        <v>144</v>
      </c>
      <c r="C5" s="12"/>
      <c r="D5" s="11" t="s">
        <v>145</v>
      </c>
      <c r="E5" s="11">
        <v>1106</v>
      </c>
      <c r="F5" s="13">
        <f>E5*1.6</f>
        <v>1769.6000000000001</v>
      </c>
      <c r="G5" s="13">
        <f>H5/F5</f>
        <v>31532.549728752259</v>
      </c>
      <c r="H5" s="14">
        <v>55800000</v>
      </c>
    </row>
    <row r="6" spans="1:9" x14ac:dyDescent="0.25">
      <c r="A6" s="8"/>
      <c r="B6" s="11" t="s">
        <v>144</v>
      </c>
      <c r="C6" s="15"/>
      <c r="D6" s="11"/>
      <c r="E6" s="11"/>
      <c r="F6" s="13">
        <f t="shared" ref="F6:F11" si="0">E6*1.6</f>
        <v>0</v>
      </c>
      <c r="G6" s="13" t="e">
        <f t="shared" ref="G6:G11" si="1">H6/F6</f>
        <v>#DIV/0!</v>
      </c>
      <c r="H6" s="14"/>
    </row>
    <row r="7" spans="1:9" ht="15" customHeight="1" x14ac:dyDescent="0.25">
      <c r="A7" s="8"/>
      <c r="B7" s="11" t="s">
        <v>144</v>
      </c>
      <c r="C7" s="12"/>
      <c r="D7" s="11"/>
      <c r="E7" s="11"/>
      <c r="F7" s="13">
        <f t="shared" si="0"/>
        <v>0</v>
      </c>
      <c r="G7" s="13" t="e">
        <f t="shared" si="1"/>
        <v>#DIV/0!</v>
      </c>
      <c r="H7" s="14"/>
    </row>
    <row r="8" spans="1:9" x14ac:dyDescent="0.25">
      <c r="A8" s="8"/>
      <c r="B8" s="11" t="s">
        <v>144</v>
      </c>
      <c r="C8" s="15"/>
      <c r="D8" s="11"/>
      <c r="E8" s="11"/>
      <c r="F8" s="13">
        <f t="shared" si="0"/>
        <v>0</v>
      </c>
      <c r="G8" s="13" t="e">
        <f t="shared" si="1"/>
        <v>#DIV/0!</v>
      </c>
      <c r="H8" s="14"/>
    </row>
    <row r="9" spans="1:9" ht="15" customHeight="1" x14ac:dyDescent="0.25">
      <c r="A9" s="8"/>
      <c r="B9" s="11" t="s">
        <v>144</v>
      </c>
      <c r="C9" s="15"/>
      <c r="D9" s="11"/>
      <c r="E9" s="11"/>
      <c r="F9" s="13">
        <f t="shared" si="0"/>
        <v>0</v>
      </c>
      <c r="G9" s="13" t="e">
        <f t="shared" si="1"/>
        <v>#DIV/0!</v>
      </c>
      <c r="H9" s="14"/>
    </row>
    <row r="10" spans="1:9" ht="15" customHeight="1" x14ac:dyDescent="0.25">
      <c r="A10" s="8"/>
      <c r="B10" s="11" t="s">
        <v>146</v>
      </c>
      <c r="C10" s="12"/>
      <c r="D10" s="11"/>
      <c r="E10" s="11"/>
      <c r="F10" s="13">
        <f t="shared" si="0"/>
        <v>0</v>
      </c>
      <c r="G10" s="13" t="e">
        <f t="shared" si="1"/>
        <v>#DIV/0!</v>
      </c>
      <c r="H10" s="14"/>
    </row>
    <row r="11" spans="1:9" ht="15" customHeight="1" x14ac:dyDescent="0.25">
      <c r="A11" s="8"/>
      <c r="B11" s="11" t="s">
        <v>146</v>
      </c>
      <c r="C11" s="12"/>
      <c r="D11" s="11"/>
      <c r="E11" s="11"/>
      <c r="F11" s="13">
        <f t="shared" si="0"/>
        <v>0</v>
      </c>
      <c r="G11" s="13" t="e">
        <f t="shared" si="1"/>
        <v>#DIV/0!</v>
      </c>
      <c r="H11" s="14"/>
    </row>
    <row r="12" spans="1:9" ht="15" customHeight="1" x14ac:dyDescent="0.25">
      <c r="A12" s="8"/>
      <c r="B12" s="16" t="s">
        <v>147</v>
      </c>
      <c r="C12" s="11"/>
      <c r="D12" s="11"/>
      <c r="E12" s="11"/>
      <c r="F12" s="11"/>
      <c r="G12" s="17" t="e">
        <f>AVERAGE(G5:G11)</f>
        <v>#DIV/0!</v>
      </c>
      <c r="H12" s="11"/>
    </row>
    <row r="13" spans="1:9" ht="15" customHeight="1" x14ac:dyDescent="0.25">
      <c r="A13" s="6"/>
      <c r="B13" s="16" t="s">
        <v>148</v>
      </c>
      <c r="C13" s="18"/>
      <c r="D13" s="18"/>
      <c r="E13" s="18"/>
      <c r="F13" s="19"/>
      <c r="G13" s="16"/>
      <c r="H13" s="16"/>
      <c r="I13" s="10"/>
    </row>
    <row r="14" spans="1:9" ht="15" customHeight="1" x14ac:dyDescent="0.25">
      <c r="B14" s="6"/>
      <c r="C14" s="6"/>
      <c r="D14" s="6"/>
      <c r="E14" s="6"/>
    </row>
    <row r="15" spans="1:9" ht="15" customHeight="1" x14ac:dyDescent="0.25">
      <c r="B15" s="6"/>
      <c r="C15" s="6"/>
      <c r="D15" s="6"/>
      <c r="E15" s="6"/>
    </row>
    <row r="16" spans="1:9" ht="15" customHeight="1" x14ac:dyDescent="0.25">
      <c r="B16" s="6"/>
      <c r="C16" s="6"/>
      <c r="D16" s="6"/>
      <c r="E16" s="6"/>
    </row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"/>
  <sheetViews>
    <sheetView topLeftCell="A7" workbookViewId="0">
      <selection activeCell="N2" sqref="N2"/>
    </sheetView>
  </sheetViews>
  <sheetFormatPr defaultRowHeight="15" x14ac:dyDescent="0.25"/>
  <cols>
    <col min="2" max="2" width="10.7109375" bestFit="1" customWidth="1"/>
  </cols>
  <sheetData>
    <row r="2" spans="2:2" x14ac:dyDescent="0.25">
      <c r="B2" s="42">
        <v>44602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Report</vt:lpstr>
      <vt:lpstr>Sheet3</vt:lpstr>
      <vt:lpstr>Sheet2</vt:lpstr>
      <vt:lpstr>Sheet1</vt:lpstr>
      <vt:lpstr>AXIS</vt:lpstr>
      <vt:lpstr>Flat detail</vt:lpstr>
      <vt:lpstr>valuation</vt:lpstr>
      <vt:lpstr>pICTURES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2025-08-14T10:39:37Z</cp:lastPrinted>
  <dcterms:created xsi:type="dcterms:W3CDTF">2019-07-16T09:29:46Z</dcterms:created>
  <dcterms:modified xsi:type="dcterms:W3CDTF">2025-08-14T10:41:43Z</dcterms:modified>
</cp:coreProperties>
</file>