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Print_Area" localSheetId="0">Report!$A$1:$H$446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5" i="1" l="1"/>
  <c r="A177" i="1" l="1"/>
  <c r="A178" i="1" s="1"/>
  <c r="A179" i="1" s="1"/>
  <c r="A180" i="1" s="1"/>
  <c r="A181" i="1" s="1"/>
  <c r="A171" i="1"/>
  <c r="A172" i="1" s="1"/>
  <c r="A173" i="1" s="1"/>
  <c r="A174" i="1" s="1"/>
  <c r="A175" i="1" s="1"/>
  <c r="A164" i="1"/>
  <c r="A165" i="1" s="1"/>
  <c r="A166" i="1" s="1"/>
  <c r="A167" i="1" s="1"/>
  <c r="A168" i="1" s="1"/>
  <c r="A158" i="1"/>
  <c r="A159" i="1" s="1"/>
  <c r="A160" i="1" s="1"/>
  <c r="A161" i="1" s="1"/>
  <c r="A162" i="1" s="1"/>
  <c r="A151" i="1"/>
  <c r="A152" i="1" s="1"/>
  <c r="A153" i="1" s="1"/>
  <c r="A154" i="1" s="1"/>
  <c r="A155" i="1" s="1"/>
  <c r="D246" i="1"/>
  <c r="D233" i="1"/>
  <c r="D220" i="1"/>
  <c r="D199" i="1"/>
  <c r="D198" i="1"/>
  <c r="D197" i="1"/>
  <c r="D196" i="1"/>
  <c r="D195" i="1"/>
  <c r="D194" i="1"/>
  <c r="D192" i="1"/>
  <c r="C90" i="1" l="1"/>
  <c r="D64" i="1"/>
  <c r="J198" i="1"/>
  <c r="E199" i="1"/>
  <c r="E240" i="1"/>
  <c r="E251" i="1"/>
  <c r="E250" i="1"/>
  <c r="E249" i="1"/>
  <c r="E248" i="1"/>
  <c r="E247" i="1"/>
  <c r="E246" i="1"/>
  <c r="E245" i="1"/>
  <c r="D251" i="1"/>
  <c r="D250" i="1"/>
  <c r="D249" i="1"/>
  <c r="D248" i="1"/>
  <c r="D247" i="1"/>
  <c r="D245" i="1"/>
  <c r="D243" i="1"/>
  <c r="D242" i="1"/>
  <c r="D241" i="1"/>
  <c r="D240" i="1"/>
  <c r="E238" i="1"/>
  <c r="E237" i="1"/>
  <c r="E236" i="1"/>
  <c r="E235" i="1"/>
  <c r="E234" i="1"/>
  <c r="E233" i="1"/>
  <c r="E232" i="1"/>
  <c r="E227" i="1"/>
  <c r="D238" i="1"/>
  <c r="D237" i="1"/>
  <c r="D236" i="1"/>
  <c r="D235" i="1"/>
  <c r="D234" i="1"/>
  <c r="D232" i="1"/>
  <c r="D231" i="1"/>
  <c r="D230" i="1"/>
  <c r="D229" i="1"/>
  <c r="D228" i="1"/>
  <c r="D227" i="1"/>
  <c r="E219" i="1"/>
  <c r="E225" i="1"/>
  <c r="E224" i="1"/>
  <c r="E223" i="1"/>
  <c r="E222" i="1"/>
  <c r="E221" i="1"/>
  <c r="E220" i="1"/>
  <c r="E214" i="1"/>
  <c r="D225" i="1"/>
  <c r="D224" i="1"/>
  <c r="D223" i="1"/>
  <c r="D222" i="1"/>
  <c r="D221" i="1"/>
  <c r="D219" i="1"/>
  <c r="D218" i="1"/>
  <c r="D217" i="1"/>
  <c r="D216" i="1"/>
  <c r="D215" i="1"/>
  <c r="D214" i="1"/>
  <c r="E212" i="1"/>
  <c r="E211" i="1"/>
  <c r="E210" i="1"/>
  <c r="E209" i="1"/>
  <c r="E208" i="1"/>
  <c r="E207" i="1"/>
  <c r="E206" i="1"/>
  <c r="D212" i="1"/>
  <c r="D211" i="1"/>
  <c r="D210" i="1"/>
  <c r="D209" i="1"/>
  <c r="D208" i="1"/>
  <c r="D207" i="1"/>
  <c r="D206" i="1"/>
  <c r="E201" i="1"/>
  <c r="D204" i="1"/>
  <c r="D203" i="1"/>
  <c r="D202" i="1"/>
  <c r="D201" i="1"/>
  <c r="E194" i="1"/>
  <c r="J193" i="1"/>
  <c r="J186" i="1"/>
  <c r="E192" i="1"/>
  <c r="E187" i="1"/>
  <c r="D191" i="1"/>
  <c r="D190" i="1"/>
  <c r="D189" i="1"/>
  <c r="D188" i="1"/>
  <c r="D187" i="1"/>
  <c r="C120" i="1" l="1"/>
  <c r="C124" i="1"/>
  <c r="F199" i="1"/>
  <c r="H199" i="1" s="1"/>
  <c r="F238" i="1"/>
  <c r="H238" i="1" s="1"/>
  <c r="F237" i="1"/>
  <c r="H237" i="1" s="1"/>
  <c r="F236" i="1"/>
  <c r="H236" i="1" s="1"/>
  <c r="F235" i="1"/>
  <c r="H235" i="1" s="1"/>
  <c r="I233" i="1"/>
  <c r="F234" i="1"/>
  <c r="H234" i="1" s="1"/>
  <c r="F233" i="1"/>
  <c r="H233" i="1" s="1"/>
  <c r="I231" i="1"/>
  <c r="F232" i="1"/>
  <c r="H232" i="1" s="1"/>
  <c r="I230" i="1"/>
  <c r="F231" i="1"/>
  <c r="H231" i="1" s="1"/>
  <c r="I229" i="1"/>
  <c r="F230" i="1"/>
  <c r="H230" i="1" s="1"/>
  <c r="F229" i="1"/>
  <c r="H229" i="1" s="1"/>
  <c r="F228" i="1"/>
  <c r="H228" i="1" s="1"/>
  <c r="I226" i="1"/>
  <c r="F227" i="1"/>
  <c r="H227" i="1" s="1"/>
  <c r="F251" i="1"/>
  <c r="H251" i="1" s="1"/>
  <c r="F250" i="1"/>
  <c r="H250" i="1" s="1"/>
  <c r="F248" i="1"/>
  <c r="H248" i="1" s="1"/>
  <c r="I246" i="1"/>
  <c r="I244" i="1"/>
  <c r="F245" i="1"/>
  <c r="H245" i="1" s="1"/>
  <c r="I243" i="1"/>
  <c r="I242" i="1"/>
  <c r="F243" i="1"/>
  <c r="H243" i="1" s="1"/>
  <c r="F242" i="1"/>
  <c r="H242" i="1" s="1"/>
  <c r="F241" i="1"/>
  <c r="H241" i="1" s="1"/>
  <c r="I239" i="1"/>
  <c r="I217" i="1"/>
  <c r="F218" i="1"/>
  <c r="H218" i="1" s="1"/>
  <c r="F212" i="1"/>
  <c r="H212" i="1" s="1"/>
  <c r="F211" i="1"/>
  <c r="H211" i="1" s="1"/>
  <c r="F210" i="1"/>
  <c r="H210" i="1" s="1"/>
  <c r="I207" i="1"/>
  <c r="F208" i="1"/>
  <c r="H208" i="1" s="1"/>
  <c r="F207" i="1"/>
  <c r="H207" i="1" s="1"/>
  <c r="I205" i="1"/>
  <c r="I203" i="1"/>
  <c r="F204" i="1"/>
  <c r="H204" i="1" s="1"/>
  <c r="F203" i="1"/>
  <c r="H203" i="1" s="1"/>
  <c r="F202" i="1"/>
  <c r="H202" i="1" s="1"/>
  <c r="I200" i="1"/>
  <c r="F221" i="1"/>
  <c r="H221" i="1" s="1"/>
  <c r="F219" i="1"/>
  <c r="H219" i="1" s="1"/>
  <c r="I220" i="1"/>
  <c r="I218" i="1"/>
  <c r="F224" i="1"/>
  <c r="H224" i="1" s="1"/>
  <c r="F220" i="1"/>
  <c r="H220" i="1" s="1"/>
  <c r="I197" i="1"/>
  <c r="F198" i="1"/>
  <c r="H198" i="1" s="1"/>
  <c r="I196" i="1"/>
  <c r="F197" i="1"/>
  <c r="H197" i="1" s="1"/>
  <c r="F196" i="1"/>
  <c r="H196" i="1" s="1"/>
  <c r="F195" i="1"/>
  <c r="H195" i="1" s="1"/>
  <c r="I193" i="1"/>
  <c r="F222" i="1"/>
  <c r="H222" i="1" s="1"/>
  <c r="F192" i="1"/>
  <c r="H192" i="1" s="1"/>
  <c r="I190" i="1"/>
  <c r="F191" i="1"/>
  <c r="H191" i="1" s="1"/>
  <c r="I189" i="1"/>
  <c r="F190" i="1"/>
  <c r="H190" i="1" s="1"/>
  <c r="F189" i="1"/>
  <c r="F188" i="1"/>
  <c r="I186" i="1"/>
  <c r="F217" i="1"/>
  <c r="H217" i="1" s="1"/>
  <c r="F214" i="1"/>
  <c r="I216" i="1"/>
  <c r="I213" i="1"/>
  <c r="C125" i="1" l="1"/>
  <c r="H189" i="1"/>
  <c r="H188" i="1"/>
  <c r="F223" i="1"/>
  <c r="H223" i="1" s="1"/>
  <c r="F247" i="1"/>
  <c r="H247" i="1" s="1"/>
  <c r="F201" i="1"/>
  <c r="H201" i="1" s="1"/>
  <c r="F249" i="1"/>
  <c r="H249" i="1" s="1"/>
  <c r="F187" i="1"/>
  <c r="F194" i="1"/>
  <c r="H194" i="1" s="1"/>
  <c r="F206" i="1"/>
  <c r="H206" i="1" s="1"/>
  <c r="F209" i="1"/>
  <c r="H209" i="1" s="1"/>
  <c r="F240" i="1"/>
  <c r="H240" i="1" s="1"/>
  <c r="F225" i="1"/>
  <c r="H225" i="1" s="1"/>
  <c r="F246" i="1"/>
  <c r="H246" i="1" s="1"/>
  <c r="F215" i="1"/>
  <c r="F216" i="1"/>
  <c r="E120" i="1" l="1"/>
  <c r="E124" i="1"/>
  <c r="H187" i="1"/>
  <c r="E125" i="1" l="1"/>
  <c r="H216" i="1" l="1"/>
  <c r="H215" i="1"/>
  <c r="H214" i="1"/>
  <c r="G120" i="1" s="1"/>
  <c r="C17" i="1"/>
  <c r="G124" i="1" l="1"/>
  <c r="G125" i="1" s="1"/>
  <c r="E181" i="1"/>
  <c r="D181" i="1"/>
  <c r="E180" i="1"/>
  <c r="D180" i="1"/>
  <c r="E179" i="1"/>
  <c r="D179" i="1"/>
  <c r="E178" i="1"/>
  <c r="D178" i="1"/>
  <c r="E177" i="1"/>
  <c r="D177" i="1"/>
  <c r="E176" i="1"/>
  <c r="D176" i="1"/>
  <c r="E168" i="1"/>
  <c r="E167" i="1"/>
  <c r="E166" i="1"/>
  <c r="E165" i="1"/>
  <c r="E164" i="1"/>
  <c r="E163" i="1"/>
  <c r="D168" i="1"/>
  <c r="D163" i="1"/>
  <c r="D167" i="1"/>
  <c r="D166" i="1"/>
  <c r="D165" i="1"/>
  <c r="D164" i="1"/>
  <c r="J163" i="1"/>
  <c r="D171" i="1"/>
  <c r="F171" i="1" s="1"/>
  <c r="H171" i="1" s="1"/>
  <c r="D175" i="1"/>
  <c r="F175" i="1" s="1"/>
  <c r="H175" i="1" s="1"/>
  <c r="D174" i="1"/>
  <c r="F174" i="1" s="1"/>
  <c r="H174" i="1" s="1"/>
  <c r="D173" i="1"/>
  <c r="F173" i="1" s="1"/>
  <c r="H173" i="1" s="1"/>
  <c r="D172" i="1"/>
  <c r="F172" i="1" s="1"/>
  <c r="H172" i="1" s="1"/>
  <c r="D170" i="1"/>
  <c r="F170" i="1" s="1"/>
  <c r="H170" i="1" s="1"/>
  <c r="D162" i="1"/>
  <c r="D161" i="1"/>
  <c r="D160" i="1"/>
  <c r="D159" i="1"/>
  <c r="D157" i="1"/>
  <c r="D155" i="1"/>
  <c r="F155" i="1" s="1"/>
  <c r="D154" i="1"/>
  <c r="F154" i="1" s="1"/>
  <c r="D153" i="1"/>
  <c r="F153" i="1" s="1"/>
  <c r="D152" i="1"/>
  <c r="F152" i="1" s="1"/>
  <c r="D151" i="1"/>
  <c r="F151" i="1" s="1"/>
  <c r="D150" i="1"/>
  <c r="F150" i="1" s="1"/>
  <c r="D148" i="1"/>
  <c r="D147" i="1"/>
  <c r="D146" i="1"/>
  <c r="D145" i="1"/>
  <c r="D144" i="1"/>
  <c r="D143" i="1"/>
  <c r="F143" i="1" s="1"/>
  <c r="H143" i="1" s="1"/>
  <c r="F177" i="1" l="1"/>
  <c r="H177" i="1" s="1"/>
  <c r="F179" i="1"/>
  <c r="H179" i="1" s="1"/>
  <c r="F181" i="1"/>
  <c r="H181" i="1" s="1"/>
  <c r="F176" i="1"/>
  <c r="H176" i="1" s="1"/>
  <c r="F178" i="1"/>
  <c r="H178" i="1" s="1"/>
  <c r="F180" i="1"/>
  <c r="H180" i="1" s="1"/>
  <c r="F163" i="1"/>
  <c r="H163" i="1" s="1"/>
  <c r="E44" i="1" l="1"/>
  <c r="C76" i="1" l="1"/>
  <c r="I149" i="1" l="1"/>
  <c r="F161" i="1" l="1"/>
  <c r="H161" i="1" s="1"/>
  <c r="J160" i="1" s="1"/>
  <c r="F159" i="1"/>
  <c r="H159" i="1" s="1"/>
  <c r="J158" i="1" s="1"/>
  <c r="J157" i="1"/>
  <c r="F157" i="1"/>
  <c r="H157" i="1" s="1"/>
  <c r="J156" i="1" s="1"/>
  <c r="H155" i="1"/>
  <c r="J154" i="1" s="1"/>
  <c r="F148" i="1"/>
  <c r="H148" i="1" s="1"/>
  <c r="I148" i="1"/>
  <c r="I162" i="1"/>
  <c r="F162" i="1"/>
  <c r="H162" i="1" s="1"/>
  <c r="J161" i="1" s="1"/>
  <c r="F147" i="1"/>
  <c r="H147" i="1" s="1"/>
  <c r="F160" i="1" l="1"/>
  <c r="H160" i="1" s="1"/>
  <c r="J159" i="1" s="1"/>
  <c r="E45" i="1" l="1"/>
  <c r="E46" i="1" s="1"/>
  <c r="I46" i="1"/>
  <c r="G59" i="1" l="1"/>
  <c r="C59" i="1"/>
  <c r="S33" i="1" l="1"/>
  <c r="F11" i="5" l="1"/>
  <c r="G11" i="5" s="1"/>
  <c r="F10" i="5"/>
  <c r="G10" i="5" s="1"/>
  <c r="F9" i="5"/>
  <c r="G9" i="5" s="1"/>
  <c r="F8" i="5"/>
  <c r="G8" i="5" s="1"/>
  <c r="F7" i="5"/>
  <c r="G7" i="5" s="1"/>
  <c r="F6" i="5"/>
  <c r="G6" i="5" s="1"/>
  <c r="F5" i="5"/>
  <c r="G5" i="5" s="1"/>
  <c r="G12" i="5" s="1"/>
  <c r="D281" i="1"/>
  <c r="B256" i="1"/>
  <c r="F168" i="1"/>
  <c r="H168" i="1" s="1"/>
  <c r="F167" i="1"/>
  <c r="H167" i="1" s="1"/>
  <c r="F166" i="1"/>
  <c r="H166" i="1" s="1"/>
  <c r="F165" i="1"/>
  <c r="H165" i="1" s="1"/>
  <c r="F164" i="1"/>
  <c r="H164" i="1" s="1"/>
  <c r="H154" i="1"/>
  <c r="J153" i="1" s="1"/>
  <c r="H153" i="1"/>
  <c r="J152" i="1" s="1"/>
  <c r="H152" i="1"/>
  <c r="J151" i="1" s="1"/>
  <c r="H151" i="1"/>
  <c r="J150" i="1" s="1"/>
  <c r="H150" i="1"/>
  <c r="J149" i="1" s="1"/>
  <c r="F146" i="1"/>
  <c r="H146" i="1" s="1"/>
  <c r="F145" i="1"/>
  <c r="H145" i="1" s="1"/>
  <c r="F144" i="1"/>
  <c r="A144" i="1"/>
  <c r="A145" i="1" s="1"/>
  <c r="A146" i="1" s="1"/>
  <c r="A147" i="1" s="1"/>
  <c r="A148" i="1" s="1"/>
  <c r="H135" i="1"/>
  <c r="F135" i="1"/>
  <c r="H134" i="1"/>
  <c r="F134" i="1"/>
  <c r="H133" i="1"/>
  <c r="F133" i="1"/>
  <c r="A133" i="1"/>
  <c r="A134" i="1" s="1"/>
  <c r="A135" i="1" s="1"/>
  <c r="H132" i="1"/>
  <c r="F132" i="1"/>
  <c r="F116" i="1"/>
  <c r="D70" i="1"/>
  <c r="G52" i="1"/>
  <c r="C52" i="1"/>
  <c r="E32" i="1"/>
  <c r="E29" i="1"/>
  <c r="E27" i="1"/>
  <c r="I15" i="1"/>
  <c r="Z13" i="1"/>
  <c r="E8" i="1"/>
  <c r="E3" i="1"/>
  <c r="H77" i="1"/>
  <c r="E119" i="1" l="1"/>
  <c r="E121" i="1" s="1"/>
  <c r="E126" i="1" s="1"/>
  <c r="C119" i="1"/>
  <c r="C121" i="1" s="1"/>
  <c r="C126" i="1" s="1"/>
  <c r="H144" i="1"/>
  <c r="J76" i="1"/>
  <c r="J78" i="1" s="1"/>
  <c r="J79" i="1"/>
  <c r="J80" i="1"/>
  <c r="J81" i="1"/>
  <c r="C80" i="1" s="1"/>
  <c r="D84" i="1"/>
  <c r="D86" i="1"/>
  <c r="D85" i="1"/>
  <c r="D89" i="1"/>
  <c r="D83" i="1"/>
  <c r="D88" i="1"/>
  <c r="D82" i="1"/>
  <c r="D87" i="1"/>
  <c r="B77" i="1"/>
  <c r="J82" i="1" s="1"/>
  <c r="G119" i="1" l="1"/>
  <c r="G121" i="1" s="1"/>
  <c r="G126" i="1" s="1"/>
  <c r="D80" i="1"/>
  <c r="J86" i="1"/>
  <c r="J83" i="1"/>
  <c r="J88" i="1" s="1"/>
  <c r="J87" i="1"/>
  <c r="J84" i="1" l="1"/>
  <c r="J85" i="1" s="1"/>
  <c r="J89" i="1" l="1"/>
  <c r="C81" i="1" s="1"/>
  <c r="D81" i="1" l="1"/>
  <c r="J77" i="1"/>
  <c r="G80" i="1"/>
  <c r="D74" i="1" s="1"/>
  <c r="E80" i="1"/>
  <c r="I77" i="1" l="1"/>
  <c r="I78" i="1" s="1"/>
  <c r="F75" i="1"/>
  <c r="D75" i="1"/>
  <c r="I76" i="1" l="1"/>
  <c r="C78" i="1" s="1"/>
  <c r="B91" i="1"/>
  <c r="H91" i="1"/>
  <c r="D102" i="1" l="1"/>
  <c r="D100" i="1"/>
  <c r="D98" i="1"/>
  <c r="D96" i="1"/>
  <c r="J94" i="1"/>
  <c r="J95" i="1"/>
  <c r="C94" i="1" s="1"/>
  <c r="J93" i="1"/>
  <c r="J90" i="1"/>
  <c r="J92" i="1" s="1"/>
  <c r="D103" i="1"/>
  <c r="D101" i="1"/>
  <c r="D99" i="1"/>
  <c r="D97" i="1"/>
  <c r="J100" i="1"/>
  <c r="J96" i="1"/>
  <c r="J101" i="1"/>
  <c r="J99" i="1"/>
  <c r="J97" i="1" l="1"/>
  <c r="D94" i="1"/>
  <c r="J98" i="1" l="1"/>
  <c r="E94" i="1" l="1"/>
  <c r="D95" i="1" l="1"/>
  <c r="I91" i="1" s="1"/>
  <c r="I92" i="1" s="1"/>
  <c r="J91" i="1"/>
  <c r="G94" i="1"/>
  <c r="I90" i="1" l="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<sst xmlns="http://schemas.openxmlformats.org/spreadsheetml/2006/main" count="721" uniqueCount="386">
  <si>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</si>
  <si>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</si>
  <si>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</si>
  <si>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</si>
  <si>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</si>
  <si>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</si>
  <si>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</si>
  <si>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</si>
  <si>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</si>
  <si>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</si>
  <si>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</si>
  <si>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</si>
  <si>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</si>
  <si>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</si>
  <si>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</si>
  <si>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</si>
  <si>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</si>
  <si>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</si>
  <si>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</si>
  <si>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</si>
  <si>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</si>
  <si>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</si>
  <si>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</si>
  <si>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</si>
  <si>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</si>
  <si>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</si>
  <si>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</si>
  <si>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</si>
  <si>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</si>
  <si>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</si>
  <si>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</si>
  <si>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</si>
  <si>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</si>
  <si>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</si>
  <si>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</si>
  <si>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</si>
  <si>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</si>
  <si>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</si>
  <si>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</si>
  <si>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</si>
  <si>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</si>
  <si>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</si>
  <si>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</si>
  <si>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</si>
  <si>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</si>
  <si>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</si>
  <si>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</si>
  <si>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</si>
  <si>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</si>
  <si>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</si>
  <si>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</si>
  <si>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</si>
  <si>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</si>
  <si>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</si>
  <si>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</si>
  <si>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</si>
  <si>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</si>
  <si>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</si>
  <si>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</si>
  <si>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</si>
  <si>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</si>
  <si>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</si>
  <si>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</si>
  <si>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</si>
  <si>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</si>
  <si>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</si>
  <si>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</si>
  <si>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</si>
  <si>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</si>
  <si>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</si>
  <si>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</si>
  <si>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</si>
  <si>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</si>
  <si>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</si>
  <si>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</si>
  <si>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</si>
  <si>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</si>
  <si>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</si>
  <si>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</si>
  <si>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</si>
  <si>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</si>
  <si>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</si>
  <si>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</si>
  <si>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</si>
  <si>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</si>
  <si>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</si>
  <si>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</si>
  <si>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</si>
  <si>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</si>
  <si>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</si>
  <si>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</si>
  <si>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</si>
  <si>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</si>
  <si>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</si>
  <si>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</si>
  <si>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</si>
  <si>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</si>
  <si>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</si>
  <si>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</si>
  <si>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</si>
  <si>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</si>
  <si>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</si>
  <si>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</si>
  <si>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</si>
  <si>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</si>
  <si>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</si>
  <si>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</si>
  <si>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</si>
  <si>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</si>
  <si>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</si>
  <si>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</si>
  <si>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</si>
  <si>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</si>
  <si>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</si>
  <si>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</si>
  <si>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</si>
  <si>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</si>
  <si>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</si>
  <si>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</si>
  <si>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</si>
  <si>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</si>
  <si>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</si>
  <si>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</si>
  <si>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</si>
  <si>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</si>
  <si>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</si>
  <si>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</si>
  <si>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</si>
  <si>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</si>
  <si>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</si>
  <si>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</si>
  <si>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</si>
  <si>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</si>
  <si>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</si>
  <si>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</si>
  <si>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</si>
  <si>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</si>
  <si>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</si>
  <si>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</si>
  <si>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</si>
  <si>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</si>
  <si>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</si>
  <si>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</si>
  <si>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</si>
  <si>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</si>
  <si>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</si>
  <si>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</si>
  <si>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</si>
  <si>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</si>
  <si>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</si>
  <si>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</si>
  <si>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</si>
  <si>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</si>
  <si>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</si>
  <si>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</si>
  <si>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</si>
  <si>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</si>
  <si>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</si>
  <si>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</si>
  <si>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</si>
  <si>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</si>
  <si>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</si>
  <si>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</si>
  <si>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</si>
  <si>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</si>
  <si>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</si>
  <si>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</si>
  <si>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</si>
  <si>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</si>
  <si>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</si>
  <si>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</si>
  <si>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</si>
  <si>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</si>
  <si>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</si>
  <si>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</si>
  <si>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</si>
  <si>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</si>
  <si>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</si>
  <si>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</si>
  <si>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</si>
  <si>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</si>
  <si>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</si>
  <si>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</si>
  <si>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</si>
  <si>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</si>
  <si>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</si>
  <si>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</si>
  <si>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</si>
  <si>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</si>
  <si>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</si>
  <si>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</si>
  <si>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</si>
  <si>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</si>
  <si>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</si>
  <si>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</si>
  <si>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</si>
  <si>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</si>
  <si>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</si>
  <si>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</si>
  <si>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</si>
  <si>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</si>
  <si>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</si>
  <si>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</si>
  <si>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</si>
  <si>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</si>
  <si>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</si>
  <si>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</si>
  <si>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</si>
  <si>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</si>
  <si>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</si>
  <si>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</si>
  <si>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</si>
  <si>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</si>
  <si>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</si>
  <si>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</si>
  <si>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</si>
  <si>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</si>
  <si>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</si>
  <si>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</si>
  <si>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</si>
  <si>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</si>
  <si>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</si>
  <si>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</si>
  <si>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</si>
  <si>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</si>
  <si>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</si>
  <si>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</si>
  <si>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</si>
  <si>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</si>
  <si>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</si>
  <si>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</si>
  <si>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</si>
  <si>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</si>
  <si>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</si>
  <si>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</si>
  <si>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</si>
  <si>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</si>
  <si>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</si>
  <si>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</si>
  <si>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</si>
  <si>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</si>
  <si>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</si>
  <si>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</si>
  <si>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</si>
  <si>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</si>
  <si>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</si>
  <si>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</si>
  <si>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</si>
  <si>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</si>
  <si>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</si>
  <si>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</si>
  <si>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</si>
  <si>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</si>
  <si>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</si>
  <si>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</si>
  <si>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</si>
  <si>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</si>
  <si>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</si>
  <si>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</si>
  <si>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</si>
  <si>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</si>
  <si>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</si>
  <si>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</si>
  <si>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</si>
  <si>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</si>
  <si>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</si>
  <si>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</si>
  <si>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</si>
  <si>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</si>
  <si>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</si>
  <si>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</si>
  <si>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</si>
  <si>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</si>
  <si>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</si>
  <si>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</si>
  <si>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</si>
  <si>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</si>
  <si>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</si>
  <si>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</si>
  <si>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</si>
  <si>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</si>
  <si>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</si>
  <si>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</si>
  <si>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</si>
  <si>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</si>
  <si>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</si>
  <si>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</si>
  <si>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</si>
  <si>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</si>
  <si>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Runwal Construction Private Limited</t>
  </si>
  <si>
    <t>Survey No</t>
  </si>
  <si>
    <t>Kiran Mill Colony</t>
  </si>
  <si>
    <t>Kolshet</t>
  </si>
  <si>
    <t>Kolshet Road</t>
  </si>
  <si>
    <t>Kolshet Lake</t>
  </si>
  <si>
    <t>40.00 M. Wide D.P Road</t>
  </si>
  <si>
    <t>20.00 M Wide Road</t>
  </si>
  <si>
    <t>Other Plot</t>
  </si>
  <si>
    <t>Open Plot</t>
  </si>
  <si>
    <r>
      <t xml:space="preserve">Proposed Amenities :                                                                                                                                                                                                                         </t>
    </r>
    <r>
      <rPr>
        <b/>
        <sz val="12"/>
        <rFont val="Times New Roman"/>
        <family val="1"/>
      </rPr>
      <t xml:space="preserve">                                               </t>
    </r>
  </si>
  <si>
    <t>Creche / Toddler play zone, Party hall / Banquet Hall, Pool side café, Herb Garden, Yoga/Meditation Zone, Library, Steam &amp; Spa, Gymnasium, Cricket Pitch, Badminton Court, Multipurpose Court, Jogging &amp; Cycling Track, Mini Theatre, Indoor Games Zone, etc.</t>
  </si>
  <si>
    <t>https://www.runwal.com/codename-enchanted/</t>
  </si>
  <si>
    <t xml:space="preserve"> </t>
  </si>
  <si>
    <t xml:space="preserve">Details of Residential in Building   </t>
  </si>
  <si>
    <t>Refuge Area</t>
  </si>
  <si>
    <t>Ajay Songare</t>
  </si>
  <si>
    <t>Mr. Akshay Korgaonkar - 9324767870</t>
  </si>
  <si>
    <t>Balcony Area</t>
  </si>
  <si>
    <t>As per RERA</t>
  </si>
  <si>
    <t>Thane (West)</t>
  </si>
  <si>
    <t>Check further CC properly</t>
  </si>
  <si>
    <t>SIA/MH/MIS/277992/2022</t>
  </si>
  <si>
    <t>Environmental Clearance
Certificate (EC) No
Valid Up for:</t>
  </si>
  <si>
    <t>We have updated Environment Clearance Certificate on 09/01/2024</t>
  </si>
  <si>
    <t>11500 to 12500</t>
  </si>
  <si>
    <t>smith</t>
  </si>
  <si>
    <t>Recommended Rates/Other Charges of the Property have been revised on 06/04/2024</t>
  </si>
  <si>
    <t>S05/0096/15­TMC/TDD/0127/(P/C)
/2024</t>
  </si>
  <si>
    <t>Building Details Floor Wise</t>
  </si>
  <si>
    <t>1st Podium to 5th Podium Floor For Residential &amp; Parking</t>
  </si>
  <si>
    <t>Tower F</t>
  </si>
  <si>
    <t>Saleable area 
Loading :</t>
  </si>
  <si>
    <t>Ground Floor For Society Office, Drivers Room, Panel Room, Meter Room, Transformer Room &amp; Parking Area</t>
  </si>
  <si>
    <t>1st, 6th, 11th, 15th, 20th, 25th, 29th, 34th, 39th, 44th, 49th Floor For Residential (Part Refuge Area)</t>
  </si>
  <si>
    <t>-</t>
  </si>
  <si>
    <t>2nd to 5th, 7th to 10th, 12th to 14th, 16th to 19th, 21st to 24th, 26th to 28th, 30th to 33rd, 35th to 38th, 40th to 43rd, 45th to 48th Floor For Residential</t>
  </si>
  <si>
    <t>Upper Ground Floor For Residential &amp; Amenities</t>
  </si>
  <si>
    <t>We considered Gross carpet area = Net carpet + Balcony Area</t>
  </si>
  <si>
    <t>Service Floor Between 25th &amp; 26th Floor For Pump Room, Flushing Water Tank, Fire &amp; Domestic Water Tank</t>
  </si>
  <si>
    <t>19.239978,72.993035</t>
  </si>
  <si>
    <t>https://maps.app.goo.gl/6JAYj9UxDuxf3L1W9</t>
  </si>
  <si>
    <t>7.1 KM from Thane Railway Station</t>
  </si>
  <si>
    <t>Open Plot/Kolshet Road</t>
  </si>
  <si>
    <t>S05/0096/15TMC/TD-DP/TPS/0127/
(P/C)/2024</t>
  </si>
  <si>
    <t>We have considered Saleable area of Flats as per our Calculation</t>
  </si>
  <si>
    <t>Tower E</t>
  </si>
  <si>
    <t>2nd &amp; 1st Basement Floor For Parking</t>
  </si>
  <si>
    <t>Sale / Mhada</t>
  </si>
  <si>
    <t xml:space="preserve">Sale </t>
  </si>
  <si>
    <t>Sale</t>
  </si>
  <si>
    <t>Mhada</t>
  </si>
  <si>
    <t>1st Floor For Residential (Part Refuge Area)</t>
  </si>
  <si>
    <t>1BHK</t>
  </si>
  <si>
    <t>2nd Floor</t>
  </si>
  <si>
    <t>3rd to 5th Floor, 7th to 10th, 12th to 14th, 16th to 19th, 21st to 24th, 26th to 28th, 30th to 33rd, 35th to 38th, 40th to 43th, 45th to 48th Floor</t>
  </si>
  <si>
    <t>6th, 11th, 15th, 20th, 25th, 29th, 34th, 39th, 44th &amp; 49th  Floor (Part Refuge Area)</t>
  </si>
  <si>
    <t>02 Tower</t>
  </si>
  <si>
    <t>Approved Builtup Area of Tower F &amp; Tower E (Sq.Mt)</t>
  </si>
  <si>
    <t xml:space="preserve">CRZ NOC Details </t>
  </si>
  <si>
    <t>T.M.P./MK.-1/SVV-29/Viyoank/2948</t>
  </si>
  <si>
    <t>1204/2024</t>
  </si>
  <si>
    <t xml:space="preserve">TMC/CFO/M/HR/03/09
</t>
  </si>
  <si>
    <t>Fire NOC</t>
  </si>
  <si>
    <t>Approved Plans, Sale Plan, CC &amp; Cost Sheet</t>
  </si>
  <si>
    <t>Runwal Lands End &amp; Runwal Lands End - Breeze</t>
  </si>
  <si>
    <t xml:space="preserve">Tower F = 2B + Gr + 5P + UG + 1st to 25th + Service + 26th  to 50th Floor
</t>
  </si>
  <si>
    <t xml:space="preserve">Tower Type E &amp; F = 2B + Gr +1P to 5P + Upper Gr + 1st to 25th Floor + Service Floor + 26th to 35th Floor
</t>
  </si>
  <si>
    <t>RERA Name &amp; No.</t>
  </si>
  <si>
    <t xml:space="preserve">Runwal Lands End  (P51700046298)
</t>
  </si>
  <si>
    <t>Runwal Lands End - Breeze
(P51700056121)</t>
  </si>
  <si>
    <t xml:space="preserve">Tower F &amp; E
</t>
  </si>
  <si>
    <t>S.No-1/1, S.No-1/2A, S.No-2/B,  S.No-1/3, S.No-1/4A, S.No-1/4B, S.No-1/4C, S.No-/4D, S.No-1/5, S.No.1/6, S.No-1/7, S.No.1/8, S.No.1/10, S.No-1/11, S.No-1/12, S.No-1/13, S.No-1/15, S.No-2/1A,S.No-2/1B,S.No-2/1C, S.No-2/1D, S.No-2/2,  S.No-2/3, S.No-2/4, S.No-3/1, S.No-3/2,S.No.3/3, S.No.3/4, S.No.3/5A, SNo.3/5B, S.No.3/5C, S.No-3/6, S.No-3/6, S.No-4/1A, S.No-4/1B, S.No.4/2, S.No-5/1,S.No.5/4, S.No-5/5, S.No-5/6, S.No-5/7A, S.No-6/1, S.No-6/4, S.No-6/5, S.No-6/6, S.No-18/1, S.No-18/4, S.No-18/6, SNo-18/7, S.No-18/8, S.No-18/9, S.No-19/2, S.No-19/3A, S.No-19/3B, S.No-19/4A, S.No-19/4B, S.No-19/4C, S.No-19/4D, S.No-19/5, S.No-19/6, S.No-19/7, S.No-19/8, S.No-19/9, S.No-20/1, S.No-20/2, S.No-20/3, S.No-20/4, S.No-20/5A, S.No-20/6, S.No-20/7A, S.No-21/1A, S.No-21/1C, S.No-21/2, S.No-21/3, S.No-21/4, S.No-21/6, S.No-21/8A, S.No-22/1, S.No-22/2A, S.No-22/2B, S.No-22/3A, S.No-22/4, S.No-22/5, S.No-22/6, S.No22/7A, S.No-22/8A, S.No-23/1, S.No-23/2, S.No-32/1, S.No-32/2, S.No.32/3A</t>
  </si>
  <si>
    <t xml:space="preserve">Tower E = 2B + Gr + 5P + UG + 1st to 25th + Service + 26th  to 50th Floor
</t>
  </si>
  <si>
    <t>Tower E = 2B + Gr + 5P + UG + 1st to 25th + S + 26th to 49th Floor (Height - 178.25 Mtr)</t>
  </si>
  <si>
    <t>As per RERA -Tower F- 30/06/2029 
                      Tower E -30/04/2031</t>
  </si>
  <si>
    <t>Tower E (Runwal Lands End - Breeze)</t>
  </si>
  <si>
    <t>1st to 5th Podium Floor For Residential &amp; Parking</t>
  </si>
  <si>
    <t>Tower F (Runwal Lands End)</t>
  </si>
  <si>
    <t>Residential Area Details: (Sale Flat)</t>
  </si>
  <si>
    <t>Residential Area Details: (Mhada Flat)</t>
  </si>
  <si>
    <t>We have Added Tower E on 11/02/2025</t>
  </si>
  <si>
    <t>We have updated revised approved plans &amp; CC for Wing F on 21/06/2024</t>
  </si>
  <si>
    <t>Sale Flat - 1178
Mhada Flat - 39</t>
  </si>
  <si>
    <t>We have updated CRZ Noc on 11/02/2025</t>
  </si>
  <si>
    <t>CRZ NOC Plan</t>
  </si>
  <si>
    <t>Please check for Fire Noc.</t>
  </si>
  <si>
    <t>S.No.1/1, 2A, 2B, 3, 4A,4B, 4C, 4D, 5,6, 7 &amp; 8, 10 to 13, 15, S.No.2/1A, 1B, 1C, 1D, 2, 3, 4, S.No.3/1, 2, 3, 4, 5A, 5B, 5C, 6, S.No.4/1A, 1B, 2, S.No.5/1, S.No.19/3A, 3B, 4A, 4B, 4C, 5, 6, 7, 8, 9, S.No.20/1, 2, 3, 4, 5A, 6, 7A, S.No.21/1/A, 2, 3, 4, 6, 8A, 8B, S.No.22/6, 7/A, 8A, S.No.32/1, 2, 3A
Proposed BUA =146528.80 Sq.M
2B + Gr/stilt + 2 Podium + Upper Stilt + 1st to 37th Floor</t>
  </si>
  <si>
    <t>Runwal Lands End Wing F &amp; E</t>
  </si>
  <si>
    <t>We have given Valuation for Sale Flat only.</t>
  </si>
  <si>
    <t xml:space="preserve">Tower F &amp; E= 2B + Gr + 5P + UG + 1st to 25th + Service + 26th to 49th Floor
</t>
  </si>
  <si>
    <t>Construction work is in process at the time of Visit (Slow Speed)</t>
  </si>
  <si>
    <t>Office No. 1031, Wing J, Akshar Business Park, Plot No. 03 Sector 25, Near APMC Market, 
Vashi, Navi Mumbai, Maharashtra 400703 TEL: 022-46090378/79/80 
E mail : vsjcapf@gmail.com. Web site : www.vsjadon.com</t>
  </si>
  <si>
    <t>s</t>
  </si>
  <si>
    <t>Fire NOC remark Removed Discussion between Viraj &amp; Sachin sir</t>
  </si>
  <si>
    <t>Mr. Vishwakarma</t>
  </si>
  <si>
    <t>Shruti Tathare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</si>
</sst>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8"/>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7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27" fillId="0" borderId="24" xfId="10" applyBorder="1" applyAlignment="1">
      <alignment vertical="center"/>
    </xf>
    <xf numFmtId="0" fontId="7" fillId="0" borderId="0" xfId="1" applyFont="1" applyAlignment="1">
      <alignment vertical="center"/>
    </xf>
    <xf numFmtId="168" fontId="6" fillId="0" borderId="1" xfId="1" applyNumberFormat="1" applyFont="1" applyBorder="1" applyAlignment="1">
      <alignment horizontal="center" vertical="center" wrapText="1"/>
    </xf>
    <xf numFmtId="9" fontId="13" fillId="0" borderId="15" xfId="8" applyFont="1" applyFill="1" applyBorder="1" applyAlignment="1" applyProtection="1">
      <alignment horizontal="center" vertical="top" wrapText="1"/>
      <protection locked="0"/>
    </xf>
    <xf numFmtId="0" fontId="10" fillId="0" borderId="0" xfId="1" applyFont="1"/>
    <xf numFmtId="1" fontId="12" fillId="0" borderId="1" xfId="1" applyNumberFormat="1" applyFont="1" applyBorder="1" applyAlignment="1" applyProtection="1">
      <alignment horizontal="center" vertical="top" wrapText="1"/>
      <protection locked="0"/>
    </xf>
    <xf numFmtId="0" fontId="7" fillId="2" borderId="0" xfId="1" applyFont="1" applyFill="1"/>
    <xf numFmtId="0" fontId="13" fillId="0" borderId="0" xfId="1" applyFont="1" applyProtection="1">
      <protection locked="0"/>
    </xf>
    <xf numFmtId="1" fontId="7" fillId="0" borderId="1" xfId="0" applyNumberFormat="1" applyFont="1" applyBorder="1" applyAlignment="1">
      <alignment horizontal="center" vertical="top"/>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7" fillId="0" borderId="0" xfId="1" applyNumberFormat="1" applyFont="1" applyAlignment="1">
      <alignment horizontal="left" vertical="center"/>
    </xf>
    <xf numFmtId="0" fontId="7" fillId="0" borderId="1" xfId="1" applyFont="1" applyBorder="1" applyAlignment="1">
      <alignment horizontal="center" vertical="center"/>
    </xf>
    <xf numFmtId="1" fontId="6" fillId="0" borderId="8" xfId="1" applyNumberFormat="1" applyFont="1" applyBorder="1" applyAlignment="1" applyProtection="1">
      <alignment horizontal="center" vertical="center" wrapText="1"/>
      <protection locked="0"/>
    </xf>
    <xf numFmtId="168" fontId="6" fillId="0" borderId="7" xfId="1" applyNumberFormat="1" applyFont="1" applyBorder="1" applyAlignment="1">
      <alignment horizontal="center" vertical="center" wrapText="1"/>
    </xf>
    <xf numFmtId="0" fontId="31" fillId="0" borderId="0" xfId="0" applyFont="1"/>
    <xf numFmtId="0" fontId="12" fillId="0" borderId="1" xfId="1" applyFont="1" applyBorder="1" applyAlignment="1" applyProtection="1">
      <alignment vertical="top" wrapText="1"/>
      <protection locked="0"/>
    </xf>
    <xf numFmtId="0" fontId="13" fillId="0" borderId="1" xfId="1" applyFont="1" applyBorder="1" applyAlignment="1" applyProtection="1">
      <alignment vertical="top"/>
      <protection locked="0"/>
    </xf>
    <xf numFmtId="0" fontId="15" fillId="0" borderId="1" xfId="1" applyFont="1" applyBorder="1" applyAlignment="1" applyProtection="1">
      <alignment vertical="top" wrapText="1"/>
      <protection locked="0"/>
    </xf>
    <xf numFmtId="1" fontId="12" fillId="0" borderId="1" xfId="0" applyNumberFormat="1" applyFont="1" applyBorder="1" applyAlignment="1" applyProtection="1">
      <alignment horizontal="center" vertical="center" wrapText="1"/>
      <protection locked="0"/>
    </xf>
    <xf numFmtId="0" fontId="17" fillId="0" borderId="0" xfId="1" applyFont="1"/>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7" fillId="0" borderId="7" xfId="1" applyFont="1" applyBorder="1" applyAlignment="1">
      <alignment horizontal="center" vertical="center"/>
    </xf>
    <xf numFmtId="0" fontId="7" fillId="0" borderId="20" xfId="1" applyFont="1" applyBorder="1" applyAlignment="1">
      <alignment horizontal="center" vertical="center"/>
    </xf>
    <xf numFmtId="0" fontId="7" fillId="0" borderId="8" xfId="1" applyFont="1" applyBorder="1" applyAlignment="1">
      <alignment horizontal="center" vertical="center"/>
    </xf>
    <xf numFmtId="168" fontId="6" fillId="0" borderId="7" xfId="1" applyNumberFormat="1" applyFont="1" applyBorder="1" applyAlignment="1">
      <alignment horizontal="center" vertical="center" wrapText="1"/>
    </xf>
    <xf numFmtId="168" fontId="6" fillId="0" borderId="20" xfId="1" applyNumberFormat="1" applyFont="1" applyBorder="1" applyAlignment="1">
      <alignment horizontal="center" vertical="center" wrapText="1"/>
    </xf>
    <xf numFmtId="168" fontId="6" fillId="0" borderId="8" xfId="1" applyNumberFormat="1" applyFont="1" applyBorder="1" applyAlignment="1">
      <alignment horizontal="center" vertical="center" wrapText="1"/>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horizontal="left" vertical="top" wrapText="1"/>
      <protection locked="0"/>
    </xf>
    <xf numFmtId="1" fontId="8" fillId="0" borderId="20"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horizontal="left"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0" fillId="0" borderId="12" xfId="1" applyFont="1" applyBorder="1" applyAlignment="1" applyProtection="1">
      <alignment horizontal="left" vertical="top"/>
      <protection locked="0"/>
    </xf>
    <xf numFmtId="0" fontId="10" fillId="0" borderId="13" xfId="1" applyFont="1" applyBorder="1" applyAlignment="1" applyProtection="1">
      <alignment horizontal="left" vertical="top"/>
      <protection locked="0"/>
    </xf>
    <xf numFmtId="0" fontId="10" fillId="0" borderId="14" xfId="1" applyFont="1" applyBorder="1" applyAlignment="1" applyProtection="1">
      <alignment horizontal="left" vertical="top"/>
      <protection locked="0"/>
    </xf>
    <xf numFmtId="1" fontId="8" fillId="0" borderId="7"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7" fillId="0" borderId="0" xfId="1" applyFont="1" applyAlignment="1">
      <alignment horizontal="center" vertical="center"/>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0" borderId="36" xfId="0" applyNumberFormat="1" applyFont="1" applyBorder="1" applyAlignment="1" applyProtection="1">
      <alignment horizontal="center" vertical="top" wrapText="1"/>
      <protection locked="0"/>
    </xf>
    <xf numFmtId="1" fontId="8" fillId="0" borderId="37" xfId="0" applyNumberFormat="1" applyFont="1" applyBorder="1" applyAlignment="1" applyProtection="1">
      <alignment horizontal="center" vertical="top" wrapText="1"/>
      <protection locked="0"/>
    </xf>
    <xf numFmtId="0" fontId="15" fillId="0" borderId="7" xfId="1" applyFont="1" applyBorder="1" applyAlignment="1" applyProtection="1">
      <alignment vertical="top" wrapText="1"/>
      <protection locked="0"/>
    </xf>
    <xf numFmtId="0" fontId="15" fillId="0" borderId="20" xfId="1" applyFont="1" applyBorder="1" applyAlignment="1" applyProtection="1">
      <alignment vertical="top" wrapText="1"/>
      <protection locked="0"/>
    </xf>
    <xf numFmtId="0" fontId="15" fillId="0" borderId="8" xfId="1" applyFont="1" applyBorder="1" applyAlignment="1" applyProtection="1">
      <alignment vertical="top"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6" fillId="0" borderId="32" xfId="1" applyFont="1" applyBorder="1" applyAlignment="1" applyProtection="1">
      <alignment horizontal="left" vertical="top" wrapText="1"/>
      <protection locked="0"/>
    </xf>
    <xf numFmtId="0" fontId="6" fillId="0" borderId="33" xfId="1" applyFont="1" applyBorder="1" applyAlignment="1" applyProtection="1">
      <alignment horizontal="left" vertical="top" wrapText="1"/>
      <protection locked="0"/>
    </xf>
    <xf numFmtId="0" fontId="6" fillId="0" borderId="34"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0" fillId="0" borderId="15" xfId="1" applyFont="1" applyBorder="1" applyAlignment="1" applyProtection="1">
      <alignment horizontal="center" vertical="top"/>
      <protection locked="0"/>
    </xf>
    <xf numFmtId="0" fontId="12" fillId="0" borderId="2"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3" fillId="0" borderId="7" xfId="1" applyFont="1" applyBorder="1" applyAlignment="1" applyProtection="1">
      <alignment vertical="top"/>
      <protection locked="0"/>
    </xf>
    <xf numFmtId="0" fontId="13" fillId="0" borderId="20" xfId="1" applyFont="1" applyBorder="1" applyAlignment="1" applyProtection="1">
      <alignment vertical="top"/>
      <protection locked="0"/>
    </xf>
    <xf numFmtId="0" fontId="13" fillId="0" borderId="8" xfId="1" applyFont="1" applyBorder="1" applyAlignment="1" applyProtection="1">
      <alignment vertical="top"/>
      <protection locked="0"/>
    </xf>
    <xf numFmtId="1" fontId="8" fillId="0" borderId="2"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10" fillId="0" borderId="2" xfId="0" applyNumberFormat="1" applyFont="1" applyBorder="1" applyAlignment="1" applyProtection="1">
      <alignment horizontal="center" vertical="top" wrapText="1"/>
      <protection locked="0"/>
    </xf>
    <xf numFmtId="0" fontId="13" fillId="0" borderId="7"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7"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5" fillId="0" borderId="8"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4" fontId="12" fillId="0" borderId="7" xfId="1" applyNumberFormat="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3" fillId="0" borderId="20"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6" fillId="0" borderId="16" xfId="1" applyFont="1" applyBorder="1" applyAlignment="1" applyProtection="1">
      <alignment horizontal="left" vertical="top"/>
      <protection locked="0"/>
    </xf>
    <xf numFmtId="0" fontId="6" fillId="0" borderId="23" xfId="1" applyFont="1" applyBorder="1" applyAlignment="1" applyProtection="1">
      <alignment horizontal="left" vertical="top"/>
      <protection locked="0"/>
    </xf>
    <xf numFmtId="0" fontId="6" fillId="0" borderId="17" xfId="1" applyFont="1" applyBorder="1" applyAlignment="1" applyProtection="1">
      <alignment horizontal="left" vertical="top"/>
      <protection locked="0"/>
    </xf>
    <xf numFmtId="0" fontId="6" fillId="0" borderId="18" xfId="1" applyFont="1" applyBorder="1" applyAlignment="1" applyProtection="1">
      <alignment horizontal="left" vertical="top"/>
      <protection locked="0"/>
    </xf>
    <xf numFmtId="0" fontId="6" fillId="0" borderId="31"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2" fillId="0" borderId="7"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8" fillId="0" borderId="7" xfId="1" applyFont="1" applyBorder="1" applyAlignment="1" applyProtection="1">
      <alignment vertical="top"/>
      <protection locked="0"/>
    </xf>
    <xf numFmtId="0" fontId="8" fillId="0" borderId="20" xfId="1" applyFont="1" applyBorder="1" applyAlignment="1" applyProtection="1">
      <alignment vertical="top"/>
      <protection locked="0"/>
    </xf>
    <xf numFmtId="0" fontId="8" fillId="0" borderId="8" xfId="1" applyFont="1" applyBorder="1" applyAlignment="1" applyProtection="1">
      <alignment vertical="top"/>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3" fillId="0" borderId="16" xfId="1" applyFont="1" applyBorder="1" applyAlignment="1" applyProtection="1">
      <alignment horizontal="center" vertical="top" wrapText="1"/>
      <protection locked="0"/>
    </xf>
    <xf numFmtId="0" fontId="13" fillId="0" borderId="23" xfId="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0" xfId="1" applyFont="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31"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0" fontId="8" fillId="0" borderId="18" xfId="1" applyFont="1" applyBorder="1" applyAlignment="1" applyProtection="1">
      <alignment horizontal="center" vertical="top"/>
      <protection locked="0"/>
    </xf>
    <xf numFmtId="0" fontId="8" fillId="0" borderId="31" xfId="1" applyFont="1" applyBorder="1" applyAlignment="1" applyProtection="1">
      <alignment horizontal="center" vertical="top"/>
      <protection locked="0"/>
    </xf>
    <xf numFmtId="0" fontId="8" fillId="0" borderId="19" xfId="1" applyFont="1" applyBorder="1" applyAlignment="1" applyProtection="1">
      <alignment horizontal="center" vertical="top"/>
      <protection locked="0"/>
    </xf>
    <xf numFmtId="0" fontId="6" fillId="0" borderId="7" xfId="1" applyFont="1" applyBorder="1" applyAlignment="1" applyProtection="1">
      <alignment vertical="top"/>
      <protection locked="0"/>
    </xf>
    <xf numFmtId="0" fontId="6" fillId="0" borderId="20" xfId="1" applyFont="1" applyBorder="1" applyAlignment="1" applyProtection="1">
      <alignment vertical="top"/>
      <protection locked="0"/>
    </xf>
    <xf numFmtId="0" fontId="6" fillId="0" borderId="8" xfId="1" applyFont="1" applyBorder="1" applyAlignment="1" applyProtection="1">
      <alignment vertical="top"/>
      <protection locked="0"/>
    </xf>
    <xf numFmtId="0" fontId="7" fillId="0" borderId="24" xfId="1" applyFont="1" applyBorder="1" applyAlignment="1">
      <alignment horizontal="center"/>
    </xf>
    <xf numFmtId="0" fontId="7" fillId="0" borderId="0" xfId="1" applyFont="1" applyAlignment="1">
      <alignment horizontal="center"/>
    </xf>
    <xf numFmtId="164" fontId="12"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10" fillId="0" borderId="36" xfId="0" applyNumberFormat="1" applyFont="1" applyBorder="1" applyAlignment="1" applyProtection="1">
      <alignment horizontal="center" vertical="top" wrapText="1"/>
      <protection locked="0"/>
    </xf>
    <xf numFmtId="0" fontId="10" fillId="0" borderId="36" xfId="0" applyFont="1" applyBorder="1" applyAlignment="1" applyProtection="1">
      <alignment horizontal="center"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1" fontId="8" fillId="0" borderId="35" xfId="0" applyNumberFormat="1" applyFont="1" applyBorder="1" applyAlignment="1" applyProtection="1">
      <alignment horizontal="center" vertical="center" wrapText="1"/>
      <protection locked="0"/>
    </xf>
    <xf numFmtId="1" fontId="8" fillId="0" borderId="36" xfId="0"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10" fillId="0" borderId="36" xfId="0" applyNumberFormat="1"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1" fontId="6" fillId="0" borderId="1" xfId="1" applyNumberFormat="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9</xdr:col>
      <xdr:colOff>433644</xdr:colOff>
      <xdr:row>49</xdr:row>
      <xdr:rowOff>116834</xdr:rowOff>
    </xdr:from>
    <xdr:to>
      <xdr:col>14</xdr:col>
      <xdr:colOff>512061</xdr:colOff>
      <xdr:row>53</xdr:row>
      <xdr:rowOff>138605</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
        <a:stretch>
          <a:fillRect/>
        </a:stretch>
      </xdr:blipFill>
      <xdr:spPr>
        <a:xfrm>
          <a:off x="8072694" y="17061809"/>
          <a:ext cx="4421817" cy="1812471"/>
        </a:xfrm>
        <a:prstGeom prst="rect">
          <a:avLst/>
        </a:prstGeom>
      </xdr:spPr>
    </xdr:pic>
    <xdr:clientData/>
  </xdr:twoCellAnchor>
  <xdr:twoCellAnchor>
    <xdr:from>
      <xdr:col>0</xdr:col>
      <xdr:colOff>492135</xdr:colOff>
      <xdr:row>321</xdr:row>
      <xdr:rowOff>85579</xdr:rowOff>
    </xdr:from>
    <xdr:to>
      <xdr:col>7</xdr:col>
      <xdr:colOff>327660</xdr:colOff>
      <xdr:row>360</xdr:row>
      <xdr:rowOff>0</xdr:rowOff>
    </xdr:to>
    <xdr:grpSp>
      <xdr:nvGrpSpPr>
        <xdr:cNvPr id="30" name="Group 29">
          <a:extLst>
            <a:ext uri="{FF2B5EF4-FFF2-40B4-BE49-F238E27FC236}">
              <a16:creationId xmlns:a16="http://schemas.microsoft.com/office/drawing/2014/main" xmlns="" id="{00000000-0008-0000-0000-00001E000000}"/>
            </a:ext>
          </a:extLst>
        </xdr:cNvPr>
        <xdr:cNvGrpSpPr/>
      </xdr:nvGrpSpPr>
      <xdr:grpSpPr>
        <a:xfrm>
          <a:off x="492135" y="72275554"/>
          <a:ext cx="5417175" cy="7715396"/>
          <a:chOff x="2148538" y="83430856"/>
          <a:chExt cx="6431576" cy="9896293"/>
        </a:xfrm>
      </xdr:grpSpPr>
      <xdr:grpSp>
        <xdr:nvGrpSpPr>
          <xdr:cNvPr id="31" name="Group 30">
            <a:extLst>
              <a:ext uri="{FF2B5EF4-FFF2-40B4-BE49-F238E27FC236}">
                <a16:creationId xmlns:a16="http://schemas.microsoft.com/office/drawing/2014/main" xmlns="" id="{00000000-0008-0000-0000-00001F000000}"/>
              </a:ext>
            </a:extLst>
          </xdr:cNvPr>
          <xdr:cNvGrpSpPr/>
        </xdr:nvGrpSpPr>
        <xdr:grpSpPr>
          <a:xfrm>
            <a:off x="2148538" y="87927149"/>
            <a:ext cx="6431576" cy="5400000"/>
            <a:chOff x="1998860" y="82348221"/>
            <a:chExt cx="6431576" cy="5400000"/>
          </a:xfrm>
        </xdr:grpSpPr>
        <xdr:pic>
          <xdr:nvPicPr>
            <xdr:cNvPr id="36" name="Picture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2"/>
            <a:stretch>
              <a:fillRect/>
            </a:stretch>
          </xdr:blipFill>
          <xdr:spPr>
            <a:xfrm>
              <a:off x="1998860" y="82348221"/>
              <a:ext cx="6431576" cy="5400000"/>
            </a:xfrm>
            <a:prstGeom prst="rect">
              <a:avLst/>
            </a:prstGeom>
            <a:ln>
              <a:solidFill>
                <a:schemeClr val="tx1"/>
              </a:solidFill>
            </a:ln>
          </xdr:spPr>
        </xdr:pic>
        <xdr:grpSp>
          <xdr:nvGrpSpPr>
            <xdr:cNvPr id="37" name="Group 36">
              <a:extLst>
                <a:ext uri="{FF2B5EF4-FFF2-40B4-BE49-F238E27FC236}">
                  <a16:creationId xmlns:a16="http://schemas.microsoft.com/office/drawing/2014/main" xmlns="" id="{00000000-0008-0000-0000-000025000000}"/>
                </a:ext>
              </a:extLst>
            </xdr:cNvPr>
            <xdr:cNvGrpSpPr/>
          </xdr:nvGrpSpPr>
          <xdr:grpSpPr>
            <a:xfrm>
              <a:off x="3484897" y="83753721"/>
              <a:ext cx="4806527" cy="3790414"/>
              <a:chOff x="3484897" y="83753721"/>
              <a:chExt cx="4806527" cy="3790414"/>
            </a:xfrm>
          </xdr:grpSpPr>
          <xdr:sp macro="" textlink="">
            <xdr:nvSpPr>
              <xdr:cNvPr id="39" name="Rectangle 38">
                <a:extLst>
                  <a:ext uri="{FF2B5EF4-FFF2-40B4-BE49-F238E27FC236}">
                    <a16:creationId xmlns:a16="http://schemas.microsoft.com/office/drawing/2014/main" xmlns="" id="{00000000-0008-0000-0000-000027000000}"/>
                  </a:ext>
                </a:extLst>
              </xdr:cNvPr>
              <xdr:cNvSpPr/>
            </xdr:nvSpPr>
            <xdr:spPr>
              <a:xfrm rot="16200000">
                <a:off x="3781992" y="85643003"/>
                <a:ext cx="592768" cy="10414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1" name="TextBox 40">
                <a:extLst>
                  <a:ext uri="{FF2B5EF4-FFF2-40B4-BE49-F238E27FC236}">
                    <a16:creationId xmlns:a16="http://schemas.microsoft.com/office/drawing/2014/main" xmlns="" id="{00000000-0008-0000-0000-000029000000}"/>
                  </a:ext>
                </a:extLst>
              </xdr:cNvPr>
              <xdr:cNvSpPr txBox="1"/>
            </xdr:nvSpPr>
            <xdr:spPr>
              <a:xfrm>
                <a:off x="3484897" y="86415471"/>
                <a:ext cx="1246484"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Tower F</a:t>
                </a:r>
              </a:p>
            </xdr:txBody>
          </xdr:sp>
          <xdr:cxnSp macro="">
            <xdr:nvCxnSpPr>
              <xdr:cNvPr id="42" name="Straight Arrow Connector 41">
                <a:extLst>
                  <a:ext uri="{FF2B5EF4-FFF2-40B4-BE49-F238E27FC236}">
                    <a16:creationId xmlns:a16="http://schemas.microsoft.com/office/drawing/2014/main" xmlns="" id="{00000000-0008-0000-0000-00002A000000}"/>
                  </a:ext>
                </a:extLst>
              </xdr:cNvPr>
              <xdr:cNvCxnSpPr/>
            </xdr:nvCxnSpPr>
            <xdr:spPr>
              <a:xfrm flipH="1" flipV="1">
                <a:off x="7457084" y="87288393"/>
                <a:ext cx="834340" cy="22172"/>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TextBox 42">
                <a:extLst>
                  <a:ext uri="{FF2B5EF4-FFF2-40B4-BE49-F238E27FC236}">
                    <a16:creationId xmlns:a16="http://schemas.microsoft.com/office/drawing/2014/main" xmlns="" id="{00000000-0008-0000-0000-00002B000000}"/>
                  </a:ext>
                </a:extLst>
              </xdr:cNvPr>
              <xdr:cNvSpPr txBox="1"/>
            </xdr:nvSpPr>
            <xdr:spPr>
              <a:xfrm>
                <a:off x="6935396" y="86890994"/>
                <a:ext cx="1115786" cy="65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600" b="1">
                    <a:solidFill>
                      <a:sysClr val="windowText" lastClr="000000"/>
                    </a:solidFill>
                  </a:rPr>
                  <a:t>N</a:t>
                </a:r>
              </a:p>
            </xdr:txBody>
          </xdr:sp>
          <xdr:sp macro="" textlink="">
            <xdr:nvSpPr>
              <xdr:cNvPr id="23" name="TextBox 22">
                <a:extLst>
                  <a:ext uri="{FF2B5EF4-FFF2-40B4-BE49-F238E27FC236}">
                    <a16:creationId xmlns:a16="http://schemas.microsoft.com/office/drawing/2014/main" xmlns="" id="{00000000-0008-0000-0000-000017000000}"/>
                  </a:ext>
                </a:extLst>
              </xdr:cNvPr>
              <xdr:cNvSpPr txBox="1"/>
            </xdr:nvSpPr>
            <xdr:spPr>
              <a:xfrm>
                <a:off x="4652368" y="86403502"/>
                <a:ext cx="1246485"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Tower E</a:t>
                </a:r>
              </a:p>
            </xdr:txBody>
          </xdr:sp>
          <xdr:sp macro="" textlink="">
            <xdr:nvSpPr>
              <xdr:cNvPr id="24" name="Rectangle 23">
                <a:extLst>
                  <a:ext uri="{FF2B5EF4-FFF2-40B4-BE49-F238E27FC236}">
                    <a16:creationId xmlns:a16="http://schemas.microsoft.com/office/drawing/2014/main" xmlns="" id="{00000000-0008-0000-0000-000018000000}"/>
                  </a:ext>
                </a:extLst>
              </xdr:cNvPr>
              <xdr:cNvSpPr/>
            </xdr:nvSpPr>
            <xdr:spPr>
              <a:xfrm rot="16200000">
                <a:off x="4803455" y="85674815"/>
                <a:ext cx="599001" cy="9828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TextBox 25">
                <a:extLst>
                  <a:ext uri="{FF2B5EF4-FFF2-40B4-BE49-F238E27FC236}">
                    <a16:creationId xmlns:a16="http://schemas.microsoft.com/office/drawing/2014/main" xmlns="" id="{00000000-0008-0000-0000-00001A000000}"/>
                  </a:ext>
                </a:extLst>
              </xdr:cNvPr>
              <xdr:cNvSpPr txBox="1"/>
            </xdr:nvSpPr>
            <xdr:spPr>
              <a:xfrm rot="4524194">
                <a:off x="5360669" y="84164431"/>
                <a:ext cx="1274051" cy="452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C</a:t>
                </a:r>
              </a:p>
            </xdr:txBody>
          </xdr:sp>
          <xdr:sp macro="" textlink="">
            <xdr:nvSpPr>
              <xdr:cNvPr id="28" name="Rectangle 27">
                <a:extLst>
                  <a:ext uri="{FF2B5EF4-FFF2-40B4-BE49-F238E27FC236}">
                    <a16:creationId xmlns:a16="http://schemas.microsoft.com/office/drawing/2014/main" xmlns="" id="{00000000-0008-0000-0000-00001C000000}"/>
                  </a:ext>
                </a:extLst>
              </xdr:cNvPr>
              <xdr:cNvSpPr/>
            </xdr:nvSpPr>
            <xdr:spPr>
              <a:xfrm rot="9938263">
                <a:off x="5317345" y="83858713"/>
                <a:ext cx="586041" cy="10045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Rectangle 37">
                <a:extLst>
                  <a:ext uri="{FF2B5EF4-FFF2-40B4-BE49-F238E27FC236}">
                    <a16:creationId xmlns:a16="http://schemas.microsoft.com/office/drawing/2014/main" xmlns="" id="{00000000-0008-0000-0000-000026000000}"/>
                  </a:ext>
                </a:extLst>
              </xdr:cNvPr>
              <xdr:cNvSpPr/>
            </xdr:nvSpPr>
            <xdr:spPr>
              <a:xfrm rot="9938263">
                <a:off x="5590565" y="84866053"/>
                <a:ext cx="586041" cy="10045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0" name="TextBox 39">
                <a:extLst>
                  <a:ext uri="{FF2B5EF4-FFF2-40B4-BE49-F238E27FC236}">
                    <a16:creationId xmlns:a16="http://schemas.microsoft.com/office/drawing/2014/main" xmlns="" id="{00000000-0008-0000-0000-000028000000}"/>
                  </a:ext>
                </a:extLst>
              </xdr:cNvPr>
              <xdr:cNvSpPr txBox="1"/>
            </xdr:nvSpPr>
            <xdr:spPr>
              <a:xfrm rot="4452798">
                <a:off x="5624135" y="85151825"/>
                <a:ext cx="1274051" cy="452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D</a:t>
                </a:r>
              </a:p>
            </xdr:txBody>
          </xdr:sp>
          <xdr:sp macro="" textlink="">
            <xdr:nvSpPr>
              <xdr:cNvPr id="44" name="Rectangle 43">
                <a:extLst>
                  <a:ext uri="{FF2B5EF4-FFF2-40B4-BE49-F238E27FC236}">
                    <a16:creationId xmlns:a16="http://schemas.microsoft.com/office/drawing/2014/main" xmlns="" id="{00000000-0008-0000-0000-00002C000000}"/>
                  </a:ext>
                </a:extLst>
              </xdr:cNvPr>
              <xdr:cNvSpPr/>
            </xdr:nvSpPr>
            <xdr:spPr>
              <a:xfrm>
                <a:off x="3707296" y="84367370"/>
                <a:ext cx="608805" cy="14002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5" name="TextBox 44">
                <a:extLst>
                  <a:ext uri="{FF2B5EF4-FFF2-40B4-BE49-F238E27FC236}">
                    <a16:creationId xmlns:a16="http://schemas.microsoft.com/office/drawing/2014/main" xmlns="" id="{00000000-0008-0000-0000-00002D000000}"/>
                  </a:ext>
                </a:extLst>
              </xdr:cNvPr>
              <xdr:cNvSpPr txBox="1"/>
            </xdr:nvSpPr>
            <xdr:spPr>
              <a:xfrm>
                <a:off x="3530212" y="84079636"/>
                <a:ext cx="1246485"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G</a:t>
                </a:r>
              </a:p>
            </xdr:txBody>
          </xdr:sp>
        </xdr:grpSp>
      </xdr:grpSp>
      <xdr:pic>
        <xdr:nvPicPr>
          <xdr:cNvPr id="33" name="Picture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
          <a:stretch>
            <a:fillRect/>
          </a:stretch>
        </xdr:blipFill>
        <xdr:spPr>
          <a:xfrm>
            <a:off x="2791115" y="83430856"/>
            <a:ext cx="5056646" cy="4320000"/>
          </a:xfrm>
          <a:prstGeom prst="rect">
            <a:avLst/>
          </a:prstGeom>
          <a:ln>
            <a:solidFill>
              <a:schemeClr val="tx1"/>
            </a:solidFill>
          </a:ln>
        </xdr:spPr>
      </xdr:pic>
    </xdr:grpSp>
    <xdr:clientData/>
  </xdr:twoCellAnchor>
  <xdr:twoCellAnchor editAs="oneCell">
    <xdr:from>
      <xdr:col>13</xdr:col>
      <xdr:colOff>171450</xdr:colOff>
      <xdr:row>72</xdr:row>
      <xdr:rowOff>200025</xdr:rowOff>
    </xdr:from>
    <xdr:to>
      <xdr:col>24</xdr:col>
      <xdr:colOff>67235</xdr:colOff>
      <xdr:row>89</xdr:row>
      <xdr:rowOff>10062</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4"/>
        <a:srcRect t="241" r="13004"/>
        <a:stretch/>
      </xdr:blipFill>
      <xdr:spPr>
        <a:xfrm>
          <a:off x="11321303" y="25603760"/>
          <a:ext cx="7403726" cy="3439063"/>
        </a:xfrm>
        <a:prstGeom prst="rect">
          <a:avLst/>
        </a:prstGeom>
      </xdr:spPr>
    </xdr:pic>
    <xdr:clientData/>
  </xdr:twoCellAnchor>
  <xdr:twoCellAnchor>
    <xdr:from>
      <xdr:col>5</xdr:col>
      <xdr:colOff>411009</xdr:colOff>
      <xdr:row>337</xdr:row>
      <xdr:rowOff>38100</xdr:rowOff>
    </xdr:from>
    <xdr:to>
      <xdr:col>6</xdr:col>
      <xdr:colOff>371475</xdr:colOff>
      <xdr:row>337</xdr:row>
      <xdr:rowOff>46245</xdr:rowOff>
    </xdr:to>
    <xdr:cxnSp macro="">
      <xdr:nvCxnSpPr>
        <xdr:cNvPr id="49" name="Straight Arrow Connector 48">
          <a:extLst>
            <a:ext uri="{FF2B5EF4-FFF2-40B4-BE49-F238E27FC236}">
              <a16:creationId xmlns:a16="http://schemas.microsoft.com/office/drawing/2014/main" xmlns="" id="{00000000-0008-0000-0000-000031000000}"/>
            </a:ext>
          </a:extLst>
        </xdr:cNvPr>
        <xdr:cNvCxnSpPr/>
      </xdr:nvCxnSpPr>
      <xdr:spPr>
        <a:xfrm flipH="1">
          <a:off x="4516284" y="75218925"/>
          <a:ext cx="703416" cy="814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758835</xdr:colOff>
      <xdr:row>335</xdr:row>
      <xdr:rowOff>85579</xdr:rowOff>
    </xdr:from>
    <xdr:to>
      <xdr:col>6</xdr:col>
      <xdr:colOff>181786</xdr:colOff>
      <xdr:row>338</xdr:row>
      <xdr:rowOff>31389</xdr:rowOff>
    </xdr:to>
    <xdr:sp macro="" textlink="">
      <xdr:nvSpPr>
        <xdr:cNvPr id="50" name="TextBox 49">
          <a:extLst>
            <a:ext uri="{FF2B5EF4-FFF2-40B4-BE49-F238E27FC236}">
              <a16:creationId xmlns:a16="http://schemas.microsoft.com/office/drawing/2014/main" xmlns="" id="{00000000-0008-0000-0000-000032000000}"/>
            </a:ext>
          </a:extLst>
        </xdr:cNvPr>
        <xdr:cNvSpPr txBox="1"/>
      </xdr:nvSpPr>
      <xdr:spPr>
        <a:xfrm>
          <a:off x="4083060" y="74866354"/>
          <a:ext cx="946951" cy="545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600" b="1">
              <a:solidFill>
                <a:sysClr val="windowText" lastClr="000000"/>
              </a:solidFill>
            </a:rPr>
            <a:t>N</a:t>
          </a:r>
        </a:p>
      </xdr:txBody>
    </xdr:sp>
    <xdr:clientData/>
  </xdr:twoCellAnchor>
  <xdr:twoCellAnchor editAs="oneCell">
    <xdr:from>
      <xdr:col>0</xdr:col>
      <xdr:colOff>615764</xdr:colOff>
      <xdr:row>405</xdr:row>
      <xdr:rowOff>106455</xdr:rowOff>
    </xdr:from>
    <xdr:to>
      <xdr:col>6</xdr:col>
      <xdr:colOff>587188</xdr:colOff>
      <xdr:row>423</xdr:row>
      <xdr:rowOff>144560</xdr:rowOff>
    </xdr:to>
    <xdr:pic>
      <xdr:nvPicPr>
        <xdr:cNvPr id="9" name="Picture 8">
          <a:extLst>
            <a:ext uri="{FF2B5EF4-FFF2-40B4-BE49-F238E27FC236}">
              <a16:creationId xmlns:a16="http://schemas.microsoft.com/office/drawing/2014/main" xmlns="" id="{00000000-0008-0000-0000-000009000000}"/>
            </a:ext>
          </a:extLst>
        </xdr:cNvPr>
        <xdr:cNvPicPr>
          <a:picLocks noChangeAspect="1"/>
        </xdr:cNvPicPr>
      </xdr:nvPicPr>
      <xdr:blipFill rotWithShape="1">
        <a:blip xmlns:r="http://schemas.openxmlformats.org/officeDocument/2006/relationships" r:embed="rId5"/>
        <a:srcRect t="13947" r="2330" b="4090"/>
        <a:stretch/>
      </xdr:blipFill>
      <xdr:spPr>
        <a:xfrm>
          <a:off x="615764" y="83399779"/>
          <a:ext cx="4823571" cy="3668807"/>
        </a:xfrm>
        <a:prstGeom prst="rect">
          <a:avLst/>
        </a:prstGeom>
        <a:ln>
          <a:solidFill>
            <a:sysClr val="windowText" lastClr="000000"/>
          </a:solidFill>
        </a:ln>
      </xdr:spPr>
    </xdr:pic>
    <xdr:clientData/>
  </xdr:twoCellAnchor>
  <xdr:twoCellAnchor editAs="oneCell">
    <xdr:from>
      <xdr:col>9</xdr:col>
      <xdr:colOff>411828</xdr:colOff>
      <xdr:row>38</xdr:row>
      <xdr:rowOff>151841</xdr:rowOff>
    </xdr:from>
    <xdr:to>
      <xdr:col>14</xdr:col>
      <xdr:colOff>427460</xdr:colOff>
      <xdr:row>49</xdr:row>
      <xdr:rowOff>7651</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6"/>
        <a:stretch>
          <a:fillRect/>
        </a:stretch>
      </xdr:blipFill>
      <xdr:spPr>
        <a:xfrm>
          <a:off x="8054240" y="15167723"/>
          <a:ext cx="4363514" cy="2071653"/>
        </a:xfrm>
        <a:prstGeom prst="rect">
          <a:avLst/>
        </a:prstGeom>
      </xdr:spPr>
    </xdr:pic>
    <xdr:clientData/>
  </xdr:twoCellAnchor>
  <xdr:twoCellAnchor editAs="oneCell">
    <xdr:from>
      <xdr:col>8</xdr:col>
      <xdr:colOff>950521</xdr:colOff>
      <xdr:row>16</xdr:row>
      <xdr:rowOff>486559</xdr:rowOff>
    </xdr:from>
    <xdr:to>
      <xdr:col>14</xdr:col>
      <xdr:colOff>494286</xdr:colOff>
      <xdr:row>17</xdr:row>
      <xdr:rowOff>199008</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7"/>
        <a:stretch>
          <a:fillRect/>
        </a:stretch>
      </xdr:blipFill>
      <xdr:spPr>
        <a:xfrm>
          <a:off x="7427521" y="4937332"/>
          <a:ext cx="5050947" cy="3106812"/>
        </a:xfrm>
        <a:prstGeom prst="rect">
          <a:avLst/>
        </a:prstGeom>
      </xdr:spPr>
    </xdr:pic>
    <xdr:clientData/>
  </xdr:twoCellAnchor>
  <xdr:twoCellAnchor editAs="oneCell">
    <xdr:from>
      <xdr:col>8</xdr:col>
      <xdr:colOff>1104901</xdr:colOff>
      <xdr:row>54</xdr:row>
      <xdr:rowOff>9525</xdr:rowOff>
    </xdr:from>
    <xdr:to>
      <xdr:col>13</xdr:col>
      <xdr:colOff>8647</xdr:colOff>
      <xdr:row>60</xdr:row>
      <xdr:rowOff>172473</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8"/>
        <a:stretch>
          <a:fillRect/>
        </a:stretch>
      </xdr:blipFill>
      <xdr:spPr>
        <a:xfrm>
          <a:off x="7581901" y="19373850"/>
          <a:ext cx="3570996" cy="1614768"/>
        </a:xfrm>
        <a:prstGeom prst="rect">
          <a:avLst/>
        </a:prstGeom>
      </xdr:spPr>
    </xdr:pic>
    <xdr:clientData/>
  </xdr:twoCellAnchor>
  <xdr:twoCellAnchor>
    <xdr:from>
      <xdr:col>9</xdr:col>
      <xdr:colOff>470648</xdr:colOff>
      <xdr:row>283</xdr:row>
      <xdr:rowOff>162709</xdr:rowOff>
    </xdr:from>
    <xdr:to>
      <xdr:col>10</xdr:col>
      <xdr:colOff>454062</xdr:colOff>
      <xdr:row>285</xdr:row>
      <xdr:rowOff>196326</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8319248" y="64208809"/>
          <a:ext cx="1103554" cy="42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F</a:t>
          </a:r>
        </a:p>
      </xdr:txBody>
    </xdr:sp>
    <xdr:clientData/>
  </xdr:twoCellAnchor>
  <xdr:twoCellAnchor>
    <xdr:from>
      <xdr:col>12</xdr:col>
      <xdr:colOff>814443</xdr:colOff>
      <xdr:row>311</xdr:row>
      <xdr:rowOff>27343</xdr:rowOff>
    </xdr:from>
    <xdr:to>
      <xdr:col>13</xdr:col>
      <xdr:colOff>854112</xdr:colOff>
      <xdr:row>314</xdr:row>
      <xdr:rowOff>38548</xdr:rowOff>
    </xdr:to>
    <xdr:cxnSp macro="">
      <xdr:nvCxnSpPr>
        <xdr:cNvPr id="15" name="Straight Arrow Connector 14">
          <a:extLst>
            <a:ext uri="{FF2B5EF4-FFF2-40B4-BE49-F238E27FC236}">
              <a16:creationId xmlns:a16="http://schemas.microsoft.com/office/drawing/2014/main" xmlns="" id="{00000000-0008-0000-0000-00000F000000}"/>
            </a:ext>
          </a:extLst>
        </xdr:cNvPr>
        <xdr:cNvCxnSpPr/>
      </xdr:nvCxnSpPr>
      <xdr:spPr>
        <a:xfrm flipH="1">
          <a:off x="11459583" y="69620803"/>
          <a:ext cx="855009" cy="6055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557157</xdr:colOff>
      <xdr:row>309</xdr:row>
      <xdr:rowOff>3811</xdr:rowOff>
    </xdr:from>
    <xdr:to>
      <xdr:col>14</xdr:col>
      <xdr:colOff>686697</xdr:colOff>
      <xdr:row>310</xdr:row>
      <xdr:rowOff>157108</xdr:rowOff>
    </xdr:to>
    <xdr:sp macro="" textlink="">
      <xdr:nvSpPr>
        <xdr:cNvPr id="20" name="TextBox 19">
          <a:extLst>
            <a:ext uri="{FF2B5EF4-FFF2-40B4-BE49-F238E27FC236}">
              <a16:creationId xmlns:a16="http://schemas.microsoft.com/office/drawing/2014/main" xmlns="" id="{00000000-0008-0000-0000-000014000000}"/>
            </a:ext>
          </a:extLst>
        </xdr:cNvPr>
        <xdr:cNvSpPr txBox="1"/>
      </xdr:nvSpPr>
      <xdr:spPr>
        <a:xfrm>
          <a:off x="12017637" y="69201031"/>
          <a:ext cx="990600" cy="3514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Tower E</a:t>
          </a:r>
        </a:p>
      </xdr:txBody>
    </xdr:sp>
    <xdr:clientData/>
  </xdr:twoCellAnchor>
  <xdr:twoCellAnchor editAs="oneCell">
    <xdr:from>
      <xdr:col>8</xdr:col>
      <xdr:colOff>361950</xdr:colOff>
      <xdr:row>17</xdr:row>
      <xdr:rowOff>2209800</xdr:rowOff>
    </xdr:from>
    <xdr:to>
      <xdr:col>18</xdr:col>
      <xdr:colOff>401216</xdr:colOff>
      <xdr:row>26</xdr:row>
      <xdr:rowOff>86091</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9"/>
        <a:stretch>
          <a:fillRect/>
        </a:stretch>
      </xdr:blipFill>
      <xdr:spPr>
        <a:xfrm>
          <a:off x="6838950" y="10001250"/>
          <a:ext cx="8354591" cy="2629267"/>
        </a:xfrm>
        <a:prstGeom prst="rect">
          <a:avLst/>
        </a:prstGeom>
      </xdr:spPr>
    </xdr:pic>
    <xdr:clientData/>
  </xdr:twoCellAnchor>
  <xdr:twoCellAnchor editAs="oneCell">
    <xdr:from>
      <xdr:col>10</xdr:col>
      <xdr:colOff>130937</xdr:colOff>
      <xdr:row>114</xdr:row>
      <xdr:rowOff>69569</xdr:rowOff>
    </xdr:from>
    <xdr:to>
      <xdr:col>14</xdr:col>
      <xdr:colOff>21002</xdr:colOff>
      <xdr:row>140</xdr:row>
      <xdr:rowOff>189607</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0"/>
        <a:stretch>
          <a:fillRect/>
        </a:stretch>
      </xdr:blipFill>
      <xdr:spPr>
        <a:xfrm>
          <a:off x="8855837" y="31730669"/>
          <a:ext cx="3147615" cy="4139588"/>
        </a:xfrm>
        <a:prstGeom prst="rect">
          <a:avLst/>
        </a:prstGeom>
      </xdr:spPr>
    </xdr:pic>
    <xdr:clientData/>
  </xdr:twoCellAnchor>
  <xdr:twoCellAnchor>
    <xdr:from>
      <xdr:col>0</xdr:col>
      <xdr:colOff>440874</xdr:colOff>
      <xdr:row>424</xdr:row>
      <xdr:rowOff>49518</xdr:rowOff>
    </xdr:from>
    <xdr:to>
      <xdr:col>7</xdr:col>
      <xdr:colOff>443593</xdr:colOff>
      <xdr:row>445</xdr:row>
      <xdr:rowOff>0</xdr:rowOff>
    </xdr:to>
    <xdr:grpSp>
      <xdr:nvGrpSpPr>
        <xdr:cNvPr id="27" name="Group 26">
          <a:extLst>
            <a:ext uri="{FF2B5EF4-FFF2-40B4-BE49-F238E27FC236}">
              <a16:creationId xmlns:a16="http://schemas.microsoft.com/office/drawing/2014/main" xmlns="" id="{00000000-0008-0000-0000-00001B000000}"/>
            </a:ext>
          </a:extLst>
        </xdr:cNvPr>
        <xdr:cNvGrpSpPr/>
      </xdr:nvGrpSpPr>
      <xdr:grpSpPr>
        <a:xfrm>
          <a:off x="440874" y="92842068"/>
          <a:ext cx="5584369" cy="4151007"/>
          <a:chOff x="440874" y="87121625"/>
          <a:chExt cx="5581648" cy="4277554"/>
        </a:xfrm>
      </xdr:grpSpPr>
      <xdr:grpSp>
        <xdr:nvGrpSpPr>
          <xdr:cNvPr id="25" name="Group 24">
            <a:extLst>
              <a:ext uri="{FF2B5EF4-FFF2-40B4-BE49-F238E27FC236}">
                <a16:creationId xmlns:a16="http://schemas.microsoft.com/office/drawing/2014/main" xmlns="" id="{00000000-0008-0000-0000-000019000000}"/>
              </a:ext>
            </a:extLst>
          </xdr:cNvPr>
          <xdr:cNvGrpSpPr/>
        </xdr:nvGrpSpPr>
        <xdr:grpSpPr>
          <a:xfrm>
            <a:off x="440874" y="87121625"/>
            <a:ext cx="5581648" cy="4277554"/>
            <a:chOff x="454481" y="84896153"/>
            <a:chExt cx="5586340" cy="4129752"/>
          </a:xfrm>
        </xdr:grpSpPr>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1"/>
            <a:stretch>
              <a:fillRect/>
            </a:stretch>
          </xdr:blipFill>
          <xdr:spPr>
            <a:xfrm>
              <a:off x="454481" y="84896153"/>
              <a:ext cx="5578176" cy="4129752"/>
            </a:xfrm>
            <a:prstGeom prst="rect">
              <a:avLst/>
            </a:prstGeom>
            <a:ln>
              <a:solidFill>
                <a:sysClr val="windowText" lastClr="000000"/>
              </a:solidFill>
            </a:ln>
          </xdr:spPr>
        </xdr:pic>
        <xdr:sp macro="" textlink="">
          <xdr:nvSpPr>
            <xdr:cNvPr id="51" name="Rectangle 50">
              <a:extLst>
                <a:ext uri="{FF2B5EF4-FFF2-40B4-BE49-F238E27FC236}">
                  <a16:creationId xmlns:a16="http://schemas.microsoft.com/office/drawing/2014/main" xmlns="" id="{00000000-0008-0000-0000-000033000000}"/>
                </a:ext>
              </a:extLst>
            </xdr:cNvPr>
            <xdr:cNvSpPr/>
          </xdr:nvSpPr>
          <xdr:spPr>
            <a:xfrm rot="2291066">
              <a:off x="2205902" y="86141891"/>
              <a:ext cx="443526" cy="73545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3" name="TextBox 12">
              <a:extLst>
                <a:ext uri="{FF2B5EF4-FFF2-40B4-BE49-F238E27FC236}">
                  <a16:creationId xmlns:a16="http://schemas.microsoft.com/office/drawing/2014/main" xmlns="" id="{00000000-0008-0000-0000-000035000000}"/>
                </a:ext>
              </a:extLst>
            </xdr:cNvPr>
            <xdr:cNvSpPr txBox="1"/>
          </xdr:nvSpPr>
          <xdr:spPr>
            <a:xfrm rot="2303237">
              <a:off x="1862078" y="85960406"/>
              <a:ext cx="1922877" cy="334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Runwal Lands End</a:t>
              </a:r>
            </a:p>
          </xdr:txBody>
        </xdr:sp>
        <xdr:sp macro="" textlink="">
          <xdr:nvSpPr>
            <xdr:cNvPr id="18" name="Freeform 17">
              <a:extLst>
                <a:ext uri="{FF2B5EF4-FFF2-40B4-BE49-F238E27FC236}">
                  <a16:creationId xmlns:a16="http://schemas.microsoft.com/office/drawing/2014/main" xmlns="" id="{00000000-0008-0000-0000-000012000000}"/>
                </a:ext>
              </a:extLst>
            </xdr:cNvPr>
            <xdr:cNvSpPr/>
          </xdr:nvSpPr>
          <xdr:spPr>
            <a:xfrm>
              <a:off x="3249010" y="85958527"/>
              <a:ext cx="2791811" cy="3048328"/>
            </a:xfrm>
            <a:custGeom>
              <a:avLst/>
              <a:gdLst>
                <a:gd name="connsiteX0" fmla="*/ 2714625 w 2790825"/>
                <a:gd name="connsiteY0" fmla="*/ 923925 h 3095625"/>
                <a:gd name="connsiteX1" fmla="*/ 2247900 w 2790825"/>
                <a:gd name="connsiteY1" fmla="*/ 1047750 h 3095625"/>
                <a:gd name="connsiteX2" fmla="*/ 2114550 w 2790825"/>
                <a:gd name="connsiteY2" fmla="*/ 752475 h 3095625"/>
                <a:gd name="connsiteX3" fmla="*/ 2381250 w 2790825"/>
                <a:gd name="connsiteY3" fmla="*/ 361950 h 3095625"/>
                <a:gd name="connsiteX4" fmla="*/ 1981200 w 2790825"/>
                <a:gd name="connsiteY4" fmla="*/ 0 h 3095625"/>
                <a:gd name="connsiteX5" fmla="*/ 1514475 w 2790825"/>
                <a:gd name="connsiteY5" fmla="*/ 457200 h 3095625"/>
                <a:gd name="connsiteX6" fmla="*/ 1504950 w 2790825"/>
                <a:gd name="connsiteY6" fmla="*/ 942975 h 3095625"/>
                <a:gd name="connsiteX7" fmla="*/ 1152525 w 2790825"/>
                <a:gd name="connsiteY7" fmla="*/ 971550 h 3095625"/>
                <a:gd name="connsiteX8" fmla="*/ 933450 w 2790825"/>
                <a:gd name="connsiteY8" fmla="*/ 704850 h 3095625"/>
                <a:gd name="connsiteX9" fmla="*/ 600075 w 2790825"/>
                <a:gd name="connsiteY9" fmla="*/ 847725 h 3095625"/>
                <a:gd name="connsiteX10" fmla="*/ 676275 w 2790825"/>
                <a:gd name="connsiteY10" fmla="*/ 1276350 h 3095625"/>
                <a:gd name="connsiteX11" fmla="*/ 504825 w 2790825"/>
                <a:gd name="connsiteY11" fmla="*/ 1428750 h 3095625"/>
                <a:gd name="connsiteX12" fmla="*/ 457200 w 2790825"/>
                <a:gd name="connsiteY12" fmla="*/ 1990725 h 3095625"/>
                <a:gd name="connsiteX13" fmla="*/ 180975 w 2790825"/>
                <a:gd name="connsiteY13" fmla="*/ 2562225 h 3095625"/>
                <a:gd name="connsiteX14" fmla="*/ 0 w 2790825"/>
                <a:gd name="connsiteY14" fmla="*/ 2886075 h 3095625"/>
                <a:gd name="connsiteX15" fmla="*/ 38100 w 2790825"/>
                <a:gd name="connsiteY15" fmla="*/ 2962275 h 3095625"/>
                <a:gd name="connsiteX16" fmla="*/ 133350 w 2790825"/>
                <a:gd name="connsiteY16" fmla="*/ 3057525 h 3095625"/>
                <a:gd name="connsiteX17" fmla="*/ 2790825 w 2790825"/>
                <a:gd name="connsiteY17" fmla="*/ 3095625 h 3095625"/>
                <a:gd name="connsiteX18" fmla="*/ 2714625 w 2790825"/>
                <a:gd name="connsiteY18" fmla="*/ 923925 h 3095625"/>
                <a:gd name="connsiteX0" fmla="*/ 2762250 w 2790825"/>
                <a:gd name="connsiteY0" fmla="*/ 923925 h 3095625"/>
                <a:gd name="connsiteX1" fmla="*/ 2247900 w 2790825"/>
                <a:gd name="connsiteY1" fmla="*/ 1047750 h 3095625"/>
                <a:gd name="connsiteX2" fmla="*/ 2114550 w 2790825"/>
                <a:gd name="connsiteY2" fmla="*/ 752475 h 3095625"/>
                <a:gd name="connsiteX3" fmla="*/ 2381250 w 2790825"/>
                <a:gd name="connsiteY3" fmla="*/ 361950 h 3095625"/>
                <a:gd name="connsiteX4" fmla="*/ 1981200 w 2790825"/>
                <a:gd name="connsiteY4" fmla="*/ 0 h 3095625"/>
                <a:gd name="connsiteX5" fmla="*/ 1514475 w 2790825"/>
                <a:gd name="connsiteY5" fmla="*/ 457200 h 3095625"/>
                <a:gd name="connsiteX6" fmla="*/ 1504950 w 2790825"/>
                <a:gd name="connsiteY6" fmla="*/ 942975 h 3095625"/>
                <a:gd name="connsiteX7" fmla="*/ 1152525 w 2790825"/>
                <a:gd name="connsiteY7" fmla="*/ 971550 h 3095625"/>
                <a:gd name="connsiteX8" fmla="*/ 933450 w 2790825"/>
                <a:gd name="connsiteY8" fmla="*/ 704850 h 3095625"/>
                <a:gd name="connsiteX9" fmla="*/ 600075 w 2790825"/>
                <a:gd name="connsiteY9" fmla="*/ 847725 h 3095625"/>
                <a:gd name="connsiteX10" fmla="*/ 676275 w 2790825"/>
                <a:gd name="connsiteY10" fmla="*/ 1276350 h 3095625"/>
                <a:gd name="connsiteX11" fmla="*/ 504825 w 2790825"/>
                <a:gd name="connsiteY11" fmla="*/ 1428750 h 3095625"/>
                <a:gd name="connsiteX12" fmla="*/ 457200 w 2790825"/>
                <a:gd name="connsiteY12" fmla="*/ 1990725 h 3095625"/>
                <a:gd name="connsiteX13" fmla="*/ 180975 w 2790825"/>
                <a:gd name="connsiteY13" fmla="*/ 2562225 h 3095625"/>
                <a:gd name="connsiteX14" fmla="*/ 0 w 2790825"/>
                <a:gd name="connsiteY14" fmla="*/ 2886075 h 3095625"/>
                <a:gd name="connsiteX15" fmla="*/ 38100 w 2790825"/>
                <a:gd name="connsiteY15" fmla="*/ 2962275 h 3095625"/>
                <a:gd name="connsiteX16" fmla="*/ 133350 w 2790825"/>
                <a:gd name="connsiteY16" fmla="*/ 3057525 h 3095625"/>
                <a:gd name="connsiteX17" fmla="*/ 2790825 w 2790825"/>
                <a:gd name="connsiteY17" fmla="*/ 3095625 h 3095625"/>
                <a:gd name="connsiteX18" fmla="*/ 2762250 w 2790825"/>
                <a:gd name="connsiteY18" fmla="*/ 9239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790825" h="3095625">
                  <a:moveTo>
                    <a:pt x="2762250" y="923925"/>
                  </a:moveTo>
                  <a:lnTo>
                    <a:pt x="2247900" y="1047750"/>
                  </a:lnTo>
                  <a:lnTo>
                    <a:pt x="2114550" y="752475"/>
                  </a:lnTo>
                  <a:lnTo>
                    <a:pt x="2381250" y="361950"/>
                  </a:lnTo>
                  <a:lnTo>
                    <a:pt x="1981200" y="0"/>
                  </a:lnTo>
                  <a:lnTo>
                    <a:pt x="1514475" y="457200"/>
                  </a:lnTo>
                  <a:lnTo>
                    <a:pt x="1504950" y="942975"/>
                  </a:lnTo>
                  <a:lnTo>
                    <a:pt x="1152525" y="971550"/>
                  </a:lnTo>
                  <a:lnTo>
                    <a:pt x="933450" y="704850"/>
                  </a:lnTo>
                  <a:lnTo>
                    <a:pt x="600075" y="847725"/>
                  </a:lnTo>
                  <a:lnTo>
                    <a:pt x="676275" y="1276350"/>
                  </a:lnTo>
                  <a:lnTo>
                    <a:pt x="504825" y="1428750"/>
                  </a:lnTo>
                  <a:lnTo>
                    <a:pt x="457200" y="1990725"/>
                  </a:lnTo>
                  <a:lnTo>
                    <a:pt x="180975" y="2562225"/>
                  </a:lnTo>
                  <a:lnTo>
                    <a:pt x="0" y="2886075"/>
                  </a:lnTo>
                  <a:lnTo>
                    <a:pt x="38100" y="2962275"/>
                  </a:lnTo>
                  <a:lnTo>
                    <a:pt x="133350" y="3057525"/>
                  </a:lnTo>
                  <a:lnTo>
                    <a:pt x="2790825" y="3095625"/>
                  </a:lnTo>
                  <a:lnTo>
                    <a:pt x="2762250" y="92392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9" name="Rectangle 58">
              <a:extLst>
                <a:ext uri="{FF2B5EF4-FFF2-40B4-BE49-F238E27FC236}">
                  <a16:creationId xmlns:a16="http://schemas.microsoft.com/office/drawing/2014/main" xmlns="" id="{00000000-0008-0000-0000-00003B000000}"/>
                </a:ext>
              </a:extLst>
            </xdr:cNvPr>
            <xdr:cNvSpPr/>
          </xdr:nvSpPr>
          <xdr:spPr>
            <a:xfrm rot="2291066">
              <a:off x="1708944" y="86781080"/>
              <a:ext cx="440956" cy="73716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TextBox 12">
              <a:extLst>
                <a:ext uri="{FF2B5EF4-FFF2-40B4-BE49-F238E27FC236}">
                  <a16:creationId xmlns:a16="http://schemas.microsoft.com/office/drawing/2014/main" xmlns="" id="{00000000-0008-0000-0000-00003C000000}"/>
                </a:ext>
              </a:extLst>
            </xdr:cNvPr>
            <xdr:cNvSpPr txBox="1"/>
          </xdr:nvSpPr>
          <xdr:spPr>
            <a:xfrm rot="2303237">
              <a:off x="466753" y="87368868"/>
              <a:ext cx="1938719" cy="338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Runwal Lands End - Breeze</a:t>
              </a:r>
            </a:p>
          </xdr:txBody>
        </xdr:sp>
      </xdr:grpSp>
      <xdr:sp macro="" textlink="">
        <xdr:nvSpPr>
          <xdr:cNvPr id="58" name="TextBox 12">
            <a:extLst>
              <a:ext uri="{FF2B5EF4-FFF2-40B4-BE49-F238E27FC236}">
                <a16:creationId xmlns:a16="http://schemas.microsoft.com/office/drawing/2014/main" xmlns="" id="{00000000-0008-0000-0000-00003A000000}"/>
              </a:ext>
            </a:extLst>
          </xdr:cNvPr>
          <xdr:cNvSpPr txBox="1"/>
        </xdr:nvSpPr>
        <xdr:spPr>
          <a:xfrm>
            <a:off x="3948662" y="90084091"/>
            <a:ext cx="1930849" cy="345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800" b="1">
                <a:solidFill>
                  <a:srgbClr val="FF0000"/>
                </a:solidFill>
                <a:latin typeface="Times New Roman" panose="02020603050405020304" pitchFamily="18" charset="0"/>
                <a:cs typeface="Times New Roman" panose="02020603050405020304" pitchFamily="18" charset="0"/>
              </a:rPr>
              <a:t>Mangroves Area</a:t>
            </a:r>
          </a:p>
        </xdr:txBody>
      </xdr:sp>
    </xdr:grpSp>
    <xdr:clientData/>
  </xdr:twoCellAnchor>
  <xdr:twoCellAnchor editAs="oneCell">
    <xdr:from>
      <xdr:col>0</xdr:col>
      <xdr:colOff>190501</xdr:colOff>
      <xdr:row>363</xdr:row>
      <xdr:rowOff>168088</xdr:rowOff>
    </xdr:from>
    <xdr:to>
      <xdr:col>7</xdr:col>
      <xdr:colOff>774609</xdr:colOff>
      <xdr:row>381</xdr:row>
      <xdr:rowOff>190499</xdr:rowOff>
    </xdr:to>
    <xdr:pic>
      <xdr:nvPicPr>
        <xdr:cNvPr id="29" name="Picture 28">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12"/>
        <a:stretch>
          <a:fillRect/>
        </a:stretch>
      </xdr:blipFill>
      <xdr:spPr>
        <a:xfrm>
          <a:off x="190501" y="82677000"/>
          <a:ext cx="6164637" cy="3653118"/>
        </a:xfrm>
        <a:prstGeom prst="rect">
          <a:avLst/>
        </a:prstGeom>
        <a:ln>
          <a:solidFill>
            <a:sysClr val="windowText" lastClr="000000"/>
          </a:solidFill>
        </a:ln>
      </xdr:spPr>
    </xdr:pic>
    <xdr:clientData/>
  </xdr:twoCellAnchor>
  <xdr:twoCellAnchor editAs="oneCell">
    <xdr:from>
      <xdr:col>0</xdr:col>
      <xdr:colOff>347382</xdr:colOff>
      <xdr:row>382</xdr:row>
      <xdr:rowOff>114363</xdr:rowOff>
    </xdr:from>
    <xdr:to>
      <xdr:col>7</xdr:col>
      <xdr:colOff>560294</xdr:colOff>
      <xdr:row>397</xdr:row>
      <xdr:rowOff>134471</xdr:rowOff>
    </xdr:to>
    <xdr:pic>
      <xdr:nvPicPr>
        <xdr:cNvPr id="32" name="Picture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13"/>
        <a:stretch>
          <a:fillRect/>
        </a:stretch>
      </xdr:blipFill>
      <xdr:spPr>
        <a:xfrm>
          <a:off x="347382" y="86455687"/>
          <a:ext cx="5793441" cy="3045696"/>
        </a:xfrm>
        <a:prstGeom prst="rect">
          <a:avLst/>
        </a:prstGeom>
        <a:ln>
          <a:solidFill>
            <a:sysClr val="windowText" lastClr="000000"/>
          </a:solidFill>
        </a:ln>
      </xdr:spPr>
    </xdr:pic>
    <xdr:clientData/>
  </xdr:twoCellAnchor>
  <xdr:twoCellAnchor editAs="oneCell">
    <xdr:from>
      <xdr:col>8</xdr:col>
      <xdr:colOff>929640</xdr:colOff>
      <xdr:row>256</xdr:row>
      <xdr:rowOff>30480</xdr:rowOff>
    </xdr:from>
    <xdr:to>
      <xdr:col>12</xdr:col>
      <xdr:colOff>536760</xdr:colOff>
      <xdr:row>266</xdr:row>
      <xdr:rowOff>74280</xdr:rowOff>
    </xdr:to>
    <xdr:pic>
      <xdr:nvPicPr>
        <xdr:cNvPr id="6" name="Picture 5">
          <a:extLst>
            <a:ext uri="{FF2B5EF4-FFF2-40B4-BE49-F238E27FC236}">
              <a16:creationId xmlns:a16="http://schemas.microsoft.com/office/drawing/2014/main" xmlns="" id="{B26C97F7-F770-BF39-97BA-0D91C53C7D43}"/>
            </a:ext>
          </a:extLst>
        </xdr:cNvPr>
        <xdr:cNvPicPr>
          <a:picLocks noChangeAspect="1"/>
        </xdr:cNvPicPr>
      </xdr:nvPicPr>
      <xdr:blipFill>
        <a:blip xmlns:r="http://schemas.openxmlformats.org/officeDocument/2006/relationships" r:embed="rId14"/>
        <a:stretch>
          <a:fillRect/>
        </a:stretch>
      </xdr:blipFill>
      <xdr:spPr>
        <a:xfrm>
          <a:off x="7581900" y="58757820"/>
          <a:ext cx="3600000" cy="2025000"/>
        </a:xfrm>
        <a:prstGeom prst="rect">
          <a:avLst/>
        </a:prstGeom>
      </xdr:spPr>
    </xdr:pic>
    <xdr:clientData/>
  </xdr:twoCellAnchor>
  <xdr:twoCellAnchor>
    <xdr:from>
      <xdr:col>8</xdr:col>
      <xdr:colOff>541020</xdr:colOff>
      <xdr:row>281</xdr:row>
      <xdr:rowOff>110490</xdr:rowOff>
    </xdr:from>
    <xdr:to>
      <xdr:col>9</xdr:col>
      <xdr:colOff>514895</xdr:colOff>
      <xdr:row>283</xdr:row>
      <xdr:rowOff>83243</xdr:rowOff>
    </xdr:to>
    <xdr:sp macro="" textlink="">
      <xdr:nvSpPr>
        <xdr:cNvPr id="63" name="TextBox 10">
          <a:extLst>
            <a:ext uri="{FF2B5EF4-FFF2-40B4-BE49-F238E27FC236}">
              <a16:creationId xmlns:a16="http://schemas.microsoft.com/office/drawing/2014/main" xmlns="" id="{90E053B3-FC7A-A8CA-995F-380F66488E2A}"/>
            </a:ext>
          </a:extLst>
        </xdr:cNvPr>
        <xdr:cNvSpPr txBox="1"/>
      </xdr:nvSpPr>
      <xdr:spPr>
        <a:xfrm>
          <a:off x="7018020" y="64089915"/>
          <a:ext cx="1135925" cy="37280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Tower F</a:t>
          </a:r>
        </a:p>
      </xdr:txBody>
    </xdr:sp>
    <xdr:clientData/>
  </xdr:twoCellAnchor>
  <xdr:twoCellAnchor>
    <xdr:from>
      <xdr:col>0</xdr:col>
      <xdr:colOff>104775</xdr:colOff>
      <xdr:row>281</xdr:row>
      <xdr:rowOff>66674</xdr:rowOff>
    </xdr:from>
    <xdr:to>
      <xdr:col>7</xdr:col>
      <xdr:colOff>808688</xdr:colOff>
      <xdr:row>312</xdr:row>
      <xdr:rowOff>183562</xdr:rowOff>
    </xdr:to>
    <xdr:grpSp>
      <xdr:nvGrpSpPr>
        <xdr:cNvPr id="35" name="Group 34"/>
        <xdr:cNvGrpSpPr/>
      </xdr:nvGrpSpPr>
      <xdr:grpSpPr>
        <a:xfrm>
          <a:off x="104775" y="64255649"/>
          <a:ext cx="6285563" cy="6317663"/>
          <a:chOff x="104775" y="64046099"/>
          <a:chExt cx="6285563" cy="6317663"/>
        </a:xfrm>
      </xdr:grpSpPr>
      <xdr:pic>
        <xdr:nvPicPr>
          <xdr:cNvPr id="54" name="Picture 53" descr="https://vsjcllp.vsjadon.com/upload/insp-243340-152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772025" y="681990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43340-843.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57175" y="64084199"/>
            <a:ext cx="2954433" cy="4029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3340-849.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04775" y="68203762"/>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3340-85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305175" y="64084199"/>
            <a:ext cx="2954433" cy="4029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3340-1512.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3067050" y="681990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2" name="TextBox 10">
            <a:extLst>
              <a:ext uri="{FF2B5EF4-FFF2-40B4-BE49-F238E27FC236}">
                <a16:creationId xmlns:a16="http://schemas.microsoft.com/office/drawing/2014/main" xmlns="" id="{90E053B3-FC7A-A8CA-995F-380F66488E2A}"/>
              </a:ext>
            </a:extLst>
          </xdr:cNvPr>
          <xdr:cNvSpPr txBox="1"/>
        </xdr:nvSpPr>
        <xdr:spPr>
          <a:xfrm>
            <a:off x="1438275" y="64046099"/>
            <a:ext cx="1135925" cy="37280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Tower F</a:t>
            </a:r>
          </a:p>
        </xdr:txBody>
      </xdr:sp>
      <xdr:sp macro="" textlink="">
        <xdr:nvSpPr>
          <xdr:cNvPr id="64" name="TextBox 10">
            <a:extLst>
              <a:ext uri="{FF2B5EF4-FFF2-40B4-BE49-F238E27FC236}">
                <a16:creationId xmlns:a16="http://schemas.microsoft.com/office/drawing/2014/main" xmlns="" id="{90E053B3-FC7A-A8CA-995F-380F66488E2A}"/>
              </a:ext>
            </a:extLst>
          </xdr:cNvPr>
          <xdr:cNvSpPr txBox="1"/>
        </xdr:nvSpPr>
        <xdr:spPr>
          <a:xfrm>
            <a:off x="3533775" y="64046099"/>
            <a:ext cx="1135925" cy="37280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Tower 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6JAYj9UxDuxf3L1W9" TargetMode="External"/><Relationship Id="rId1" Type="http://schemas.openxmlformats.org/officeDocument/2006/relationships/hyperlink" Target="https://www.runwal.com/codename-enchanted/"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42"/>
  <sheetViews>
    <sheetView tabSelected="1" view="pageBreakPreview" zoomScaleNormal="100" zoomScaleSheetLayoutView="100" zoomScalePageLayoutView="110" workbookViewId="0">
      <selection activeCell="L79" sqref="L79:M89"/>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13.42578125" style="37" customWidth="1"/>
    <col min="9" max="9" width="17.42578125" style="18" customWidth="1"/>
    <col min="10" max="10" width="16.28515625" style="18" bestFit="1"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14" t="s">
        <v>381</v>
      </c>
      <c r="B1" s="214"/>
      <c r="C1" s="214"/>
      <c r="D1" s="214"/>
      <c r="E1" s="214"/>
      <c r="F1" s="214"/>
      <c r="G1" s="214"/>
      <c r="H1" s="214"/>
    </row>
    <row r="2" spans="1:26" ht="16.5" customHeight="1" x14ac:dyDescent="0.25">
      <c r="A2" s="215" t="s">
        <v>0</v>
      </c>
      <c r="B2" s="215"/>
      <c r="C2" s="215"/>
      <c r="D2" s="215"/>
      <c r="E2" s="215"/>
      <c r="F2" s="215"/>
      <c r="G2" s="215"/>
      <c r="H2" s="215"/>
    </row>
    <row r="3" spans="1:26" x14ac:dyDescent="0.25">
      <c r="A3" s="159" t="s">
        <v>1</v>
      </c>
      <c r="B3" s="159"/>
      <c r="C3" s="159"/>
      <c r="D3" s="159"/>
      <c r="E3" s="159" t="str">
        <f ca="1">TEXT(TODAY(),"DD/MM/YYYY")</f>
        <v>14/08/2025</v>
      </c>
      <c r="F3" s="159"/>
      <c r="G3" s="159"/>
      <c r="H3" s="159"/>
      <c r="K3" s="50" t="s">
        <v>226</v>
      </c>
      <c r="L3" s="47" t="s">
        <v>224</v>
      </c>
      <c r="M3" s="47" t="s">
        <v>229</v>
      </c>
      <c r="N3" s="47" t="s">
        <v>227</v>
      </c>
      <c r="O3" s="47" t="s">
        <v>228</v>
      </c>
      <c r="P3" s="47" t="s">
        <v>230</v>
      </c>
    </row>
    <row r="4" spans="1:26" ht="15" customHeight="1" x14ac:dyDescent="0.25">
      <c r="A4" s="159" t="s">
        <v>223</v>
      </c>
      <c r="B4" s="159"/>
      <c r="C4" s="159"/>
      <c r="D4" s="159"/>
      <c r="E4" s="159" t="s">
        <v>224</v>
      </c>
      <c r="F4" s="159"/>
      <c r="G4" s="159"/>
      <c r="H4" s="159"/>
      <c r="K4" s="46" t="s">
        <v>225</v>
      </c>
      <c r="L4" s="47" t="s">
        <v>163</v>
      </c>
      <c r="M4" s="47" t="s">
        <v>234</v>
      </c>
      <c r="N4" s="47" t="s">
        <v>236</v>
      </c>
      <c r="O4" s="47" t="s">
        <v>238</v>
      </c>
      <c r="P4" s="47"/>
    </row>
    <row r="5" spans="1:26" ht="15" customHeight="1" x14ac:dyDescent="0.25">
      <c r="A5" s="159" t="s">
        <v>2</v>
      </c>
      <c r="B5" s="159"/>
      <c r="C5" s="159"/>
      <c r="D5" s="159"/>
      <c r="E5" s="159" t="s">
        <v>231</v>
      </c>
      <c r="F5" s="159"/>
      <c r="G5" s="159"/>
      <c r="H5" s="159"/>
      <c r="K5" s="46"/>
      <c r="L5" s="47" t="s">
        <v>231</v>
      </c>
      <c r="M5" s="47" t="s">
        <v>235</v>
      </c>
      <c r="N5" s="47" t="s">
        <v>237</v>
      </c>
      <c r="O5" s="47" t="s">
        <v>239</v>
      </c>
      <c r="P5" s="47"/>
    </row>
    <row r="6" spans="1:26" x14ac:dyDescent="0.25">
      <c r="A6" s="159" t="s">
        <v>3</v>
      </c>
      <c r="B6" s="159"/>
      <c r="C6" s="159"/>
      <c r="D6" s="159"/>
      <c r="E6" s="216">
        <v>45880</v>
      </c>
      <c r="F6" s="159"/>
      <c r="G6" s="159"/>
      <c r="H6" s="159"/>
      <c r="K6" s="46"/>
      <c r="L6" s="47" t="s">
        <v>232</v>
      </c>
      <c r="M6" s="47"/>
      <c r="N6" s="47"/>
      <c r="O6" s="47" t="s">
        <v>240</v>
      </c>
      <c r="P6" s="47"/>
    </row>
    <row r="7" spans="1:26" ht="16.5" customHeight="1" x14ac:dyDescent="0.25">
      <c r="A7" s="159" t="s">
        <v>4</v>
      </c>
      <c r="B7" s="159"/>
      <c r="C7" s="159"/>
      <c r="D7" s="159"/>
      <c r="E7" s="159" t="s">
        <v>289</v>
      </c>
      <c r="F7" s="159"/>
      <c r="G7" s="159"/>
      <c r="H7" s="159"/>
      <c r="K7" s="46"/>
      <c r="L7" s="47" t="s">
        <v>233</v>
      </c>
      <c r="M7" s="47"/>
      <c r="N7" s="47"/>
      <c r="O7" s="47" t="s">
        <v>240</v>
      </c>
      <c r="P7" s="47"/>
    </row>
    <row r="8" spans="1:26" ht="15" customHeight="1" x14ac:dyDescent="0.25">
      <c r="A8" s="159" t="s">
        <v>5</v>
      </c>
      <c r="B8" s="159"/>
      <c r="C8" s="159"/>
      <c r="D8" s="159"/>
      <c r="E8" s="159" t="str">
        <f>E7</f>
        <v>Runwal Construction Private Limited</v>
      </c>
      <c r="F8" s="159"/>
      <c r="G8" s="159"/>
      <c r="H8" s="159"/>
      <c r="K8" s="46"/>
      <c r="L8" s="47"/>
      <c r="M8" s="47"/>
      <c r="N8" s="47"/>
      <c r="O8" s="47" t="s">
        <v>241</v>
      </c>
      <c r="P8" s="47"/>
    </row>
    <row r="9" spans="1:26" x14ac:dyDescent="0.25">
      <c r="A9" s="159" t="s">
        <v>6</v>
      </c>
      <c r="B9" s="159"/>
      <c r="C9" s="159"/>
      <c r="D9" s="159"/>
      <c r="E9" s="123" t="s">
        <v>354</v>
      </c>
      <c r="F9" s="123"/>
      <c r="G9" s="123"/>
      <c r="H9" s="123"/>
      <c r="I9" s="18" t="s">
        <v>377</v>
      </c>
      <c r="K9" s="46"/>
      <c r="L9" s="47"/>
      <c r="M9" s="47"/>
      <c r="N9" s="47"/>
      <c r="O9" s="47" t="s">
        <v>242</v>
      </c>
      <c r="P9" s="47"/>
    </row>
    <row r="10" spans="1:26" x14ac:dyDescent="0.25">
      <c r="A10" s="159" t="s">
        <v>160</v>
      </c>
      <c r="B10" s="159"/>
      <c r="C10" s="159"/>
      <c r="D10" s="159"/>
      <c r="E10" s="159" t="s">
        <v>306</v>
      </c>
      <c r="F10" s="159"/>
      <c r="G10" s="159"/>
      <c r="H10" s="159"/>
      <c r="K10" s="46"/>
      <c r="L10" s="47"/>
      <c r="M10" s="47"/>
      <c r="N10" s="47"/>
      <c r="O10" s="47"/>
      <c r="P10" s="47"/>
    </row>
    <row r="11" spans="1:26" x14ac:dyDescent="0.25">
      <c r="A11" s="159" t="s">
        <v>161</v>
      </c>
      <c r="B11" s="159"/>
      <c r="C11" s="159"/>
      <c r="D11" s="159"/>
      <c r="E11" s="159" t="s">
        <v>384</v>
      </c>
      <c r="F11" s="159"/>
      <c r="G11" s="159"/>
      <c r="H11" s="159"/>
    </row>
    <row r="12" spans="1:26" x14ac:dyDescent="0.25">
      <c r="A12" s="159" t="s">
        <v>7</v>
      </c>
      <c r="B12" s="159"/>
      <c r="C12" s="159"/>
      <c r="D12" s="159"/>
      <c r="E12" s="155" t="s">
        <v>360</v>
      </c>
      <c r="F12" s="159"/>
      <c r="G12" s="159"/>
      <c r="H12" s="159"/>
      <c r="I12" s="58" t="s">
        <v>308</v>
      </c>
    </row>
    <row r="13" spans="1:26" x14ac:dyDescent="0.25">
      <c r="A13" s="159" t="s">
        <v>164</v>
      </c>
      <c r="B13" s="159"/>
      <c r="C13" s="159"/>
      <c r="D13" s="159"/>
      <c r="E13" s="159" t="s">
        <v>27</v>
      </c>
      <c r="F13" s="159"/>
      <c r="G13" s="159"/>
      <c r="H13" s="159"/>
      <c r="S13" s="47" t="s">
        <v>169</v>
      </c>
      <c r="T13" s="47" t="s">
        <v>179</v>
      </c>
      <c r="U13" s="47" t="s">
        <v>165</v>
      </c>
      <c r="V13" s="47" t="s">
        <v>184</v>
      </c>
      <c r="W13" s="47" t="s">
        <v>202</v>
      </c>
      <c r="X13"/>
      <c r="Y13" t="s">
        <v>184</v>
      </c>
      <c r="Z13" t="e">
        <f ca="1">OFFSET($S$13,1,MATCH($G21,$S$13:$W$13,0)-1,15,1)</f>
        <v>#VALUE!</v>
      </c>
    </row>
    <row r="14" spans="1:26" x14ac:dyDescent="0.25">
      <c r="A14" s="160" t="s">
        <v>269</v>
      </c>
      <c r="B14" s="160"/>
      <c r="C14" s="160"/>
      <c r="D14" s="160"/>
      <c r="E14" s="155" t="s">
        <v>353</v>
      </c>
      <c r="F14" s="155"/>
      <c r="G14" s="155"/>
      <c r="H14" s="155"/>
      <c r="S14" s="47" t="s">
        <v>170</v>
      </c>
      <c r="T14" s="47" t="s">
        <v>177</v>
      </c>
      <c r="U14" s="47" t="s">
        <v>199</v>
      </c>
      <c r="V14" s="47" t="s">
        <v>185</v>
      </c>
      <c r="W14" s="47" t="s">
        <v>203</v>
      </c>
      <c r="X14"/>
      <c r="Y14"/>
      <c r="Z14"/>
    </row>
    <row r="15" spans="1:26" ht="35.25" customHeight="1" x14ac:dyDescent="0.25">
      <c r="A15" s="204" t="s">
        <v>357</v>
      </c>
      <c r="B15" s="205"/>
      <c r="C15" s="205"/>
      <c r="D15" s="206"/>
      <c r="E15" s="210" t="s">
        <v>358</v>
      </c>
      <c r="F15" s="211"/>
      <c r="G15" s="212" t="s">
        <v>320</v>
      </c>
      <c r="H15" s="213"/>
      <c r="I15" s="246" t="e">
        <f ca="1">OFFSET($D$5,1,MATCH($J13,$D$5:$H$5,0)-1,15,1)</f>
        <v>#N/A</v>
      </c>
      <c r="J15" s="247"/>
      <c r="K15" s="247"/>
      <c r="L15" s="247"/>
      <c r="M15" s="247"/>
      <c r="N15" s="247"/>
      <c r="O15" s="247"/>
      <c r="P15" s="247"/>
      <c r="S15" s="47" t="s">
        <v>171</v>
      </c>
      <c r="T15" s="47" t="s">
        <v>178</v>
      </c>
      <c r="U15" s="47" t="s">
        <v>200</v>
      </c>
      <c r="V15" s="47" t="s">
        <v>186</v>
      </c>
      <c r="W15" s="47" t="s">
        <v>216</v>
      </c>
      <c r="X15"/>
      <c r="Y15"/>
      <c r="Z15"/>
    </row>
    <row r="16" spans="1:26" ht="45.75" customHeight="1" x14ac:dyDescent="0.25">
      <c r="A16" s="207"/>
      <c r="B16" s="208"/>
      <c r="C16" s="208"/>
      <c r="D16" s="209"/>
      <c r="E16" s="210" t="s">
        <v>359</v>
      </c>
      <c r="F16" s="211"/>
      <c r="G16" s="212" t="s">
        <v>335</v>
      </c>
      <c r="H16" s="213"/>
      <c r="S16" s="47" t="s">
        <v>172</v>
      </c>
      <c r="T16" s="47" t="s">
        <v>180</v>
      </c>
      <c r="U16" s="47" t="s">
        <v>201</v>
      </c>
      <c r="V16" s="47" t="s">
        <v>187</v>
      </c>
      <c r="W16" s="47" t="s">
        <v>204</v>
      </c>
      <c r="X16"/>
      <c r="Y16"/>
      <c r="Z16"/>
    </row>
    <row r="17" spans="1:26" ht="267" customHeight="1" x14ac:dyDescent="0.25">
      <c r="A17" s="151" t="s">
        <v>8</v>
      </c>
      <c r="B17" s="151"/>
      <c r="C17" s="155" t="str">
        <f>CONCATENATE((IF(OR(E9="",E9="NA"),"",E9)),", ",(IF(OR(A18="",A18="NA"),"",A18)),".",(IF(OR(C18="",C18="NA"),"",C18)),", near ",(IF(OR(C23="",C23="NA"),"",C23)),", ",(IF(OR(C20="",C20="NA"),"",C20)),", ",(IF(OR(C19="",C19="NA"),"",C19)),", ",(IF(OR(G20="",G20="NA"),"",G20)),", ",(IF(OR(C21="",C21="NA"),"",C21)),", ",(IF(OR(C22="",C22="NA"),"",C22)),", ",(IF(OR(G21="",G21="NA"),"",G21))," - ",(IF(OR(G22="",G22="NA"),"",G22)),".")</f>
        <v>Runwal Lands End &amp; Runwal Lands End - Breeze, Survey No.S.No-1/1, S.No-1/2A, S.No-2/B,  S.No-1/3, S.No-1/4A, S.No-1/4B, S.No-1/4C, S.No-/4D, S.No-1/5, S.No.1/6, S.No-1/7, S.No.1/8, S.No.1/10, S.No-1/11, S.No-1/12, S.No-1/13, S.No-1/15, S.No-2/1A,S.No-2/1B,S.No-2/1C, S.No-2/1D, S.No-2/2,  S.No-2/3, S.No-2/4, S.No-3/1, S.No-3/2,S.No.3/3, S.No.3/4, S.No.3/5A, SNo.3/5B, S.No.3/5C, S.No-3/6, S.No-3/6, S.No-4/1A, S.No-4/1B, S.No.4/2, S.No-5/1,S.No.5/4, S.No-5/5, S.No-5/6, S.No-5/7A, S.No-6/1, S.No-6/4, S.No-6/5, S.No-6/6, S.No-18/1, S.No-18/4, S.No-18/6, SNo-18/7, S.No-18/8, S.No-18/9, S.No-19/2, S.No-19/3A, S.No-19/3B, S.No-19/4A, S.No-19/4B, S.No-19/4C, S.No-19/4D, S.No-19/5, S.No-19/6, S.No-19/7, S.No-19/8, S.No-19/9, S.No-20/1, S.No-20/2, S.No-20/3, S.No-20/4, S.No-20/5A, S.No-20/6, S.No-20/7A, S.No-21/1A, S.No-21/1C, S.No-21/2, S.No-21/3, S.No-21/4, S.No-21/6, S.No-21/8A, S.No-22/1, S.No-22/2A, S.No-22/2B, S.No-22/3A, S.No-22/4, S.No-22/5, S.No-22/6, S.No22/7A, S.No-22/8A, S.No-23/1, S.No-23/2, S.No-32/1, S.No-32/2, S.No.32/3A, near Kolshet Lake, Kolshet Road, Kiran Mill Colony, Kolshet, Thane (West), Thane, Thane  - 400607.</v>
      </c>
      <c r="D17" s="155"/>
      <c r="E17" s="155"/>
      <c r="F17" s="155"/>
      <c r="G17" s="155"/>
      <c r="H17" s="155"/>
      <c r="S17" s="47" t="s">
        <v>173</v>
      </c>
      <c r="T17" s="47" t="s">
        <v>181</v>
      </c>
      <c r="U17" s="47" t="s">
        <v>165</v>
      </c>
      <c r="V17" s="47" t="s">
        <v>188</v>
      </c>
      <c r="W17" s="47" t="s">
        <v>205</v>
      </c>
      <c r="X17"/>
      <c r="Y17"/>
      <c r="Z17"/>
    </row>
    <row r="18" spans="1:26" ht="222.75" customHeight="1" x14ac:dyDescent="0.25">
      <c r="A18" s="155" t="s">
        <v>290</v>
      </c>
      <c r="B18" s="155"/>
      <c r="C18" s="155" t="s">
        <v>361</v>
      </c>
      <c r="D18" s="155"/>
      <c r="E18" s="155"/>
      <c r="F18" s="155"/>
      <c r="G18" s="155"/>
      <c r="H18" s="155"/>
      <c r="S18" s="47" t="s">
        <v>174</v>
      </c>
      <c r="T18" s="47" t="s">
        <v>179</v>
      </c>
      <c r="U18" s="47"/>
      <c r="V18" s="47" t="s">
        <v>189</v>
      </c>
      <c r="W18" s="47" t="s">
        <v>206</v>
      </c>
      <c r="X18"/>
      <c r="Y18"/>
      <c r="Z18"/>
    </row>
    <row r="19" spans="1:26" ht="15.75" customHeight="1" x14ac:dyDescent="0.25">
      <c r="A19" s="155" t="s">
        <v>156</v>
      </c>
      <c r="B19" s="155"/>
      <c r="C19" s="155" t="s">
        <v>291</v>
      </c>
      <c r="D19" s="155"/>
      <c r="E19" s="155"/>
      <c r="F19" s="155"/>
      <c r="G19" s="155"/>
      <c r="H19" s="155"/>
      <c r="S19" s="47" t="s">
        <v>175</v>
      </c>
      <c r="T19" s="47" t="s">
        <v>182</v>
      </c>
      <c r="U19" s="47"/>
      <c r="V19" s="47" t="s">
        <v>190</v>
      </c>
      <c r="W19" s="47" t="s">
        <v>207</v>
      </c>
      <c r="X19"/>
      <c r="Y19"/>
      <c r="Z19"/>
    </row>
    <row r="20" spans="1:26" x14ac:dyDescent="0.25">
      <c r="A20" s="151" t="s">
        <v>9</v>
      </c>
      <c r="B20" s="151"/>
      <c r="C20" s="159" t="s">
        <v>293</v>
      </c>
      <c r="D20" s="159"/>
      <c r="E20" s="155" t="s">
        <v>67</v>
      </c>
      <c r="F20" s="155"/>
      <c r="G20" s="155" t="s">
        <v>292</v>
      </c>
      <c r="H20" s="155"/>
      <c r="S20" s="47" t="s">
        <v>176</v>
      </c>
      <c r="T20" s="47" t="s">
        <v>183</v>
      </c>
      <c r="U20" s="47"/>
      <c r="V20" s="47" t="s">
        <v>191</v>
      </c>
      <c r="W20" s="47" t="s">
        <v>208</v>
      </c>
      <c r="X20"/>
      <c r="Y20"/>
      <c r="Z20"/>
    </row>
    <row r="21" spans="1:26" x14ac:dyDescent="0.25">
      <c r="A21" s="160" t="s">
        <v>11</v>
      </c>
      <c r="B21" s="160"/>
      <c r="C21" s="155" t="s">
        <v>309</v>
      </c>
      <c r="D21" s="155"/>
      <c r="E21" s="155" t="s">
        <v>10</v>
      </c>
      <c r="F21" s="155"/>
      <c r="G21" s="203" t="s">
        <v>169</v>
      </c>
      <c r="H21" s="203"/>
      <c r="S21" s="47"/>
      <c r="T21" s="47"/>
      <c r="U21" s="47"/>
      <c r="V21" s="47" t="s">
        <v>192</v>
      </c>
      <c r="W21" s="47" t="s">
        <v>209</v>
      </c>
      <c r="X21"/>
      <c r="Y21"/>
      <c r="Z21"/>
    </row>
    <row r="22" spans="1:26" ht="19.5" customHeight="1" x14ac:dyDescent="0.25">
      <c r="A22" s="160" t="s">
        <v>68</v>
      </c>
      <c r="B22" s="160"/>
      <c r="C22" s="155" t="s">
        <v>170</v>
      </c>
      <c r="D22" s="155"/>
      <c r="E22" s="155" t="s">
        <v>12</v>
      </c>
      <c r="F22" s="155"/>
      <c r="G22" s="155">
        <v>400607</v>
      </c>
      <c r="H22" s="155"/>
      <c r="S22" s="47"/>
      <c r="T22" s="47"/>
      <c r="U22" s="47"/>
      <c r="V22" s="47" t="s">
        <v>193</v>
      </c>
      <c r="W22" s="47" t="s">
        <v>210</v>
      </c>
      <c r="X22"/>
      <c r="Y22"/>
      <c r="Z22"/>
    </row>
    <row r="23" spans="1:26" ht="36" customHeight="1" x14ac:dyDescent="0.25">
      <c r="A23" s="160" t="s">
        <v>115</v>
      </c>
      <c r="B23" s="160"/>
      <c r="C23" s="155" t="s">
        <v>294</v>
      </c>
      <c r="D23" s="155"/>
      <c r="E23" s="155" t="s">
        <v>13</v>
      </c>
      <c r="F23" s="155"/>
      <c r="G23" s="155" t="s">
        <v>331</v>
      </c>
      <c r="H23" s="155"/>
      <c r="S23" s="47"/>
      <c r="T23" s="47"/>
      <c r="U23" s="47"/>
      <c r="V23" s="47" t="s">
        <v>194</v>
      </c>
      <c r="W23" s="47" t="s">
        <v>211</v>
      </c>
      <c r="X23"/>
      <c r="Y23"/>
      <c r="Z23"/>
    </row>
    <row r="24" spans="1:26" ht="18.75" customHeight="1" x14ac:dyDescent="0.25">
      <c r="A24" s="151" t="s">
        <v>69</v>
      </c>
      <c r="B24" s="151"/>
      <c r="C24" s="151"/>
      <c r="D24" s="151"/>
      <c r="E24" s="159" t="s">
        <v>14</v>
      </c>
      <c r="F24" s="159"/>
      <c r="G24" s="159"/>
      <c r="H24" s="159"/>
      <c r="S24" s="47"/>
      <c r="T24" s="47"/>
      <c r="U24" s="47"/>
      <c r="V24" s="47" t="s">
        <v>195</v>
      </c>
      <c r="W24" s="47" t="s">
        <v>212</v>
      </c>
      <c r="X24"/>
      <c r="Y24"/>
      <c r="Z24"/>
    </row>
    <row r="25" spans="1:26" ht="15" customHeight="1" x14ac:dyDescent="0.25">
      <c r="A25" s="151"/>
      <c r="B25" s="151"/>
      <c r="C25" s="151"/>
      <c r="D25" s="151"/>
      <c r="E25" s="159"/>
      <c r="F25" s="159"/>
      <c r="G25" s="159"/>
      <c r="H25" s="159"/>
      <c r="S25" s="47"/>
      <c r="T25" s="47"/>
      <c r="U25" s="47"/>
      <c r="V25" s="47" t="s">
        <v>196</v>
      </c>
      <c r="W25" s="47" t="s">
        <v>213</v>
      </c>
      <c r="X25"/>
      <c r="Y25"/>
      <c r="Z25"/>
    </row>
    <row r="26" spans="1:26" ht="15" customHeight="1" x14ac:dyDescent="0.25">
      <c r="A26" s="151" t="s">
        <v>15</v>
      </c>
      <c r="B26" s="151"/>
      <c r="C26" s="151"/>
      <c r="D26" s="151"/>
      <c r="E26" s="155" t="s">
        <v>16</v>
      </c>
      <c r="F26" s="155"/>
      <c r="G26" s="155"/>
      <c r="H26" s="155"/>
      <c r="S26" s="47"/>
      <c r="T26" s="47"/>
      <c r="U26" s="47"/>
      <c r="V26" s="47" t="s">
        <v>197</v>
      </c>
      <c r="W26" s="47" t="s">
        <v>214</v>
      </c>
      <c r="X26"/>
      <c r="Y26"/>
      <c r="Z26"/>
    </row>
    <row r="27" spans="1:26" x14ac:dyDescent="0.25">
      <c r="A27" s="160" t="s">
        <v>17</v>
      </c>
      <c r="B27" s="160"/>
      <c r="C27" s="160"/>
      <c r="D27" s="160"/>
      <c r="E27" s="155" t="str">
        <f>IF(AND(G21="Mumbai"),"Upper Class","Middle Class")</f>
        <v>Middle Class</v>
      </c>
      <c r="F27" s="155"/>
      <c r="G27" s="155"/>
      <c r="H27" s="155"/>
      <c r="S27" s="47"/>
      <c r="T27" s="47"/>
      <c r="U27" s="47"/>
      <c r="V27" s="47" t="s">
        <v>198</v>
      </c>
      <c r="W27" s="47" t="s">
        <v>215</v>
      </c>
      <c r="X27"/>
      <c r="Y27"/>
      <c r="Z27"/>
    </row>
    <row r="28" spans="1:26" ht="15.75" customHeight="1" x14ac:dyDescent="0.25">
      <c r="A28" s="160" t="s">
        <v>18</v>
      </c>
      <c r="B28" s="160"/>
      <c r="C28" s="160"/>
      <c r="D28" s="160"/>
      <c r="E28" s="155" t="s">
        <v>19</v>
      </c>
      <c r="F28" s="155"/>
      <c r="G28" s="155"/>
      <c r="H28" s="155"/>
    </row>
    <row r="29" spans="1:26" x14ac:dyDescent="0.25">
      <c r="A29" s="160" t="s">
        <v>20</v>
      </c>
      <c r="B29" s="160"/>
      <c r="C29" s="160"/>
      <c r="D29" s="160"/>
      <c r="E29" s="155" t="str">
        <f>IF(AND(G21="Mumbai"),"Developed","Developing")</f>
        <v>Developing</v>
      </c>
      <c r="F29" s="155"/>
      <c r="G29" s="155"/>
      <c r="H29" s="155"/>
    </row>
    <row r="30" spans="1:26" ht="15.75" customHeight="1" x14ac:dyDescent="0.25">
      <c r="A30" s="160" t="s">
        <v>21</v>
      </c>
      <c r="B30" s="160"/>
      <c r="C30" s="160"/>
      <c r="D30" s="160"/>
      <c r="E30" s="155" t="s">
        <v>22</v>
      </c>
      <c r="F30" s="155"/>
      <c r="G30" s="155"/>
      <c r="H30" s="155"/>
    </row>
    <row r="31" spans="1:26" ht="15" customHeight="1" x14ac:dyDescent="0.25">
      <c r="A31" s="160" t="s">
        <v>74</v>
      </c>
      <c r="B31" s="160"/>
      <c r="C31" s="160"/>
      <c r="D31" s="160"/>
      <c r="E31" s="155" t="s">
        <v>75</v>
      </c>
      <c r="F31" s="155"/>
      <c r="G31" s="155"/>
      <c r="H31" s="155"/>
    </row>
    <row r="32" spans="1:26" ht="15.75" customHeight="1" x14ac:dyDescent="0.25">
      <c r="A32" s="160" t="s">
        <v>29</v>
      </c>
      <c r="B32" s="160"/>
      <c r="C32" s="160"/>
      <c r="D32" s="160"/>
      <c r="E32" s="15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2" s="155"/>
      <c r="G32" s="155"/>
      <c r="H32" s="155"/>
    </row>
    <row r="33" spans="1:19" s="19" customFormat="1" x14ac:dyDescent="0.25">
      <c r="A33" s="160" t="s">
        <v>85</v>
      </c>
      <c r="B33" s="160"/>
      <c r="C33" s="160"/>
      <c r="D33" s="160"/>
      <c r="E33" s="155" t="s">
        <v>30</v>
      </c>
      <c r="F33" s="155"/>
      <c r="G33" s="155"/>
      <c r="H33" s="155"/>
      <c r="S33" s="19" t="e">
        <f ca="1">OFFSET($S$13,1,MATCH($G21,$S$13:$W$13,0)-1,15,1)</f>
        <v>#VALUE!</v>
      </c>
    </row>
    <row r="34" spans="1:19" s="19" customFormat="1" x14ac:dyDescent="0.25">
      <c r="A34" s="271" t="s">
        <v>86</v>
      </c>
      <c r="B34" s="271"/>
      <c r="C34" s="257" t="s">
        <v>166</v>
      </c>
      <c r="D34" s="258"/>
      <c r="E34" s="259"/>
      <c r="F34" s="257" t="s">
        <v>28</v>
      </c>
      <c r="G34" s="258"/>
      <c r="H34" s="259"/>
    </row>
    <row r="35" spans="1:19" x14ac:dyDescent="0.25">
      <c r="A35" s="198" t="s">
        <v>23</v>
      </c>
      <c r="B35" s="198" t="s">
        <v>27</v>
      </c>
      <c r="C35" s="199" t="s">
        <v>296</v>
      </c>
      <c r="D35" s="200"/>
      <c r="E35" s="201"/>
      <c r="F35" s="199" t="s">
        <v>298</v>
      </c>
      <c r="G35" s="200"/>
      <c r="H35" s="201"/>
    </row>
    <row r="36" spans="1:19" s="19" customFormat="1" x14ac:dyDescent="0.25">
      <c r="A36" s="198" t="s">
        <v>24</v>
      </c>
      <c r="B36" s="198" t="s">
        <v>27</v>
      </c>
      <c r="C36" s="199" t="s">
        <v>295</v>
      </c>
      <c r="D36" s="200"/>
      <c r="E36" s="201"/>
      <c r="F36" s="199" t="s">
        <v>332</v>
      </c>
      <c r="G36" s="200"/>
      <c r="H36" s="201"/>
    </row>
    <row r="37" spans="1:19" x14ac:dyDescent="0.25">
      <c r="A37" s="198" t="s">
        <v>26</v>
      </c>
      <c r="B37" s="198" t="s">
        <v>27</v>
      </c>
      <c r="C37" s="199" t="s">
        <v>296</v>
      </c>
      <c r="D37" s="200"/>
      <c r="E37" s="201"/>
      <c r="F37" s="199" t="s">
        <v>298</v>
      </c>
      <c r="G37" s="200"/>
      <c r="H37" s="201"/>
    </row>
    <row r="38" spans="1:19" x14ac:dyDescent="0.25">
      <c r="A38" s="198" t="s">
        <v>25</v>
      </c>
      <c r="B38" s="198" t="s">
        <v>27</v>
      </c>
      <c r="C38" s="199" t="s">
        <v>297</v>
      </c>
      <c r="D38" s="200"/>
      <c r="E38" s="201"/>
      <c r="F38" s="199" t="s">
        <v>298</v>
      </c>
      <c r="G38" s="200"/>
      <c r="H38" s="201"/>
    </row>
    <row r="39" spans="1:19" ht="15.75" customHeight="1" x14ac:dyDescent="0.25">
      <c r="A39" s="160" t="s">
        <v>270</v>
      </c>
      <c r="B39" s="160"/>
      <c r="C39" s="160"/>
      <c r="D39" s="160"/>
      <c r="E39" s="160"/>
      <c r="F39" s="160"/>
      <c r="G39" s="160"/>
      <c r="H39" s="160"/>
    </row>
    <row r="40" spans="1:19" x14ac:dyDescent="0.25">
      <c r="A40" s="160" t="s">
        <v>158</v>
      </c>
      <c r="B40" s="160"/>
      <c r="C40" s="160" t="s">
        <v>329</v>
      </c>
      <c r="D40" s="160"/>
      <c r="E40" s="160"/>
      <c r="F40" s="160"/>
      <c r="G40" s="160"/>
      <c r="H40" s="160"/>
    </row>
    <row r="41" spans="1:19" x14ac:dyDescent="0.25">
      <c r="A41" s="160" t="s">
        <v>155</v>
      </c>
      <c r="B41" s="160"/>
      <c r="C41" s="197" t="s">
        <v>330</v>
      </c>
      <c r="D41" s="155"/>
      <c r="E41" s="155"/>
      <c r="F41" s="155"/>
      <c r="G41" s="155"/>
      <c r="H41" s="155"/>
    </row>
    <row r="42" spans="1:19" x14ac:dyDescent="0.25">
      <c r="A42" s="122" t="s">
        <v>31</v>
      </c>
      <c r="B42" s="122"/>
      <c r="C42" s="122"/>
      <c r="D42" s="122"/>
      <c r="E42" s="122"/>
      <c r="F42" s="122"/>
      <c r="G42" s="122"/>
      <c r="H42" s="122"/>
    </row>
    <row r="43" spans="1:19" x14ac:dyDescent="0.25">
      <c r="A43" s="160" t="s">
        <v>32</v>
      </c>
      <c r="B43" s="160"/>
      <c r="C43" s="160"/>
      <c r="D43" s="160"/>
      <c r="E43" s="249">
        <v>34671.67</v>
      </c>
      <c r="F43" s="249"/>
      <c r="G43" s="249"/>
      <c r="H43" s="249"/>
    </row>
    <row r="44" spans="1:19" x14ac:dyDescent="0.25">
      <c r="A44" s="160" t="s">
        <v>33</v>
      </c>
      <c r="B44" s="160"/>
      <c r="C44" s="160"/>
      <c r="D44" s="160"/>
      <c r="E44" s="248">
        <f>38138.84/E43</f>
        <v>1.1000000865259734</v>
      </c>
      <c r="F44" s="248"/>
      <c r="G44" s="248"/>
      <c r="H44" s="248"/>
    </row>
    <row r="45" spans="1:19" x14ac:dyDescent="0.25">
      <c r="A45" s="160" t="s">
        <v>34</v>
      </c>
      <c r="B45" s="160"/>
      <c r="C45" s="160"/>
      <c r="D45" s="160"/>
      <c r="E45" s="250">
        <f>E47/E43-E44</f>
        <v>3.797473845361357</v>
      </c>
      <c r="F45" s="250"/>
      <c r="G45" s="250"/>
      <c r="H45" s="250"/>
    </row>
    <row r="46" spans="1:19" x14ac:dyDescent="0.25">
      <c r="A46" s="160" t="s">
        <v>35</v>
      </c>
      <c r="B46" s="160"/>
      <c r="C46" s="160"/>
      <c r="D46" s="160"/>
      <c r="E46" s="250">
        <f>E44+E45</f>
        <v>4.8974739318873306</v>
      </c>
      <c r="F46" s="250"/>
      <c r="G46" s="250"/>
      <c r="H46" s="250"/>
      <c r="I46" s="18">
        <f>E47/E43</f>
        <v>4.8974739318873306</v>
      </c>
    </row>
    <row r="47" spans="1:19" x14ac:dyDescent="0.25">
      <c r="A47" s="160" t="s">
        <v>84</v>
      </c>
      <c r="B47" s="160"/>
      <c r="C47" s="160"/>
      <c r="D47" s="160"/>
      <c r="E47" s="251">
        <v>169803.6</v>
      </c>
      <c r="F47" s="251"/>
      <c r="G47" s="251"/>
      <c r="H47" s="251"/>
    </row>
    <row r="48" spans="1:19" x14ac:dyDescent="0.25">
      <c r="A48" s="159" t="s">
        <v>36</v>
      </c>
      <c r="B48" s="159"/>
      <c r="C48" s="159"/>
      <c r="D48" s="159"/>
      <c r="E48" s="159" t="s">
        <v>346</v>
      </c>
      <c r="F48" s="159"/>
      <c r="G48" s="159"/>
      <c r="H48" s="159"/>
    </row>
    <row r="49" spans="1:24" x14ac:dyDescent="0.25">
      <c r="A49" s="195" t="s">
        <v>37</v>
      </c>
      <c r="B49" s="195"/>
      <c r="C49" s="195"/>
      <c r="D49" s="195"/>
      <c r="E49" s="195"/>
      <c r="F49" s="195"/>
      <c r="G49" s="195"/>
      <c r="H49" s="195"/>
      <c r="R49" t="s">
        <v>243</v>
      </c>
      <c r="S49" t="s">
        <v>165</v>
      </c>
      <c r="T49" t="s">
        <v>169</v>
      </c>
      <c r="U49" t="s">
        <v>184</v>
      </c>
      <c r="V49" t="s">
        <v>179</v>
      </c>
    </row>
    <row r="50" spans="1:24" ht="36" customHeight="1" x14ac:dyDescent="0.25">
      <c r="A50" s="174" t="s">
        <v>144</v>
      </c>
      <c r="B50" s="176"/>
      <c r="C50" s="186" t="s">
        <v>250</v>
      </c>
      <c r="D50" s="202"/>
      <c r="E50" s="202"/>
      <c r="F50" s="202"/>
      <c r="G50" s="202"/>
      <c r="H50" s="187"/>
      <c r="R50"/>
      <c r="S50" t="s">
        <v>244</v>
      </c>
      <c r="T50" t="s">
        <v>249</v>
      </c>
      <c r="U50" t="s">
        <v>260</v>
      </c>
      <c r="V50" t="s">
        <v>265</v>
      </c>
    </row>
    <row r="51" spans="1:24" ht="35.25" customHeight="1" x14ac:dyDescent="0.25">
      <c r="A51" s="174" t="s">
        <v>38</v>
      </c>
      <c r="B51" s="176"/>
      <c r="C51" s="174" t="s">
        <v>333</v>
      </c>
      <c r="D51" s="149"/>
      <c r="E51" s="150"/>
      <c r="F51" s="17" t="s">
        <v>39</v>
      </c>
      <c r="G51" s="177">
        <v>45412</v>
      </c>
      <c r="H51" s="176"/>
      <c r="R51"/>
      <c r="S51" t="s">
        <v>245</v>
      </c>
      <c r="T51" t="s">
        <v>250</v>
      </c>
      <c r="U51" t="s">
        <v>258</v>
      </c>
      <c r="V51" t="s">
        <v>266</v>
      </c>
    </row>
    <row r="52" spans="1:24" s="20" customFormat="1" ht="34.5" customHeight="1" x14ac:dyDescent="0.25">
      <c r="A52" s="174" t="s">
        <v>40</v>
      </c>
      <c r="B52" s="176"/>
      <c r="C52" s="174" t="str">
        <f>C51</f>
        <v>S05/0096/15TMC/TD-DP/TPS/0127/
(P/C)/2024</v>
      </c>
      <c r="D52" s="175"/>
      <c r="E52" s="176"/>
      <c r="F52" s="17" t="s">
        <v>39</v>
      </c>
      <c r="G52" s="177">
        <f>G51</f>
        <v>45412</v>
      </c>
      <c r="H52" s="176"/>
      <c r="R52"/>
      <c r="S52" t="s">
        <v>246</v>
      </c>
      <c r="T52" t="s">
        <v>251</v>
      </c>
      <c r="U52" t="s">
        <v>248</v>
      </c>
      <c r="V52" t="s">
        <v>267</v>
      </c>
    </row>
    <row r="53" spans="1:24" s="20" customFormat="1" ht="35.25" customHeight="1" x14ac:dyDescent="0.25">
      <c r="A53" s="220" t="s">
        <v>148</v>
      </c>
      <c r="B53" s="221"/>
      <c r="C53" s="174" t="s">
        <v>317</v>
      </c>
      <c r="D53" s="175"/>
      <c r="E53" s="176"/>
      <c r="F53" s="17" t="s">
        <v>39</v>
      </c>
      <c r="G53" s="177">
        <v>45412</v>
      </c>
      <c r="H53" s="176"/>
      <c r="R53"/>
      <c r="S53" t="s">
        <v>247</v>
      </c>
      <c r="T53" t="s">
        <v>254</v>
      </c>
      <c r="U53" t="s">
        <v>261</v>
      </c>
    </row>
    <row r="54" spans="1:24" s="20" customFormat="1" ht="30.75" customHeight="1" x14ac:dyDescent="0.25">
      <c r="A54" s="222"/>
      <c r="B54" s="223"/>
      <c r="C54" s="174" t="s">
        <v>356</v>
      </c>
      <c r="D54" s="175"/>
      <c r="E54" s="175"/>
      <c r="F54" s="175"/>
      <c r="G54" s="175"/>
      <c r="H54" s="176"/>
      <c r="R54"/>
      <c r="S54" t="s">
        <v>246</v>
      </c>
      <c r="T54" t="s">
        <v>251</v>
      </c>
      <c r="U54" t="s">
        <v>248</v>
      </c>
      <c r="V54" t="s">
        <v>267</v>
      </c>
    </row>
    <row r="55" spans="1:24" s="20" customFormat="1" hidden="1" x14ac:dyDescent="0.25">
      <c r="A55" s="188" t="s">
        <v>271</v>
      </c>
      <c r="B55" s="189"/>
      <c r="C55" s="192" t="s">
        <v>351</v>
      </c>
      <c r="D55" s="193"/>
      <c r="E55" s="194"/>
      <c r="F55" s="75" t="s">
        <v>39</v>
      </c>
      <c r="G55" s="192" t="s">
        <v>350</v>
      </c>
      <c r="H55" s="194"/>
      <c r="R55"/>
      <c r="S55" t="s">
        <v>248</v>
      </c>
      <c r="T55" t="s">
        <v>252</v>
      </c>
      <c r="U55" t="s">
        <v>262</v>
      </c>
      <c r="V55" s="18"/>
      <c r="W55" s="18"/>
      <c r="X55" s="18"/>
    </row>
    <row r="56" spans="1:24" s="20" customFormat="1" ht="33.75" hidden="1" customHeight="1" x14ac:dyDescent="0.25">
      <c r="A56" s="190"/>
      <c r="B56" s="191"/>
      <c r="C56" s="145" t="s">
        <v>363</v>
      </c>
      <c r="D56" s="146"/>
      <c r="E56" s="146"/>
      <c r="F56" s="146"/>
      <c r="G56" s="146"/>
      <c r="H56" s="147"/>
      <c r="R56"/>
      <c r="S56" s="18"/>
      <c r="T56" t="s">
        <v>253</v>
      </c>
      <c r="U56" t="s">
        <v>263</v>
      </c>
      <c r="V56" s="18"/>
      <c r="W56" s="18"/>
      <c r="X56" s="18"/>
    </row>
    <row r="57" spans="1:24" s="20" customFormat="1" x14ac:dyDescent="0.25">
      <c r="A57" s="113" t="s">
        <v>312</v>
      </c>
      <c r="B57" s="115"/>
      <c r="C57" s="107" t="s">
        <v>311</v>
      </c>
      <c r="D57" s="108"/>
      <c r="E57" s="109"/>
      <c r="F57" s="73" t="s">
        <v>39</v>
      </c>
      <c r="G57" s="196">
        <v>45072</v>
      </c>
      <c r="H57" s="109"/>
      <c r="R57"/>
      <c r="S57" s="18"/>
      <c r="T57" t="s">
        <v>255</v>
      </c>
      <c r="U57" t="s">
        <v>264</v>
      </c>
      <c r="V57" s="18"/>
      <c r="W57" s="18"/>
      <c r="X57" s="18"/>
    </row>
    <row r="58" spans="1:24" s="20" customFormat="1" ht="98.25" customHeight="1" x14ac:dyDescent="0.25">
      <c r="A58" s="110"/>
      <c r="B58" s="112"/>
      <c r="C58" s="107" t="s">
        <v>376</v>
      </c>
      <c r="D58" s="108"/>
      <c r="E58" s="108"/>
      <c r="F58" s="108"/>
      <c r="G58" s="108"/>
      <c r="H58" s="109"/>
      <c r="R58"/>
      <c r="S58" s="18"/>
      <c r="T58" t="s">
        <v>256</v>
      </c>
      <c r="U58" s="18" t="s">
        <v>286</v>
      </c>
      <c r="V58" s="18"/>
      <c r="W58" s="18"/>
      <c r="X58" s="18"/>
    </row>
    <row r="59" spans="1:24" s="20" customFormat="1" ht="33.75" hidden="1" customHeight="1" x14ac:dyDescent="0.25">
      <c r="A59" s="113" t="s">
        <v>272</v>
      </c>
      <c r="B59" s="115"/>
      <c r="C59" s="107" t="e">
        <f>#REF!</f>
        <v>#REF!</v>
      </c>
      <c r="D59" s="108"/>
      <c r="E59" s="109"/>
      <c r="F59" s="73" t="s">
        <v>39</v>
      </c>
      <c r="G59" s="107" t="e">
        <f>#REF!</f>
        <v>#REF!</v>
      </c>
      <c r="H59" s="109"/>
      <c r="R59"/>
      <c r="S59" s="18"/>
      <c r="T59" t="s">
        <v>257</v>
      </c>
      <c r="U59" s="18"/>
      <c r="V59" s="18"/>
      <c r="W59" s="18"/>
      <c r="X59" s="18"/>
    </row>
    <row r="60" spans="1:24" hidden="1" x14ac:dyDescent="0.25">
      <c r="A60" s="110"/>
      <c r="B60" s="112"/>
      <c r="C60" s="107"/>
      <c r="D60" s="108"/>
      <c r="E60" s="108"/>
      <c r="F60" s="108"/>
      <c r="G60" s="108"/>
      <c r="H60" s="109"/>
      <c r="R60"/>
      <c r="S60" t="s">
        <v>244</v>
      </c>
      <c r="T60" t="s">
        <v>249</v>
      </c>
      <c r="U60" t="s">
        <v>260</v>
      </c>
      <c r="V60" t="s">
        <v>265</v>
      </c>
    </row>
    <row r="61" spans="1:24" x14ac:dyDescent="0.25">
      <c r="A61" s="107" t="s">
        <v>348</v>
      </c>
      <c r="B61" s="109"/>
      <c r="C61" s="107" t="s">
        <v>349</v>
      </c>
      <c r="D61" s="153"/>
      <c r="E61" s="154"/>
      <c r="F61" s="73" t="s">
        <v>39</v>
      </c>
      <c r="G61" s="196">
        <v>45014</v>
      </c>
      <c r="H61" s="109"/>
      <c r="R61"/>
      <c r="T61" t="s">
        <v>259</v>
      </c>
    </row>
    <row r="62" spans="1:24" x14ac:dyDescent="0.25">
      <c r="A62" s="224" t="s">
        <v>41</v>
      </c>
      <c r="B62" s="225"/>
      <c r="C62" s="224" t="s">
        <v>98</v>
      </c>
      <c r="D62" s="226"/>
      <c r="E62" s="225"/>
      <c r="F62" s="74" t="s">
        <v>39</v>
      </c>
      <c r="G62" s="186" t="s">
        <v>27</v>
      </c>
      <c r="H62" s="187"/>
      <c r="L62" s="22">
        <v>47968</v>
      </c>
      <c r="T62" t="s">
        <v>268</v>
      </c>
    </row>
    <row r="63" spans="1:24" x14ac:dyDescent="0.25">
      <c r="A63" s="178" t="s">
        <v>43</v>
      </c>
      <c r="B63" s="179"/>
      <c r="C63" s="179"/>
      <c r="D63" s="179"/>
      <c r="E63" s="179"/>
      <c r="F63" s="179"/>
      <c r="G63" s="179"/>
      <c r="H63" s="180"/>
      <c r="R63"/>
    </row>
    <row r="64" spans="1:24" ht="36" customHeight="1" x14ac:dyDescent="0.25">
      <c r="A64" s="107" t="s">
        <v>347</v>
      </c>
      <c r="B64" s="108"/>
      <c r="C64" s="109"/>
      <c r="D64" s="159">
        <f>38397.92+37581.49</f>
        <v>75979.41</v>
      </c>
      <c r="E64" s="159"/>
      <c r="F64" s="159"/>
      <c r="G64" s="159"/>
      <c r="H64" s="159"/>
      <c r="I64" s="21"/>
      <c r="R64"/>
    </row>
    <row r="65" spans="1:19" ht="30.75" customHeight="1" x14ac:dyDescent="0.25">
      <c r="A65" s="107" t="s">
        <v>44</v>
      </c>
      <c r="B65" s="108"/>
      <c r="C65" s="109"/>
      <c r="D65" s="155" t="s">
        <v>372</v>
      </c>
      <c r="E65" s="159"/>
      <c r="F65" s="159"/>
      <c r="G65" s="159"/>
      <c r="H65" s="159"/>
      <c r="I65" s="60" t="s">
        <v>310</v>
      </c>
      <c r="R65"/>
    </row>
    <row r="66" spans="1:19" ht="35.25" customHeight="1" x14ac:dyDescent="0.25">
      <c r="A66" s="107" t="s">
        <v>45</v>
      </c>
      <c r="B66" s="108"/>
      <c r="C66" s="109"/>
      <c r="D66" s="173" t="s">
        <v>379</v>
      </c>
      <c r="E66" s="270"/>
      <c r="F66" s="270"/>
      <c r="G66" s="270"/>
      <c r="H66" s="270"/>
      <c r="R66"/>
    </row>
    <row r="67" spans="1:19" ht="33.75" customHeight="1" x14ac:dyDescent="0.25">
      <c r="A67" s="113" t="s">
        <v>82</v>
      </c>
      <c r="B67" s="114"/>
      <c r="C67" s="115"/>
      <c r="D67" s="113" t="s">
        <v>355</v>
      </c>
      <c r="E67" s="114"/>
      <c r="F67" s="114"/>
      <c r="G67" s="114"/>
      <c r="H67" s="115"/>
      <c r="I67" s="18" t="s">
        <v>352</v>
      </c>
      <c r="R67"/>
    </row>
    <row r="68" spans="1:19" ht="32.25" customHeight="1" x14ac:dyDescent="0.25">
      <c r="A68" s="110"/>
      <c r="B68" s="111"/>
      <c r="C68" s="112"/>
      <c r="D68" s="110" t="s">
        <v>362</v>
      </c>
      <c r="E68" s="111"/>
      <c r="F68" s="111"/>
      <c r="G68" s="111"/>
      <c r="H68" s="112"/>
      <c r="J68" s="22"/>
      <c r="K68" s="21"/>
      <c r="N68" s="21"/>
      <c r="S68"/>
    </row>
    <row r="69" spans="1:19" ht="39" customHeight="1" x14ac:dyDescent="0.25">
      <c r="A69" s="148" t="s">
        <v>42</v>
      </c>
      <c r="B69" s="149"/>
      <c r="C69" s="150"/>
      <c r="D69" s="252" t="s">
        <v>364</v>
      </c>
      <c r="E69" s="252"/>
      <c r="F69" s="252"/>
      <c r="G69" s="252"/>
      <c r="H69" s="252"/>
      <c r="N69" s="21"/>
      <c r="S69"/>
    </row>
    <row r="70" spans="1:19" ht="15.75" customHeight="1" x14ac:dyDescent="0.25">
      <c r="A70" s="148" t="s">
        <v>80</v>
      </c>
      <c r="B70" s="149"/>
      <c r="C70" s="150"/>
      <c r="D70" s="269" t="str">
        <f>(IF(G62="NA","60 Years After Completion",IF(G62&lt;&gt;"NA",""&amp;60-ROUNDDOWN((E3-G62)/360,0)&amp;" Years"," ")))</f>
        <v>60 Years After Completion</v>
      </c>
      <c r="E70" s="269"/>
      <c r="F70" s="269"/>
      <c r="G70" s="269"/>
      <c r="H70" s="269"/>
      <c r="J70" s="23"/>
      <c r="K70" s="23"/>
      <c r="S70"/>
    </row>
    <row r="71" spans="1:19" x14ac:dyDescent="0.25">
      <c r="A71" s="148" t="s">
        <v>81</v>
      </c>
      <c r="B71" s="149"/>
      <c r="C71" s="150"/>
      <c r="D71" s="151" t="s">
        <v>22</v>
      </c>
      <c r="E71" s="151"/>
      <c r="F71" s="151"/>
      <c r="G71" s="151"/>
      <c r="H71" s="151"/>
      <c r="I71" s="54" t="s">
        <v>301</v>
      </c>
      <c r="J71" s="55"/>
      <c r="K71" s="55"/>
      <c r="L71" s="55"/>
      <c r="M71" s="55"/>
      <c r="S71"/>
    </row>
    <row r="72" spans="1:19" ht="68.25" customHeight="1" x14ac:dyDescent="0.25">
      <c r="A72" s="152" t="s">
        <v>299</v>
      </c>
      <c r="B72" s="153"/>
      <c r="C72" s="154"/>
      <c r="D72" s="155" t="s">
        <v>300</v>
      </c>
      <c r="E72" s="151"/>
      <c r="F72" s="151"/>
      <c r="G72" s="151"/>
      <c r="H72" s="151"/>
      <c r="I72" s="24"/>
      <c r="J72" s="24"/>
      <c r="K72" s="24"/>
      <c r="L72" s="24"/>
      <c r="M72" s="24"/>
      <c r="N72" s="24"/>
    </row>
    <row r="73" spans="1:19" ht="15.75" customHeight="1" x14ac:dyDescent="0.25">
      <c r="A73" s="174" t="s">
        <v>141</v>
      </c>
      <c r="B73" s="175"/>
      <c r="C73" s="176"/>
      <c r="D73" s="151" t="s">
        <v>27</v>
      </c>
      <c r="E73" s="151"/>
      <c r="F73" s="151"/>
      <c r="G73" s="151"/>
      <c r="H73" s="151"/>
      <c r="J73" s="23"/>
      <c r="S73"/>
    </row>
    <row r="74" spans="1:19" x14ac:dyDescent="0.25">
      <c r="A74" s="148" t="s">
        <v>79</v>
      </c>
      <c r="B74" s="149"/>
      <c r="C74" s="150"/>
      <c r="D74" s="173" t="str">
        <f ca="1">(IF(G80&gt;95%,"Nothing",IF(G80&gt;0%,"Cement, Aggregate, Steel, etc",IF(G80=0%,"Work not yet Started"))))</f>
        <v>Cement, Aggregate, Steel, etc</v>
      </c>
      <c r="E74" s="173"/>
      <c r="F74" s="173"/>
      <c r="G74" s="173"/>
      <c r="H74" s="173"/>
      <c r="S74"/>
    </row>
    <row r="75" spans="1:19" ht="15.75" customHeight="1" thickBot="1" x14ac:dyDescent="0.3">
      <c r="A75" s="156" t="s">
        <v>111</v>
      </c>
      <c r="B75" s="157"/>
      <c r="C75" s="158"/>
      <c r="D75" s="173" t="str">
        <f ca="1">(IF(D74="Nothing","Yes",IF(D74="Cement, Aggregate, Steel, etc","Under Construction",IF(D74="Work not yet Started","Work not yet Started"))))</f>
        <v>Under Construction</v>
      </c>
      <c r="E75" s="173"/>
      <c r="F75" s="173" t="str">
        <f ca="1">(IF(D74="Nothing","Yes",IF(D74="Cement, Aggregate, Steel, etc","Under Construction",IF(D74="Work not yet Started","Work not yet Started"))))</f>
        <v>Under Construction</v>
      </c>
      <c r="G75" s="173"/>
      <c r="H75" s="173"/>
      <c r="S75"/>
    </row>
    <row r="76" spans="1:19" x14ac:dyDescent="0.25">
      <c r="A76" s="116" t="s">
        <v>133</v>
      </c>
      <c r="B76" s="117"/>
      <c r="C76" s="118" t="str">
        <f>D67</f>
        <v xml:space="preserve">Tower F = 2B + Gr + 5P + UG + 1st to 25th + Service + 26th  to 50th Floor
</v>
      </c>
      <c r="D76" s="119"/>
      <c r="E76" s="119"/>
      <c r="F76" s="119"/>
      <c r="G76" s="119"/>
      <c r="H76" s="120"/>
      <c r="I76" s="41" t="str">
        <f ca="1">IF(D89=100%,"All work Completed. Possession granted to the Building.",IF(D88=100%,"All work Completed, Waiting for OC",I77&amp;""&amp;I78&amp;""&amp;J77&amp;""&amp;J76&amp;" "&amp;J78))</f>
        <v>Excavation, Plinth Completed, RCC upto 9 Slab, Brickwork upto 2 Floor Completed</v>
      </c>
      <c r="J76"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9 Slab, Brickwork upto 2 Floor</v>
      </c>
      <c r="S76"/>
    </row>
    <row r="77" spans="1:19" x14ac:dyDescent="0.25">
      <c r="A77" s="15" t="s">
        <v>135</v>
      </c>
      <c r="B77" s="45">
        <f>IF(AND(ISNUMBER(SEARCH("1B",C76))),1,IF(AND(ISNUMBER(SEARCH("2B",C76))),2,IF(AND(ISNUMBER(SEARCH("3B",C76))),3,IF(AND(ISNUMBER(SEARCH("4B",C76))),4,IF(ISNUMBER(SEARCH("5B",C76)),5,0)))))</f>
        <v>2</v>
      </c>
      <c r="C77" s="45" t="s">
        <v>66</v>
      </c>
      <c r="D77" s="45">
        <v>2</v>
      </c>
      <c r="E77" s="45" t="s">
        <v>65</v>
      </c>
      <c r="F77" s="45">
        <v>5</v>
      </c>
      <c r="G77" s="45" t="s">
        <v>73</v>
      </c>
      <c r="H77" s="16">
        <f ca="1">--TRIM(RIGHT(SUBSTITUTE(LEFT(C76,_xlfn.AGGREGATE(16,6,FIND({0,1,2,3,4,5,6,7,8,9},C76,ROW(INDIRECT("1:"&amp;LEN(C76)))),1))," ",REPT(" ",LEN(C76))),LEN(C76)))</f>
        <v>50</v>
      </c>
      <c r="I77" s="43" t="str">
        <f ca="1">IF(D80=100%,"Excavation","")&amp;IF(D81=100%,", Plinth","")&amp;IF(D82=100%,", RCC Slab","")&amp;IF(D83=100%,", Brickwork","")&amp;IF(D84=100%,", Internal Plaster","")&amp;IF(D85=100%,", External Plaster","")&amp;IF(D86=100%,", Flooring","")&amp;IF(D87=100%,", Painting","")&amp;IF(D88=100%,", Building common Amenities","")</f>
        <v>Excavation, Plinth</v>
      </c>
      <c r="J77" s="44"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2.25" customHeight="1" x14ac:dyDescent="0.25">
      <c r="A78" s="121" t="s">
        <v>83</v>
      </c>
      <c r="B78" s="122"/>
      <c r="C78" s="123" t="str">
        <f ca="1">I76</f>
        <v>Excavation, Plinth Completed, RCC upto 9 Slab, Brickwork upto 2 Floor Completed</v>
      </c>
      <c r="D78" s="123"/>
      <c r="E78" s="123"/>
      <c r="F78" s="123"/>
      <c r="G78" s="123"/>
      <c r="H78" s="124"/>
      <c r="I78" s="43" t="str">
        <f ca="1">IF(I77&lt;&gt;""," Completed","")</f>
        <v xml:space="preserve"> Completed</v>
      </c>
      <c r="J78" s="44" t="str">
        <f ca="1">IF(J76&lt;&gt;"","Completed","")</f>
        <v>Completed</v>
      </c>
      <c r="S78"/>
    </row>
    <row r="79" spans="1:19" x14ac:dyDescent="0.25">
      <c r="A79" s="125" t="s">
        <v>46</v>
      </c>
      <c r="B79" s="126"/>
      <c r="C79" s="64" t="s">
        <v>132</v>
      </c>
      <c r="D79" s="64" t="s">
        <v>76</v>
      </c>
      <c r="E79" s="126" t="s">
        <v>78</v>
      </c>
      <c r="F79" s="126"/>
      <c r="G79" s="126" t="s">
        <v>77</v>
      </c>
      <c r="H79" s="127"/>
      <c r="I79" s="13" t="s">
        <v>134</v>
      </c>
      <c r="J79" s="25">
        <f ca="1">H77*25%</f>
        <v>12.5</v>
      </c>
    </row>
    <row r="80" spans="1:19" x14ac:dyDescent="0.25">
      <c r="A80" s="125" t="s">
        <v>121</v>
      </c>
      <c r="B80" s="126"/>
      <c r="C80" s="64">
        <f ca="1">J81</f>
        <v>50</v>
      </c>
      <c r="D80" s="65">
        <f ca="1">((100/H77)*C80)/100</f>
        <v>1</v>
      </c>
      <c r="E80" s="161">
        <f ca="1">(((C81/H77*10)+(40/(D77+F77+H77)*C82)+(7.5/(H77)*C83)+(7.5/(H77)*C84)+(10/H77*C85)+(10/H77*C86)+(5/H77*C87)+(5/H77*C88)+(5/H77*C89))/100)</f>
        <v>0.16615789473684214</v>
      </c>
      <c r="F80" s="162"/>
      <c r="G80" s="161">
        <f ca="1">((((C80/H77)*20)+((C81/H77)*25)+(30/(H77+F77+D77)*C82)+(5/H77*C83)+(5/H77*C84)+(5/H77*C85)+(5/H77*C86)+(0/H77*C87)+(0/H77*C88)+(5/H77*C89))/100)</f>
        <v>0.49936842105263163</v>
      </c>
      <c r="H80" s="167"/>
      <c r="I80" s="13" t="s">
        <v>93</v>
      </c>
      <c r="J80" s="26">
        <f ca="1">H77*50%</f>
        <v>25</v>
      </c>
      <c r="S80"/>
    </row>
    <row r="81" spans="1:19" ht="15.75" customHeight="1" x14ac:dyDescent="0.25">
      <c r="A81" s="125" t="s">
        <v>47</v>
      </c>
      <c r="B81" s="126"/>
      <c r="C81" s="59">
        <f ca="1">J89</f>
        <v>50</v>
      </c>
      <c r="D81" s="65">
        <f ca="1">((100/H77)*C81)/100</f>
        <v>1</v>
      </c>
      <c r="E81" s="163"/>
      <c r="F81" s="164"/>
      <c r="G81" s="163"/>
      <c r="H81" s="168"/>
      <c r="I81" s="13" t="s">
        <v>94</v>
      </c>
      <c r="J81" s="26">
        <f ca="1">H77</f>
        <v>50</v>
      </c>
      <c r="S81"/>
    </row>
    <row r="82" spans="1:19" ht="15.75" customHeight="1" x14ac:dyDescent="0.25">
      <c r="A82" s="125" t="s">
        <v>122</v>
      </c>
      <c r="B82" s="126"/>
      <c r="C82" s="64">
        <v>9</v>
      </c>
      <c r="D82" s="65">
        <f ca="1">((100/(D77+F77+H77))*C82)/100</f>
        <v>0.15789473684210525</v>
      </c>
      <c r="E82" s="163"/>
      <c r="F82" s="164"/>
      <c r="G82" s="163"/>
      <c r="H82" s="168"/>
      <c r="I82" s="13" t="s">
        <v>95</v>
      </c>
      <c r="J82" s="27">
        <f ca="1">(IF(B77&gt;1,(H77/(B77+2)),H77/4))</f>
        <v>12.5</v>
      </c>
    </row>
    <row r="83" spans="1:19" ht="15.75" customHeight="1" x14ac:dyDescent="0.25">
      <c r="A83" s="125" t="s">
        <v>129</v>
      </c>
      <c r="B83" s="126" t="s">
        <v>123</v>
      </c>
      <c r="C83" s="64">
        <v>2</v>
      </c>
      <c r="D83" s="65">
        <f ca="1">((100/H77)*C83)/100</f>
        <v>0.04</v>
      </c>
      <c r="E83" s="163"/>
      <c r="F83" s="164"/>
      <c r="G83" s="163"/>
      <c r="H83" s="168"/>
      <c r="I83" s="13" t="s">
        <v>96</v>
      </c>
      <c r="J83" s="27">
        <f ca="1">(IF(B77&gt;1,(H77/(B77+2)+J82),H77/4+J82))</f>
        <v>25</v>
      </c>
    </row>
    <row r="84" spans="1:19" ht="15" customHeight="1" x14ac:dyDescent="0.25">
      <c r="A84" s="125" t="s">
        <v>130</v>
      </c>
      <c r="B84" s="126" t="s">
        <v>123</v>
      </c>
      <c r="C84" s="64">
        <v>0</v>
      </c>
      <c r="D84" s="65">
        <f ca="1">((100/H77)*C84)/100</f>
        <v>0</v>
      </c>
      <c r="E84" s="163"/>
      <c r="F84" s="164"/>
      <c r="G84" s="163"/>
      <c r="H84" s="168"/>
      <c r="I84" s="13" t="s">
        <v>139</v>
      </c>
      <c r="J84" s="27">
        <f ca="1">(IF(B77&gt;1,(H77/(B77+2)+J83),0))</f>
        <v>37.5</v>
      </c>
    </row>
    <row r="85" spans="1:19" ht="15.75" customHeight="1" x14ac:dyDescent="0.25">
      <c r="A85" s="125" t="s">
        <v>128</v>
      </c>
      <c r="B85" s="126" t="s">
        <v>125</v>
      </c>
      <c r="C85" s="64">
        <v>0</v>
      </c>
      <c r="D85" s="65">
        <f ca="1">((100/(H77))*C85)/100</f>
        <v>0</v>
      </c>
      <c r="E85" s="163"/>
      <c r="F85" s="164"/>
      <c r="G85" s="163"/>
      <c r="H85" s="168"/>
      <c r="I85" s="13" t="s">
        <v>136</v>
      </c>
      <c r="J85" s="27">
        <f>(IF(B77&gt;2,(H77/(B77+2)+J84),0))</f>
        <v>0</v>
      </c>
    </row>
    <row r="86" spans="1:19" ht="15.75" customHeight="1" x14ac:dyDescent="0.25">
      <c r="A86" s="125" t="s">
        <v>124</v>
      </c>
      <c r="B86" s="126" t="s">
        <v>124</v>
      </c>
      <c r="C86" s="64">
        <v>0</v>
      </c>
      <c r="D86" s="65">
        <f ca="1">((100/H77)*C86)/100</f>
        <v>0</v>
      </c>
      <c r="E86" s="163"/>
      <c r="F86" s="164"/>
      <c r="G86" s="163"/>
      <c r="H86" s="168"/>
      <c r="I86" s="13" t="s">
        <v>137</v>
      </c>
      <c r="J86" s="28">
        <f>(IF(B77&gt;3,(H77/(B77+2)+J85),0))</f>
        <v>0</v>
      </c>
    </row>
    <row r="87" spans="1:19" ht="15.75" customHeight="1" x14ac:dyDescent="0.25">
      <c r="A87" s="125" t="s">
        <v>131</v>
      </c>
      <c r="B87" s="126"/>
      <c r="C87" s="64">
        <v>0</v>
      </c>
      <c r="D87" s="65">
        <f ca="1">((100/H77)*C87)/100</f>
        <v>0</v>
      </c>
      <c r="E87" s="163"/>
      <c r="F87" s="164"/>
      <c r="G87" s="163"/>
      <c r="H87" s="168"/>
      <c r="I87" s="13" t="s">
        <v>138</v>
      </c>
      <c r="J87" s="27">
        <f>(IF(B77&gt;4,(H77/(B77+2)+J86),0))</f>
        <v>0</v>
      </c>
    </row>
    <row r="88" spans="1:19" x14ac:dyDescent="0.25">
      <c r="A88" s="125" t="s">
        <v>126</v>
      </c>
      <c r="B88" s="126" t="s">
        <v>126</v>
      </c>
      <c r="C88" s="64">
        <v>0</v>
      </c>
      <c r="D88" s="65">
        <f ca="1">((100/(H77))*C88)/100</f>
        <v>0</v>
      </c>
      <c r="E88" s="163"/>
      <c r="F88" s="164"/>
      <c r="G88" s="163"/>
      <c r="H88" s="168"/>
      <c r="I88" s="13" t="s">
        <v>140</v>
      </c>
      <c r="J88" s="27">
        <f>(IF(B77=1,(H77/(B77+3)+J83),IF(B77=0,(H77/4+J83),IF(B77&gt;1,0))))</f>
        <v>0</v>
      </c>
    </row>
    <row r="89" spans="1:19" ht="15.75" customHeight="1" thickBot="1" x14ac:dyDescent="0.3">
      <c r="A89" s="170" t="s">
        <v>127</v>
      </c>
      <c r="B89" s="171"/>
      <c r="C89" s="66">
        <v>0</v>
      </c>
      <c r="D89" s="67">
        <f ca="1">((100/(H77))*C89)/100</f>
        <v>0</v>
      </c>
      <c r="E89" s="165"/>
      <c r="F89" s="166"/>
      <c r="G89" s="165"/>
      <c r="H89" s="169"/>
      <c r="I89" s="14" t="s">
        <v>97</v>
      </c>
      <c r="J89" s="29">
        <f ca="1">(IF(B77&gt;1.5,(H77/(B77+2)+J83+MAX(0,J84-J83)+MAX(0,J85-J84)+MAX(0,J86-J85)+MAX(0,J87-J86)+MAX(0,J88-J87)),IF(B77=1,(H77/(B77+3)+J88),IF(B77=0,H77/4+J88))))</f>
        <v>50</v>
      </c>
      <c r="S89"/>
    </row>
    <row r="90" spans="1:19" x14ac:dyDescent="0.25">
      <c r="A90" s="116" t="s">
        <v>133</v>
      </c>
      <c r="B90" s="117"/>
      <c r="C90" s="118" t="str">
        <f>D68</f>
        <v xml:space="preserve">Tower E = 2B + Gr + 5P + UG + 1st to 25th + Service + 26th  to 50th Floor
</v>
      </c>
      <c r="D90" s="119"/>
      <c r="E90" s="119"/>
      <c r="F90" s="119"/>
      <c r="G90" s="119"/>
      <c r="H90" s="120"/>
      <c r="I90" s="41" t="str">
        <f ca="1">IF(D103=100%,"All work Completed. Possession granted to the Building.",IF(D102=100%,"All work Completed, Waiting for OC",I91&amp;""&amp;I92&amp;""&amp;J91&amp;""&amp;J90&amp;" "&amp;J92))</f>
        <v xml:space="preserve">Excavation Completed, Plinth work is process </v>
      </c>
      <c r="J90" s="42"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x14ac:dyDescent="0.25">
      <c r="A91" s="15" t="s">
        <v>135</v>
      </c>
      <c r="B91" s="45">
        <f>IF(AND(ISNUMBER(SEARCH("1B",C90))),1,IF(AND(ISNUMBER(SEARCH("2B",C90))),2,IF(AND(ISNUMBER(SEARCH("3B",C90))),3,IF(AND(ISNUMBER(SEARCH("4B",C90))),4,IF(ISNUMBER(SEARCH("5B",C90)),5,0)))))</f>
        <v>2</v>
      </c>
      <c r="C91" s="45" t="s">
        <v>66</v>
      </c>
      <c r="D91" s="45">
        <v>2</v>
      </c>
      <c r="E91" s="45" t="s">
        <v>65</v>
      </c>
      <c r="F91" s="45">
        <v>5</v>
      </c>
      <c r="G91" s="45" t="s">
        <v>73</v>
      </c>
      <c r="H91" s="16">
        <f ca="1">--TRIM(RIGHT(SUBSTITUTE(LEFT(C90,_xlfn.AGGREGATE(16,6,FIND({0,1,2,3,4,5,6,7,8,9},C90,ROW(INDIRECT("1:"&amp;LEN(C90)))),1))," ",REPT(" ",LEN(C90))),LEN(C90)))</f>
        <v>50</v>
      </c>
      <c r="I91" s="43" t="str">
        <f ca="1">IF(D94=100%,"Excavation","")&amp;IF(D95=100%,", Plinth","")&amp;IF(D96=100%,", RCC Slab","")&amp;IF(D97=100%,", Brickwork","")&amp;IF(D98=100%,", Internal Plaster","")&amp;IF(D99=100%,", External Plaster","")&amp;IF(D100=100%,", Flooring","")&amp;IF(D101=100%,", Painting","")&amp;IF(D102=100%,", Building common Amenities","")</f>
        <v>Excavation</v>
      </c>
      <c r="J91" s="44"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Plinth work is process</v>
      </c>
      <c r="S91"/>
    </row>
    <row r="92" spans="1:19" ht="15.75" customHeight="1" x14ac:dyDescent="0.25">
      <c r="A92" s="121" t="s">
        <v>83</v>
      </c>
      <c r="B92" s="122"/>
      <c r="C92" s="123" t="str">
        <f ca="1">I90</f>
        <v xml:space="preserve">Excavation Completed, Plinth work is process </v>
      </c>
      <c r="D92" s="123"/>
      <c r="E92" s="123"/>
      <c r="F92" s="123"/>
      <c r="G92" s="123"/>
      <c r="H92" s="124"/>
      <c r="I92" s="43" t="str">
        <f ca="1">IF(I91&lt;&gt;""," Completed","")</f>
        <v xml:space="preserve"> Completed</v>
      </c>
      <c r="J92" s="44" t="str">
        <f ca="1">IF(J90&lt;&gt;"","Completed","")</f>
        <v/>
      </c>
      <c r="S92"/>
    </row>
    <row r="93" spans="1:19" x14ac:dyDescent="0.25">
      <c r="A93" s="125" t="s">
        <v>46</v>
      </c>
      <c r="B93" s="126"/>
      <c r="C93" s="64" t="s">
        <v>132</v>
      </c>
      <c r="D93" s="64" t="s">
        <v>76</v>
      </c>
      <c r="E93" s="126" t="s">
        <v>78</v>
      </c>
      <c r="F93" s="126"/>
      <c r="G93" s="126" t="s">
        <v>77</v>
      </c>
      <c r="H93" s="127"/>
      <c r="I93" s="13" t="s">
        <v>134</v>
      </c>
      <c r="J93" s="25">
        <f ca="1">H91*25%</f>
        <v>12.5</v>
      </c>
    </row>
    <row r="94" spans="1:19" x14ac:dyDescent="0.25">
      <c r="A94" s="125" t="s">
        <v>121</v>
      </c>
      <c r="B94" s="126"/>
      <c r="C94" s="64">
        <f ca="1">J95</f>
        <v>50</v>
      </c>
      <c r="D94" s="65">
        <f ca="1">((100/H91)*C94)/100</f>
        <v>1</v>
      </c>
      <c r="E94" s="161">
        <f ca="1">(((C95/H91*10)+(40/(D91+F91+H91)*C96)+(7.5/(H91)*C97)+(7.5/(H91)*C98)+(10/H91*C99)+(10/H91*C100)+(5/H91*C101)+(5/H91*C102)+(5/H91*C103))/100)</f>
        <v>0.08</v>
      </c>
      <c r="F94" s="162"/>
      <c r="G94" s="161">
        <f ca="1">((((C94/H91)*20)+((C95/H91)*25)+(30/(H91+F91+D91)*C96)+(5/H91*C97)+(5/H91*C98)+(5/H91*C99)+(5/H91*C100)+(0/H91*C101)+(0/H91*C102)+(5/H91*C103))/100)</f>
        <v>0.4</v>
      </c>
      <c r="H94" s="167"/>
      <c r="I94" s="13" t="s">
        <v>93</v>
      </c>
      <c r="J94" s="26">
        <f ca="1">H91*50%</f>
        <v>25</v>
      </c>
      <c r="S94"/>
    </row>
    <row r="95" spans="1:19" ht="15.75" customHeight="1" x14ac:dyDescent="0.25">
      <c r="A95" s="125" t="s">
        <v>47</v>
      </c>
      <c r="B95" s="126"/>
      <c r="C95" s="59">
        <f>J102</f>
        <v>40</v>
      </c>
      <c r="D95" s="65">
        <f ca="1">((100/H91)*C95)/100</f>
        <v>0.8</v>
      </c>
      <c r="E95" s="163"/>
      <c r="F95" s="164"/>
      <c r="G95" s="163"/>
      <c r="H95" s="168"/>
      <c r="I95" s="13" t="s">
        <v>94</v>
      </c>
      <c r="J95" s="26">
        <f ca="1">H91</f>
        <v>50</v>
      </c>
      <c r="S95"/>
    </row>
    <row r="96" spans="1:19" ht="15.75" customHeight="1" x14ac:dyDescent="0.25">
      <c r="A96" s="125" t="s">
        <v>122</v>
      </c>
      <c r="B96" s="126"/>
      <c r="C96" s="64">
        <v>0</v>
      </c>
      <c r="D96" s="65">
        <f ca="1">((100/(D91+F91+H91))*C96)/100</f>
        <v>0</v>
      </c>
      <c r="E96" s="163"/>
      <c r="F96" s="164"/>
      <c r="G96" s="163"/>
      <c r="H96" s="168"/>
      <c r="I96" s="13" t="s">
        <v>95</v>
      </c>
      <c r="J96" s="27">
        <f ca="1">(IF(B91&gt;1,(H91/(B91+2)),H91/4))</f>
        <v>12.5</v>
      </c>
    </row>
    <row r="97" spans="1:22" ht="15.75" customHeight="1" x14ac:dyDescent="0.25">
      <c r="A97" s="125" t="s">
        <v>129</v>
      </c>
      <c r="B97" s="126" t="s">
        <v>123</v>
      </c>
      <c r="C97" s="64">
        <v>0</v>
      </c>
      <c r="D97" s="65">
        <f ca="1">((100/H91)*C97)/100</f>
        <v>0</v>
      </c>
      <c r="E97" s="163"/>
      <c r="F97" s="164"/>
      <c r="G97" s="163"/>
      <c r="H97" s="168"/>
      <c r="I97" s="13" t="s">
        <v>96</v>
      </c>
      <c r="J97" s="27">
        <f ca="1">(IF(B91&gt;1,(H91/(B91+2)+J96),H91/4+J96))</f>
        <v>25</v>
      </c>
    </row>
    <row r="98" spans="1:22" ht="15" customHeight="1" x14ac:dyDescent="0.25">
      <c r="A98" s="125" t="s">
        <v>130</v>
      </c>
      <c r="B98" s="126" t="s">
        <v>123</v>
      </c>
      <c r="C98" s="64">
        <v>0</v>
      </c>
      <c r="D98" s="65">
        <f ca="1">((100/H91)*C98)/100</f>
        <v>0</v>
      </c>
      <c r="E98" s="163"/>
      <c r="F98" s="164"/>
      <c r="G98" s="163"/>
      <c r="H98" s="168"/>
      <c r="I98" s="13" t="s">
        <v>139</v>
      </c>
      <c r="J98" s="27">
        <f ca="1">(IF(B91&gt;1,(H91/(B91+2)+J97),0))</f>
        <v>37.5</v>
      </c>
    </row>
    <row r="99" spans="1:22" ht="15.75" customHeight="1" x14ac:dyDescent="0.25">
      <c r="A99" s="125" t="s">
        <v>128</v>
      </c>
      <c r="B99" s="126" t="s">
        <v>125</v>
      </c>
      <c r="C99" s="64">
        <v>0</v>
      </c>
      <c r="D99" s="65">
        <f ca="1">((100/(H91))*C99)/100</f>
        <v>0</v>
      </c>
      <c r="E99" s="163"/>
      <c r="F99" s="164"/>
      <c r="G99" s="163"/>
      <c r="H99" s="168"/>
      <c r="I99" s="13" t="s">
        <v>136</v>
      </c>
      <c r="J99" s="27">
        <f>(IF(B91&gt;2,(H91/(B91+2)+J98),0))</f>
        <v>0</v>
      </c>
    </row>
    <row r="100" spans="1:22" ht="15.75" customHeight="1" x14ac:dyDescent="0.25">
      <c r="A100" s="125" t="s">
        <v>124</v>
      </c>
      <c r="B100" s="126" t="s">
        <v>124</v>
      </c>
      <c r="C100" s="64">
        <v>0</v>
      </c>
      <c r="D100" s="65">
        <f ca="1">((100/H91)*C100)/100</f>
        <v>0</v>
      </c>
      <c r="E100" s="163"/>
      <c r="F100" s="164"/>
      <c r="G100" s="163"/>
      <c r="H100" s="168"/>
      <c r="I100" s="13" t="s">
        <v>137</v>
      </c>
      <c r="J100" s="28">
        <f>(IF(B91&gt;3,(H91/(B91+2)+J99),0))</f>
        <v>0</v>
      </c>
    </row>
    <row r="101" spans="1:22" ht="15.75" customHeight="1" x14ac:dyDescent="0.25">
      <c r="A101" s="125" t="s">
        <v>131</v>
      </c>
      <c r="B101" s="126"/>
      <c r="C101" s="64">
        <v>0</v>
      </c>
      <c r="D101" s="65">
        <f ca="1">((100/H91)*C101)/100</f>
        <v>0</v>
      </c>
      <c r="E101" s="163"/>
      <c r="F101" s="164"/>
      <c r="G101" s="163"/>
      <c r="H101" s="168"/>
      <c r="I101" s="13" t="s">
        <v>138</v>
      </c>
      <c r="J101" s="27">
        <f>(IF(B91&gt;4,(H91/(B91+2)+J100),0))</f>
        <v>0</v>
      </c>
    </row>
    <row r="102" spans="1:22" x14ac:dyDescent="0.25">
      <c r="A102" s="125" t="s">
        <v>126</v>
      </c>
      <c r="B102" s="126" t="s">
        <v>126</v>
      </c>
      <c r="C102" s="64">
        <v>0</v>
      </c>
      <c r="D102" s="65">
        <f ca="1">((100/(H91))*C102)/100</f>
        <v>0</v>
      </c>
      <c r="E102" s="163"/>
      <c r="F102" s="164"/>
      <c r="G102" s="163"/>
      <c r="H102" s="168"/>
      <c r="I102" s="13" t="s">
        <v>140</v>
      </c>
      <c r="J102" s="27">
        <v>40</v>
      </c>
    </row>
    <row r="103" spans="1:22" ht="16.5" thickBot="1" x14ac:dyDescent="0.3">
      <c r="A103" s="170" t="s">
        <v>127</v>
      </c>
      <c r="B103" s="171"/>
      <c r="C103" s="66">
        <v>0</v>
      </c>
      <c r="D103" s="67">
        <f ca="1">((100/(H91))*C103)/100</f>
        <v>0</v>
      </c>
      <c r="E103" s="165"/>
      <c r="F103" s="166"/>
      <c r="G103" s="165"/>
      <c r="H103" s="169"/>
      <c r="I103" s="14" t="s">
        <v>97</v>
      </c>
      <c r="J103" s="29">
        <v>50</v>
      </c>
      <c r="R103" t="s">
        <v>243</v>
      </c>
      <c r="S103" t="s">
        <v>165</v>
      </c>
      <c r="T103" t="s">
        <v>169</v>
      </c>
      <c r="U103" t="s">
        <v>184</v>
      </c>
      <c r="V103" t="s">
        <v>179</v>
      </c>
    </row>
    <row r="104" spans="1:22" x14ac:dyDescent="0.25">
      <c r="A104" s="132" t="s">
        <v>150</v>
      </c>
      <c r="B104" s="133"/>
      <c r="C104" s="133"/>
      <c r="D104" s="133"/>
      <c r="E104" s="134"/>
      <c r="F104" s="172" t="s">
        <v>154</v>
      </c>
      <c r="G104" s="172"/>
      <c r="H104" s="172"/>
      <c r="R104"/>
      <c r="S104">
        <v>800000</v>
      </c>
      <c r="T104">
        <v>300000</v>
      </c>
      <c r="U104">
        <v>100000</v>
      </c>
      <c r="V104">
        <v>100000</v>
      </c>
    </row>
    <row r="105" spans="1:22" ht="15.75" customHeight="1" x14ac:dyDescent="0.25">
      <c r="A105" s="129" t="s">
        <v>152</v>
      </c>
      <c r="B105" s="130"/>
      <c r="C105" s="130"/>
      <c r="D105" s="130"/>
      <c r="E105" s="131"/>
      <c r="F105" s="128">
        <v>12500</v>
      </c>
      <c r="G105" s="128"/>
      <c r="H105" s="128"/>
      <c r="R105"/>
      <c r="S105">
        <v>900000</v>
      </c>
      <c r="T105">
        <v>350000</v>
      </c>
      <c r="U105">
        <v>150000</v>
      </c>
      <c r="V105">
        <v>150000</v>
      </c>
    </row>
    <row r="106" spans="1:22" ht="15.75" hidden="1" customHeight="1" x14ac:dyDescent="0.25">
      <c r="A106" s="129" t="s">
        <v>151</v>
      </c>
      <c r="B106" s="130"/>
      <c r="C106" s="130"/>
      <c r="D106" s="130"/>
      <c r="E106" s="131"/>
      <c r="F106" s="128"/>
      <c r="G106" s="128"/>
      <c r="H106" s="128"/>
      <c r="R106"/>
      <c r="S106">
        <v>1000000</v>
      </c>
      <c r="T106">
        <v>400000</v>
      </c>
      <c r="U106">
        <v>200000</v>
      </c>
      <c r="V106">
        <v>200000</v>
      </c>
    </row>
    <row r="107" spans="1:22" s="30" customFormat="1" ht="15.75" hidden="1" customHeight="1" x14ac:dyDescent="0.25">
      <c r="A107" s="129" t="s">
        <v>153</v>
      </c>
      <c r="B107" s="130"/>
      <c r="C107" s="130"/>
      <c r="D107" s="130"/>
      <c r="E107" s="131"/>
      <c r="F107" s="128"/>
      <c r="G107" s="128"/>
      <c r="H107" s="128"/>
      <c r="R107"/>
      <c r="S107">
        <v>1100000</v>
      </c>
      <c r="T107">
        <v>500000</v>
      </c>
      <c r="U107">
        <v>250000</v>
      </c>
      <c r="V107" s="20">
        <v>250000</v>
      </c>
    </row>
    <row r="108" spans="1:22" s="30" customFormat="1" ht="15.75" hidden="1" customHeight="1" x14ac:dyDescent="0.25">
      <c r="A108" s="129" t="s">
        <v>167</v>
      </c>
      <c r="B108" s="130"/>
      <c r="C108" s="130"/>
      <c r="D108" s="130"/>
      <c r="E108" s="131"/>
      <c r="F108" s="128"/>
      <c r="G108" s="128"/>
      <c r="H108" s="128"/>
      <c r="R108"/>
      <c r="S108">
        <v>1200000</v>
      </c>
      <c r="T108">
        <v>600000</v>
      </c>
      <c r="U108">
        <v>300000</v>
      </c>
      <c r="V108">
        <v>300000</v>
      </c>
    </row>
    <row r="109" spans="1:22" s="30" customFormat="1" ht="15.75" hidden="1" customHeight="1" x14ac:dyDescent="0.25">
      <c r="A109" s="129" t="s">
        <v>87</v>
      </c>
      <c r="B109" s="130"/>
      <c r="C109" s="130"/>
      <c r="D109" s="130"/>
      <c r="E109" s="131"/>
      <c r="F109" s="128"/>
      <c r="G109" s="128"/>
      <c r="H109" s="128"/>
      <c r="R109"/>
      <c r="S109">
        <v>1300000</v>
      </c>
      <c r="T109">
        <v>700000</v>
      </c>
      <c r="U109">
        <v>350000</v>
      </c>
      <c r="V109" s="20">
        <v>400000</v>
      </c>
    </row>
    <row r="110" spans="1:22" s="30" customFormat="1" ht="15.75" hidden="1" customHeight="1" x14ac:dyDescent="0.25">
      <c r="A110" s="129" t="s">
        <v>88</v>
      </c>
      <c r="B110" s="130"/>
      <c r="C110" s="130"/>
      <c r="D110" s="130"/>
      <c r="E110" s="131"/>
      <c r="F110" s="128"/>
      <c r="G110" s="128"/>
      <c r="H110" s="128"/>
      <c r="R110"/>
      <c r="S110">
        <v>1400000</v>
      </c>
      <c r="T110">
        <v>800000</v>
      </c>
      <c r="U110">
        <v>400000</v>
      </c>
      <c r="V110"/>
    </row>
    <row r="111" spans="1:22" s="30" customFormat="1" ht="15.75" hidden="1" customHeight="1" x14ac:dyDescent="0.25">
      <c r="A111" s="129" t="s">
        <v>89</v>
      </c>
      <c r="B111" s="130"/>
      <c r="C111" s="130"/>
      <c r="D111" s="130"/>
      <c r="E111" s="131"/>
      <c r="F111" s="128"/>
      <c r="G111" s="128"/>
      <c r="H111" s="128"/>
      <c r="R111"/>
      <c r="S111">
        <v>1500000</v>
      </c>
      <c r="T111">
        <v>900000</v>
      </c>
      <c r="U111">
        <v>500000</v>
      </c>
      <c r="V111" s="20"/>
    </row>
    <row r="112" spans="1:22" s="30" customFormat="1" ht="15.75" hidden="1" customHeight="1" x14ac:dyDescent="0.25">
      <c r="A112" s="129" t="s">
        <v>90</v>
      </c>
      <c r="B112" s="130"/>
      <c r="C112" s="130"/>
      <c r="D112" s="130"/>
      <c r="E112" s="131"/>
      <c r="F112" s="128"/>
      <c r="G112" s="128"/>
      <c r="H112" s="128"/>
      <c r="R112"/>
      <c r="S112">
        <v>1600000</v>
      </c>
      <c r="T112">
        <v>1000000</v>
      </c>
      <c r="U112">
        <v>600000</v>
      </c>
      <c r="V112"/>
    </row>
    <row r="113" spans="1:22" s="30" customFormat="1" ht="15.75" hidden="1" customHeight="1" x14ac:dyDescent="0.25">
      <c r="A113" s="129" t="s">
        <v>91</v>
      </c>
      <c r="B113" s="130"/>
      <c r="C113" s="130"/>
      <c r="D113" s="130"/>
      <c r="E113" s="131"/>
      <c r="F113" s="128"/>
      <c r="G113" s="128"/>
      <c r="H113" s="128"/>
      <c r="R113"/>
      <c r="S113">
        <v>1700000</v>
      </c>
      <c r="T113"/>
      <c r="U113"/>
      <c r="V113" s="20"/>
    </row>
    <row r="114" spans="1:22" hidden="1" x14ac:dyDescent="0.25">
      <c r="A114" s="129" t="s">
        <v>92</v>
      </c>
      <c r="B114" s="130"/>
      <c r="C114" s="130"/>
      <c r="D114" s="130"/>
      <c r="E114" s="131"/>
      <c r="F114" s="128"/>
      <c r="G114" s="128"/>
      <c r="H114" s="128"/>
      <c r="R114"/>
      <c r="S114">
        <v>1800000</v>
      </c>
      <c r="T114"/>
      <c r="U114"/>
    </row>
    <row r="115" spans="1:22" s="31" customFormat="1" x14ac:dyDescent="0.25">
      <c r="A115" s="129" t="s">
        <v>48</v>
      </c>
      <c r="B115" s="130"/>
      <c r="C115" s="130"/>
      <c r="D115" s="130"/>
      <c r="E115" s="131"/>
      <c r="F115" s="128">
        <v>700000</v>
      </c>
      <c r="G115" s="128"/>
      <c r="H115" s="128"/>
      <c r="I115" s="18" t="s">
        <v>314</v>
      </c>
      <c r="J115" s="22">
        <v>45388</v>
      </c>
      <c r="K115" s="18" t="s">
        <v>315</v>
      </c>
      <c r="R115" s="18"/>
      <c r="S115" s="18"/>
      <c r="T115"/>
      <c r="U115"/>
      <c r="V115" s="18"/>
    </row>
    <row r="116" spans="1:22" s="32" customFormat="1" ht="15.75" customHeight="1" x14ac:dyDescent="0.25">
      <c r="A116" s="237" t="s">
        <v>49</v>
      </c>
      <c r="B116" s="238"/>
      <c r="C116" s="238"/>
      <c r="D116" s="238"/>
      <c r="E116" s="239"/>
      <c r="F116" s="128">
        <f>F105*0.8</f>
        <v>10000</v>
      </c>
      <c r="G116" s="128"/>
      <c r="H116" s="128"/>
      <c r="T116"/>
    </row>
    <row r="117" spans="1:22" s="32" customFormat="1" ht="15.75" customHeight="1" x14ac:dyDescent="0.25">
      <c r="A117" s="135" t="s">
        <v>368</v>
      </c>
      <c r="B117" s="136"/>
      <c r="C117" s="136"/>
      <c r="D117" s="136"/>
      <c r="E117" s="136"/>
      <c r="F117" s="136"/>
      <c r="G117" s="136"/>
      <c r="H117" s="137"/>
      <c r="T117"/>
    </row>
    <row r="118" spans="1:22" s="32" customFormat="1" x14ac:dyDescent="0.25">
      <c r="A118" s="91" t="s">
        <v>50</v>
      </c>
      <c r="B118" s="91"/>
      <c r="C118" s="138" t="s">
        <v>71</v>
      </c>
      <c r="D118" s="138"/>
      <c r="E118" s="90" t="s">
        <v>51</v>
      </c>
      <c r="F118" s="90"/>
      <c r="G118" s="91" t="s">
        <v>52</v>
      </c>
      <c r="H118" s="91"/>
      <c r="T118"/>
    </row>
    <row r="119" spans="1:22" s="32" customFormat="1" x14ac:dyDescent="0.25">
      <c r="A119" s="95" t="s">
        <v>320</v>
      </c>
      <c r="B119" s="95"/>
      <c r="C119" s="104">
        <f>COUNT(F143:F148)*5+COUNT(F150:F155)+COUNT(F157,F159:F168)*11+COUNT(F170:F181)*38</f>
        <v>613</v>
      </c>
      <c r="D119" s="104"/>
      <c r="E119" s="105">
        <f>SUM(F143:F148)*5+SUM(F150:F155)+SUM(F157,F159:F168)*11+SUM(F170:F181)*38</f>
        <v>281861.79839999997</v>
      </c>
      <c r="F119" s="106"/>
      <c r="G119" s="105">
        <f>SUM(H143:H148)*5+SUM(H150:H155)+SUM(H157,H159:H168)*11+SUM(H170:H181)*38</f>
        <v>422792.69759999996</v>
      </c>
      <c r="H119" s="106"/>
      <c r="L119" s="32" t="s">
        <v>302</v>
      </c>
    </row>
    <row r="120" spans="1:22" s="32" customFormat="1" x14ac:dyDescent="0.25">
      <c r="A120" s="95" t="s">
        <v>335</v>
      </c>
      <c r="B120" s="95"/>
      <c r="C120" s="104">
        <f>COUNT(D187,D192)*5+COUNT(D194,D199)+COUNT(D201,D206,D212,D207)+COUNT(D214,D219:D220,D225)+COUNT(D227:D238)*37+COUNT(D240:D243,D245:D251)*10</f>
        <v>574</v>
      </c>
      <c r="D120" s="104"/>
      <c r="E120" s="105">
        <f>SUM(F187,F192)*5+SUM(F194,F199)+SUM(F201,F206,F212,F207)+SUM(F214,F219:F220,F225)+SUM(F227:F238)*37+SUM(F240:F243,F245:F251)*10</f>
        <v>277956.49864320003</v>
      </c>
      <c r="F120" s="106"/>
      <c r="G120" s="105">
        <f>SUM(H187,H192)*5+SUM(H194,H199)+SUM(H201,H206,H212,H207)+SUM(H214,H219:H220,H225)+SUM(H227:H238)*37+SUM(H240:H243,H245:H251)*10</f>
        <v>416934.74796479993</v>
      </c>
      <c r="H120" s="106"/>
    </row>
    <row r="121" spans="1:22" s="32" customFormat="1" x14ac:dyDescent="0.25">
      <c r="A121" s="92" t="s">
        <v>143</v>
      </c>
      <c r="B121" s="92"/>
      <c r="C121" s="94">
        <f t="shared" ref="C121:G121" si="0">SUM(C119:D120)</f>
        <v>1187</v>
      </c>
      <c r="D121" s="94"/>
      <c r="E121" s="185">
        <f t="shared" si="0"/>
        <v>559818.2970432</v>
      </c>
      <c r="F121" s="185"/>
      <c r="G121" s="181">
        <f t="shared" si="0"/>
        <v>839727.44556479994</v>
      </c>
      <c r="H121" s="181"/>
    </row>
    <row r="122" spans="1:22" s="32" customFormat="1" ht="15.75" customHeight="1" x14ac:dyDescent="0.25">
      <c r="A122" s="135" t="s">
        <v>369</v>
      </c>
      <c r="B122" s="136"/>
      <c r="C122" s="136"/>
      <c r="D122" s="136"/>
      <c r="E122" s="136"/>
      <c r="F122" s="136"/>
      <c r="G122" s="136"/>
      <c r="H122" s="137"/>
      <c r="T122"/>
    </row>
    <row r="123" spans="1:22" s="32" customFormat="1" ht="15.75" customHeight="1" x14ac:dyDescent="0.25">
      <c r="A123" s="91" t="s">
        <v>50</v>
      </c>
      <c r="B123" s="91"/>
      <c r="C123" s="138" t="s">
        <v>71</v>
      </c>
      <c r="D123" s="138"/>
      <c r="E123" s="90" t="s">
        <v>51</v>
      </c>
      <c r="F123" s="90"/>
      <c r="G123" s="91" t="s">
        <v>52</v>
      </c>
      <c r="H123" s="91"/>
      <c r="T123"/>
    </row>
    <row r="124" spans="1:22" s="32" customFormat="1" x14ac:dyDescent="0.25">
      <c r="A124" s="95" t="s">
        <v>335</v>
      </c>
      <c r="B124" s="95"/>
      <c r="C124" s="182">
        <f>COUNT(D188:D191)*5+COUNT(D195:D198)+COUNT(D202:D204,D208:D211)+COUNT(D215:D218,D221:D224)</f>
        <v>39</v>
      </c>
      <c r="D124" s="183"/>
      <c r="E124" s="184">
        <f t="shared" ref="E124" si="1">SUM(F188:F191)*5+SUM(F195:F198)+SUM(F202:F204,F208:F211)+SUM(F215:F218,F221:F224)</f>
        <v>15481.025913599999</v>
      </c>
      <c r="F124" s="104"/>
      <c r="G124" s="184">
        <f t="shared" ref="G124" si="2">SUM(H188:H191)*5+SUM(H195:H198)+SUM(H202:H204,H208:H211)+SUM(H215:H218,H221:H224)</f>
        <v>23221.538870399996</v>
      </c>
      <c r="H124" s="104"/>
      <c r="T124"/>
    </row>
    <row r="125" spans="1:22" s="32" customFormat="1" ht="16.5" thickBot="1" x14ac:dyDescent="0.3">
      <c r="A125" s="92" t="s">
        <v>143</v>
      </c>
      <c r="B125" s="92"/>
      <c r="C125" s="93">
        <f>SUM(C124:D124)</f>
        <v>39</v>
      </c>
      <c r="D125" s="94"/>
      <c r="E125" s="185">
        <f>SUM(E124:F124)</f>
        <v>15481.025913599999</v>
      </c>
      <c r="F125" s="185"/>
      <c r="G125" s="181">
        <f>SUM(G124:H124)</f>
        <v>23221.538870399996</v>
      </c>
      <c r="H125" s="181"/>
      <c r="T125"/>
    </row>
    <row r="126" spans="1:22" s="31" customFormat="1" ht="16.5" thickBot="1" x14ac:dyDescent="0.3">
      <c r="A126" s="260" t="s">
        <v>159</v>
      </c>
      <c r="B126" s="261"/>
      <c r="C126" s="267">
        <f>C121+C125</f>
        <v>1226</v>
      </c>
      <c r="D126" s="268"/>
      <c r="E126" s="255">
        <f>E121+E125</f>
        <v>575299.3229568</v>
      </c>
      <c r="F126" s="256"/>
      <c r="G126" s="143">
        <f>G121+G125</f>
        <v>862948.98443519999</v>
      </c>
      <c r="H126" s="144"/>
      <c r="T126" s="32"/>
    </row>
    <row r="127" spans="1:22" x14ac:dyDescent="0.25">
      <c r="A127" s="240" t="s">
        <v>318</v>
      </c>
      <c r="B127" s="241"/>
      <c r="C127" s="241"/>
      <c r="D127" s="241"/>
      <c r="E127" s="241"/>
      <c r="F127" s="241"/>
      <c r="G127" s="241"/>
      <c r="H127" s="242"/>
      <c r="T127" s="32"/>
    </row>
    <row r="128" spans="1:22" x14ac:dyDescent="0.25">
      <c r="A128" s="257" t="s">
        <v>303</v>
      </c>
      <c r="B128" s="258"/>
      <c r="C128" s="258"/>
      <c r="D128" s="258"/>
      <c r="E128" s="258"/>
      <c r="F128" s="258"/>
      <c r="G128" s="258"/>
      <c r="H128" s="259"/>
      <c r="T128" s="32"/>
    </row>
    <row r="129" spans="1:20" s="34" customFormat="1" ht="47.25" hidden="1" x14ac:dyDescent="0.25">
      <c r="A129" s="99" t="s">
        <v>113</v>
      </c>
      <c r="B129" s="99" t="s">
        <v>168</v>
      </c>
      <c r="C129" s="99" t="s">
        <v>53</v>
      </c>
      <c r="D129" s="99" t="s">
        <v>222</v>
      </c>
      <c r="E129" s="265" t="s">
        <v>149</v>
      </c>
      <c r="F129" s="99" t="s">
        <v>54</v>
      </c>
      <c r="G129" s="265" t="s">
        <v>55</v>
      </c>
      <c r="H129" s="48" t="s">
        <v>142</v>
      </c>
      <c r="T129" s="31"/>
    </row>
    <row r="130" spans="1:20" s="34" customFormat="1" ht="15.75" hidden="1" customHeight="1" x14ac:dyDescent="0.25">
      <c r="A130" s="100"/>
      <c r="B130" s="100"/>
      <c r="C130" s="100"/>
      <c r="D130" s="100"/>
      <c r="E130" s="266"/>
      <c r="F130" s="100"/>
      <c r="G130" s="266"/>
      <c r="H130" s="49">
        <v>0.45</v>
      </c>
      <c r="J130" s="33"/>
      <c r="T130" s="18"/>
    </row>
    <row r="131" spans="1:20" s="34" customFormat="1" ht="15.75" hidden="1" customHeight="1" x14ac:dyDescent="0.25">
      <c r="A131" s="101" t="s">
        <v>112</v>
      </c>
      <c r="B131" s="102"/>
      <c r="C131" s="102"/>
      <c r="D131" s="102"/>
      <c r="E131" s="102"/>
      <c r="F131" s="102"/>
      <c r="G131" s="102"/>
      <c r="H131" s="103"/>
      <c r="I131" s="33"/>
      <c r="L131" s="139"/>
      <c r="M131" s="139"/>
      <c r="N131" s="33"/>
      <c r="T131" s="18"/>
    </row>
    <row r="132" spans="1:20" s="34" customFormat="1" ht="15.75" hidden="1" customHeight="1" x14ac:dyDescent="0.25">
      <c r="A132" s="253">
        <v>1</v>
      </c>
      <c r="B132" s="254"/>
      <c r="C132" s="39"/>
      <c r="D132" s="39"/>
      <c r="E132" s="39">
        <v>0</v>
      </c>
      <c r="F132" s="39">
        <f>D132+E132</f>
        <v>0</v>
      </c>
      <c r="G132" s="39">
        <v>0</v>
      </c>
      <c r="H132" s="39">
        <f>(D132+E132)*(($H$130)+1)</f>
        <v>0</v>
      </c>
      <c r="I132" s="33"/>
      <c r="L132" s="139"/>
      <c r="M132" s="139"/>
      <c r="N132" s="33"/>
    </row>
    <row r="133" spans="1:20" s="34" customFormat="1" ht="15.75" hidden="1" customHeight="1" x14ac:dyDescent="0.25">
      <c r="A133" s="253">
        <f>A132+1</f>
        <v>2</v>
      </c>
      <c r="B133" s="254"/>
      <c r="C133" s="39"/>
      <c r="D133" s="39"/>
      <c r="E133" s="39">
        <v>0</v>
      </c>
      <c r="F133" s="39">
        <f>D133+E133</f>
        <v>0</v>
      </c>
      <c r="G133" s="39">
        <v>0</v>
      </c>
      <c r="H133" s="39">
        <f>(D133+E133)*(($H$130)+1)</f>
        <v>0</v>
      </c>
      <c r="I133" s="33"/>
      <c r="L133" s="139"/>
      <c r="M133" s="139"/>
      <c r="N133" s="33"/>
    </row>
    <row r="134" spans="1:20" s="34" customFormat="1" ht="15.75" hidden="1" customHeight="1" x14ac:dyDescent="0.25">
      <c r="A134" s="253">
        <f>A133+1</f>
        <v>3</v>
      </c>
      <c r="B134" s="254"/>
      <c r="C134" s="39"/>
      <c r="D134" s="39"/>
      <c r="E134" s="39">
        <v>0</v>
      </c>
      <c r="F134" s="39">
        <f>D134+E134</f>
        <v>0</v>
      </c>
      <c r="G134" s="39">
        <v>0</v>
      </c>
      <c r="H134" s="39">
        <f>(D134+E134)*(($H$130)+1)</f>
        <v>0</v>
      </c>
      <c r="I134" s="33"/>
      <c r="L134" s="139"/>
      <c r="M134" s="139"/>
      <c r="N134" s="33"/>
    </row>
    <row r="135" spans="1:20" s="34" customFormat="1" ht="15.75" hidden="1" customHeight="1" x14ac:dyDescent="0.25">
      <c r="A135" s="253">
        <f>A134+1</f>
        <v>4</v>
      </c>
      <c r="B135" s="254"/>
      <c r="C135" s="39"/>
      <c r="D135" s="39"/>
      <c r="E135" s="39">
        <v>0</v>
      </c>
      <c r="F135" s="39">
        <f>D135+E135</f>
        <v>0</v>
      </c>
      <c r="G135" s="39">
        <v>0</v>
      </c>
      <c r="H135" s="39">
        <f>(D135+E135)*(($H$130)+1)</f>
        <v>0</v>
      </c>
      <c r="I135" s="33"/>
      <c r="N135" s="33"/>
    </row>
    <row r="136" spans="1:20" hidden="1" x14ac:dyDescent="0.25">
      <c r="A136" s="253"/>
      <c r="B136" s="262"/>
      <c r="C136" s="262"/>
      <c r="D136" s="262"/>
      <c r="E136" s="262"/>
      <c r="F136" s="262"/>
      <c r="G136" s="262"/>
      <c r="H136" s="254"/>
      <c r="I136" s="33"/>
      <c r="T136" s="34"/>
    </row>
    <row r="137" spans="1:20" s="34" customFormat="1" ht="47.25" x14ac:dyDescent="0.25">
      <c r="A137" s="263" t="s">
        <v>114</v>
      </c>
      <c r="B137" s="99" t="s">
        <v>337</v>
      </c>
      <c r="C137" s="99" t="s">
        <v>53</v>
      </c>
      <c r="D137" s="99" t="s">
        <v>222</v>
      </c>
      <c r="E137" s="99" t="s">
        <v>307</v>
      </c>
      <c r="F137" s="99" t="s">
        <v>54</v>
      </c>
      <c r="G137" s="265" t="s">
        <v>55</v>
      </c>
      <c r="H137" s="48" t="s">
        <v>321</v>
      </c>
      <c r="I137" s="33"/>
    </row>
    <row r="138" spans="1:20" s="34" customFormat="1" x14ac:dyDescent="0.25">
      <c r="A138" s="264"/>
      <c r="B138" s="100"/>
      <c r="C138" s="100"/>
      <c r="D138" s="100"/>
      <c r="E138" s="100"/>
      <c r="F138" s="100"/>
      <c r="G138" s="266"/>
      <c r="H138" s="57">
        <v>0.5</v>
      </c>
      <c r="I138" s="39">
        <v>10.763999999999999</v>
      </c>
      <c r="J138" s="33"/>
    </row>
    <row r="139" spans="1:20" s="34" customFormat="1" ht="15.75" customHeight="1" x14ac:dyDescent="0.25">
      <c r="A139" s="140" t="s">
        <v>367</v>
      </c>
      <c r="B139" s="141"/>
      <c r="C139" s="141"/>
      <c r="D139" s="141"/>
      <c r="E139" s="141"/>
      <c r="F139" s="141"/>
      <c r="G139" s="141"/>
      <c r="H139" s="142"/>
      <c r="J139" s="33"/>
    </row>
    <row r="140" spans="1:20" s="34" customFormat="1" ht="15.75" customHeight="1" x14ac:dyDescent="0.25">
      <c r="A140" s="101" t="s">
        <v>336</v>
      </c>
      <c r="B140" s="102"/>
      <c r="C140" s="102"/>
      <c r="D140" s="102"/>
      <c r="E140" s="102"/>
      <c r="F140" s="102"/>
      <c r="G140" s="102"/>
      <c r="H140" s="103"/>
      <c r="J140" s="33"/>
    </row>
    <row r="141" spans="1:20" s="34" customFormat="1" ht="15.75" customHeight="1" x14ac:dyDescent="0.25">
      <c r="A141" s="101" t="s">
        <v>322</v>
      </c>
      <c r="B141" s="102"/>
      <c r="C141" s="102"/>
      <c r="D141" s="102"/>
      <c r="E141" s="102"/>
      <c r="F141" s="102"/>
      <c r="G141" s="102"/>
      <c r="H141" s="103"/>
      <c r="J141" s="33"/>
    </row>
    <row r="142" spans="1:20" s="34" customFormat="1" ht="15.75" customHeight="1" x14ac:dyDescent="0.25">
      <c r="A142" s="101" t="s">
        <v>319</v>
      </c>
      <c r="B142" s="102"/>
      <c r="C142" s="102"/>
      <c r="D142" s="102"/>
      <c r="E142" s="102"/>
      <c r="F142" s="102"/>
      <c r="G142" s="102"/>
      <c r="H142" s="103"/>
      <c r="I142" s="33"/>
      <c r="L142" s="139"/>
      <c r="M142" s="139"/>
      <c r="N142" s="33"/>
      <c r="T142" s="18"/>
    </row>
    <row r="143" spans="1:20" s="34" customFormat="1" ht="15.75" customHeight="1" x14ac:dyDescent="0.25">
      <c r="A143" s="39">
        <v>1</v>
      </c>
      <c r="B143" s="39" t="s">
        <v>339</v>
      </c>
      <c r="C143" s="56">
        <v>2</v>
      </c>
      <c r="D143" s="62">
        <f>(50.43)*(10.764)</f>
        <v>542.82851999999991</v>
      </c>
      <c r="E143" s="39">
        <v>0</v>
      </c>
      <c r="F143" s="39">
        <f t="shared" ref="F143:F148" si="3">D143+E143</f>
        <v>542.82851999999991</v>
      </c>
      <c r="G143" s="39">
        <v>0</v>
      </c>
      <c r="H143" s="39">
        <f t="shared" ref="H143:H148" si="4">F143*(($H$138)+1)+(IF(G143&lt;101,G143,IF(G143&lt;201,G143/2,IF(G143&lt;=301,G143/3,G143/4))))</f>
        <v>814.24277999999981</v>
      </c>
      <c r="I143" s="33"/>
      <c r="L143" s="139"/>
      <c r="M143" s="139"/>
      <c r="N143" s="33"/>
    </row>
    <row r="144" spans="1:20" s="34" customFormat="1" ht="15.75" customHeight="1" x14ac:dyDescent="0.25">
      <c r="A144" s="39">
        <f>A143+1</f>
        <v>2</v>
      </c>
      <c r="B144" s="39" t="s">
        <v>339</v>
      </c>
      <c r="C144" s="56">
        <v>1</v>
      </c>
      <c r="D144" s="62">
        <f>(36.29)*(10.764)</f>
        <v>390.62555999999995</v>
      </c>
      <c r="E144" s="39">
        <v>0</v>
      </c>
      <c r="F144" s="39">
        <f t="shared" si="3"/>
        <v>390.62555999999995</v>
      </c>
      <c r="G144" s="39">
        <v>0</v>
      </c>
      <c r="H144" s="39">
        <f t="shared" si="4"/>
        <v>585.93833999999993</v>
      </c>
      <c r="I144" s="33"/>
      <c r="L144" s="139"/>
      <c r="M144" s="139"/>
      <c r="N144" s="33"/>
    </row>
    <row r="145" spans="1:14" s="34" customFormat="1" ht="15.75" customHeight="1" x14ac:dyDescent="0.25">
      <c r="A145" s="39">
        <f>A144+1</f>
        <v>3</v>
      </c>
      <c r="B145" s="39" t="s">
        <v>339</v>
      </c>
      <c r="C145" s="56">
        <v>1</v>
      </c>
      <c r="D145" s="62">
        <f>(32.9)*(10.764)</f>
        <v>354.13559999999995</v>
      </c>
      <c r="E145" s="39">
        <v>0</v>
      </c>
      <c r="F145" s="39">
        <f t="shared" si="3"/>
        <v>354.13559999999995</v>
      </c>
      <c r="G145" s="39">
        <v>0</v>
      </c>
      <c r="H145" s="39">
        <f t="shared" si="4"/>
        <v>531.20339999999987</v>
      </c>
      <c r="I145" s="33"/>
      <c r="L145" s="139"/>
      <c r="M145" s="139"/>
      <c r="N145" s="33"/>
    </row>
    <row r="146" spans="1:14" s="34" customFormat="1" ht="15.75" customHeight="1" x14ac:dyDescent="0.25">
      <c r="A146" s="39">
        <f>A145+1</f>
        <v>4</v>
      </c>
      <c r="B146" s="39" t="s">
        <v>339</v>
      </c>
      <c r="C146" s="56">
        <v>1</v>
      </c>
      <c r="D146" s="62">
        <f>(32.9)*(10.764)</f>
        <v>354.13559999999995</v>
      </c>
      <c r="E146" s="39">
        <v>0</v>
      </c>
      <c r="F146" s="39">
        <f t="shared" si="3"/>
        <v>354.13559999999995</v>
      </c>
      <c r="G146" s="39">
        <v>0</v>
      </c>
      <c r="H146" s="39">
        <f t="shared" si="4"/>
        <v>531.20339999999987</v>
      </c>
      <c r="I146" s="33"/>
      <c r="L146" s="139"/>
      <c r="M146" s="139"/>
      <c r="N146" s="33"/>
    </row>
    <row r="147" spans="1:14" s="34" customFormat="1" ht="15.75" customHeight="1" x14ac:dyDescent="0.25">
      <c r="A147" s="39">
        <f t="shared" ref="A147:A148" si="5">A146+1</f>
        <v>5</v>
      </c>
      <c r="B147" s="39" t="s">
        <v>339</v>
      </c>
      <c r="C147" s="56">
        <v>1</v>
      </c>
      <c r="D147" s="62">
        <f>(36.29)*(10.764)</f>
        <v>390.62555999999995</v>
      </c>
      <c r="E147" s="39">
        <v>0</v>
      </c>
      <c r="F147" s="39">
        <f t="shared" si="3"/>
        <v>390.62555999999995</v>
      </c>
      <c r="G147" s="39">
        <v>0</v>
      </c>
      <c r="H147" s="39">
        <f t="shared" si="4"/>
        <v>585.93833999999993</v>
      </c>
      <c r="I147" s="33"/>
      <c r="L147" s="139"/>
      <c r="M147" s="139"/>
      <c r="N147" s="33"/>
    </row>
    <row r="148" spans="1:14" s="34" customFormat="1" ht="15.75" customHeight="1" x14ac:dyDescent="0.25">
      <c r="A148" s="39">
        <f t="shared" si="5"/>
        <v>6</v>
      </c>
      <c r="B148" s="39" t="s">
        <v>339</v>
      </c>
      <c r="C148" s="56">
        <v>2</v>
      </c>
      <c r="D148" s="62">
        <f>(52.08)*(10.764)</f>
        <v>560.58911999999998</v>
      </c>
      <c r="E148" s="39">
        <v>0</v>
      </c>
      <c r="F148" s="39">
        <f t="shared" si="3"/>
        <v>560.58911999999998</v>
      </c>
      <c r="G148" s="39">
        <v>0</v>
      </c>
      <c r="H148" s="39">
        <f t="shared" si="4"/>
        <v>840.88367999999991</v>
      </c>
      <c r="I148" s="33">
        <f>29-6</f>
        <v>23</v>
      </c>
      <c r="L148" s="139"/>
      <c r="M148" s="139"/>
    </row>
    <row r="149" spans="1:14" s="34" customFormat="1" x14ac:dyDescent="0.25">
      <c r="A149" s="101" t="s">
        <v>326</v>
      </c>
      <c r="B149" s="102"/>
      <c r="C149" s="102"/>
      <c r="D149" s="102"/>
      <c r="E149" s="102"/>
      <c r="F149" s="102"/>
      <c r="G149" s="102"/>
      <c r="H149" s="103"/>
      <c r="I149" s="33">
        <f>(3.05*5.43+2.15*3+2.9*3.5+3.05*3.5+3.2*2.45+2.1*1.3+1.35*2.1+1*2.4+1.62*1)*10.764</f>
        <v>659.41878599999984</v>
      </c>
      <c r="J149" s="34">
        <f>12500*H150</f>
        <v>10178034.749999998</v>
      </c>
      <c r="N149" s="33"/>
    </row>
    <row r="150" spans="1:14" s="34" customFormat="1" x14ac:dyDescent="0.25">
      <c r="A150" s="39">
        <v>1</v>
      </c>
      <c r="B150" s="39" t="s">
        <v>339</v>
      </c>
      <c r="C150" s="56">
        <v>2</v>
      </c>
      <c r="D150" s="62">
        <f>(50.43)*(10.764)</f>
        <v>542.82851999999991</v>
      </c>
      <c r="E150" s="39">
        <v>0</v>
      </c>
      <c r="F150" s="39">
        <f t="shared" ref="F150:F155" si="6">D150+E150</f>
        <v>542.82851999999991</v>
      </c>
      <c r="G150" s="39">
        <v>0</v>
      </c>
      <c r="H150" s="39">
        <f>F150*(($H$138)+1)+(IF(G150&lt;101,G150,IF(G150&lt;201,G150/2,IF(G150&lt;=301,G150/3,G150/4))))</f>
        <v>814.24277999999981</v>
      </c>
      <c r="I150" s="33"/>
      <c r="J150" s="34">
        <f t="shared" ref="J150:J161" si="7">12500*H151</f>
        <v>7324229.2499999991</v>
      </c>
      <c r="N150" s="33"/>
    </row>
    <row r="151" spans="1:14" s="34" customFormat="1" x14ac:dyDescent="0.25">
      <c r="A151" s="39">
        <f>A150+1</f>
        <v>2</v>
      </c>
      <c r="B151" s="39" t="s">
        <v>339</v>
      </c>
      <c r="C151" s="56">
        <v>1</v>
      </c>
      <c r="D151" s="62">
        <f>(36.29)*(10.764)</f>
        <v>390.62555999999995</v>
      </c>
      <c r="E151" s="39">
        <v>0</v>
      </c>
      <c r="F151" s="39">
        <f t="shared" si="6"/>
        <v>390.62555999999995</v>
      </c>
      <c r="G151" s="39">
        <v>0</v>
      </c>
      <c r="H151" s="39">
        <f>F151*(($H$138)+1)+(IF(G151&lt;101,G151,IF(G151&lt;201,G151/2,IF(G151&lt;=301,G151/3,G151/4))))</f>
        <v>585.93833999999993</v>
      </c>
      <c r="I151" s="33"/>
      <c r="J151" s="34">
        <f t="shared" si="7"/>
        <v>6640042.4999999981</v>
      </c>
      <c r="N151" s="33"/>
    </row>
    <row r="152" spans="1:14" s="34" customFormat="1" x14ac:dyDescent="0.25">
      <c r="A152" s="39">
        <f>A151+1</f>
        <v>3</v>
      </c>
      <c r="B152" s="39" t="s">
        <v>339</v>
      </c>
      <c r="C152" s="56">
        <v>1</v>
      </c>
      <c r="D152" s="62">
        <f>(32.9)*(10.764)</f>
        <v>354.13559999999995</v>
      </c>
      <c r="E152" s="39">
        <v>0</v>
      </c>
      <c r="F152" s="39">
        <f t="shared" si="6"/>
        <v>354.13559999999995</v>
      </c>
      <c r="G152" s="39">
        <v>0</v>
      </c>
      <c r="H152" s="39">
        <f>F152*(($H$138)+1)+(IF(G152&lt;101,G152,IF(G152&lt;201,G152/2,IF(G152&lt;=301,G152/3,G152/4))))</f>
        <v>531.20339999999987</v>
      </c>
      <c r="I152" s="33"/>
      <c r="J152" s="34">
        <f t="shared" si="7"/>
        <v>6640042.4999999981</v>
      </c>
      <c r="N152" s="33"/>
    </row>
    <row r="153" spans="1:14" s="34" customFormat="1" x14ac:dyDescent="0.25">
      <c r="A153" s="39">
        <f>A152+1</f>
        <v>4</v>
      </c>
      <c r="B153" s="39" t="s">
        <v>339</v>
      </c>
      <c r="C153" s="56">
        <v>1</v>
      </c>
      <c r="D153" s="62">
        <f>(32.9)*(10.764)</f>
        <v>354.13559999999995</v>
      </c>
      <c r="E153" s="39">
        <v>0</v>
      </c>
      <c r="F153" s="39">
        <f t="shared" si="6"/>
        <v>354.13559999999995</v>
      </c>
      <c r="G153" s="39">
        <v>0</v>
      </c>
      <c r="H153" s="39">
        <f>F153*(($H$138)+1)+(IF(G153&lt;101,G153,IF(G153&lt;201,G153/2,IF(G153&lt;=301,G153/3,G153/4))))</f>
        <v>531.20339999999987</v>
      </c>
      <c r="I153" s="33"/>
      <c r="J153" s="34">
        <f t="shared" si="7"/>
        <v>7324229.2499999991</v>
      </c>
      <c r="N153" s="33"/>
    </row>
    <row r="154" spans="1:14" s="34" customFormat="1" x14ac:dyDescent="0.25">
      <c r="A154" s="39">
        <f t="shared" ref="A154:A155" si="8">A153+1</f>
        <v>5</v>
      </c>
      <c r="B154" s="39" t="s">
        <v>339</v>
      </c>
      <c r="C154" s="56">
        <v>1</v>
      </c>
      <c r="D154" s="62">
        <f>(36.29)*(10.764)</f>
        <v>390.62555999999995</v>
      </c>
      <c r="E154" s="39">
        <v>0</v>
      </c>
      <c r="F154" s="39">
        <f t="shared" si="6"/>
        <v>390.62555999999995</v>
      </c>
      <c r="G154" s="39">
        <v>0</v>
      </c>
      <c r="H154" s="39">
        <f>F154*(($H$138)+1)+(IF(G154&lt;101,G154,IF(G154&lt;201,G154/2,IF(G154&lt;=301,G154/3,G154/4))))</f>
        <v>585.93833999999993</v>
      </c>
      <c r="I154" s="33"/>
      <c r="J154" s="34">
        <f t="shared" si="7"/>
        <v>10511045.999999998</v>
      </c>
      <c r="N154" s="33"/>
    </row>
    <row r="155" spans="1:14" s="34" customFormat="1" x14ac:dyDescent="0.25">
      <c r="A155" s="39">
        <f t="shared" si="8"/>
        <v>6</v>
      </c>
      <c r="B155" s="39" t="s">
        <v>339</v>
      </c>
      <c r="C155" s="56">
        <v>2</v>
      </c>
      <c r="D155" s="62">
        <f>(52.08)*(10.764)</f>
        <v>560.58911999999998</v>
      </c>
      <c r="E155" s="39">
        <v>0</v>
      </c>
      <c r="F155" s="39">
        <f t="shared" si="6"/>
        <v>560.58911999999998</v>
      </c>
      <c r="G155" s="39">
        <v>0</v>
      </c>
      <c r="H155" s="39">
        <f t="shared" ref="H155:H162" si="9">F155*(($H$138)+1)+(IF(G155&lt;101,G155,IF(G155&lt;201,G155/2,IF(G155&lt;=301,G155/3,G155/4))))</f>
        <v>840.88367999999991</v>
      </c>
      <c r="I155" s="33"/>
      <c r="N155" s="33"/>
    </row>
    <row r="156" spans="1:14" s="34" customFormat="1" x14ac:dyDescent="0.25">
      <c r="A156" s="101" t="s">
        <v>323</v>
      </c>
      <c r="B156" s="102"/>
      <c r="C156" s="102"/>
      <c r="D156" s="102"/>
      <c r="E156" s="102"/>
      <c r="F156" s="102"/>
      <c r="G156" s="102"/>
      <c r="H156" s="103"/>
      <c r="I156" s="63">
        <v>10.763999999999999</v>
      </c>
      <c r="J156" s="34">
        <f t="shared" si="7"/>
        <v>10178034.749999998</v>
      </c>
      <c r="N156" s="33"/>
    </row>
    <row r="157" spans="1:14" s="34" customFormat="1" x14ac:dyDescent="0.25">
      <c r="A157" s="39">
        <v>1</v>
      </c>
      <c r="B157" s="39" t="s">
        <v>339</v>
      </c>
      <c r="C157" s="56">
        <v>2</v>
      </c>
      <c r="D157" s="62">
        <f>(50.43)*(10.764)</f>
        <v>542.82851999999991</v>
      </c>
      <c r="E157" s="39">
        <v>0</v>
      </c>
      <c r="F157" s="39">
        <f>D157+E157</f>
        <v>542.82851999999991</v>
      </c>
      <c r="G157" s="39">
        <v>0</v>
      </c>
      <c r="H157" s="39">
        <f t="shared" si="9"/>
        <v>814.24277999999981</v>
      </c>
      <c r="I157" s="33"/>
      <c r="J157" s="34" t="e">
        <f t="shared" si="7"/>
        <v>#VALUE!</v>
      </c>
      <c r="N157" s="33"/>
    </row>
    <row r="158" spans="1:14" s="34" customFormat="1" x14ac:dyDescent="0.25">
      <c r="A158" s="39">
        <f>A157+1</f>
        <v>2</v>
      </c>
      <c r="B158" s="84" t="s">
        <v>304</v>
      </c>
      <c r="C158" s="85"/>
      <c r="D158" s="85"/>
      <c r="E158" s="85"/>
      <c r="F158" s="85"/>
      <c r="G158" s="86"/>
      <c r="H158" s="39" t="s">
        <v>324</v>
      </c>
      <c r="I158" s="33"/>
      <c r="J158" s="34">
        <f t="shared" si="7"/>
        <v>6640042.4999999981</v>
      </c>
      <c r="N158" s="33"/>
    </row>
    <row r="159" spans="1:14" s="34" customFormat="1" x14ac:dyDescent="0.25">
      <c r="A159" s="39">
        <f>A158+1</f>
        <v>3</v>
      </c>
      <c r="B159" s="39" t="s">
        <v>339</v>
      </c>
      <c r="C159" s="56">
        <v>1</v>
      </c>
      <c r="D159" s="62">
        <f>(32.9)*(10.764)</f>
        <v>354.13559999999995</v>
      </c>
      <c r="E159" s="39">
        <v>0</v>
      </c>
      <c r="F159" s="39">
        <f t="shared" ref="F159:F168" si="10">D159+E159</f>
        <v>354.13559999999995</v>
      </c>
      <c r="G159" s="39">
        <v>0</v>
      </c>
      <c r="H159" s="39">
        <f t="shared" si="9"/>
        <v>531.20339999999987</v>
      </c>
      <c r="I159" s="33"/>
      <c r="J159" s="34">
        <f t="shared" si="7"/>
        <v>6640042.4999999981</v>
      </c>
      <c r="N159" s="33"/>
    </row>
    <row r="160" spans="1:14" s="34" customFormat="1" x14ac:dyDescent="0.25">
      <c r="A160" s="39">
        <f>A159+1</f>
        <v>4</v>
      </c>
      <c r="B160" s="39" t="s">
        <v>339</v>
      </c>
      <c r="C160" s="56">
        <v>1</v>
      </c>
      <c r="D160" s="62">
        <f>(32.9)*(10.764)</f>
        <v>354.13559999999995</v>
      </c>
      <c r="E160" s="39">
        <v>0</v>
      </c>
      <c r="F160" s="39">
        <f t="shared" si="10"/>
        <v>354.13559999999995</v>
      </c>
      <c r="G160" s="39">
        <v>0</v>
      </c>
      <c r="H160" s="39">
        <f t="shared" si="9"/>
        <v>531.20339999999987</v>
      </c>
      <c r="I160" s="33"/>
      <c r="J160" s="34">
        <f t="shared" si="7"/>
        <v>7324229.2499999991</v>
      </c>
      <c r="N160" s="33"/>
    </row>
    <row r="161" spans="1:20" s="34" customFormat="1" x14ac:dyDescent="0.25">
      <c r="A161" s="39">
        <f t="shared" ref="A161:A162" si="11">A160+1</f>
        <v>5</v>
      </c>
      <c r="B161" s="39" t="s">
        <v>339</v>
      </c>
      <c r="C161" s="56">
        <v>1</v>
      </c>
      <c r="D161" s="62">
        <f>(36.29)*(10.764)</f>
        <v>390.62555999999995</v>
      </c>
      <c r="E161" s="39">
        <v>0</v>
      </c>
      <c r="F161" s="39">
        <f t="shared" si="10"/>
        <v>390.62555999999995</v>
      </c>
      <c r="G161" s="39">
        <v>0</v>
      </c>
      <c r="H161" s="39">
        <f t="shared" si="9"/>
        <v>585.93833999999993</v>
      </c>
      <c r="I161" s="33"/>
      <c r="J161" s="34">
        <f t="shared" si="7"/>
        <v>10511045.999999998</v>
      </c>
      <c r="N161" s="33"/>
    </row>
    <row r="162" spans="1:20" s="34" customFormat="1" ht="15.75" customHeight="1" x14ac:dyDescent="0.25">
      <c r="A162" s="39">
        <f t="shared" si="11"/>
        <v>6</v>
      </c>
      <c r="B162" s="39" t="s">
        <v>339</v>
      </c>
      <c r="C162" s="56">
        <v>2</v>
      </c>
      <c r="D162" s="62">
        <f>(52.08)*(10.764)</f>
        <v>560.58911999999998</v>
      </c>
      <c r="E162" s="39">
        <v>0</v>
      </c>
      <c r="F162" s="39">
        <f t="shared" si="10"/>
        <v>560.58911999999998</v>
      </c>
      <c r="G162" s="39">
        <v>0</v>
      </c>
      <c r="H162" s="39">
        <f t="shared" si="9"/>
        <v>840.88367999999991</v>
      </c>
      <c r="I162" s="33">
        <f>6</f>
        <v>6</v>
      </c>
    </row>
    <row r="163" spans="1:20" s="34" customFormat="1" ht="15.75" customHeight="1" x14ac:dyDescent="0.25">
      <c r="A163" s="39">
        <v>7</v>
      </c>
      <c r="B163" s="39" t="s">
        <v>339</v>
      </c>
      <c r="C163" s="56">
        <v>2</v>
      </c>
      <c r="D163" s="62">
        <f>(52.69)*(10.764)</f>
        <v>567.15515999999991</v>
      </c>
      <c r="E163" s="63">
        <f>(2.93)*10.764</f>
        <v>31.538519999999998</v>
      </c>
      <c r="F163" s="39">
        <f t="shared" si="10"/>
        <v>598.69367999999986</v>
      </c>
      <c r="G163" s="39">
        <v>0</v>
      </c>
      <c r="H163" s="39">
        <f t="shared" ref="H163" si="12">F163*(($H$138)+1)+(IF(G163&lt;101,G163,IF(G163&lt;201,G163/2,IF(G163&lt;=301,G163/3,G163/4))))</f>
        <v>898.04051999999979</v>
      </c>
      <c r="I163" s="33"/>
      <c r="J163" s="34">
        <f>2.74*1.22</f>
        <v>3.3428</v>
      </c>
    </row>
    <row r="164" spans="1:20" s="34" customFormat="1" ht="15.75" customHeight="1" x14ac:dyDescent="0.25">
      <c r="A164" s="39">
        <f>A163+1</f>
        <v>8</v>
      </c>
      <c r="B164" s="39" t="s">
        <v>339</v>
      </c>
      <c r="C164" s="56">
        <v>1</v>
      </c>
      <c r="D164" s="62">
        <f>(37)*(10.764)</f>
        <v>398.26799999999997</v>
      </c>
      <c r="E164" s="63">
        <f>(2.93)*10.764</f>
        <v>31.538519999999998</v>
      </c>
      <c r="F164" s="39">
        <f t="shared" si="10"/>
        <v>429.80651999999998</v>
      </c>
      <c r="G164" s="39">
        <v>0</v>
      </c>
      <c r="H164" s="39">
        <f t="shared" ref="H164:H168" si="13">F164*(($H$138)+1)+(IF(G164&lt;101,G164,IF(G164&lt;201,G164/2,IF(G164&lt;=301,G164/3,G164/4))))</f>
        <v>644.70977999999991</v>
      </c>
      <c r="I164" s="33"/>
    </row>
    <row r="165" spans="1:20" s="34" customFormat="1" ht="15.75" customHeight="1" x14ac:dyDescent="0.25">
      <c r="A165" s="39">
        <f>A164+1</f>
        <v>9</v>
      </c>
      <c r="B165" s="39" t="s">
        <v>339</v>
      </c>
      <c r="C165" s="56">
        <v>1</v>
      </c>
      <c r="D165" s="62">
        <f>(38.85)*(10.764)</f>
        <v>418.1814</v>
      </c>
      <c r="E165" s="63">
        <f>(2.5)*10.764</f>
        <v>26.909999999999997</v>
      </c>
      <c r="F165" s="39">
        <f t="shared" si="10"/>
        <v>445.09140000000002</v>
      </c>
      <c r="G165" s="39">
        <v>0</v>
      </c>
      <c r="H165" s="39">
        <f t="shared" si="13"/>
        <v>667.63710000000003</v>
      </c>
      <c r="I165" s="33"/>
    </row>
    <row r="166" spans="1:20" s="34" customFormat="1" ht="15.75" customHeight="1" x14ac:dyDescent="0.25">
      <c r="A166" s="39">
        <f>A165+1</f>
        <v>10</v>
      </c>
      <c r="B166" s="39" t="s">
        <v>339</v>
      </c>
      <c r="C166" s="56">
        <v>1</v>
      </c>
      <c r="D166" s="62">
        <f>(38.85)*(10.764)</f>
        <v>418.1814</v>
      </c>
      <c r="E166" s="63">
        <f>(2.5)*10.764</f>
        <v>26.909999999999997</v>
      </c>
      <c r="F166" s="39">
        <f t="shared" si="10"/>
        <v>445.09140000000002</v>
      </c>
      <c r="G166" s="39">
        <v>0</v>
      </c>
      <c r="H166" s="39">
        <f t="shared" si="13"/>
        <v>667.63710000000003</v>
      </c>
      <c r="I166" s="33"/>
    </row>
    <row r="167" spans="1:20" s="34" customFormat="1" ht="15.75" customHeight="1" x14ac:dyDescent="0.25">
      <c r="A167" s="39">
        <f t="shared" ref="A167:A168" si="14">A166+1</f>
        <v>11</v>
      </c>
      <c r="B167" s="39" t="s">
        <v>339</v>
      </c>
      <c r="C167" s="56">
        <v>1</v>
      </c>
      <c r="D167" s="62">
        <f>(37)*(10.764)</f>
        <v>398.26799999999997</v>
      </c>
      <c r="E167" s="63">
        <f>(2.93)*10.764</f>
        <v>31.538519999999998</v>
      </c>
      <c r="F167" s="39">
        <f t="shared" si="10"/>
        <v>429.80651999999998</v>
      </c>
      <c r="G167" s="39">
        <v>0</v>
      </c>
      <c r="H167" s="39">
        <f t="shared" si="13"/>
        <v>644.70977999999991</v>
      </c>
      <c r="I167" s="33"/>
    </row>
    <row r="168" spans="1:20" s="34" customFormat="1" x14ac:dyDescent="0.25">
      <c r="A168" s="39">
        <f t="shared" si="14"/>
        <v>12</v>
      </c>
      <c r="B168" s="39" t="s">
        <v>339</v>
      </c>
      <c r="C168" s="56">
        <v>2</v>
      </c>
      <c r="D168" s="62">
        <f>(51.05)*(10.764)</f>
        <v>549.5021999999999</v>
      </c>
      <c r="E168" s="63">
        <f>(2.93)*10.764</f>
        <v>31.538519999999998</v>
      </c>
      <c r="F168" s="39">
        <f t="shared" si="10"/>
        <v>581.04071999999985</v>
      </c>
      <c r="G168" s="39">
        <v>0</v>
      </c>
      <c r="H168" s="39">
        <f t="shared" si="13"/>
        <v>871.56107999999972</v>
      </c>
      <c r="I168" s="33"/>
    </row>
    <row r="169" spans="1:20" s="34" customFormat="1" ht="33.75" customHeight="1" x14ac:dyDescent="0.25">
      <c r="A169" s="101" t="s">
        <v>325</v>
      </c>
      <c r="B169" s="102"/>
      <c r="C169" s="102"/>
      <c r="D169" s="102"/>
      <c r="E169" s="102"/>
      <c r="F169" s="102"/>
      <c r="G169" s="102"/>
      <c r="H169" s="103"/>
      <c r="I169" s="33"/>
    </row>
    <row r="170" spans="1:20" s="34" customFormat="1" ht="15.75" customHeight="1" x14ac:dyDescent="0.25">
      <c r="A170" s="39">
        <v>1</v>
      </c>
      <c r="B170" s="39" t="s">
        <v>339</v>
      </c>
      <c r="C170" s="56">
        <v>2</v>
      </c>
      <c r="D170" s="62">
        <f>(50.43)*(10.764)</f>
        <v>542.82851999999991</v>
      </c>
      <c r="E170" s="39">
        <v>0</v>
      </c>
      <c r="F170" s="39">
        <f t="shared" ref="F170:F181" si="15">D170+E170</f>
        <v>542.82851999999991</v>
      </c>
      <c r="G170" s="39">
        <v>0</v>
      </c>
      <c r="H170" s="39">
        <f t="shared" ref="H170:H171" si="16">F170*(($H$138)+1)+(IF(G170&lt;101,G170,IF(G170&lt;201,G170/2,IF(G170&lt;=301,G170/3,G170/4))))</f>
        <v>814.24277999999981</v>
      </c>
      <c r="I170" s="33"/>
    </row>
    <row r="171" spans="1:20" s="34" customFormat="1" ht="15.75" customHeight="1" x14ac:dyDescent="0.25">
      <c r="A171" s="39">
        <f t="shared" ref="A171:A175" si="17">A170+1</f>
        <v>2</v>
      </c>
      <c r="B171" s="39" t="s">
        <v>339</v>
      </c>
      <c r="C171" s="56">
        <v>1</v>
      </c>
      <c r="D171" s="62">
        <f>(36.29)*(10.764)</f>
        <v>390.62555999999995</v>
      </c>
      <c r="E171" s="39">
        <v>0</v>
      </c>
      <c r="F171" s="39">
        <f t="shared" si="15"/>
        <v>390.62555999999995</v>
      </c>
      <c r="G171" s="39">
        <v>0</v>
      </c>
      <c r="H171" s="39">
        <f t="shared" si="16"/>
        <v>585.93833999999993</v>
      </c>
      <c r="I171" s="33"/>
    </row>
    <row r="172" spans="1:20" s="34" customFormat="1" ht="15.75" customHeight="1" x14ac:dyDescent="0.25">
      <c r="A172" s="39">
        <f t="shared" si="17"/>
        <v>3</v>
      </c>
      <c r="B172" s="39" t="s">
        <v>339</v>
      </c>
      <c r="C172" s="56">
        <v>1</v>
      </c>
      <c r="D172" s="62">
        <f>(32.9)*(10.764)</f>
        <v>354.13559999999995</v>
      </c>
      <c r="E172" s="39">
        <v>0</v>
      </c>
      <c r="F172" s="39">
        <f t="shared" si="15"/>
        <v>354.13559999999995</v>
      </c>
      <c r="G172" s="39">
        <v>0</v>
      </c>
      <c r="H172" s="39">
        <f t="shared" ref="H172:H181" si="18">F172*(($H$138)+1)+(IF(G172&lt;101,G172,IF(G172&lt;201,G172/2,IF(G172&lt;=301,G172/3,G172/4))))</f>
        <v>531.20339999999987</v>
      </c>
      <c r="I172" s="33"/>
    </row>
    <row r="173" spans="1:20" s="34" customFormat="1" ht="15.75" customHeight="1" x14ac:dyDescent="0.25">
      <c r="A173" s="39">
        <f t="shared" si="17"/>
        <v>4</v>
      </c>
      <c r="B173" s="39" t="s">
        <v>339</v>
      </c>
      <c r="C173" s="56">
        <v>1</v>
      </c>
      <c r="D173" s="62">
        <f>(32.9)*(10.764)</f>
        <v>354.13559999999995</v>
      </c>
      <c r="E173" s="39">
        <v>0</v>
      </c>
      <c r="F173" s="39">
        <f t="shared" si="15"/>
        <v>354.13559999999995</v>
      </c>
      <c r="G173" s="39">
        <v>0</v>
      </c>
      <c r="H173" s="39">
        <f t="shared" si="18"/>
        <v>531.20339999999987</v>
      </c>
      <c r="I173" s="33"/>
    </row>
    <row r="174" spans="1:20" s="34" customFormat="1" ht="15.75" customHeight="1" x14ac:dyDescent="0.25">
      <c r="A174" s="39">
        <f t="shared" si="17"/>
        <v>5</v>
      </c>
      <c r="B174" s="39" t="s">
        <v>339</v>
      </c>
      <c r="C174" s="56">
        <v>1</v>
      </c>
      <c r="D174" s="62">
        <f>(36.29)*(10.764)</f>
        <v>390.62555999999995</v>
      </c>
      <c r="E174" s="39">
        <v>0</v>
      </c>
      <c r="F174" s="39">
        <f t="shared" si="15"/>
        <v>390.62555999999995</v>
      </c>
      <c r="G174" s="39">
        <v>0</v>
      </c>
      <c r="H174" s="39">
        <f t="shared" si="18"/>
        <v>585.93833999999993</v>
      </c>
      <c r="I174" s="33"/>
    </row>
    <row r="175" spans="1:20" s="32" customFormat="1" x14ac:dyDescent="0.25">
      <c r="A175" s="39">
        <f t="shared" si="17"/>
        <v>6</v>
      </c>
      <c r="B175" s="39" t="s">
        <v>339</v>
      </c>
      <c r="C175" s="56">
        <v>2</v>
      </c>
      <c r="D175" s="62">
        <f>(52.08)*(10.764)</f>
        <v>560.58911999999998</v>
      </c>
      <c r="E175" s="39">
        <v>0</v>
      </c>
      <c r="F175" s="39">
        <f t="shared" si="15"/>
        <v>560.58911999999998</v>
      </c>
      <c r="G175" s="39">
        <v>0</v>
      </c>
      <c r="H175" s="39">
        <f t="shared" si="18"/>
        <v>840.88367999999991</v>
      </c>
      <c r="T175" s="34"/>
    </row>
    <row r="176" spans="1:20" s="32" customFormat="1" x14ac:dyDescent="0.25">
      <c r="A176" s="39">
        <v>7</v>
      </c>
      <c r="B176" s="39" t="s">
        <v>339</v>
      </c>
      <c r="C176" s="56">
        <v>2</v>
      </c>
      <c r="D176" s="62">
        <f>(52.69)*(10.764)</f>
        <v>567.15515999999991</v>
      </c>
      <c r="E176" s="63">
        <f>(2.93)*10.764</f>
        <v>31.538519999999998</v>
      </c>
      <c r="F176" s="39">
        <f t="shared" si="15"/>
        <v>598.69367999999986</v>
      </c>
      <c r="G176" s="39">
        <v>0</v>
      </c>
      <c r="H176" s="39">
        <f t="shared" si="18"/>
        <v>898.04051999999979</v>
      </c>
      <c r="T176" s="34"/>
    </row>
    <row r="177" spans="1:20" s="32" customFormat="1" x14ac:dyDescent="0.25">
      <c r="A177" s="39">
        <f t="shared" ref="A177:A181" si="19">A176+1</f>
        <v>8</v>
      </c>
      <c r="B177" s="39" t="s">
        <v>339</v>
      </c>
      <c r="C177" s="56">
        <v>1</v>
      </c>
      <c r="D177" s="62">
        <f>(37)*(10.764)</f>
        <v>398.26799999999997</v>
      </c>
      <c r="E177" s="63">
        <f>(2.93)*10.764</f>
        <v>31.538519999999998</v>
      </c>
      <c r="F177" s="39">
        <f t="shared" si="15"/>
        <v>429.80651999999998</v>
      </c>
      <c r="G177" s="39">
        <v>0</v>
      </c>
      <c r="H177" s="39">
        <f t="shared" si="18"/>
        <v>644.70977999999991</v>
      </c>
      <c r="T177" s="34"/>
    </row>
    <row r="178" spans="1:20" s="32" customFormat="1" x14ac:dyDescent="0.25">
      <c r="A178" s="39">
        <f t="shared" si="19"/>
        <v>9</v>
      </c>
      <c r="B178" s="39" t="s">
        <v>339</v>
      </c>
      <c r="C178" s="56">
        <v>1</v>
      </c>
      <c r="D178" s="62">
        <f>(38.85)*(10.764)</f>
        <v>418.1814</v>
      </c>
      <c r="E178" s="63">
        <f>(2.5)*10.764</f>
        <v>26.909999999999997</v>
      </c>
      <c r="F178" s="39">
        <f t="shared" si="15"/>
        <v>445.09140000000002</v>
      </c>
      <c r="G178" s="39">
        <v>0</v>
      </c>
      <c r="H178" s="39">
        <f t="shared" si="18"/>
        <v>667.63710000000003</v>
      </c>
    </row>
    <row r="179" spans="1:20" s="32" customFormat="1" x14ac:dyDescent="0.25">
      <c r="A179" s="39">
        <f t="shared" si="19"/>
        <v>10</v>
      </c>
      <c r="B179" s="39" t="s">
        <v>339</v>
      </c>
      <c r="C179" s="56">
        <v>1</v>
      </c>
      <c r="D179" s="62">
        <f>(38.85)*(10.764)</f>
        <v>418.1814</v>
      </c>
      <c r="E179" s="63">
        <f>(2.5)*10.764</f>
        <v>26.909999999999997</v>
      </c>
      <c r="F179" s="39">
        <f t="shared" si="15"/>
        <v>445.09140000000002</v>
      </c>
      <c r="G179" s="39">
        <v>0</v>
      </c>
      <c r="H179" s="39">
        <f t="shared" si="18"/>
        <v>667.63710000000003</v>
      </c>
    </row>
    <row r="180" spans="1:20" s="32" customFormat="1" x14ac:dyDescent="0.25">
      <c r="A180" s="39">
        <f t="shared" si="19"/>
        <v>11</v>
      </c>
      <c r="B180" s="39" t="s">
        <v>339</v>
      </c>
      <c r="C180" s="56">
        <v>1</v>
      </c>
      <c r="D180" s="62">
        <f>(37)*(10.764)</f>
        <v>398.26799999999997</v>
      </c>
      <c r="E180" s="63">
        <f>(2.93)*10.764</f>
        <v>31.538519999999998</v>
      </c>
      <c r="F180" s="39">
        <f t="shared" si="15"/>
        <v>429.80651999999998</v>
      </c>
      <c r="G180" s="39">
        <v>0</v>
      </c>
      <c r="H180" s="39">
        <f t="shared" si="18"/>
        <v>644.70977999999991</v>
      </c>
    </row>
    <row r="181" spans="1:20" s="32" customFormat="1" x14ac:dyDescent="0.25">
      <c r="A181" s="39">
        <f t="shared" si="19"/>
        <v>12</v>
      </c>
      <c r="B181" s="39" t="s">
        <v>339</v>
      </c>
      <c r="C181" s="56">
        <v>2</v>
      </c>
      <c r="D181" s="62">
        <f>(51.05)*(10.764)</f>
        <v>549.5021999999999</v>
      </c>
      <c r="E181" s="63">
        <f>(2.93)*10.764</f>
        <v>31.538519999999998</v>
      </c>
      <c r="F181" s="39">
        <f t="shared" si="15"/>
        <v>581.04071999999985</v>
      </c>
      <c r="G181" s="39">
        <v>0</v>
      </c>
      <c r="H181" s="39">
        <f t="shared" si="18"/>
        <v>871.56107999999972</v>
      </c>
    </row>
    <row r="182" spans="1:20" s="34" customFormat="1" x14ac:dyDescent="0.25">
      <c r="A182" s="101" t="s">
        <v>328</v>
      </c>
      <c r="B182" s="102"/>
      <c r="C182" s="102"/>
      <c r="D182" s="102"/>
      <c r="E182" s="102"/>
      <c r="F182" s="102"/>
      <c r="G182" s="102"/>
      <c r="H182" s="103"/>
      <c r="I182" s="39">
        <v>10.763999999999999</v>
      </c>
      <c r="J182" s="33"/>
    </row>
    <row r="183" spans="1:20" s="34" customFormat="1" ht="15.75" customHeight="1" x14ac:dyDescent="0.25">
      <c r="A183" s="140" t="s">
        <v>365</v>
      </c>
      <c r="B183" s="141"/>
      <c r="C183" s="141"/>
      <c r="D183" s="141"/>
      <c r="E183" s="141"/>
      <c r="F183" s="141"/>
      <c r="G183" s="141"/>
      <c r="H183" s="142"/>
      <c r="J183" s="33"/>
    </row>
    <row r="184" spans="1:20" s="34" customFormat="1" ht="15.75" customHeight="1" x14ac:dyDescent="0.25">
      <c r="A184" s="101" t="s">
        <v>336</v>
      </c>
      <c r="B184" s="102"/>
      <c r="C184" s="102"/>
      <c r="D184" s="102"/>
      <c r="E184" s="102"/>
      <c r="F184" s="102"/>
      <c r="G184" s="102"/>
      <c r="H184" s="103"/>
      <c r="J184" s="33"/>
    </row>
    <row r="185" spans="1:20" s="34" customFormat="1" ht="15.75" customHeight="1" x14ac:dyDescent="0.25">
      <c r="A185" s="101" t="s">
        <v>322</v>
      </c>
      <c r="B185" s="102"/>
      <c r="C185" s="102"/>
      <c r="D185" s="102"/>
      <c r="E185" s="102"/>
      <c r="F185" s="102"/>
      <c r="G185" s="102"/>
      <c r="H185" s="103"/>
      <c r="I185" s="34">
        <v>5</v>
      </c>
      <c r="J185" s="33"/>
    </row>
    <row r="186" spans="1:20" s="34" customFormat="1" ht="15.75" customHeight="1" x14ac:dyDescent="0.25">
      <c r="A186" s="101" t="s">
        <v>366</v>
      </c>
      <c r="B186" s="102"/>
      <c r="C186" s="102"/>
      <c r="D186" s="102"/>
      <c r="E186" s="102"/>
      <c r="F186" s="102"/>
      <c r="G186" s="102"/>
      <c r="H186" s="103"/>
      <c r="I186" s="68">
        <f>2.73*4.65+2.68*2.13+2.73*3.89+2.16*1.3+2.24*2.74+2.03*1.3+0.89*1.4+1.1*2.23+2.4</f>
        <v>46.70620000000001</v>
      </c>
      <c r="J186" s="33">
        <f>(10.764)*(10.764)</f>
        <v>115.86369599999999</v>
      </c>
      <c r="L186" s="139"/>
      <c r="M186" s="139"/>
      <c r="N186" s="33"/>
      <c r="T186" s="18"/>
    </row>
    <row r="187" spans="1:20" s="34" customFormat="1" ht="15.75" customHeight="1" x14ac:dyDescent="0.25">
      <c r="A187" s="39">
        <v>1</v>
      </c>
      <c r="B187" s="70" t="s">
        <v>338</v>
      </c>
      <c r="C187" s="71">
        <v>2</v>
      </c>
      <c r="D187" s="63">
        <f>(51.47)*(10.764)</f>
        <v>554.02307999999994</v>
      </c>
      <c r="E187" s="63">
        <f>(2.74*1.22)*(10.764)</f>
        <v>35.981899200000001</v>
      </c>
      <c r="F187" s="70">
        <f t="shared" ref="F187:F192" si="20">D187+E187</f>
        <v>590.00497919999998</v>
      </c>
      <c r="G187" s="39">
        <v>0</v>
      </c>
      <c r="H187" s="39">
        <f t="shared" ref="H187:H192" si="21">F187*(($H$138)+1)+(IF(G187&lt;101,G187,IF(G187&lt;201,G187/2,IF(G187&lt;=301,G187/3,G187/4))))</f>
        <v>885.00746879999997</v>
      </c>
      <c r="I187" s="68"/>
      <c r="L187" s="139"/>
      <c r="M187" s="139"/>
      <c r="N187" s="33"/>
    </row>
    <row r="188" spans="1:20" s="34" customFormat="1" ht="15.75" customHeight="1" x14ac:dyDescent="0.25">
      <c r="A188" s="39">
        <v>2</v>
      </c>
      <c r="B188" s="69" t="s">
        <v>340</v>
      </c>
      <c r="C188" s="71">
        <v>1</v>
      </c>
      <c r="D188" s="63">
        <f>(38.32)*(10.764)</f>
        <v>412.47647999999998</v>
      </c>
      <c r="E188" s="70">
        <v>0</v>
      </c>
      <c r="F188" s="39">
        <f t="shared" si="20"/>
        <v>412.47647999999998</v>
      </c>
      <c r="G188" s="39">
        <v>0</v>
      </c>
      <c r="H188" s="39">
        <f t="shared" si="21"/>
        <v>618.71471999999994</v>
      </c>
      <c r="I188" s="33"/>
      <c r="L188" s="139"/>
      <c r="M188" s="139"/>
      <c r="N188" s="33"/>
    </row>
    <row r="189" spans="1:20" s="34" customFormat="1" ht="15.75" customHeight="1" x14ac:dyDescent="0.25">
      <c r="A189" s="39">
        <v>3</v>
      </c>
      <c r="B189" s="69" t="s">
        <v>340</v>
      </c>
      <c r="C189" s="71">
        <v>1</v>
      </c>
      <c r="D189" s="63">
        <f>(33.26)*(10.764)</f>
        <v>358.01063999999997</v>
      </c>
      <c r="E189" s="70">
        <v>0</v>
      </c>
      <c r="F189" s="39">
        <f t="shared" si="20"/>
        <v>358.01063999999997</v>
      </c>
      <c r="G189" s="39">
        <v>0</v>
      </c>
      <c r="H189" s="39">
        <f t="shared" si="21"/>
        <v>537.01595999999995</v>
      </c>
      <c r="I189" s="68">
        <f>2.74*4.47+2.4*1.83+3.05*2.74+2.05*1.22+1.35*1.17+0.95*1.27+0.95*1.22</f>
        <v>31.442799999999998</v>
      </c>
      <c r="L189" s="139"/>
      <c r="M189" s="139"/>
      <c r="N189" s="33"/>
    </row>
    <row r="190" spans="1:20" s="34" customFormat="1" ht="15.75" customHeight="1" x14ac:dyDescent="0.25">
      <c r="A190" s="39">
        <v>4</v>
      </c>
      <c r="B190" s="69" t="s">
        <v>340</v>
      </c>
      <c r="C190" s="71">
        <v>1</v>
      </c>
      <c r="D190" s="63">
        <f>(33.26)*(10.764)</f>
        <v>358.01063999999997</v>
      </c>
      <c r="E190" s="70">
        <v>0</v>
      </c>
      <c r="F190" s="39">
        <f t="shared" si="20"/>
        <v>358.01063999999997</v>
      </c>
      <c r="G190" s="39">
        <v>0</v>
      </c>
      <c r="H190" s="39">
        <f t="shared" si="21"/>
        <v>537.01595999999995</v>
      </c>
      <c r="I190" s="68">
        <f>2.74*4.65+2.58*2.13+3*3.07+2*1.3+1.65*1.3+1.83*0.98+1.9*1.3</f>
        <v>36.454800000000006</v>
      </c>
      <c r="L190" s="139"/>
      <c r="M190" s="139"/>
      <c r="N190" s="33"/>
    </row>
    <row r="191" spans="1:20" s="34" customFormat="1" ht="15.75" customHeight="1" x14ac:dyDescent="0.25">
      <c r="A191" s="39">
        <v>5</v>
      </c>
      <c r="B191" s="69" t="s">
        <v>340</v>
      </c>
      <c r="C191" s="71">
        <v>1</v>
      </c>
      <c r="D191" s="63">
        <f>(38.32)*(10.764)</f>
        <v>412.47647999999998</v>
      </c>
      <c r="E191" s="70">
        <v>0</v>
      </c>
      <c r="F191" s="39">
        <f t="shared" si="20"/>
        <v>412.47647999999998</v>
      </c>
      <c r="G191" s="39">
        <v>0</v>
      </c>
      <c r="H191" s="39">
        <f t="shared" si="21"/>
        <v>618.71471999999994</v>
      </c>
      <c r="I191" s="33"/>
      <c r="L191" s="139"/>
      <c r="M191" s="139"/>
      <c r="N191" s="33"/>
    </row>
    <row r="192" spans="1:20" s="34" customFormat="1" ht="15.75" customHeight="1" x14ac:dyDescent="0.25">
      <c r="A192" s="39">
        <v>6</v>
      </c>
      <c r="B192" s="34" t="s">
        <v>339</v>
      </c>
      <c r="C192" s="71">
        <v>2</v>
      </c>
      <c r="D192" s="63">
        <f>(53.12)*(10.764)</f>
        <v>571.78367999999989</v>
      </c>
      <c r="E192" s="63">
        <f>(2.74*1.22)*(10.764)</f>
        <v>35.981899200000001</v>
      </c>
      <c r="F192" s="70">
        <f t="shared" si="20"/>
        <v>607.76557919999993</v>
      </c>
      <c r="G192" s="39">
        <v>0</v>
      </c>
      <c r="H192" s="39">
        <f t="shared" si="21"/>
        <v>911.64836879999984</v>
      </c>
      <c r="I192" s="34">
        <v>1</v>
      </c>
      <c r="J192" s="33"/>
    </row>
    <row r="193" spans="1:20" s="34" customFormat="1" ht="15.75" customHeight="1" x14ac:dyDescent="0.25">
      <c r="A193" s="101" t="s">
        <v>326</v>
      </c>
      <c r="B193" s="102"/>
      <c r="C193" s="102"/>
      <c r="D193" s="102"/>
      <c r="E193" s="102"/>
      <c r="F193" s="102"/>
      <c r="G193" s="102"/>
      <c r="H193" s="103"/>
      <c r="I193" s="68">
        <f>2.73*4.65+2.68*2.13+2.73*3.89+2.16*1.3+2.24*2.74+2.03*1.3+0.89*1.4+1.1*2.23+2.4</f>
        <v>46.70620000000001</v>
      </c>
      <c r="J193" s="33">
        <f>10.764</f>
        <v>10.763999999999999</v>
      </c>
      <c r="L193" s="139"/>
      <c r="M193" s="139"/>
      <c r="N193" s="33"/>
      <c r="T193" s="18"/>
    </row>
    <row r="194" spans="1:20" s="34" customFormat="1" ht="15.75" customHeight="1" x14ac:dyDescent="0.25">
      <c r="A194" s="39">
        <v>1</v>
      </c>
      <c r="B194" s="70" t="s">
        <v>338</v>
      </c>
      <c r="C194" s="71">
        <v>2</v>
      </c>
      <c r="D194" s="63">
        <f>(51.47)*(10.764)</f>
        <v>554.02307999999994</v>
      </c>
      <c r="E194" s="33">
        <f>(2.74*1.22)*(10.764)</f>
        <v>35.981899200000001</v>
      </c>
      <c r="F194" s="39">
        <f t="shared" ref="F194:F198" si="22">D194+E194</f>
        <v>590.00497919999998</v>
      </c>
      <c r="G194" s="39">
        <v>0</v>
      </c>
      <c r="H194" s="39">
        <f t="shared" ref="H194:H198" si="23">F194*(($H$138)+1)+(IF(G194&lt;101,G194,IF(G194&lt;201,G194/2,IF(G194&lt;=301,G194/3,G194/4))))</f>
        <v>885.00746879999997</v>
      </c>
      <c r="I194" s="68"/>
      <c r="L194" s="139"/>
      <c r="M194" s="139"/>
      <c r="N194" s="33"/>
    </row>
    <row r="195" spans="1:20" s="34" customFormat="1" ht="15.75" customHeight="1" x14ac:dyDescent="0.25">
      <c r="A195" s="39">
        <v>2</v>
      </c>
      <c r="B195" s="69" t="s">
        <v>340</v>
      </c>
      <c r="C195" s="71">
        <v>1</v>
      </c>
      <c r="D195" s="63">
        <f>(38.32)*(10.764)</f>
        <v>412.47647999999998</v>
      </c>
      <c r="E195" s="70">
        <v>0</v>
      </c>
      <c r="F195" s="39">
        <f t="shared" si="22"/>
        <v>412.47647999999998</v>
      </c>
      <c r="G195" s="39">
        <v>0</v>
      </c>
      <c r="H195" s="39">
        <f t="shared" si="23"/>
        <v>618.71471999999994</v>
      </c>
      <c r="I195" s="33"/>
      <c r="L195" s="139"/>
      <c r="M195" s="139"/>
      <c r="N195" s="33"/>
    </row>
    <row r="196" spans="1:20" s="34" customFormat="1" ht="15.75" customHeight="1" x14ac:dyDescent="0.25">
      <c r="A196" s="39">
        <v>3</v>
      </c>
      <c r="B196" s="69" t="s">
        <v>340</v>
      </c>
      <c r="C196" s="71">
        <v>1</v>
      </c>
      <c r="D196" s="63">
        <f>(33.26)*(10.764)</f>
        <v>358.01063999999997</v>
      </c>
      <c r="E196" s="70">
        <v>0</v>
      </c>
      <c r="F196" s="39">
        <f t="shared" si="22"/>
        <v>358.01063999999997</v>
      </c>
      <c r="G196" s="39">
        <v>0</v>
      </c>
      <c r="H196" s="39">
        <f t="shared" si="23"/>
        <v>537.01595999999995</v>
      </c>
      <c r="I196" s="68">
        <f>2.74*4.47+2.4*1.83+3.05*2.74+2.05*1.22+1.35*1.17+0.95*1.27+0.95*1.22</f>
        <v>31.442799999999998</v>
      </c>
      <c r="L196" s="139"/>
      <c r="M196" s="139"/>
      <c r="N196" s="33"/>
    </row>
    <row r="197" spans="1:20" s="34" customFormat="1" ht="15.75" customHeight="1" x14ac:dyDescent="0.25">
      <c r="A197" s="39">
        <v>4</v>
      </c>
      <c r="B197" s="69" t="s">
        <v>340</v>
      </c>
      <c r="C197" s="71">
        <v>1</v>
      </c>
      <c r="D197" s="63">
        <f>(33.26)*(10.764)</f>
        <v>358.01063999999997</v>
      </c>
      <c r="E197" s="70">
        <v>0</v>
      </c>
      <c r="F197" s="39">
        <f t="shared" si="22"/>
        <v>358.01063999999997</v>
      </c>
      <c r="G197" s="39">
        <v>0</v>
      </c>
      <c r="H197" s="39">
        <f t="shared" si="23"/>
        <v>537.01595999999995</v>
      </c>
      <c r="I197" s="68">
        <f>2.74*4.65+2.58*2.13+3*3.07+2*1.3+1.65*1.3+1.83*0.98+1.9*1.3</f>
        <v>36.454800000000006</v>
      </c>
      <c r="L197" s="139"/>
      <c r="M197" s="139"/>
      <c r="N197" s="33"/>
    </row>
    <row r="198" spans="1:20" s="34" customFormat="1" ht="15.75" customHeight="1" x14ac:dyDescent="0.25">
      <c r="A198" s="39">
        <v>5</v>
      </c>
      <c r="B198" s="69" t="s">
        <v>340</v>
      </c>
      <c r="C198" s="71">
        <v>1</v>
      </c>
      <c r="D198" s="63">
        <f>(38.32)*(10.764)</f>
        <v>412.47647999999998</v>
      </c>
      <c r="E198" s="70">
        <v>0</v>
      </c>
      <c r="F198" s="39">
        <f t="shared" si="22"/>
        <v>412.47647999999998</v>
      </c>
      <c r="G198" s="39">
        <v>0</v>
      </c>
      <c r="H198" s="39">
        <f t="shared" si="23"/>
        <v>618.71471999999994</v>
      </c>
      <c r="I198" s="68"/>
      <c r="J198" s="33">
        <f>10.764</f>
        <v>10.763999999999999</v>
      </c>
      <c r="L198" s="139"/>
      <c r="M198" s="139"/>
      <c r="N198" s="33"/>
      <c r="T198" s="18"/>
    </row>
    <row r="199" spans="1:20" s="34" customFormat="1" ht="15.75" customHeight="1" x14ac:dyDescent="0.25">
      <c r="A199" s="39">
        <v>6</v>
      </c>
      <c r="B199" s="70" t="s">
        <v>338</v>
      </c>
      <c r="C199" s="71">
        <v>2</v>
      </c>
      <c r="D199" s="63">
        <f>(53.12)*(10.764)</f>
        <v>571.78367999999989</v>
      </c>
      <c r="E199" s="33">
        <f>(2.74*1.22)*(10.764)</f>
        <v>35.981899200000001</v>
      </c>
      <c r="F199" s="39">
        <f t="shared" ref="F199" si="24">D199+E199</f>
        <v>607.76557919999993</v>
      </c>
      <c r="G199" s="39">
        <v>0</v>
      </c>
      <c r="H199" s="39">
        <f t="shared" ref="H199" si="25">F199*(($H$138)+1)+(IF(G199&lt;101,G199,IF(G199&lt;201,G199/2,IF(G199&lt;=301,G199/3,G199/4))))</f>
        <v>911.64836879999984</v>
      </c>
      <c r="I199" s="34">
        <v>1</v>
      </c>
      <c r="J199" s="33"/>
    </row>
    <row r="200" spans="1:20" s="34" customFormat="1" ht="15.75" customHeight="1" x14ac:dyDescent="0.25">
      <c r="A200" s="101" t="s">
        <v>341</v>
      </c>
      <c r="B200" s="102"/>
      <c r="C200" s="102"/>
      <c r="D200" s="102"/>
      <c r="E200" s="102"/>
      <c r="F200" s="102"/>
      <c r="G200" s="102"/>
      <c r="H200" s="103"/>
      <c r="I200" s="68">
        <f>2.73*4.65+2.68*2.13+2.73*3.89+2.16*1.3+2.24*2.74+2.03*1.3+0.89*1.4+1.1*2.23+2.4</f>
        <v>46.70620000000001</v>
      </c>
      <c r="J200" s="33"/>
      <c r="L200" s="139"/>
      <c r="M200" s="139"/>
      <c r="N200" s="33"/>
      <c r="T200" s="18"/>
    </row>
    <row r="201" spans="1:20" s="34" customFormat="1" ht="15.75" customHeight="1" x14ac:dyDescent="0.25">
      <c r="A201" s="39">
        <v>1</v>
      </c>
      <c r="B201" s="70" t="s">
        <v>338</v>
      </c>
      <c r="C201" s="56">
        <v>2</v>
      </c>
      <c r="D201" s="63">
        <f>(51.47)*(10.764)</f>
        <v>554.02307999999994</v>
      </c>
      <c r="E201" s="33">
        <f>(2.74*1.22)*(10.764)</f>
        <v>35.981899200000001</v>
      </c>
      <c r="F201" s="39">
        <f t="shared" ref="F201:F204" si="26">D201+E201</f>
        <v>590.00497919999998</v>
      </c>
      <c r="G201" s="39">
        <v>0</v>
      </c>
      <c r="H201" s="39">
        <f t="shared" ref="H201:H204" si="27">F201*(($H$138)+1)+(IF(G201&lt;101,G201,IF(G201&lt;201,G201/2,IF(G201&lt;=301,G201/3,G201/4))))</f>
        <v>885.00746879999997</v>
      </c>
      <c r="I201" s="68"/>
      <c r="L201" s="139"/>
      <c r="M201" s="139"/>
      <c r="N201" s="33"/>
    </row>
    <row r="202" spans="1:20" s="34" customFormat="1" ht="15.75" customHeight="1" x14ac:dyDescent="0.25">
      <c r="A202" s="39">
        <v>2</v>
      </c>
      <c r="B202" s="69" t="s">
        <v>340</v>
      </c>
      <c r="C202" s="56">
        <v>1</v>
      </c>
      <c r="D202" s="63">
        <f>(38.32)*(10.764)</f>
        <v>412.47647999999998</v>
      </c>
      <c r="E202" s="70">
        <v>0</v>
      </c>
      <c r="F202" s="39">
        <f t="shared" si="26"/>
        <v>412.47647999999998</v>
      </c>
      <c r="G202" s="39">
        <v>0</v>
      </c>
      <c r="H202" s="39">
        <f t="shared" si="27"/>
        <v>618.71471999999994</v>
      </c>
      <c r="I202" s="33"/>
      <c r="L202" s="139"/>
      <c r="M202" s="139"/>
      <c r="N202" s="33"/>
    </row>
    <row r="203" spans="1:20" s="34" customFormat="1" ht="15.75" customHeight="1" x14ac:dyDescent="0.25">
      <c r="A203" s="39">
        <v>3</v>
      </c>
      <c r="B203" s="69" t="s">
        <v>340</v>
      </c>
      <c r="C203" s="56">
        <v>1</v>
      </c>
      <c r="D203" s="63">
        <f>(33.26)*(10.764)</f>
        <v>358.01063999999997</v>
      </c>
      <c r="E203" s="70">
        <v>0</v>
      </c>
      <c r="F203" s="39">
        <f t="shared" si="26"/>
        <v>358.01063999999997</v>
      </c>
      <c r="G203" s="39">
        <v>0</v>
      </c>
      <c r="H203" s="39">
        <f t="shared" si="27"/>
        <v>537.01595999999995</v>
      </c>
      <c r="I203" s="68">
        <f>2.74*4.47+2.4*1.83+3.05*2.74+2.05*1.22+1.35*1.17+0.95*1.27+0.95*1.22</f>
        <v>31.442799999999998</v>
      </c>
      <c r="L203" s="139"/>
      <c r="M203" s="139"/>
      <c r="N203" s="33"/>
    </row>
    <row r="204" spans="1:20" s="34" customFormat="1" ht="15.75" customHeight="1" x14ac:dyDescent="0.25">
      <c r="A204" s="39">
        <v>4</v>
      </c>
      <c r="B204" s="69" t="s">
        <v>340</v>
      </c>
      <c r="C204" s="56">
        <v>1</v>
      </c>
      <c r="D204" s="63">
        <f>(33.26)*(10.764)</f>
        <v>358.01063999999997</v>
      </c>
      <c r="E204" s="70">
        <v>0</v>
      </c>
      <c r="F204" s="39">
        <f t="shared" si="26"/>
        <v>358.01063999999997</v>
      </c>
      <c r="G204" s="39">
        <v>0</v>
      </c>
      <c r="H204" s="39">
        <f t="shared" si="27"/>
        <v>537.01595999999995</v>
      </c>
      <c r="I204" s="68"/>
      <c r="L204" s="139"/>
      <c r="M204" s="139"/>
      <c r="N204" s="33"/>
    </row>
    <row r="205" spans="1:20" s="34" customFormat="1" ht="15.75" customHeight="1" x14ac:dyDescent="0.25">
      <c r="A205" s="39">
        <v>5</v>
      </c>
      <c r="B205" s="81" t="s">
        <v>304</v>
      </c>
      <c r="C205" s="82"/>
      <c r="D205" s="82"/>
      <c r="E205" s="82"/>
      <c r="F205" s="82"/>
      <c r="G205" s="82"/>
      <c r="H205" s="83"/>
      <c r="I205" s="68">
        <f>2.74*4.65+2.73*2.13+3.05*3.89+2.29*1.3+3.05*2.74+2.2*1.3+0.94*2.4+1.1*2.13+1.1*0.9</f>
        <v>50.203400000000009</v>
      </c>
      <c r="L205" s="139"/>
      <c r="M205" s="139"/>
      <c r="N205" s="33"/>
    </row>
    <row r="206" spans="1:20" s="34" customFormat="1" ht="15.75" customHeight="1" x14ac:dyDescent="0.25">
      <c r="A206" s="39">
        <v>6</v>
      </c>
      <c r="B206" s="69" t="s">
        <v>339</v>
      </c>
      <c r="C206" s="56">
        <v>2</v>
      </c>
      <c r="D206" s="63">
        <f>(53.12)*(10.764)</f>
        <v>571.78367999999989</v>
      </c>
      <c r="E206" s="63">
        <f t="shared" ref="E206:E212" si="28">(2.74*1.22)*(10.764)</f>
        <v>35.981899200000001</v>
      </c>
      <c r="F206" s="70">
        <f t="shared" ref="F206:F212" si="29">D206+E206</f>
        <v>607.76557919999993</v>
      </c>
      <c r="G206" s="39">
        <v>0</v>
      </c>
      <c r="H206" s="39">
        <f t="shared" ref="H206:H212" si="30">F206*(($H$138)+1)+(IF(G206&lt;101,G206,IF(G206&lt;201,G206/2,IF(G206&lt;=301,G206/3,G206/4))))</f>
        <v>911.64836879999984</v>
      </c>
      <c r="I206" s="33"/>
      <c r="L206" s="139"/>
      <c r="M206" s="139"/>
      <c r="N206" s="33"/>
    </row>
    <row r="207" spans="1:20" s="34" customFormat="1" ht="15.75" customHeight="1" x14ac:dyDescent="0.25">
      <c r="A207" s="39">
        <v>7</v>
      </c>
      <c r="B207" s="69" t="s">
        <v>339</v>
      </c>
      <c r="C207" s="56">
        <v>2</v>
      </c>
      <c r="D207" s="63">
        <f>(55.18)*(10.764)</f>
        <v>593.95751999999993</v>
      </c>
      <c r="E207" s="63">
        <f t="shared" si="28"/>
        <v>35.981899200000001</v>
      </c>
      <c r="F207" s="70">
        <f t="shared" si="29"/>
        <v>629.93941919999997</v>
      </c>
      <c r="G207" s="39">
        <v>0</v>
      </c>
      <c r="H207" s="39">
        <f t="shared" si="30"/>
        <v>944.90912879999996</v>
      </c>
      <c r="I207" s="68">
        <f>2.74*4.65+2.6*2.13+3.1*2.74+2.15*1.3+2.15*1.3+1.3+2.28</f>
        <v>35.943000000000005</v>
      </c>
      <c r="L207" s="139"/>
      <c r="M207" s="139"/>
      <c r="N207" s="33"/>
    </row>
    <row r="208" spans="1:20" s="34" customFormat="1" ht="15.75" customHeight="1" x14ac:dyDescent="0.25">
      <c r="A208" s="39">
        <v>8</v>
      </c>
      <c r="B208" s="69" t="s">
        <v>340</v>
      </c>
      <c r="C208" s="56" t="s">
        <v>342</v>
      </c>
      <c r="D208" s="63">
        <f>(37.26)*(10.764)</f>
        <v>401.06663999999995</v>
      </c>
      <c r="E208" s="63">
        <f t="shared" si="28"/>
        <v>35.981899200000001</v>
      </c>
      <c r="F208" s="70">
        <f t="shared" si="29"/>
        <v>437.04853919999994</v>
      </c>
      <c r="G208" s="39">
        <v>0</v>
      </c>
      <c r="H208" s="39">
        <f t="shared" si="30"/>
        <v>655.57280879999985</v>
      </c>
      <c r="I208" s="33"/>
      <c r="L208" s="139"/>
      <c r="M208" s="139"/>
      <c r="N208" s="33"/>
    </row>
    <row r="209" spans="1:20" s="34" customFormat="1" ht="15.75" customHeight="1" x14ac:dyDescent="0.25">
      <c r="A209" s="39">
        <v>9</v>
      </c>
      <c r="B209" s="69" t="s">
        <v>340</v>
      </c>
      <c r="C209" s="56" t="s">
        <v>342</v>
      </c>
      <c r="D209" s="63">
        <f>(38.87)*(10.764)</f>
        <v>418.39667999999995</v>
      </c>
      <c r="E209" s="63">
        <f t="shared" si="28"/>
        <v>35.981899200000001</v>
      </c>
      <c r="F209" s="70">
        <f t="shared" si="29"/>
        <v>454.37857919999993</v>
      </c>
      <c r="G209" s="39">
        <v>0</v>
      </c>
      <c r="H209" s="39">
        <f t="shared" si="30"/>
        <v>681.56786879999993</v>
      </c>
      <c r="I209" s="33"/>
      <c r="L209" s="139"/>
      <c r="M209" s="139"/>
      <c r="N209" s="33"/>
    </row>
    <row r="210" spans="1:20" s="34" customFormat="1" ht="15.75" customHeight="1" x14ac:dyDescent="0.25">
      <c r="A210" s="39">
        <v>10</v>
      </c>
      <c r="B210" s="69" t="s">
        <v>340</v>
      </c>
      <c r="C210" s="56" t="s">
        <v>342</v>
      </c>
      <c r="D210" s="63">
        <f>(38.87)*(10.764)</f>
        <v>418.39667999999995</v>
      </c>
      <c r="E210" s="63">
        <f t="shared" si="28"/>
        <v>35.981899200000001</v>
      </c>
      <c r="F210" s="70">
        <f t="shared" si="29"/>
        <v>454.37857919999993</v>
      </c>
      <c r="G210" s="39">
        <v>0</v>
      </c>
      <c r="H210" s="39">
        <f t="shared" si="30"/>
        <v>681.56786879999993</v>
      </c>
      <c r="I210" s="33"/>
      <c r="L210" s="139"/>
      <c r="M210" s="139"/>
      <c r="N210" s="33"/>
    </row>
    <row r="211" spans="1:20" s="34" customFormat="1" ht="15.75" customHeight="1" x14ac:dyDescent="0.25">
      <c r="A211" s="39">
        <v>11</v>
      </c>
      <c r="B211" s="69" t="s">
        <v>340</v>
      </c>
      <c r="C211" s="56" t="s">
        <v>342</v>
      </c>
      <c r="D211" s="63">
        <f>(37.26)*(10.764)</f>
        <v>401.06663999999995</v>
      </c>
      <c r="E211" s="63">
        <f t="shared" si="28"/>
        <v>35.981899200000001</v>
      </c>
      <c r="F211" s="70">
        <f t="shared" si="29"/>
        <v>437.04853919999994</v>
      </c>
      <c r="G211" s="39">
        <v>0</v>
      </c>
      <c r="H211" s="39">
        <f t="shared" si="30"/>
        <v>655.57280879999985</v>
      </c>
      <c r="I211" s="33"/>
      <c r="L211" s="139"/>
      <c r="M211" s="139"/>
      <c r="N211" s="33"/>
    </row>
    <row r="212" spans="1:20" s="34" customFormat="1" x14ac:dyDescent="0.25">
      <c r="A212" s="39">
        <v>12</v>
      </c>
      <c r="B212" s="69" t="s">
        <v>339</v>
      </c>
      <c r="C212" s="56">
        <v>2</v>
      </c>
      <c r="D212" s="63">
        <f>(51.47)*(10.764)</f>
        <v>554.02307999999994</v>
      </c>
      <c r="E212" s="63">
        <f t="shared" si="28"/>
        <v>35.981899200000001</v>
      </c>
      <c r="F212" s="70">
        <f t="shared" si="29"/>
        <v>590.00497919999998</v>
      </c>
      <c r="G212" s="39">
        <v>0</v>
      </c>
      <c r="H212" s="39">
        <f t="shared" si="30"/>
        <v>885.00746879999997</v>
      </c>
      <c r="I212" s="34">
        <v>1</v>
      </c>
      <c r="J212" s="33"/>
    </row>
    <row r="213" spans="1:20" s="34" customFormat="1" ht="15.75" customHeight="1" x14ac:dyDescent="0.25">
      <c r="A213" s="101" t="s">
        <v>343</v>
      </c>
      <c r="B213" s="102"/>
      <c r="C213" s="102"/>
      <c r="D213" s="102"/>
      <c r="E213" s="102"/>
      <c r="F213" s="102"/>
      <c r="G213" s="102"/>
      <c r="H213" s="103"/>
      <c r="I213" s="68">
        <f>2.73*4.65+2.68*2.13+2.73*3.89+2.16*1.3+2.24*2.74+2.03*1.3+0.89*1.4+1.1*2.23+2.4</f>
        <v>46.70620000000001</v>
      </c>
      <c r="J213" s="33"/>
      <c r="L213" s="139"/>
      <c r="M213" s="139"/>
      <c r="N213" s="33"/>
      <c r="T213" s="18"/>
    </row>
    <row r="214" spans="1:20" s="34" customFormat="1" ht="15.75" customHeight="1" x14ac:dyDescent="0.25">
      <c r="A214" s="39">
        <v>1</v>
      </c>
      <c r="B214" s="70" t="s">
        <v>338</v>
      </c>
      <c r="C214" s="56">
        <v>2</v>
      </c>
      <c r="D214" s="63">
        <f>(51.47)*(10.764)</f>
        <v>554.02307999999994</v>
      </c>
      <c r="E214" s="63">
        <f>(2.74*1.22)*(10.764)</f>
        <v>35.981899200000001</v>
      </c>
      <c r="F214" s="39">
        <f t="shared" ref="F214:F216" si="31">D214+E214</f>
        <v>590.00497919999998</v>
      </c>
      <c r="G214" s="39">
        <v>0</v>
      </c>
      <c r="H214" s="39">
        <f t="shared" ref="H214:H216" si="32">F214*(($H$138)+1)+(IF(G214&lt;101,G214,IF(G214&lt;201,G214/2,IF(G214&lt;=301,G214/3,G214/4))))</f>
        <v>885.00746879999997</v>
      </c>
      <c r="I214" s="68"/>
      <c r="L214" s="139"/>
      <c r="M214" s="139"/>
      <c r="N214" s="33"/>
    </row>
    <row r="215" spans="1:20" s="34" customFormat="1" ht="15.75" customHeight="1" x14ac:dyDescent="0.25">
      <c r="A215" s="39">
        <v>2</v>
      </c>
      <c r="B215" s="69" t="s">
        <v>340</v>
      </c>
      <c r="C215" s="56">
        <v>1</v>
      </c>
      <c r="D215" s="63">
        <f>(38.32)*(10.764)</f>
        <v>412.47647999999998</v>
      </c>
      <c r="E215" s="39">
        <v>0</v>
      </c>
      <c r="F215" s="39">
        <f t="shared" si="31"/>
        <v>412.47647999999998</v>
      </c>
      <c r="G215" s="39">
        <v>0</v>
      </c>
      <c r="H215" s="39">
        <f t="shared" si="32"/>
        <v>618.71471999999994</v>
      </c>
      <c r="I215" s="33"/>
      <c r="L215" s="139"/>
      <c r="M215" s="139"/>
      <c r="N215" s="33"/>
    </row>
    <row r="216" spans="1:20" s="34" customFormat="1" ht="15.75" customHeight="1" x14ac:dyDescent="0.25">
      <c r="A216" s="39">
        <v>3</v>
      </c>
      <c r="B216" s="69" t="s">
        <v>340</v>
      </c>
      <c r="C216" s="56">
        <v>1</v>
      </c>
      <c r="D216" s="63">
        <f>(33.26)*(10.764)</f>
        <v>358.01063999999997</v>
      </c>
      <c r="E216" s="39">
        <v>0</v>
      </c>
      <c r="F216" s="39">
        <f t="shared" si="31"/>
        <v>358.01063999999997</v>
      </c>
      <c r="G216" s="39">
        <v>0</v>
      </c>
      <c r="H216" s="39">
        <f t="shared" si="32"/>
        <v>537.01595999999995</v>
      </c>
      <c r="I216" s="68">
        <f>2.74*4.47+2.4*1.83+3.05*2.74+2.05*1.22+1.35*1.17+0.95*1.27+0.95*1.22</f>
        <v>31.442799999999998</v>
      </c>
      <c r="L216" s="139"/>
      <c r="M216" s="139"/>
      <c r="N216" s="33"/>
    </row>
    <row r="217" spans="1:20" s="34" customFormat="1" ht="15.75" customHeight="1" x14ac:dyDescent="0.25">
      <c r="A217" s="39">
        <v>4</v>
      </c>
      <c r="B217" s="69" t="s">
        <v>340</v>
      </c>
      <c r="C217" s="56">
        <v>1</v>
      </c>
      <c r="D217" s="63">
        <f>(33.26)*(10.764)</f>
        <v>358.01063999999997</v>
      </c>
      <c r="E217" s="39">
        <v>0</v>
      </c>
      <c r="F217" s="39">
        <f t="shared" ref="F217:F218" si="33">D217+E217</f>
        <v>358.01063999999997</v>
      </c>
      <c r="G217" s="39">
        <v>0</v>
      </c>
      <c r="H217" s="39">
        <f t="shared" ref="H217:H218" si="34">F217*(($H$138)+1)+(IF(G217&lt;101,G217,IF(G217&lt;201,G217/2,IF(G217&lt;=301,G217/3,G217/4))))</f>
        <v>537.01595999999995</v>
      </c>
      <c r="I217" s="68">
        <f>2.74*4.65+2.58*2.13+3*3.07+2*1.3+1.65*1.3+1.83*0.98+1.9*1.3</f>
        <v>36.454800000000006</v>
      </c>
      <c r="L217" s="139"/>
      <c r="M217" s="139"/>
      <c r="N217" s="33"/>
    </row>
    <row r="218" spans="1:20" s="34" customFormat="1" ht="15.75" customHeight="1" x14ac:dyDescent="0.25">
      <c r="A218" s="39">
        <v>5</v>
      </c>
      <c r="B218" s="69" t="s">
        <v>340</v>
      </c>
      <c r="C218" s="56">
        <v>1</v>
      </c>
      <c r="D218" s="63">
        <f>(38.32)*(10.764)</f>
        <v>412.47647999999998</v>
      </c>
      <c r="E218" s="39">
        <v>0</v>
      </c>
      <c r="F218" s="39">
        <f t="shared" si="33"/>
        <v>412.47647999999998</v>
      </c>
      <c r="G218" s="39">
        <v>0</v>
      </c>
      <c r="H218" s="39">
        <f t="shared" si="34"/>
        <v>618.71471999999994</v>
      </c>
      <c r="I218" s="68">
        <f>2.74*4.65+2.73*2.13+3.05*3.89+2.29*1.3+3.05*2.74+2.2*1.3+0.94*2.4+1.1*2.13+1.1*0.9</f>
        <v>50.203400000000009</v>
      </c>
      <c r="L218" s="139"/>
      <c r="M218" s="139"/>
      <c r="N218" s="33"/>
    </row>
    <row r="219" spans="1:20" s="34" customFormat="1" ht="15.75" customHeight="1" x14ac:dyDescent="0.25">
      <c r="A219" s="39">
        <v>6</v>
      </c>
      <c r="B219" s="69" t="s">
        <v>339</v>
      </c>
      <c r="C219" s="56">
        <v>2</v>
      </c>
      <c r="D219" s="63">
        <f>(53.12)*(10.764)</f>
        <v>571.78367999999989</v>
      </c>
      <c r="E219" s="63">
        <f t="shared" ref="E219:E225" si="35">(2.74*1.22)*(10.764)</f>
        <v>35.981899200000001</v>
      </c>
      <c r="F219" s="39">
        <f t="shared" ref="F219:F225" si="36">D219+E219</f>
        <v>607.76557919999993</v>
      </c>
      <c r="G219" s="39">
        <v>0</v>
      </c>
      <c r="H219" s="39">
        <f>F219*(($H$138)+1)+(IF(G219&lt;101,G219,IF(G219&lt;201,G219/2,IF(G219&lt;=301,G219/3,G219/4))))</f>
        <v>911.64836879999984</v>
      </c>
      <c r="I219" s="33"/>
      <c r="L219" s="139"/>
      <c r="M219" s="139"/>
      <c r="N219" s="33"/>
    </row>
    <row r="220" spans="1:20" s="34" customFormat="1" ht="15.75" customHeight="1" x14ac:dyDescent="0.25">
      <c r="A220" s="39">
        <v>7</v>
      </c>
      <c r="B220" s="69" t="s">
        <v>339</v>
      </c>
      <c r="C220" s="56">
        <v>2</v>
      </c>
      <c r="D220" s="63">
        <f>(55.58)*(10.764)</f>
        <v>598.26311999999996</v>
      </c>
      <c r="E220" s="63">
        <f t="shared" si="35"/>
        <v>35.981899200000001</v>
      </c>
      <c r="F220" s="39">
        <f t="shared" si="36"/>
        <v>634.2450192</v>
      </c>
      <c r="G220" s="39">
        <v>0</v>
      </c>
      <c r="H220" s="39">
        <f>F220*(($H$138)+1)+(IF(G220&lt;101,G220,IF(G220&lt;201,G220/2,IF(G220&lt;=301,G220/3,G220/4))))</f>
        <v>951.36752879999995</v>
      </c>
      <c r="I220" s="68">
        <f>2.74*4.65+2.6*2.13+3.1*2.74+2.15*1.3+2.15*1.3+1.3+2.28</f>
        <v>35.943000000000005</v>
      </c>
      <c r="L220" s="139"/>
      <c r="M220" s="139"/>
      <c r="N220" s="33"/>
    </row>
    <row r="221" spans="1:20" s="34" customFormat="1" ht="15.75" customHeight="1" x14ac:dyDescent="0.25">
      <c r="A221" s="39">
        <v>8</v>
      </c>
      <c r="B221" s="69" t="s">
        <v>340</v>
      </c>
      <c r="C221" s="56" t="s">
        <v>342</v>
      </c>
      <c r="D221" s="63">
        <f>(37.26)*(10.764)</f>
        <v>401.06663999999995</v>
      </c>
      <c r="E221" s="63">
        <f t="shared" si="35"/>
        <v>35.981899200000001</v>
      </c>
      <c r="F221" s="39">
        <f t="shared" ref="F221" si="37">D221+E221</f>
        <v>437.04853919999994</v>
      </c>
      <c r="G221" s="39">
        <v>0</v>
      </c>
      <c r="H221" s="39">
        <f t="shared" ref="H221" si="38">F221*(($H$138)+1)+(IF(G221&lt;101,G221,IF(G221&lt;201,G221/2,IF(G221&lt;=301,G221/3,G221/4))))</f>
        <v>655.57280879999985</v>
      </c>
      <c r="I221" s="33"/>
      <c r="L221" s="139"/>
      <c r="M221" s="139"/>
      <c r="N221" s="33"/>
    </row>
    <row r="222" spans="1:20" s="34" customFormat="1" ht="15.75" customHeight="1" x14ac:dyDescent="0.25">
      <c r="A222" s="39">
        <v>9</v>
      </c>
      <c r="B222" s="69" t="s">
        <v>340</v>
      </c>
      <c r="C222" s="56" t="s">
        <v>342</v>
      </c>
      <c r="D222" s="63">
        <f>(38.87)*(10.764)</f>
        <v>418.39667999999995</v>
      </c>
      <c r="E222" s="63">
        <f t="shared" si="35"/>
        <v>35.981899200000001</v>
      </c>
      <c r="F222" s="39">
        <f t="shared" ref="F222:F224" si="39">D222+E222</f>
        <v>454.37857919999993</v>
      </c>
      <c r="G222" s="39">
        <v>0</v>
      </c>
      <c r="H222" s="39">
        <f>F222*(($H$138)+1)+(IF(G222&lt;101,G222,IF(G222&lt;201,G222/2,IF(G222&lt;=301,G222/3,G222/4))))</f>
        <v>681.56786879999993</v>
      </c>
      <c r="I222" s="33"/>
      <c r="L222" s="139"/>
      <c r="M222" s="139"/>
      <c r="N222" s="33"/>
    </row>
    <row r="223" spans="1:20" s="34" customFormat="1" ht="15.75" customHeight="1" x14ac:dyDescent="0.25">
      <c r="A223" s="39">
        <v>10</v>
      </c>
      <c r="B223" s="69" t="s">
        <v>340</v>
      </c>
      <c r="C223" s="56" t="s">
        <v>342</v>
      </c>
      <c r="D223" s="63">
        <f>(38.87)*(10.764)</f>
        <v>418.39667999999995</v>
      </c>
      <c r="E223" s="63">
        <f t="shared" si="35"/>
        <v>35.981899200000001</v>
      </c>
      <c r="F223" s="39">
        <f t="shared" ref="F223" si="40">D223+E223</f>
        <v>454.37857919999993</v>
      </c>
      <c r="G223" s="39">
        <v>0</v>
      </c>
      <c r="H223" s="39">
        <f t="shared" ref="H223" si="41">F223*(($H$138)+1)+(IF(G223&lt;101,G223,IF(G223&lt;201,G223/2,IF(G223&lt;=301,G223/3,G223/4))))</f>
        <v>681.56786879999993</v>
      </c>
      <c r="I223" s="33"/>
      <c r="L223" s="139"/>
      <c r="M223" s="139"/>
      <c r="N223" s="33"/>
    </row>
    <row r="224" spans="1:20" s="34" customFormat="1" ht="15.75" customHeight="1" x14ac:dyDescent="0.25">
      <c r="A224" s="39">
        <v>11</v>
      </c>
      <c r="B224" s="69" t="s">
        <v>340</v>
      </c>
      <c r="C224" s="56" t="s">
        <v>342</v>
      </c>
      <c r="D224" s="63">
        <f>(37.26)*(10.764)</f>
        <v>401.06663999999995</v>
      </c>
      <c r="E224" s="63">
        <f t="shared" si="35"/>
        <v>35.981899200000001</v>
      </c>
      <c r="F224" s="39">
        <f t="shared" si="39"/>
        <v>437.04853919999994</v>
      </c>
      <c r="G224" s="39">
        <v>0</v>
      </c>
      <c r="H224" s="39">
        <f>F224*(($H$138)+1)+(IF(G224&lt;101,G224,IF(G224&lt;201,G224/2,IF(G224&lt;=301,G224/3,G224/4))))</f>
        <v>655.57280879999985</v>
      </c>
      <c r="I224" s="33"/>
      <c r="L224" s="139"/>
      <c r="M224" s="139"/>
      <c r="N224" s="33"/>
    </row>
    <row r="225" spans="1:20" s="34" customFormat="1" x14ac:dyDescent="0.25">
      <c r="A225" s="39">
        <v>12</v>
      </c>
      <c r="B225" s="69" t="s">
        <v>339</v>
      </c>
      <c r="C225" s="56">
        <v>2</v>
      </c>
      <c r="D225" s="63">
        <f>(51.47)*(10.764)</f>
        <v>554.02307999999994</v>
      </c>
      <c r="E225" s="63">
        <f t="shared" si="35"/>
        <v>35.981899200000001</v>
      </c>
      <c r="F225" s="39">
        <f t="shared" si="36"/>
        <v>590.00497919999998</v>
      </c>
      <c r="G225" s="39">
        <v>0</v>
      </c>
      <c r="H225" s="39">
        <f>F225*(($H$138)+1)+(IF(G225&lt;101,G225,IF(G225&lt;201,G225/2,IF(G225&lt;=301,G225/3,G225/4))))</f>
        <v>885.00746879999997</v>
      </c>
      <c r="I225" s="34">
        <v>37</v>
      </c>
      <c r="J225" s="33"/>
    </row>
    <row r="226" spans="1:20" s="34" customFormat="1" ht="37.5" customHeight="1" x14ac:dyDescent="0.25">
      <c r="A226" s="101" t="s">
        <v>344</v>
      </c>
      <c r="B226" s="102"/>
      <c r="C226" s="102"/>
      <c r="D226" s="102"/>
      <c r="E226" s="102"/>
      <c r="F226" s="102"/>
      <c r="G226" s="102"/>
      <c r="H226" s="103"/>
      <c r="I226" s="68">
        <f>2.73*4.65+2.68*2.13+2.73*3.89+2.16*1.3+2.24*2.74+2.03*1.3+0.89*1.4+1.1*2.23+2.4</f>
        <v>46.70620000000001</v>
      </c>
      <c r="J226" s="33"/>
      <c r="L226" s="139"/>
      <c r="M226" s="139"/>
      <c r="N226" s="33"/>
      <c r="T226" s="18"/>
    </row>
    <row r="227" spans="1:20" s="34" customFormat="1" ht="15.75" customHeight="1" x14ac:dyDescent="0.25">
      <c r="A227" s="39">
        <v>1</v>
      </c>
      <c r="B227" s="70" t="s">
        <v>338</v>
      </c>
      <c r="C227" s="71">
        <v>2</v>
      </c>
      <c r="D227" s="63">
        <f>(51.47)*(10.764)</f>
        <v>554.02307999999994</v>
      </c>
      <c r="E227" s="63">
        <f>(2.74*1.22)*(10.764)</f>
        <v>35.981899200000001</v>
      </c>
      <c r="F227" s="70">
        <f t="shared" ref="F227:F238" si="42">D227+E227</f>
        <v>590.00497919999998</v>
      </c>
      <c r="G227" s="39">
        <v>0</v>
      </c>
      <c r="H227" s="39">
        <f t="shared" ref="H227:H238" si="43">F227*(($H$138)+1)+(IF(G227&lt;101,G227,IF(G227&lt;201,G227/2,IF(G227&lt;=301,G227/3,G227/4))))</f>
        <v>885.00746879999997</v>
      </c>
      <c r="I227" s="68"/>
      <c r="L227" s="139"/>
      <c r="M227" s="139"/>
      <c r="N227" s="33"/>
    </row>
    <row r="228" spans="1:20" s="34" customFormat="1" ht="15.75" customHeight="1" x14ac:dyDescent="0.25">
      <c r="A228" s="39">
        <v>2</v>
      </c>
      <c r="B228" s="70" t="s">
        <v>338</v>
      </c>
      <c r="C228" s="71">
        <v>1</v>
      </c>
      <c r="D228" s="63">
        <f>(38.32)*(10.764)</f>
        <v>412.47647999999998</v>
      </c>
      <c r="E228" s="70">
        <v>0</v>
      </c>
      <c r="F228" s="39">
        <f t="shared" si="42"/>
        <v>412.47647999999998</v>
      </c>
      <c r="G228" s="39">
        <v>0</v>
      </c>
      <c r="H228" s="39">
        <f t="shared" si="43"/>
        <v>618.71471999999994</v>
      </c>
      <c r="I228" s="33"/>
      <c r="L228" s="139"/>
      <c r="M228" s="139"/>
      <c r="N228" s="33"/>
    </row>
    <row r="229" spans="1:20" s="34" customFormat="1" ht="15.75" customHeight="1" x14ac:dyDescent="0.25">
      <c r="A229" s="39">
        <v>3</v>
      </c>
      <c r="B229" s="70" t="s">
        <v>338</v>
      </c>
      <c r="C229" s="71">
        <v>1</v>
      </c>
      <c r="D229" s="63">
        <f>(33.26)*(10.764)</f>
        <v>358.01063999999997</v>
      </c>
      <c r="E229" s="70">
        <v>0</v>
      </c>
      <c r="F229" s="39">
        <f t="shared" si="42"/>
        <v>358.01063999999997</v>
      </c>
      <c r="G229" s="39">
        <v>0</v>
      </c>
      <c r="H229" s="39">
        <f t="shared" si="43"/>
        <v>537.01595999999995</v>
      </c>
      <c r="I229" s="68">
        <f>2.74*4.47+2.4*1.83+3.05*2.74+2.05*1.22+1.35*1.17+0.95*1.27+0.95*1.22</f>
        <v>31.442799999999998</v>
      </c>
      <c r="L229" s="139"/>
      <c r="M229" s="139"/>
      <c r="N229" s="33"/>
    </row>
    <row r="230" spans="1:20" s="34" customFormat="1" ht="15.75" customHeight="1" x14ac:dyDescent="0.25">
      <c r="A230" s="39">
        <v>4</v>
      </c>
      <c r="B230" s="70" t="s">
        <v>338</v>
      </c>
      <c r="C230" s="71">
        <v>1</v>
      </c>
      <c r="D230" s="63">
        <f>(33.26)*(10.764)</f>
        <v>358.01063999999997</v>
      </c>
      <c r="E230" s="70">
        <v>0</v>
      </c>
      <c r="F230" s="39">
        <f t="shared" si="42"/>
        <v>358.01063999999997</v>
      </c>
      <c r="G230" s="39">
        <v>0</v>
      </c>
      <c r="H230" s="39">
        <f t="shared" si="43"/>
        <v>537.01595999999995</v>
      </c>
      <c r="I230" s="68">
        <f>2.74*4.65+2.58*2.13+3*3.07+2*1.3+1.65*1.3+1.83*0.98+1.9*1.3</f>
        <v>36.454800000000006</v>
      </c>
      <c r="L230" s="139"/>
      <c r="M230" s="139"/>
      <c r="N230" s="33"/>
    </row>
    <row r="231" spans="1:20" s="34" customFormat="1" ht="15.75" customHeight="1" x14ac:dyDescent="0.25">
      <c r="A231" s="39">
        <v>5</v>
      </c>
      <c r="B231" s="70" t="s">
        <v>338</v>
      </c>
      <c r="C231" s="71">
        <v>1</v>
      </c>
      <c r="D231" s="63">
        <f>(38.32)*(10.764)</f>
        <v>412.47647999999998</v>
      </c>
      <c r="E231" s="70">
        <v>0</v>
      </c>
      <c r="F231" s="39">
        <f t="shared" si="42"/>
        <v>412.47647999999998</v>
      </c>
      <c r="G231" s="39">
        <v>0</v>
      </c>
      <c r="H231" s="39">
        <f t="shared" si="43"/>
        <v>618.71471999999994</v>
      </c>
      <c r="I231" s="68">
        <f>2.74*4.65+2.73*2.13+3.05*3.89+2.29*1.3+3.05*2.74+2.2*1.3+0.94*2.4+1.1*2.13+1.1*0.9</f>
        <v>50.203400000000009</v>
      </c>
      <c r="L231" s="139"/>
      <c r="M231" s="139"/>
      <c r="N231" s="33"/>
    </row>
    <row r="232" spans="1:20" s="34" customFormat="1" ht="15.75" customHeight="1" x14ac:dyDescent="0.25">
      <c r="A232" s="39">
        <v>6</v>
      </c>
      <c r="B232" s="70" t="s">
        <v>338</v>
      </c>
      <c r="C232" s="71">
        <v>2</v>
      </c>
      <c r="D232" s="63">
        <f>(53.12)*(10.764)</f>
        <v>571.78367999999989</v>
      </c>
      <c r="E232" s="63">
        <f t="shared" ref="E232:E238" si="44">(2.74*1.22)*(10.764)</f>
        <v>35.981899200000001</v>
      </c>
      <c r="F232" s="70">
        <f t="shared" si="42"/>
        <v>607.76557919999993</v>
      </c>
      <c r="G232" s="39">
        <v>0</v>
      </c>
      <c r="H232" s="39">
        <f t="shared" si="43"/>
        <v>911.64836879999984</v>
      </c>
      <c r="I232" s="33"/>
      <c r="L232" s="139"/>
      <c r="M232" s="139"/>
      <c r="N232" s="33"/>
    </row>
    <row r="233" spans="1:20" s="34" customFormat="1" ht="15.75" customHeight="1" x14ac:dyDescent="0.25">
      <c r="A233" s="39">
        <v>7</v>
      </c>
      <c r="B233" s="70" t="s">
        <v>338</v>
      </c>
      <c r="C233" s="71">
        <v>2</v>
      </c>
      <c r="D233" s="63">
        <f>(55.58)*(10.764)</f>
        <v>598.26311999999996</v>
      </c>
      <c r="E233" s="63">
        <f t="shared" si="44"/>
        <v>35.981899200000001</v>
      </c>
      <c r="F233" s="70">
        <f t="shared" si="42"/>
        <v>634.2450192</v>
      </c>
      <c r="G233" s="39">
        <v>0</v>
      </c>
      <c r="H233" s="39">
        <f t="shared" si="43"/>
        <v>951.36752879999995</v>
      </c>
      <c r="I233" s="68">
        <f>2.74*4.65+2.6*2.13+3.1*2.74+2.15*1.3+2.15*1.3+1.3+2.28</f>
        <v>35.943000000000005</v>
      </c>
      <c r="L233" s="139"/>
      <c r="M233" s="139"/>
      <c r="N233" s="33"/>
    </row>
    <row r="234" spans="1:20" s="34" customFormat="1" ht="15.75" customHeight="1" x14ac:dyDescent="0.25">
      <c r="A234" s="39">
        <v>8</v>
      </c>
      <c r="B234" s="70" t="s">
        <v>338</v>
      </c>
      <c r="C234" s="71" t="s">
        <v>342</v>
      </c>
      <c r="D234" s="63">
        <f>(37.26)*(10.764)</f>
        <v>401.06663999999995</v>
      </c>
      <c r="E234" s="63">
        <f t="shared" si="44"/>
        <v>35.981899200000001</v>
      </c>
      <c r="F234" s="70">
        <f t="shared" si="42"/>
        <v>437.04853919999994</v>
      </c>
      <c r="G234" s="39">
        <v>0</v>
      </c>
      <c r="H234" s="39">
        <f t="shared" si="43"/>
        <v>655.57280879999985</v>
      </c>
      <c r="I234" s="33"/>
      <c r="L234" s="139"/>
      <c r="M234" s="139"/>
      <c r="N234" s="33"/>
    </row>
    <row r="235" spans="1:20" s="34" customFormat="1" ht="15.75" customHeight="1" x14ac:dyDescent="0.25">
      <c r="A235" s="39">
        <v>9</v>
      </c>
      <c r="B235" s="70" t="s">
        <v>338</v>
      </c>
      <c r="C235" s="71" t="s">
        <v>342</v>
      </c>
      <c r="D235" s="63">
        <f>(38.87)*(10.764)</f>
        <v>418.39667999999995</v>
      </c>
      <c r="E235" s="63">
        <f t="shared" si="44"/>
        <v>35.981899200000001</v>
      </c>
      <c r="F235" s="70">
        <f t="shared" si="42"/>
        <v>454.37857919999993</v>
      </c>
      <c r="G235" s="39">
        <v>0</v>
      </c>
      <c r="H235" s="39">
        <f t="shared" si="43"/>
        <v>681.56786879999993</v>
      </c>
      <c r="I235" s="33"/>
      <c r="L235" s="139"/>
      <c r="M235" s="139"/>
      <c r="N235" s="33"/>
    </row>
    <row r="236" spans="1:20" s="34" customFormat="1" ht="15.75" customHeight="1" x14ac:dyDescent="0.25">
      <c r="A236" s="39">
        <v>10</v>
      </c>
      <c r="B236" s="70" t="s">
        <v>338</v>
      </c>
      <c r="C236" s="71" t="s">
        <v>342</v>
      </c>
      <c r="D236" s="63">
        <f>(38.87)*(10.764)</f>
        <v>418.39667999999995</v>
      </c>
      <c r="E236" s="63">
        <f t="shared" si="44"/>
        <v>35.981899200000001</v>
      </c>
      <c r="F236" s="70">
        <f t="shared" si="42"/>
        <v>454.37857919999993</v>
      </c>
      <c r="G236" s="39">
        <v>0</v>
      </c>
      <c r="H236" s="39">
        <f t="shared" si="43"/>
        <v>681.56786879999993</v>
      </c>
      <c r="I236" s="33"/>
      <c r="L236" s="139"/>
      <c r="M236" s="139"/>
      <c r="N236" s="33"/>
    </row>
    <row r="237" spans="1:20" s="34" customFormat="1" ht="15.75" customHeight="1" x14ac:dyDescent="0.25">
      <c r="A237" s="39">
        <v>11</v>
      </c>
      <c r="B237" s="70" t="s">
        <v>338</v>
      </c>
      <c r="C237" s="71" t="s">
        <v>342</v>
      </c>
      <c r="D237" s="63">
        <f>(37.26)*(10.764)</f>
        <v>401.06663999999995</v>
      </c>
      <c r="E237" s="63">
        <f t="shared" si="44"/>
        <v>35.981899200000001</v>
      </c>
      <c r="F237" s="70">
        <f t="shared" si="42"/>
        <v>437.04853919999994</v>
      </c>
      <c r="G237" s="39">
        <v>0</v>
      </c>
      <c r="H237" s="39">
        <f t="shared" si="43"/>
        <v>655.57280879999985</v>
      </c>
      <c r="I237" s="33"/>
      <c r="L237" s="139"/>
      <c r="M237" s="139"/>
      <c r="N237" s="33"/>
    </row>
    <row r="238" spans="1:20" s="34" customFormat="1" ht="16.5" customHeight="1" x14ac:dyDescent="0.25">
      <c r="A238" s="39">
        <v>12</v>
      </c>
      <c r="B238" s="70" t="s">
        <v>338</v>
      </c>
      <c r="C238" s="71">
        <v>2</v>
      </c>
      <c r="D238" s="63">
        <f>(51.47)*(10.764)</f>
        <v>554.02307999999994</v>
      </c>
      <c r="E238" s="63">
        <f t="shared" si="44"/>
        <v>35.981899200000001</v>
      </c>
      <c r="F238" s="70">
        <f t="shared" si="42"/>
        <v>590.00497919999998</v>
      </c>
      <c r="G238" s="39">
        <v>0</v>
      </c>
      <c r="H238" s="39">
        <f t="shared" si="43"/>
        <v>885.00746879999997</v>
      </c>
      <c r="I238" s="34">
        <v>10</v>
      </c>
      <c r="J238" s="33"/>
    </row>
    <row r="239" spans="1:20" s="34" customFormat="1" ht="15.75" customHeight="1" x14ac:dyDescent="0.25">
      <c r="A239" s="101" t="s">
        <v>345</v>
      </c>
      <c r="B239" s="102"/>
      <c r="C239" s="102"/>
      <c r="D239" s="102"/>
      <c r="E239" s="102"/>
      <c r="F239" s="102"/>
      <c r="G239" s="102"/>
      <c r="H239" s="103"/>
      <c r="I239" s="68">
        <f>2.73*4.65+2.68*2.13+2.73*3.89+2.16*1.3+2.24*2.74+2.03*1.3+0.89*1.4+1.1*2.23+2.4</f>
        <v>46.70620000000001</v>
      </c>
      <c r="J239" s="33"/>
      <c r="L239" s="139"/>
      <c r="M239" s="139"/>
      <c r="N239" s="33"/>
      <c r="T239" s="18"/>
    </row>
    <row r="240" spans="1:20" s="34" customFormat="1" ht="15.75" customHeight="1" x14ac:dyDescent="0.25">
      <c r="A240" s="39">
        <v>1</v>
      </c>
      <c r="B240" s="70" t="s">
        <v>338</v>
      </c>
      <c r="C240" s="71">
        <v>2</v>
      </c>
      <c r="D240" s="63">
        <f>(51.47)*(10.764)</f>
        <v>554.02307999999994</v>
      </c>
      <c r="E240" s="63">
        <f>(2.74*1.22)*(10.764)</f>
        <v>35.981899200000001</v>
      </c>
      <c r="F240" s="70">
        <f t="shared" ref="F240:F251" si="45">D240+E240</f>
        <v>590.00497919999998</v>
      </c>
      <c r="G240" s="39">
        <v>0</v>
      </c>
      <c r="H240" s="39">
        <f>F240*(($H$138)+1)+(IF(G240&lt;101,G240,IF(G240&lt;201,G240/2,IF(G240&lt;=301,G240/3,G240/4))))</f>
        <v>885.00746879999997</v>
      </c>
      <c r="I240" s="68"/>
      <c r="L240" s="139"/>
      <c r="M240" s="139"/>
      <c r="N240" s="33"/>
    </row>
    <row r="241" spans="1:20" s="34" customFormat="1" ht="15.75" customHeight="1" x14ac:dyDescent="0.25">
      <c r="A241" s="39">
        <v>2</v>
      </c>
      <c r="B241" s="70" t="s">
        <v>338</v>
      </c>
      <c r="C241" s="71">
        <v>1</v>
      </c>
      <c r="D241" s="63">
        <f>(38.32)*(10.764)</f>
        <v>412.47647999999998</v>
      </c>
      <c r="E241" s="70">
        <v>0</v>
      </c>
      <c r="F241" s="39">
        <f t="shared" si="45"/>
        <v>412.47647999999998</v>
      </c>
      <c r="G241" s="39">
        <v>0</v>
      </c>
      <c r="H241" s="39">
        <f>F241*(($H$138)+1)+(IF(G241&lt;101,G241,IF(G241&lt;201,G241/2,IF(G241&lt;=301,G241/3,G241/4))))</f>
        <v>618.71471999999994</v>
      </c>
      <c r="I241" s="33"/>
      <c r="L241" s="139"/>
      <c r="M241" s="139"/>
      <c r="N241" s="33"/>
    </row>
    <row r="242" spans="1:20" s="34" customFormat="1" ht="15.75" customHeight="1" x14ac:dyDescent="0.25">
      <c r="A242" s="39">
        <v>3</v>
      </c>
      <c r="B242" s="70" t="s">
        <v>338</v>
      </c>
      <c r="C242" s="71">
        <v>1</v>
      </c>
      <c r="D242" s="63">
        <f>(33.26)*(10.764)</f>
        <v>358.01063999999997</v>
      </c>
      <c r="E242" s="70">
        <v>0</v>
      </c>
      <c r="F242" s="39">
        <f t="shared" si="45"/>
        <v>358.01063999999997</v>
      </c>
      <c r="G242" s="39">
        <v>0</v>
      </c>
      <c r="H242" s="39">
        <f>F242*(($H$138)+1)+(IF(G242&lt;101,G242,IF(G242&lt;201,G242/2,IF(G242&lt;=301,G242/3,G242/4))))</f>
        <v>537.01595999999995</v>
      </c>
      <c r="I242" s="68">
        <f>2.74*4.47+2.4*1.83+3.05*2.74+2.05*1.22+1.35*1.17+0.95*1.27+0.95*1.22</f>
        <v>31.442799999999998</v>
      </c>
      <c r="L242" s="139"/>
      <c r="M242" s="139"/>
      <c r="N242" s="33"/>
    </row>
    <row r="243" spans="1:20" s="34" customFormat="1" ht="15.75" customHeight="1" x14ac:dyDescent="0.25">
      <c r="A243" s="39">
        <v>4</v>
      </c>
      <c r="B243" s="70" t="s">
        <v>338</v>
      </c>
      <c r="C243" s="71">
        <v>1</v>
      </c>
      <c r="D243" s="63">
        <f>(33.26)*(10.764)</f>
        <v>358.01063999999997</v>
      </c>
      <c r="E243" s="70">
        <v>0</v>
      </c>
      <c r="F243" s="39">
        <f t="shared" si="45"/>
        <v>358.01063999999997</v>
      </c>
      <c r="G243" s="39">
        <v>0</v>
      </c>
      <c r="H243" s="39">
        <f>F243*(($H$138)+1)+(IF(G243&lt;101,G243,IF(G243&lt;201,G243/2,IF(G243&lt;=301,G243/3,G243/4))))</f>
        <v>537.01595999999995</v>
      </c>
      <c r="I243" s="68">
        <f>2.74*4.65+2.58*2.13+3*3.07+2*1.3+1.65*1.3+1.83*0.98+1.9*1.3</f>
        <v>36.454800000000006</v>
      </c>
      <c r="L243" s="139"/>
      <c r="M243" s="139"/>
      <c r="N243" s="33"/>
    </row>
    <row r="244" spans="1:20" s="34" customFormat="1" ht="15.75" customHeight="1" x14ac:dyDescent="0.25">
      <c r="A244" s="39">
        <v>5</v>
      </c>
      <c r="B244" s="81" t="s">
        <v>304</v>
      </c>
      <c r="C244" s="82"/>
      <c r="D244" s="82"/>
      <c r="E244" s="82"/>
      <c r="F244" s="82"/>
      <c r="G244" s="82"/>
      <c r="H244" s="83"/>
      <c r="I244" s="68">
        <f>2.74*4.65+2.73*2.13+3.05*3.89+2.29*1.3+3.05*2.74+2.2*1.3+0.94*2.4+1.1*2.13+1.1*0.9</f>
        <v>50.203400000000009</v>
      </c>
      <c r="L244" s="139"/>
      <c r="M244" s="139"/>
      <c r="N244" s="33"/>
    </row>
    <row r="245" spans="1:20" s="34" customFormat="1" ht="15.75" customHeight="1" x14ac:dyDescent="0.25">
      <c r="A245" s="39">
        <v>6</v>
      </c>
      <c r="B245" s="70" t="s">
        <v>338</v>
      </c>
      <c r="C245" s="71">
        <v>2</v>
      </c>
      <c r="D245" s="63">
        <f>(53.12)*(10.764)</f>
        <v>571.78367999999989</v>
      </c>
      <c r="E245" s="63">
        <f t="shared" ref="E245:E251" si="46">(2.74*1.22)*(10.764)</f>
        <v>35.981899200000001</v>
      </c>
      <c r="F245" s="70">
        <f t="shared" si="45"/>
        <v>607.76557919999993</v>
      </c>
      <c r="G245" s="39">
        <v>0</v>
      </c>
      <c r="H245" s="39">
        <f t="shared" ref="H245:H251" si="47">F245*(($H$138)+1)+(IF(G245&lt;101,G245,IF(G245&lt;201,G245/2,IF(G245&lt;=301,G245/3,G245/4))))</f>
        <v>911.64836879999984</v>
      </c>
      <c r="I245" s="33"/>
      <c r="L245" s="139"/>
      <c r="M245" s="139"/>
      <c r="N245" s="33"/>
    </row>
    <row r="246" spans="1:20" s="34" customFormat="1" ht="15.75" customHeight="1" x14ac:dyDescent="0.25">
      <c r="A246" s="39">
        <v>7</v>
      </c>
      <c r="B246" s="70" t="s">
        <v>338</v>
      </c>
      <c r="C246" s="71">
        <v>2</v>
      </c>
      <c r="D246" s="63">
        <f>(55.58)*(10.764)</f>
        <v>598.26311999999996</v>
      </c>
      <c r="E246" s="63">
        <f t="shared" si="46"/>
        <v>35.981899200000001</v>
      </c>
      <c r="F246" s="70">
        <f t="shared" si="45"/>
        <v>634.2450192</v>
      </c>
      <c r="G246" s="39">
        <v>0</v>
      </c>
      <c r="H246" s="39">
        <f t="shared" si="47"/>
        <v>951.36752879999995</v>
      </c>
      <c r="I246" s="68">
        <f>2.74*4.65+2.6*2.13+3.1*2.74+2.15*1.3+2.15*1.3+1.3+2.28</f>
        <v>35.943000000000005</v>
      </c>
      <c r="L246" s="139"/>
      <c r="M246" s="139"/>
      <c r="N246" s="33"/>
    </row>
    <row r="247" spans="1:20" s="34" customFormat="1" ht="15.75" customHeight="1" x14ac:dyDescent="0.25">
      <c r="A247" s="39">
        <v>8</v>
      </c>
      <c r="B247" s="70" t="s">
        <v>338</v>
      </c>
      <c r="C247" s="71" t="s">
        <v>342</v>
      </c>
      <c r="D247" s="63">
        <f>(37.26)*(10.764)</f>
        <v>401.06663999999995</v>
      </c>
      <c r="E247" s="63">
        <f t="shared" si="46"/>
        <v>35.981899200000001</v>
      </c>
      <c r="F247" s="70">
        <f t="shared" si="45"/>
        <v>437.04853919999994</v>
      </c>
      <c r="G247" s="39">
        <v>0</v>
      </c>
      <c r="H247" s="39">
        <f t="shared" si="47"/>
        <v>655.57280879999985</v>
      </c>
      <c r="I247" s="33"/>
      <c r="L247" s="139"/>
      <c r="M247" s="139"/>
      <c r="N247" s="33"/>
    </row>
    <row r="248" spans="1:20" s="34" customFormat="1" ht="15.75" customHeight="1" x14ac:dyDescent="0.25">
      <c r="A248" s="39">
        <v>9</v>
      </c>
      <c r="B248" s="70" t="s">
        <v>338</v>
      </c>
      <c r="C248" s="71" t="s">
        <v>342</v>
      </c>
      <c r="D248" s="63">
        <f>(38.87)*(10.764)</f>
        <v>418.39667999999995</v>
      </c>
      <c r="E248" s="63">
        <f t="shared" si="46"/>
        <v>35.981899200000001</v>
      </c>
      <c r="F248" s="70">
        <f t="shared" si="45"/>
        <v>454.37857919999993</v>
      </c>
      <c r="G248" s="39">
        <v>0</v>
      </c>
      <c r="H248" s="39">
        <f t="shared" si="47"/>
        <v>681.56786879999993</v>
      </c>
      <c r="I248" s="33"/>
      <c r="L248" s="139"/>
      <c r="M248" s="139"/>
      <c r="N248" s="33"/>
    </row>
    <row r="249" spans="1:20" s="34" customFormat="1" ht="15.75" customHeight="1" x14ac:dyDescent="0.25">
      <c r="A249" s="39">
        <v>10</v>
      </c>
      <c r="B249" s="70" t="s">
        <v>338</v>
      </c>
      <c r="C249" s="71" t="s">
        <v>342</v>
      </c>
      <c r="D249" s="63">
        <f>(38.87)*(10.764)</f>
        <v>418.39667999999995</v>
      </c>
      <c r="E249" s="63">
        <f t="shared" si="46"/>
        <v>35.981899200000001</v>
      </c>
      <c r="F249" s="70">
        <f t="shared" si="45"/>
        <v>454.37857919999993</v>
      </c>
      <c r="G249" s="39">
        <v>0</v>
      </c>
      <c r="H249" s="39">
        <f t="shared" si="47"/>
        <v>681.56786879999993</v>
      </c>
      <c r="I249" s="33"/>
      <c r="L249" s="139"/>
      <c r="M249" s="139"/>
      <c r="N249" s="33"/>
    </row>
    <row r="250" spans="1:20" s="34" customFormat="1" ht="15.75" customHeight="1" x14ac:dyDescent="0.25">
      <c r="A250" s="39">
        <v>11</v>
      </c>
      <c r="B250" s="70" t="s">
        <v>338</v>
      </c>
      <c r="C250" s="71" t="s">
        <v>342</v>
      </c>
      <c r="D250" s="63">
        <f>(37.26)*(10.764)</f>
        <v>401.06663999999995</v>
      </c>
      <c r="E250" s="63">
        <f t="shared" si="46"/>
        <v>35.981899200000001</v>
      </c>
      <c r="F250" s="70">
        <f t="shared" si="45"/>
        <v>437.04853919999994</v>
      </c>
      <c r="G250" s="39">
        <v>0</v>
      </c>
      <c r="H250" s="39">
        <f t="shared" si="47"/>
        <v>655.57280879999985</v>
      </c>
      <c r="I250" s="33"/>
      <c r="L250" s="139"/>
      <c r="M250" s="139"/>
      <c r="N250" s="33"/>
    </row>
    <row r="251" spans="1:20" s="34" customFormat="1" x14ac:dyDescent="0.25">
      <c r="A251" s="39">
        <v>12</v>
      </c>
      <c r="B251" s="70" t="s">
        <v>338</v>
      </c>
      <c r="C251" s="71">
        <v>2</v>
      </c>
      <c r="D251" s="63">
        <f>(51.47)*(10.764)</f>
        <v>554.02307999999994</v>
      </c>
      <c r="E251" s="63">
        <f t="shared" si="46"/>
        <v>35.981899200000001</v>
      </c>
      <c r="F251" s="70">
        <f t="shared" si="45"/>
        <v>590.00497919999998</v>
      </c>
      <c r="G251" s="39">
        <v>0</v>
      </c>
      <c r="H251" s="39">
        <f t="shared" si="47"/>
        <v>885.00746879999997</v>
      </c>
      <c r="J251" s="33"/>
    </row>
    <row r="252" spans="1:20" x14ac:dyDescent="0.25">
      <c r="A252" s="101" t="s">
        <v>328</v>
      </c>
      <c r="B252" s="102"/>
      <c r="C252" s="102"/>
      <c r="D252" s="102"/>
      <c r="E252" s="102"/>
      <c r="F252" s="102"/>
      <c r="G252" s="102"/>
      <c r="H252" s="103"/>
      <c r="T252" s="32"/>
    </row>
    <row r="253" spans="1:20" ht="15.75" customHeight="1" x14ac:dyDescent="0.25">
      <c r="A253" s="96" t="s">
        <v>63</v>
      </c>
      <c r="B253" s="97"/>
      <c r="C253" s="97"/>
      <c r="D253" s="97"/>
      <c r="E253" s="97"/>
      <c r="F253" s="97"/>
      <c r="G253" s="97"/>
      <c r="H253" s="98"/>
      <c r="T253" s="32"/>
    </row>
    <row r="254" spans="1:20" x14ac:dyDescent="0.25">
      <c r="A254" s="40" t="s">
        <v>146</v>
      </c>
      <c r="B254" s="87" t="s">
        <v>380</v>
      </c>
      <c r="C254" s="88"/>
      <c r="D254" s="88"/>
      <c r="E254" s="88"/>
      <c r="F254" s="88"/>
      <c r="G254" s="88"/>
      <c r="H254" s="89"/>
      <c r="T254" s="32"/>
    </row>
    <row r="255" spans="1:20" ht="15.75" customHeight="1" x14ac:dyDescent="0.25">
      <c r="A255" s="40" t="s">
        <v>146</v>
      </c>
      <c r="B255" s="87" t="s">
        <v>334</v>
      </c>
      <c r="C255" s="88"/>
      <c r="D255" s="88"/>
      <c r="E255" s="88"/>
      <c r="F255" s="88"/>
      <c r="G255" s="88"/>
      <c r="H255" s="89"/>
    </row>
    <row r="256" spans="1:20" ht="15.75" hidden="1" customHeight="1" x14ac:dyDescent="0.25">
      <c r="A256" s="40" t="s">
        <v>146</v>
      </c>
      <c r="B256" s="87" t="str">
        <f>(IF(H129="Saleable area Loading :","We have considered Saleable area of Commercial as per our Calculation.","We considered Saleable area of Commercial as per Builder area Sheet."))</f>
        <v>We have considered Saleable area of Commercial as per our Calculation.</v>
      </c>
      <c r="C256" s="88"/>
      <c r="D256" s="88"/>
      <c r="E256" s="88"/>
      <c r="F256" s="88"/>
      <c r="G256" s="88"/>
      <c r="H256" s="89"/>
    </row>
    <row r="257" spans="1:9" ht="15.75" customHeight="1" x14ac:dyDescent="0.25">
      <c r="A257" s="40" t="s">
        <v>146</v>
      </c>
      <c r="B257" s="78" t="s">
        <v>116</v>
      </c>
      <c r="C257" s="79"/>
      <c r="D257" s="79"/>
      <c r="E257" s="79"/>
      <c r="F257" s="79"/>
      <c r="G257" s="79"/>
      <c r="H257" s="80"/>
    </row>
    <row r="258" spans="1:9" ht="15.75" customHeight="1" x14ac:dyDescent="0.25">
      <c r="A258" s="40" t="s">
        <v>146</v>
      </c>
      <c r="B258" s="78" t="s">
        <v>327</v>
      </c>
      <c r="C258" s="79"/>
      <c r="D258" s="79"/>
      <c r="E258" s="79"/>
      <c r="F258" s="79"/>
      <c r="G258" s="79"/>
      <c r="H258" s="80"/>
    </row>
    <row r="259" spans="1:9" ht="15.75" customHeight="1" x14ac:dyDescent="0.25">
      <c r="A259" s="40" t="s">
        <v>146</v>
      </c>
      <c r="B259" s="78" t="s">
        <v>145</v>
      </c>
      <c r="C259" s="79"/>
      <c r="D259" s="79"/>
      <c r="E259" s="79"/>
      <c r="F259" s="79"/>
      <c r="G259" s="79"/>
      <c r="H259" s="80"/>
    </row>
    <row r="260" spans="1:9" ht="15.75" customHeight="1" x14ac:dyDescent="0.25">
      <c r="A260" s="40" t="s">
        <v>146</v>
      </c>
      <c r="B260" s="78" t="s">
        <v>117</v>
      </c>
      <c r="C260" s="79"/>
      <c r="D260" s="79"/>
      <c r="E260" s="79"/>
      <c r="F260" s="79"/>
      <c r="G260" s="79"/>
      <c r="H260" s="80"/>
    </row>
    <row r="261" spans="1:9" ht="15.75" customHeight="1" x14ac:dyDescent="0.25">
      <c r="A261" s="40" t="s">
        <v>146</v>
      </c>
      <c r="B261" s="78" t="s">
        <v>147</v>
      </c>
      <c r="C261" s="79"/>
      <c r="D261" s="79"/>
      <c r="E261" s="79"/>
      <c r="F261" s="79"/>
      <c r="G261" s="79"/>
      <c r="H261" s="80"/>
    </row>
    <row r="262" spans="1:9" ht="15.75" customHeight="1" x14ac:dyDescent="0.25">
      <c r="A262" s="40" t="s">
        <v>146</v>
      </c>
      <c r="B262" s="78" t="s">
        <v>118</v>
      </c>
      <c r="C262" s="79"/>
      <c r="D262" s="79"/>
      <c r="E262" s="79"/>
      <c r="F262" s="79"/>
      <c r="G262" s="79"/>
      <c r="H262" s="80"/>
    </row>
    <row r="263" spans="1:9" ht="15.75" customHeight="1" x14ac:dyDescent="0.25">
      <c r="A263" s="40" t="s">
        <v>146</v>
      </c>
      <c r="B263" s="78" t="s">
        <v>378</v>
      </c>
      <c r="C263" s="79"/>
      <c r="D263" s="79"/>
      <c r="E263" s="79"/>
      <c r="F263" s="79"/>
      <c r="G263" s="79"/>
      <c r="H263" s="80"/>
    </row>
    <row r="264" spans="1:9" x14ac:dyDescent="0.25">
      <c r="A264" s="40" t="s">
        <v>146</v>
      </c>
      <c r="B264" s="87" t="s">
        <v>313</v>
      </c>
      <c r="C264" s="88"/>
      <c r="D264" s="88"/>
      <c r="E264" s="88"/>
      <c r="F264" s="88"/>
      <c r="G264" s="88"/>
      <c r="H264" s="89"/>
    </row>
    <row r="265" spans="1:9" ht="15.75" customHeight="1" x14ac:dyDescent="0.25">
      <c r="A265" s="40" t="s">
        <v>146</v>
      </c>
      <c r="B265" s="87" t="s">
        <v>316</v>
      </c>
      <c r="C265" s="88"/>
      <c r="D265" s="88"/>
      <c r="E265" s="88"/>
      <c r="F265" s="88"/>
      <c r="G265" s="88"/>
      <c r="H265" s="89"/>
    </row>
    <row r="266" spans="1:9" s="19" customFormat="1" ht="15.75" customHeight="1" x14ac:dyDescent="0.25">
      <c r="A266" s="76" t="s">
        <v>146</v>
      </c>
      <c r="B266" s="87" t="s">
        <v>371</v>
      </c>
      <c r="C266" s="88"/>
      <c r="D266" s="88"/>
      <c r="E266" s="88"/>
      <c r="F266" s="88"/>
      <c r="G266" s="88"/>
      <c r="H266" s="89"/>
    </row>
    <row r="267" spans="1:9" s="19" customFormat="1" ht="15.75" customHeight="1" x14ac:dyDescent="0.25">
      <c r="A267" s="76" t="s">
        <v>146</v>
      </c>
      <c r="B267" s="87" t="s">
        <v>373</v>
      </c>
      <c r="C267" s="88"/>
      <c r="D267" s="88"/>
      <c r="E267" s="88"/>
      <c r="F267" s="88"/>
      <c r="G267" s="88"/>
      <c r="H267" s="89"/>
    </row>
    <row r="268" spans="1:9" x14ac:dyDescent="0.25">
      <c r="A268" s="76" t="s">
        <v>146</v>
      </c>
      <c r="B268" s="87" t="s">
        <v>370</v>
      </c>
      <c r="C268" s="88"/>
      <c r="D268" s="88"/>
      <c r="E268" s="88"/>
      <c r="F268" s="88"/>
      <c r="G268" s="88"/>
      <c r="H268" s="89"/>
      <c r="I268" s="77" t="s">
        <v>383</v>
      </c>
    </row>
    <row r="269" spans="1:9" ht="15" hidden="1" customHeight="1" x14ac:dyDescent="0.25">
      <c r="A269" s="76" t="s">
        <v>146</v>
      </c>
      <c r="B269" s="87" t="s">
        <v>375</v>
      </c>
      <c r="C269" s="88"/>
      <c r="D269" s="88"/>
      <c r="E269" s="88"/>
      <c r="F269" s="88"/>
      <c r="G269" s="88"/>
      <c r="H269" s="89"/>
    </row>
    <row r="270" spans="1:9" x14ac:dyDescent="0.25">
      <c r="A270" s="217" t="s">
        <v>56</v>
      </c>
      <c r="B270" s="218"/>
      <c r="C270" s="218"/>
      <c r="D270" s="218"/>
      <c r="E270" s="218"/>
      <c r="F270" s="218"/>
      <c r="G270" s="218"/>
      <c r="H270" s="219"/>
    </row>
    <row r="271" spans="1:9" x14ac:dyDescent="0.25">
      <c r="A271" s="148" t="s">
        <v>57</v>
      </c>
      <c r="B271" s="149"/>
      <c r="C271" s="149"/>
      <c r="D271" s="149"/>
      <c r="E271" s="149"/>
      <c r="F271" s="149"/>
      <c r="G271" s="149"/>
      <c r="H271" s="150"/>
    </row>
    <row r="272" spans="1:9" x14ac:dyDescent="0.25">
      <c r="A272" s="243" t="s">
        <v>58</v>
      </c>
      <c r="B272" s="244"/>
      <c r="C272" s="244"/>
      <c r="D272" s="244"/>
      <c r="E272" s="244"/>
      <c r="F272" s="244"/>
      <c r="G272" s="244"/>
      <c r="H272" s="245"/>
    </row>
    <row r="273" spans="1:11" x14ac:dyDescent="0.25">
      <c r="A273" s="148" t="s">
        <v>59</v>
      </c>
      <c r="B273" s="149"/>
      <c r="C273" s="149"/>
      <c r="D273" s="149"/>
      <c r="E273" s="149"/>
      <c r="F273" s="149"/>
      <c r="G273" s="149"/>
      <c r="H273" s="150"/>
    </row>
    <row r="274" spans="1:11" ht="15.75" customHeight="1" x14ac:dyDescent="0.25">
      <c r="A274" s="148" t="s">
        <v>60</v>
      </c>
      <c r="B274" s="149"/>
      <c r="C274" s="149"/>
      <c r="D274" s="149"/>
      <c r="E274" s="149"/>
      <c r="F274" s="149"/>
      <c r="G274" s="149"/>
      <c r="H274" s="150"/>
    </row>
    <row r="275" spans="1:11" x14ac:dyDescent="0.25">
      <c r="A275" s="148" t="s">
        <v>119</v>
      </c>
      <c r="B275" s="149"/>
      <c r="C275" s="149"/>
      <c r="D275" s="149"/>
      <c r="E275" s="149"/>
      <c r="F275" s="149"/>
      <c r="G275" s="149"/>
      <c r="H275" s="150"/>
    </row>
    <row r="276" spans="1:11" ht="14.25" customHeight="1" x14ac:dyDescent="0.3">
      <c r="A276" s="174" t="s">
        <v>120</v>
      </c>
      <c r="B276" s="175"/>
      <c r="C276" s="175"/>
      <c r="D276" s="175"/>
      <c r="E276" s="175"/>
      <c r="F276" s="175"/>
      <c r="G276" s="175"/>
      <c r="H276" s="176"/>
      <c r="K276" s="72"/>
    </row>
    <row r="277" spans="1:11" x14ac:dyDescent="0.25">
      <c r="A277" s="236" t="s">
        <v>70</v>
      </c>
      <c r="B277" s="236"/>
      <c r="C277" s="236" t="s">
        <v>305</v>
      </c>
      <c r="D277" s="236"/>
      <c r="E277" s="236" t="s">
        <v>99</v>
      </c>
      <c r="F277" s="236"/>
      <c r="G277" s="236" t="s">
        <v>385</v>
      </c>
      <c r="H277" s="236"/>
    </row>
    <row r="278" spans="1:11" x14ac:dyDescent="0.25">
      <c r="A278" s="227" t="s">
        <v>72</v>
      </c>
      <c r="B278" s="228"/>
      <c r="C278" s="228"/>
      <c r="D278" s="228"/>
      <c r="E278" s="228"/>
      <c r="F278" s="228"/>
      <c r="G278" s="228"/>
      <c r="H278" s="229"/>
    </row>
    <row r="279" spans="1:11" x14ac:dyDescent="0.25">
      <c r="A279" s="230"/>
      <c r="B279" s="231"/>
      <c r="C279" s="231"/>
      <c r="D279" s="231"/>
      <c r="E279" s="231"/>
      <c r="F279" s="231"/>
      <c r="G279" s="231"/>
      <c r="H279" s="232"/>
    </row>
    <row r="280" spans="1:11" x14ac:dyDescent="0.25">
      <c r="A280" s="233"/>
      <c r="B280" s="234"/>
      <c r="C280" s="234"/>
      <c r="D280" s="234"/>
      <c r="E280" s="234"/>
      <c r="F280" s="234"/>
      <c r="G280" s="234"/>
      <c r="H280" s="235"/>
    </row>
    <row r="281" spans="1:11" x14ac:dyDescent="0.25">
      <c r="A281" s="35" t="s">
        <v>61</v>
      </c>
      <c r="B281" s="36"/>
      <c r="C281" s="36"/>
      <c r="D281" s="35" t="str">
        <f>E9</f>
        <v>Runwal Lands End &amp; Runwal Lands End - Breeze</v>
      </c>
      <c r="F281" s="36"/>
      <c r="G281" s="36"/>
      <c r="H281" s="36"/>
    </row>
    <row r="282" spans="1:11" x14ac:dyDescent="0.25">
      <c r="A282" s="36"/>
      <c r="B282" s="36"/>
      <c r="C282" s="36"/>
      <c r="D282" s="36"/>
      <c r="E282" s="36"/>
      <c r="F282" s="36"/>
      <c r="G282" s="36"/>
      <c r="H282" s="36"/>
    </row>
    <row r="283" spans="1:11" x14ac:dyDescent="0.25">
      <c r="A283" s="36"/>
      <c r="B283" s="36"/>
      <c r="C283" s="36"/>
      <c r="D283" s="36"/>
      <c r="E283" s="36"/>
      <c r="F283" s="36"/>
      <c r="G283" s="36"/>
      <c r="H283" s="36"/>
    </row>
    <row r="321" spans="1:1" x14ac:dyDescent="0.25">
      <c r="A321" s="61" t="s">
        <v>157</v>
      </c>
    </row>
    <row r="363" spans="1:1" x14ac:dyDescent="0.25">
      <c r="A363" s="38" t="s">
        <v>374</v>
      </c>
    </row>
    <row r="405" spans="1:1" x14ac:dyDescent="0.25">
      <c r="A405" s="38" t="s">
        <v>62</v>
      </c>
    </row>
    <row r="442" spans="11:11" x14ac:dyDescent="0.25">
      <c r="K442" s="18" t="s">
        <v>382</v>
      </c>
    </row>
  </sheetData>
  <mergeCells count="401">
    <mergeCell ref="L134:M134"/>
    <mergeCell ref="L133:M133"/>
    <mergeCell ref="L132:M132"/>
    <mergeCell ref="L131:M131"/>
    <mergeCell ref="L145:M145"/>
    <mergeCell ref="E137:E138"/>
    <mergeCell ref="C129:C130"/>
    <mergeCell ref="A141:H141"/>
    <mergeCell ref="A142:H142"/>
    <mergeCell ref="F137:F138"/>
    <mergeCell ref="A132:B132"/>
    <mergeCell ref="A131:H131"/>
    <mergeCell ref="E129:E130"/>
    <mergeCell ref="L142:M142"/>
    <mergeCell ref="G129:G130"/>
    <mergeCell ref="G22:H22"/>
    <mergeCell ref="A27:D27"/>
    <mergeCell ref="E27:H27"/>
    <mergeCell ref="C60:H60"/>
    <mergeCell ref="D70:H70"/>
    <mergeCell ref="D66:H66"/>
    <mergeCell ref="A33:D33"/>
    <mergeCell ref="E33:H33"/>
    <mergeCell ref="A29:D29"/>
    <mergeCell ref="E29:H29"/>
    <mergeCell ref="C34:E34"/>
    <mergeCell ref="F37:H37"/>
    <mergeCell ref="F34:H34"/>
    <mergeCell ref="A35:B35"/>
    <mergeCell ref="A34:B34"/>
    <mergeCell ref="C35:E35"/>
    <mergeCell ref="D137:D138"/>
    <mergeCell ref="A140:H140"/>
    <mergeCell ref="A69:C69"/>
    <mergeCell ref="A70:C70"/>
    <mergeCell ref="A112:E112"/>
    <mergeCell ref="A128:H128"/>
    <mergeCell ref="A133:B133"/>
    <mergeCell ref="A126:B126"/>
    <mergeCell ref="B137:B138"/>
    <mergeCell ref="A139:H139"/>
    <mergeCell ref="A136:H136"/>
    <mergeCell ref="A137:A138"/>
    <mergeCell ref="C137:C138"/>
    <mergeCell ref="G137:G138"/>
    <mergeCell ref="C126:D126"/>
    <mergeCell ref="A135:B135"/>
    <mergeCell ref="A134:B134"/>
    <mergeCell ref="E126:F126"/>
    <mergeCell ref="C23:D23"/>
    <mergeCell ref="E23:F23"/>
    <mergeCell ref="G23:H23"/>
    <mergeCell ref="E31:H31"/>
    <mergeCell ref="A28:D28"/>
    <mergeCell ref="A23:B23"/>
    <mergeCell ref="A37:B37"/>
    <mergeCell ref="C37:E37"/>
    <mergeCell ref="A32:D32"/>
    <mergeCell ref="E32:H32"/>
    <mergeCell ref="G121:H121"/>
    <mergeCell ref="I15:P15"/>
    <mergeCell ref="F114:H114"/>
    <mergeCell ref="F112:H112"/>
    <mergeCell ref="E44:H44"/>
    <mergeCell ref="E28:H28"/>
    <mergeCell ref="A39:H39"/>
    <mergeCell ref="A38:B38"/>
    <mergeCell ref="C38:E38"/>
    <mergeCell ref="A43:D43"/>
    <mergeCell ref="E43:H43"/>
    <mergeCell ref="A42:H42"/>
    <mergeCell ref="A45:D45"/>
    <mergeCell ref="E45:H45"/>
    <mergeCell ref="E46:H46"/>
    <mergeCell ref="E47:H47"/>
    <mergeCell ref="E48:H48"/>
    <mergeCell ref="D65:H65"/>
    <mergeCell ref="A114:E114"/>
    <mergeCell ref="A110:E110"/>
    <mergeCell ref="F110:H110"/>
    <mergeCell ref="C59:E59"/>
    <mergeCell ref="A22:B22"/>
    <mergeCell ref="C22:D22"/>
    <mergeCell ref="E22:F22"/>
    <mergeCell ref="A278:H280"/>
    <mergeCell ref="A277:B277"/>
    <mergeCell ref="E277:F277"/>
    <mergeCell ref="C277:D277"/>
    <mergeCell ref="G277:H277"/>
    <mergeCell ref="A115:E115"/>
    <mergeCell ref="F115:H115"/>
    <mergeCell ref="A116:E116"/>
    <mergeCell ref="F116:H116"/>
    <mergeCell ref="A149:H149"/>
    <mergeCell ref="A119:B119"/>
    <mergeCell ref="A273:H273"/>
    <mergeCell ref="A117:H117"/>
    <mergeCell ref="A276:H276"/>
    <mergeCell ref="A274:H274"/>
    <mergeCell ref="A169:H169"/>
    <mergeCell ref="A127:H127"/>
    <mergeCell ref="B268:H268"/>
    <mergeCell ref="E121:F121"/>
    <mergeCell ref="E118:F118"/>
    <mergeCell ref="B267:H267"/>
    <mergeCell ref="A271:H271"/>
    <mergeCell ref="A275:H275"/>
    <mergeCell ref="A272:H272"/>
    <mergeCell ref="A270:H270"/>
    <mergeCell ref="E4:H4"/>
    <mergeCell ref="E24:H25"/>
    <mergeCell ref="A17:B17"/>
    <mergeCell ref="F107:H107"/>
    <mergeCell ref="A111:E111"/>
    <mergeCell ref="A109:E109"/>
    <mergeCell ref="A121:B121"/>
    <mergeCell ref="A11:D11"/>
    <mergeCell ref="E11:H11"/>
    <mergeCell ref="A24:D25"/>
    <mergeCell ref="G59:H59"/>
    <mergeCell ref="G79:H79"/>
    <mergeCell ref="A118:B118"/>
    <mergeCell ref="G52:H52"/>
    <mergeCell ref="A53:B54"/>
    <mergeCell ref="C54:H54"/>
    <mergeCell ref="A59:B60"/>
    <mergeCell ref="A26:D26"/>
    <mergeCell ref="E26:H26"/>
    <mergeCell ref="A31:D31"/>
    <mergeCell ref="A113:E113"/>
    <mergeCell ref="A62:B62"/>
    <mergeCell ref="C62:E6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A12:D12"/>
    <mergeCell ref="E12:H12"/>
    <mergeCell ref="A18:B18"/>
    <mergeCell ref="A14:D14"/>
    <mergeCell ref="A20:B20"/>
    <mergeCell ref="C20:D20"/>
    <mergeCell ref="E20:F20"/>
    <mergeCell ref="G20:H20"/>
    <mergeCell ref="A21:B21"/>
    <mergeCell ref="C21:D21"/>
    <mergeCell ref="E21:F21"/>
    <mergeCell ref="G21:H21"/>
    <mergeCell ref="C17:H17"/>
    <mergeCell ref="C18:H18"/>
    <mergeCell ref="A19:B19"/>
    <mergeCell ref="C19:H19"/>
    <mergeCell ref="A13:D13"/>
    <mergeCell ref="E13:H13"/>
    <mergeCell ref="E14:H14"/>
    <mergeCell ref="A15:D16"/>
    <mergeCell ref="E15:F15"/>
    <mergeCell ref="G15:H15"/>
    <mergeCell ref="E16:F16"/>
    <mergeCell ref="G16:H16"/>
    <mergeCell ref="A36:B36"/>
    <mergeCell ref="C36:E36"/>
    <mergeCell ref="F35:H35"/>
    <mergeCell ref="F36:H36"/>
    <mergeCell ref="A30:D30"/>
    <mergeCell ref="E30:H30"/>
    <mergeCell ref="F38:H38"/>
    <mergeCell ref="C51:E51"/>
    <mergeCell ref="G51:H51"/>
    <mergeCell ref="C50:H50"/>
    <mergeCell ref="A40:B40"/>
    <mergeCell ref="C40:H40"/>
    <mergeCell ref="A47:D47"/>
    <mergeCell ref="A48:D48"/>
    <mergeCell ref="A49:H49"/>
    <mergeCell ref="A57:B58"/>
    <mergeCell ref="C57:E57"/>
    <mergeCell ref="G57:H57"/>
    <mergeCell ref="C58:H58"/>
    <mergeCell ref="A44:D44"/>
    <mergeCell ref="A51:B51"/>
    <mergeCell ref="C52:E52"/>
    <mergeCell ref="A52:B52"/>
    <mergeCell ref="C53:E53"/>
    <mergeCell ref="A41:B41"/>
    <mergeCell ref="C41:H41"/>
    <mergeCell ref="A50:B50"/>
    <mergeCell ref="A97:B97"/>
    <mergeCell ref="A98:B98"/>
    <mergeCell ref="A99:B99"/>
    <mergeCell ref="A100:B100"/>
    <mergeCell ref="A101:B101"/>
    <mergeCell ref="A102:B102"/>
    <mergeCell ref="A103:B103"/>
    <mergeCell ref="G62:H62"/>
    <mergeCell ref="A55:B56"/>
    <mergeCell ref="C55:E55"/>
    <mergeCell ref="G55:H55"/>
    <mergeCell ref="A61:B61"/>
    <mergeCell ref="C61:E61"/>
    <mergeCell ref="G61:H61"/>
    <mergeCell ref="D69:H69"/>
    <mergeCell ref="G125:H125"/>
    <mergeCell ref="C124:D124"/>
    <mergeCell ref="E124:F124"/>
    <mergeCell ref="G124:H124"/>
    <mergeCell ref="F113:H113"/>
    <mergeCell ref="C118:D118"/>
    <mergeCell ref="F105:H105"/>
    <mergeCell ref="F111:H111"/>
    <mergeCell ref="C121:D121"/>
    <mergeCell ref="E125:F125"/>
    <mergeCell ref="A46:D46"/>
    <mergeCell ref="E80:F89"/>
    <mergeCell ref="G80:H89"/>
    <mergeCell ref="A88:B88"/>
    <mergeCell ref="A89:B89"/>
    <mergeCell ref="F104:H104"/>
    <mergeCell ref="A87:B87"/>
    <mergeCell ref="C119:D119"/>
    <mergeCell ref="E119:F119"/>
    <mergeCell ref="G119:H119"/>
    <mergeCell ref="A105:E105"/>
    <mergeCell ref="G118:H118"/>
    <mergeCell ref="D75:H75"/>
    <mergeCell ref="A73:C73"/>
    <mergeCell ref="D74:H74"/>
    <mergeCell ref="A85:B85"/>
    <mergeCell ref="A80:B80"/>
    <mergeCell ref="A65:C65"/>
    <mergeCell ref="D67:H67"/>
    <mergeCell ref="G53:H53"/>
    <mergeCell ref="A63:H63"/>
    <mergeCell ref="A64:C64"/>
    <mergeCell ref="D73:H73"/>
    <mergeCell ref="A74:C74"/>
    <mergeCell ref="L144:M144"/>
    <mergeCell ref="F129:F130"/>
    <mergeCell ref="B129:B130"/>
    <mergeCell ref="A129:A130"/>
    <mergeCell ref="C56:H56"/>
    <mergeCell ref="A79:B79"/>
    <mergeCell ref="A78:B78"/>
    <mergeCell ref="A76:B76"/>
    <mergeCell ref="C76:H76"/>
    <mergeCell ref="A84:B84"/>
    <mergeCell ref="A71:C71"/>
    <mergeCell ref="D71:H71"/>
    <mergeCell ref="C78:H78"/>
    <mergeCell ref="A82:B82"/>
    <mergeCell ref="A81:B81"/>
    <mergeCell ref="A83:B83"/>
    <mergeCell ref="E79:F79"/>
    <mergeCell ref="A72:C72"/>
    <mergeCell ref="D72:H72"/>
    <mergeCell ref="A75:C75"/>
    <mergeCell ref="D64:H64"/>
    <mergeCell ref="F108:H108"/>
    <mergeCell ref="A86:B86"/>
    <mergeCell ref="F109:H109"/>
    <mergeCell ref="B265:H265"/>
    <mergeCell ref="B264:H264"/>
    <mergeCell ref="L190:M190"/>
    <mergeCell ref="L191:M191"/>
    <mergeCell ref="L221:M221"/>
    <mergeCell ref="L222:M222"/>
    <mergeCell ref="L193:M193"/>
    <mergeCell ref="L194:M194"/>
    <mergeCell ref="L195:M195"/>
    <mergeCell ref="L196:M196"/>
    <mergeCell ref="L197:M197"/>
    <mergeCell ref="L200:M200"/>
    <mergeCell ref="L201:M201"/>
    <mergeCell ref="L218:M218"/>
    <mergeCell ref="L219:M219"/>
    <mergeCell ref="L220:M220"/>
    <mergeCell ref="L198:M198"/>
    <mergeCell ref="L215:M215"/>
    <mergeCell ref="L224:M224"/>
    <mergeCell ref="L234:M234"/>
    <mergeCell ref="L248:M248"/>
    <mergeCell ref="L249:M249"/>
    <mergeCell ref="L250:M250"/>
    <mergeCell ref="L239:M239"/>
    <mergeCell ref="L240:M240"/>
    <mergeCell ref="L241:M241"/>
    <mergeCell ref="L242:M242"/>
    <mergeCell ref="L243:M243"/>
    <mergeCell ref="L244:M244"/>
    <mergeCell ref="L245:M245"/>
    <mergeCell ref="L246:M246"/>
    <mergeCell ref="L247:M247"/>
    <mergeCell ref="L235:M235"/>
    <mergeCell ref="L236:M236"/>
    <mergeCell ref="L237:M237"/>
    <mergeCell ref="L233:M233"/>
    <mergeCell ref="L223:M223"/>
    <mergeCell ref="L202:M202"/>
    <mergeCell ref="L203:M203"/>
    <mergeCell ref="L204:M204"/>
    <mergeCell ref="L205:M205"/>
    <mergeCell ref="L206:M206"/>
    <mergeCell ref="L207:M207"/>
    <mergeCell ref="L208:M208"/>
    <mergeCell ref="L209:M209"/>
    <mergeCell ref="L210:M210"/>
    <mergeCell ref="L211:M211"/>
    <mergeCell ref="L226:M226"/>
    <mergeCell ref="L227:M227"/>
    <mergeCell ref="L228:M228"/>
    <mergeCell ref="L229:M229"/>
    <mergeCell ref="L230:M230"/>
    <mergeCell ref="L216:M216"/>
    <mergeCell ref="L217:M217"/>
    <mergeCell ref="L213:M213"/>
    <mergeCell ref="L214:M214"/>
    <mergeCell ref="A200:H200"/>
    <mergeCell ref="A193:H193"/>
    <mergeCell ref="A122:H122"/>
    <mergeCell ref="A123:B123"/>
    <mergeCell ref="C123:D123"/>
    <mergeCell ref="L231:M231"/>
    <mergeCell ref="L232:M232"/>
    <mergeCell ref="L186:M186"/>
    <mergeCell ref="L187:M187"/>
    <mergeCell ref="L188:M188"/>
    <mergeCell ref="L189:M189"/>
    <mergeCell ref="A185:H185"/>
    <mergeCell ref="A213:H213"/>
    <mergeCell ref="A186:H186"/>
    <mergeCell ref="A226:H226"/>
    <mergeCell ref="A182:H182"/>
    <mergeCell ref="A183:H183"/>
    <mergeCell ref="A184:H184"/>
    <mergeCell ref="L146:M146"/>
    <mergeCell ref="L147:M147"/>
    <mergeCell ref="L148:M148"/>
    <mergeCell ref="A156:H156"/>
    <mergeCell ref="G126:H126"/>
    <mergeCell ref="L143:M143"/>
    <mergeCell ref="A120:B120"/>
    <mergeCell ref="C120:D120"/>
    <mergeCell ref="E120:F120"/>
    <mergeCell ref="G120:H120"/>
    <mergeCell ref="A66:C66"/>
    <mergeCell ref="D68:H68"/>
    <mergeCell ref="A67:C68"/>
    <mergeCell ref="A90:B90"/>
    <mergeCell ref="C90:H90"/>
    <mergeCell ref="A92:B92"/>
    <mergeCell ref="C92:H92"/>
    <mergeCell ref="A93:B93"/>
    <mergeCell ref="E93:F93"/>
    <mergeCell ref="G93:H93"/>
    <mergeCell ref="F106:H106"/>
    <mergeCell ref="A106:E106"/>
    <mergeCell ref="A108:E108"/>
    <mergeCell ref="A107:E107"/>
    <mergeCell ref="A104:E104"/>
    <mergeCell ref="A94:B94"/>
    <mergeCell ref="E94:F103"/>
    <mergeCell ref="G94:H103"/>
    <mergeCell ref="A95:B95"/>
    <mergeCell ref="A96:B96"/>
    <mergeCell ref="B263:H263"/>
    <mergeCell ref="B205:H205"/>
    <mergeCell ref="B158:G158"/>
    <mergeCell ref="B244:H244"/>
    <mergeCell ref="B269:H269"/>
    <mergeCell ref="E123:F123"/>
    <mergeCell ref="G123:H123"/>
    <mergeCell ref="A125:B125"/>
    <mergeCell ref="C125:D125"/>
    <mergeCell ref="A124:B124"/>
    <mergeCell ref="B266:H266"/>
    <mergeCell ref="B262:H262"/>
    <mergeCell ref="B261:H261"/>
    <mergeCell ref="B260:H260"/>
    <mergeCell ref="B258:H258"/>
    <mergeCell ref="B257:H257"/>
    <mergeCell ref="B256:H256"/>
    <mergeCell ref="B255:H255"/>
    <mergeCell ref="B254:H254"/>
    <mergeCell ref="B259:H259"/>
    <mergeCell ref="A253:H253"/>
    <mergeCell ref="D129:D130"/>
    <mergeCell ref="A239:H239"/>
    <mergeCell ref="A252:H252"/>
  </mergeCells>
  <dataValidations count="15">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77:H277">
      <formula1>"Kunal Kadam,Shruti Tathare,Diptee Gotawade,Pranita Mhatre,Shruti Fule,Pooja Kawale,Mansee Mohite,Anjali Kamble,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B129:B130">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30 H138">
      <formula1>".45,.50,.55,.60"</formula1>
    </dataValidation>
    <dataValidation type="list" allowBlank="1" showInputMessage="1" showErrorMessage="1" sqref="E4:H4">
      <formula1>$L$3:$P$3</formula1>
    </dataValidation>
    <dataValidation type="list" allowBlank="1" showInputMessage="1" showErrorMessage="1" sqref="C22:D22">
      <formula1>OFFSET($S$13,1,MATCH($G21,$S$13:$W$13,0)-1,15,1)</formula1>
    </dataValidation>
    <dataValidation type="list" allowBlank="1" showInputMessage="1" showErrorMessage="1" sqref="C50:H50">
      <formula1>OFFSET($S$49,1,MATCH($G21,$S$49:$W$49,0)-1,15,1)</formula1>
    </dataValidation>
    <dataValidation type="list" allowBlank="1" showInputMessage="1" showErrorMessage="1" sqref="F115:H115">
      <formula1>OFFSET($S$103,1,MATCH($G21,$S$103:$W$103,0)-1,15,1)</formula1>
    </dataValidation>
  </dataValidations>
  <hyperlinks>
    <hyperlink ref="I71" r:id="rId1"/>
    <hyperlink ref="C4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280" max="7" man="1"/>
    <brk id="320" max="7" man="1"/>
    <brk id="362" max="7" man="1"/>
    <brk id="404"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72" t="s">
        <v>100</v>
      </c>
      <c r="C3" s="272"/>
      <c r="D3" s="272"/>
      <c r="E3" s="272"/>
      <c r="F3" s="272"/>
      <c r="G3" s="272"/>
      <c r="H3" s="272"/>
    </row>
    <row r="4" spans="1:9" x14ac:dyDescent="0.25">
      <c r="A4" s="2"/>
      <c r="B4" s="3" t="s">
        <v>101</v>
      </c>
      <c r="C4" s="3" t="s">
        <v>102</v>
      </c>
      <c r="D4" s="3" t="s">
        <v>64</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10</v>
      </c>
      <c r="D4" s="47" t="s">
        <v>169</v>
      </c>
      <c r="E4" s="47" t="s">
        <v>179</v>
      </c>
      <c r="F4" s="47" t="s">
        <v>165</v>
      </c>
      <c r="G4" s="47" t="s">
        <v>184</v>
      </c>
      <c r="H4" s="47" t="s">
        <v>202</v>
      </c>
      <c r="J4" t="s">
        <v>184</v>
      </c>
      <c r="K4" t="s">
        <v>200</v>
      </c>
    </row>
    <row r="5" spans="2:11" x14ac:dyDescent="0.25">
      <c r="B5" s="46"/>
      <c r="C5" s="46"/>
      <c r="D5" s="47" t="s">
        <v>170</v>
      </c>
      <c r="E5" s="47" t="s">
        <v>177</v>
      </c>
      <c r="F5" s="47" t="s">
        <v>199</v>
      </c>
      <c r="G5" s="47" t="s">
        <v>185</v>
      </c>
      <c r="H5" s="47" t="s">
        <v>203</v>
      </c>
    </row>
    <row r="6" spans="2:11" x14ac:dyDescent="0.25">
      <c r="B6" s="46"/>
      <c r="C6" s="46"/>
      <c r="D6" s="47" t="s">
        <v>171</v>
      </c>
      <c r="E6" s="47" t="s">
        <v>178</v>
      </c>
      <c r="F6" s="47" t="s">
        <v>200</v>
      </c>
      <c r="G6" s="47" t="s">
        <v>186</v>
      </c>
      <c r="H6" s="47" t="s">
        <v>216</v>
      </c>
    </row>
    <row r="7" spans="2:11" x14ac:dyDescent="0.25">
      <c r="B7" s="46"/>
      <c r="C7" s="46"/>
      <c r="D7" s="47" t="s">
        <v>172</v>
      </c>
      <c r="E7" s="47" t="s">
        <v>180</v>
      </c>
      <c r="F7" s="47" t="s">
        <v>201</v>
      </c>
      <c r="G7" s="47" t="s">
        <v>187</v>
      </c>
      <c r="H7" s="47" t="s">
        <v>204</v>
      </c>
    </row>
    <row r="8" spans="2:11" x14ac:dyDescent="0.25">
      <c r="B8" s="46"/>
      <c r="C8" s="46"/>
      <c r="D8" s="47" t="s">
        <v>173</v>
      </c>
      <c r="E8" s="47" t="s">
        <v>181</v>
      </c>
      <c r="F8" s="47"/>
      <c r="G8" s="47" t="s">
        <v>188</v>
      </c>
      <c r="H8" s="47" t="s">
        <v>205</v>
      </c>
    </row>
    <row r="9" spans="2:11" x14ac:dyDescent="0.25">
      <c r="B9" s="46"/>
      <c r="C9" s="46"/>
      <c r="D9" s="47" t="s">
        <v>174</v>
      </c>
      <c r="E9" s="47" t="s">
        <v>179</v>
      </c>
      <c r="F9" s="47"/>
      <c r="G9" s="47" t="s">
        <v>189</v>
      </c>
      <c r="H9" s="47" t="s">
        <v>206</v>
      </c>
    </row>
    <row r="10" spans="2:11" x14ac:dyDescent="0.25">
      <c r="B10" s="46"/>
      <c r="C10" s="46"/>
      <c r="D10" s="47" t="s">
        <v>175</v>
      </c>
      <c r="E10" s="47" t="s">
        <v>182</v>
      </c>
      <c r="F10" s="47"/>
      <c r="G10" s="47" t="s">
        <v>190</v>
      </c>
      <c r="H10" s="47" t="s">
        <v>207</v>
      </c>
    </row>
    <row r="11" spans="2:11" x14ac:dyDescent="0.25">
      <c r="B11" s="46"/>
      <c r="C11" s="46"/>
      <c r="D11" s="47" t="s">
        <v>176</v>
      </c>
      <c r="E11" s="47" t="s">
        <v>183</v>
      </c>
      <c r="F11" s="47"/>
      <c r="G11" s="47" t="s">
        <v>191</v>
      </c>
      <c r="H11" s="47" t="s">
        <v>208</v>
      </c>
    </row>
    <row r="12" spans="2:11" x14ac:dyDescent="0.25">
      <c r="B12" s="46"/>
      <c r="C12" s="46"/>
      <c r="D12" s="47"/>
      <c r="E12" s="47"/>
      <c r="F12" s="47"/>
      <c r="G12" s="47" t="s">
        <v>192</v>
      </c>
      <c r="H12" s="47" t="s">
        <v>209</v>
      </c>
    </row>
    <row r="13" spans="2:11" x14ac:dyDescent="0.25">
      <c r="B13" s="46"/>
      <c r="C13" s="46"/>
      <c r="D13" s="47"/>
      <c r="E13" s="47"/>
      <c r="F13" s="47"/>
      <c r="G13" s="47" t="s">
        <v>193</v>
      </c>
      <c r="H13" s="47" t="s">
        <v>210</v>
      </c>
    </row>
    <row r="14" spans="2:11" x14ac:dyDescent="0.25">
      <c r="B14" s="46"/>
      <c r="C14" s="46"/>
      <c r="D14" s="47"/>
      <c r="E14" s="47"/>
      <c r="F14" s="47"/>
      <c r="G14" s="47" t="s">
        <v>194</v>
      </c>
      <c r="H14" s="47" t="s">
        <v>211</v>
      </c>
    </row>
    <row r="15" spans="2:11" x14ac:dyDescent="0.25">
      <c r="B15" s="46"/>
      <c r="C15" s="46"/>
      <c r="D15" s="47"/>
      <c r="E15" s="47"/>
      <c r="F15" s="47"/>
      <c r="G15" s="47" t="s">
        <v>195</v>
      </c>
      <c r="H15" s="47" t="s">
        <v>212</v>
      </c>
    </row>
    <row r="16" spans="2:11" x14ac:dyDescent="0.25">
      <c r="B16" s="46"/>
      <c r="C16" s="46"/>
      <c r="D16" s="47"/>
      <c r="E16" s="47"/>
      <c r="F16" s="47"/>
      <c r="G16" s="47" t="s">
        <v>196</v>
      </c>
      <c r="H16" s="47" t="s">
        <v>213</v>
      </c>
    </row>
    <row r="17" spans="2:8" x14ac:dyDescent="0.25">
      <c r="B17" s="46"/>
      <c r="C17" s="46"/>
      <c r="D17" s="47"/>
      <c r="E17" s="47"/>
      <c r="F17" s="47"/>
      <c r="G17" s="47" t="s">
        <v>197</v>
      </c>
      <c r="H17" s="47" t="s">
        <v>214</v>
      </c>
    </row>
    <row r="18" spans="2:8" x14ac:dyDescent="0.25">
      <c r="B18" s="46"/>
      <c r="C18" s="46"/>
      <c r="D18" s="47"/>
      <c r="E18" s="47"/>
      <c r="F18" s="47"/>
      <c r="G18" s="47" t="s">
        <v>198</v>
      </c>
      <c r="H18" s="47" t="s">
        <v>215</v>
      </c>
    </row>
    <row r="24" spans="2:8" x14ac:dyDescent="0.25">
      <c r="C24" t="s">
        <v>162</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162</v>
      </c>
    </row>
    <row r="33" spans="3:11" x14ac:dyDescent="0.25">
      <c r="J33">
        <v>1</v>
      </c>
      <c r="K33">
        <v>2</v>
      </c>
    </row>
    <row r="34" spans="3:11" x14ac:dyDescent="0.25">
      <c r="C34" s="50" t="s">
        <v>226</v>
      </c>
      <c r="D34" s="47" t="s">
        <v>224</v>
      </c>
      <c r="E34" s="47" t="s">
        <v>229</v>
      </c>
      <c r="F34" s="47" t="s">
        <v>227</v>
      </c>
      <c r="G34" s="47" t="s">
        <v>228</v>
      </c>
      <c r="H34" s="47" t="s">
        <v>230</v>
      </c>
      <c r="J34" t="s">
        <v>184</v>
      </c>
      <c r="K34" t="s">
        <v>200</v>
      </c>
    </row>
    <row r="35" spans="3:11" x14ac:dyDescent="0.25">
      <c r="C35" s="46" t="s">
        <v>225</v>
      </c>
      <c r="D35" s="47" t="s">
        <v>163</v>
      </c>
      <c r="E35" s="47" t="s">
        <v>234</v>
      </c>
      <c r="F35" s="47" t="s">
        <v>236</v>
      </c>
      <c r="G35" s="47" t="s">
        <v>238</v>
      </c>
      <c r="H35" s="47"/>
    </row>
    <row r="36" spans="3:11" x14ac:dyDescent="0.25">
      <c r="C36" s="46"/>
      <c r="D36" s="47" t="s">
        <v>231</v>
      </c>
      <c r="E36" s="47" t="s">
        <v>235</v>
      </c>
      <c r="F36" s="47" t="s">
        <v>237</v>
      </c>
      <c r="G36" s="47" t="s">
        <v>239</v>
      </c>
      <c r="H36" s="47"/>
    </row>
    <row r="37" spans="3:11" x14ac:dyDescent="0.25">
      <c r="C37" s="46"/>
      <c r="D37" s="47" t="s">
        <v>232</v>
      </c>
      <c r="E37" s="47"/>
      <c r="F37" s="47"/>
      <c r="G37" s="47" t="s">
        <v>240</v>
      </c>
      <c r="H37" s="47"/>
    </row>
    <row r="38" spans="3:11" x14ac:dyDescent="0.25">
      <c r="C38" s="46"/>
      <c r="D38" s="47" t="s">
        <v>233</v>
      </c>
      <c r="E38" s="47"/>
      <c r="F38" s="47"/>
      <c r="G38" s="47" t="s">
        <v>240</v>
      </c>
      <c r="H38" s="47"/>
    </row>
    <row r="39" spans="3:11" x14ac:dyDescent="0.25">
      <c r="C39" s="46"/>
      <c r="D39" s="47"/>
      <c r="E39" s="47"/>
      <c r="F39" s="47"/>
      <c r="G39" s="47" t="s">
        <v>241</v>
      </c>
      <c r="H39" s="47"/>
    </row>
    <row r="40" spans="3:11" x14ac:dyDescent="0.25">
      <c r="C40" s="46"/>
      <c r="D40" s="47"/>
      <c r="E40" s="47"/>
      <c r="F40" s="47"/>
      <c r="G40" s="47" t="s">
        <v>242</v>
      </c>
      <c r="H40" s="47"/>
    </row>
    <row r="41" spans="3:11" x14ac:dyDescent="0.25">
      <c r="C41" s="46"/>
      <c r="D41" s="47"/>
      <c r="E41" s="47"/>
      <c r="F41" s="47"/>
      <c r="G41" s="47"/>
      <c r="H41" s="47"/>
    </row>
    <row r="43" spans="3:11" x14ac:dyDescent="0.25">
      <c r="C43" t="s">
        <v>243</v>
      </c>
    </row>
    <row r="44" spans="3:11" x14ac:dyDescent="0.25">
      <c r="C44" t="s">
        <v>165</v>
      </c>
      <c r="D44" t="s">
        <v>244</v>
      </c>
    </row>
    <row r="45" spans="3:11" x14ac:dyDescent="0.25">
      <c r="D45" t="s">
        <v>245</v>
      </c>
    </row>
    <row r="46" spans="3:11" x14ac:dyDescent="0.25">
      <c r="D46" t="s">
        <v>246</v>
      </c>
    </row>
    <row r="47" spans="3:11" x14ac:dyDescent="0.25">
      <c r="D47" t="s">
        <v>247</v>
      </c>
    </row>
    <row r="48" spans="3:11" x14ac:dyDescent="0.25">
      <c r="D48" t="s">
        <v>248</v>
      </c>
    </row>
    <row r="49" spans="3:4" x14ac:dyDescent="0.25">
      <c r="C49" t="s">
        <v>169</v>
      </c>
      <c r="D49" t="s">
        <v>249</v>
      </c>
    </row>
    <row r="50" spans="3:4" x14ac:dyDescent="0.25">
      <c r="D50" t="s">
        <v>250</v>
      </c>
    </row>
    <row r="51" spans="3:4" x14ac:dyDescent="0.25">
      <c r="D51" t="s">
        <v>251</v>
      </c>
    </row>
    <row r="52" spans="3:4" x14ac:dyDescent="0.25">
      <c r="D52" t="s">
        <v>254</v>
      </c>
    </row>
    <row r="53" spans="3:4" x14ac:dyDescent="0.25">
      <c r="D53" t="s">
        <v>252</v>
      </c>
    </row>
    <row r="54" spans="3:4" x14ac:dyDescent="0.25">
      <c r="D54" t="s">
        <v>253</v>
      </c>
    </row>
    <row r="55" spans="3:4" x14ac:dyDescent="0.25">
      <c r="D55" t="s">
        <v>255</v>
      </c>
    </row>
    <row r="56" spans="3:4" x14ac:dyDescent="0.25">
      <c r="D56" t="s">
        <v>256</v>
      </c>
    </row>
    <row r="57" spans="3:4" x14ac:dyDescent="0.25">
      <c r="D57" t="s">
        <v>257</v>
      </c>
    </row>
    <row r="58" spans="3:4" x14ac:dyDescent="0.25">
      <c r="D58" t="s">
        <v>259</v>
      </c>
    </row>
    <row r="59" spans="3:4" x14ac:dyDescent="0.25">
      <c r="D59" t="s">
        <v>268</v>
      </c>
    </row>
    <row r="60" spans="3:4" x14ac:dyDescent="0.25">
      <c r="C60" t="s">
        <v>184</v>
      </c>
      <c r="D60" t="s">
        <v>260</v>
      </c>
    </row>
    <row r="61" spans="3:4" x14ac:dyDescent="0.25">
      <c r="D61" t="s">
        <v>258</v>
      </c>
    </row>
    <row r="62" spans="3:4" x14ac:dyDescent="0.25">
      <c r="D62" t="s">
        <v>248</v>
      </c>
    </row>
    <row r="63" spans="3:4" x14ac:dyDescent="0.25">
      <c r="D63" t="s">
        <v>261</v>
      </c>
    </row>
    <row r="64" spans="3:4" x14ac:dyDescent="0.25">
      <c r="D64" t="s">
        <v>262</v>
      </c>
    </row>
    <row r="65" spans="3:4" x14ac:dyDescent="0.25">
      <c r="D65" t="s">
        <v>263</v>
      </c>
    </row>
    <row r="66" spans="3:4" x14ac:dyDescent="0.25">
      <c r="D66" t="s">
        <v>264</v>
      </c>
    </row>
    <row r="67" spans="3:4" x14ac:dyDescent="0.25">
      <c r="C67" t="s">
        <v>179</v>
      </c>
      <c r="D67" t="s">
        <v>265</v>
      </c>
    </row>
    <row r="68" spans="3:4" x14ac:dyDescent="0.25">
      <c r="D68" t="s">
        <v>266</v>
      </c>
    </row>
    <row r="69" spans="3:4" x14ac:dyDescent="0.2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F8" sqref="F8"/>
    </sheetView>
  </sheetViews>
  <sheetFormatPr defaultRowHeight="15" x14ac:dyDescent="0.25"/>
  <cols>
    <col min="2" max="2" width="3" bestFit="1" customWidth="1"/>
    <col min="3" max="3" width="130" customWidth="1"/>
  </cols>
  <sheetData>
    <row r="2" spans="2:3" ht="15" customHeight="1" x14ac:dyDescent="0.25">
      <c r="B2" s="51">
        <v>1</v>
      </c>
      <c r="C2" s="53" t="s">
        <v>273</v>
      </c>
    </row>
    <row r="3" spans="2:3" x14ac:dyDescent="0.25">
      <c r="B3" s="51">
        <v>2</v>
      </c>
      <c r="C3" s="52" t="s">
        <v>274</v>
      </c>
    </row>
    <row r="4" spans="2:3" x14ac:dyDescent="0.25">
      <c r="B4" s="51">
        <v>3</v>
      </c>
      <c r="C4" s="51" t="s">
        <v>275</v>
      </c>
    </row>
    <row r="5" spans="2:3" ht="30" x14ac:dyDescent="0.25">
      <c r="B5" s="51">
        <v>4</v>
      </c>
      <c r="C5" s="52" t="s">
        <v>276</v>
      </c>
    </row>
    <row r="6" spans="2:3" x14ac:dyDescent="0.25">
      <c r="B6" s="51">
        <v>5</v>
      </c>
      <c r="C6" s="51" t="s">
        <v>277</v>
      </c>
    </row>
    <row r="7" spans="2:3" ht="30" x14ac:dyDescent="0.25">
      <c r="B7" s="51">
        <v>6</v>
      </c>
      <c r="C7" s="52" t="s">
        <v>278</v>
      </c>
    </row>
    <row r="8" spans="2:3" ht="90" x14ac:dyDescent="0.25">
      <c r="B8" s="51">
        <v>7</v>
      </c>
      <c r="C8" s="52" t="s">
        <v>279</v>
      </c>
    </row>
    <row r="9" spans="2:3" x14ac:dyDescent="0.25">
      <c r="B9" s="51">
        <v>8</v>
      </c>
      <c r="C9" s="51" t="s">
        <v>280</v>
      </c>
    </row>
    <row r="10" spans="2:3" x14ac:dyDescent="0.25">
      <c r="B10" s="51">
        <v>9</v>
      </c>
      <c r="C10" s="51" t="s">
        <v>281</v>
      </c>
    </row>
    <row r="11" spans="2:3" x14ac:dyDescent="0.25">
      <c r="B11" s="51">
        <v>10</v>
      </c>
      <c r="C11" s="51" t="s">
        <v>282</v>
      </c>
    </row>
    <row r="12" spans="2:3" x14ac:dyDescent="0.25">
      <c r="B12" s="51">
        <v>11</v>
      </c>
      <c r="C12" s="51" t="s">
        <v>283</v>
      </c>
    </row>
    <row r="13" spans="2:3" x14ac:dyDescent="0.25">
      <c r="B13" s="51">
        <v>12</v>
      </c>
      <c r="C13" s="51" t="s">
        <v>284</v>
      </c>
    </row>
    <row r="14" spans="2:3" x14ac:dyDescent="0.25">
      <c r="B14" s="51">
        <v>13</v>
      </c>
      <c r="C14" s="51" t="s">
        <v>285</v>
      </c>
    </row>
    <row r="15" spans="2:3" x14ac:dyDescent="0.25">
      <c r="B15" s="51">
        <v>14</v>
      </c>
      <c r="C15" s="51" t="s">
        <v>287</v>
      </c>
    </row>
    <row r="16" spans="2:3" x14ac:dyDescent="0.25">
      <c r="B16" s="51">
        <v>15</v>
      </c>
      <c r="C16" s="51" t="s">
        <v>288</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2025-08-14T06:57:56Z</cp:lastPrinted>
  <dcterms:created xsi:type="dcterms:W3CDTF">2019-07-16T09:29:46Z</dcterms:created>
  <dcterms:modified xsi:type="dcterms:W3CDTF">2025-08-14T07:01:36Z</dcterms:modified>
</cp:coreProperties>
</file>