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E44" i="1" l="1"/>
  <c r="E43" i="1" s="1"/>
  <c r="K168" i="1" l="1"/>
  <c r="K169" i="1" s="1"/>
  <c r="K170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85" i="1"/>
  <c r="F185" i="1" s="1"/>
  <c r="D184" i="1"/>
  <c r="F184" i="1" s="1"/>
  <c r="D183" i="1"/>
  <c r="D178" i="1"/>
  <c r="F178" i="1" s="1"/>
  <c r="D177" i="1"/>
  <c r="F177" i="1" s="1"/>
  <c r="D176" i="1"/>
  <c r="F176" i="1" s="1"/>
  <c r="D175" i="1"/>
  <c r="F175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D153" i="1"/>
  <c r="D152" i="1"/>
  <c r="D151" i="1"/>
  <c r="J147" i="1"/>
  <c r="G187" i="1"/>
  <c r="G175" i="1"/>
  <c r="G163" i="1"/>
  <c r="A188" i="1"/>
  <c r="A189" i="1" s="1"/>
  <c r="A190" i="1" s="1"/>
  <c r="A191" i="1" s="1"/>
  <c r="A192" i="1" s="1"/>
  <c r="A193" i="1" s="1"/>
  <c r="A194" i="1" s="1"/>
  <c r="A195" i="1" s="1"/>
  <c r="A196" i="1" s="1"/>
  <c r="A197" i="1" s="1"/>
  <c r="F183" i="1"/>
  <c r="A176" i="1"/>
  <c r="A177" i="1" s="1"/>
  <c r="A178" i="1" s="1"/>
  <c r="A179" i="1" s="1"/>
  <c r="A180" i="1" s="1"/>
  <c r="A181" i="1" s="1"/>
  <c r="A182" i="1" s="1"/>
  <c r="A183" i="1" s="1"/>
  <c r="A184" i="1" s="1"/>
  <c r="A185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J156" i="1"/>
  <c r="J150" i="1"/>
  <c r="C68" i="1"/>
  <c r="E131" i="1" l="1"/>
  <c r="C131" i="1"/>
  <c r="F5" i="5"/>
  <c r="K145" i="1" l="1"/>
  <c r="K146" i="1" s="1"/>
  <c r="C15" i="1"/>
  <c r="F152" i="1" l="1"/>
  <c r="F153" i="1"/>
  <c r="F154" i="1"/>
  <c r="F151" i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G151" i="1"/>
  <c r="G131" i="1" l="1"/>
  <c r="F123" i="1"/>
  <c r="F141" i="1" l="1"/>
  <c r="F142" i="1"/>
  <c r="F143" i="1"/>
  <c r="F140" i="1"/>
  <c r="B224" i="1" l="1"/>
  <c r="A217" i="1"/>
  <c r="A205" i="1"/>
  <c r="A211" i="1"/>
  <c r="F221" i="1" l="1"/>
  <c r="F220" i="1"/>
  <c r="F219" i="1"/>
  <c r="F218" i="1"/>
  <c r="F217" i="1"/>
  <c r="F215" i="1"/>
  <c r="F214" i="1"/>
  <c r="F213" i="1"/>
  <c r="F212" i="1"/>
  <c r="F211" i="1"/>
  <c r="F209" i="1"/>
  <c r="F208" i="1"/>
  <c r="F207" i="1"/>
  <c r="F206" i="1"/>
  <c r="F205" i="1"/>
  <c r="F203" i="1"/>
  <c r="F202" i="1"/>
  <c r="F200" i="1"/>
  <c r="F199" i="1"/>
  <c r="F201" i="1"/>
  <c r="A212" i="1"/>
  <c r="A206" i="1"/>
  <c r="A21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G5" i="5"/>
  <c r="D245" i="1"/>
  <c r="G217" i="1"/>
  <c r="G218" i="1" s="1"/>
  <c r="G219" i="1" s="1"/>
  <c r="G220" i="1" s="1"/>
  <c r="G221" i="1" s="1"/>
  <c r="G211" i="1"/>
  <c r="G212" i="1" s="1"/>
  <c r="G213" i="1" s="1"/>
  <c r="G214" i="1" s="1"/>
  <c r="G215" i="1" s="1"/>
  <c r="G205" i="1"/>
  <c r="G206" i="1" s="1"/>
  <c r="G207" i="1" s="1"/>
  <c r="G208" i="1" s="1"/>
  <c r="G209" i="1" s="1"/>
  <c r="G199" i="1"/>
  <c r="G200" i="1" s="1"/>
  <c r="G201" i="1" s="1"/>
  <c r="G202" i="1" s="1"/>
  <c r="G203" i="1" s="1"/>
  <c r="A199" i="1"/>
  <c r="A200" i="1" s="1"/>
  <c r="A201" i="1" s="1"/>
  <c r="A202" i="1" s="1"/>
  <c r="A203" i="1" s="1"/>
  <c r="A141" i="1"/>
  <c r="A142" i="1" s="1"/>
  <c r="A143" i="1" s="1"/>
  <c r="G140" i="1"/>
  <c r="G141" i="1" s="1"/>
  <c r="G142" i="1" s="1"/>
  <c r="G143" i="1" s="1"/>
  <c r="J107" i="1"/>
  <c r="J106" i="1"/>
  <c r="J105" i="1"/>
  <c r="J104" i="1"/>
  <c r="C96" i="1"/>
  <c r="J93" i="1"/>
  <c r="J92" i="1"/>
  <c r="J91" i="1"/>
  <c r="J90" i="1"/>
  <c r="C82" i="1"/>
  <c r="J79" i="1"/>
  <c r="J78" i="1"/>
  <c r="J77" i="1"/>
  <c r="J76" i="1"/>
  <c r="D55" i="1"/>
  <c r="C50" i="1"/>
  <c r="E27" i="1"/>
  <c r="E25" i="1"/>
  <c r="E7" i="1"/>
  <c r="E3" i="1"/>
  <c r="H69" i="1"/>
  <c r="H83" i="1"/>
  <c r="A213" i="1"/>
  <c r="A207" i="1"/>
  <c r="A219" i="1"/>
  <c r="H97" i="1"/>
  <c r="G12" i="5" l="1"/>
  <c r="D93" i="1"/>
  <c r="D94" i="1"/>
  <c r="D95" i="1"/>
  <c r="D89" i="1"/>
  <c r="D90" i="1"/>
  <c r="D91" i="1"/>
  <c r="D92" i="1"/>
  <c r="C88" i="1"/>
  <c r="J82" i="1" s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C102" i="1"/>
  <c r="J96" i="1" s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J109" i="1" s="1"/>
  <c r="C101" i="1" s="1"/>
  <c r="D108" i="1"/>
  <c r="D106" i="1"/>
  <c r="D104" i="1"/>
  <c r="J88" i="1"/>
  <c r="J89" i="1" s="1"/>
  <c r="J94" i="1" s="1"/>
  <c r="J95" i="1" s="1"/>
  <c r="C87" i="1" s="1"/>
  <c r="J86" i="1"/>
  <c r="J87" i="1"/>
  <c r="C86" i="1" s="1"/>
  <c r="J85" i="1"/>
  <c r="A214" i="1"/>
  <c r="A220" i="1"/>
  <c r="A208" i="1"/>
  <c r="D102" i="1" l="1"/>
  <c r="D100" i="1"/>
  <c r="D88" i="1"/>
  <c r="D74" i="1"/>
  <c r="J70" i="1"/>
  <c r="E72" i="1"/>
  <c r="D73" i="1"/>
  <c r="G72" i="1"/>
  <c r="D66" i="1" s="1"/>
  <c r="D67" i="1" s="1"/>
  <c r="D72" i="1"/>
  <c r="E86" i="1"/>
  <c r="D87" i="1"/>
  <c r="G86" i="1"/>
  <c r="D86" i="1"/>
  <c r="J83" i="1" s="1"/>
  <c r="E100" i="1"/>
  <c r="D101" i="1"/>
  <c r="G100" i="1"/>
  <c r="A215" i="1"/>
  <c r="A209" i="1"/>
  <c r="A221" i="1"/>
  <c r="I69" i="1" l="1"/>
  <c r="J69" i="1"/>
  <c r="I97" i="1"/>
  <c r="J97" i="1"/>
  <c r="I83" i="1"/>
  <c r="F67" i="1"/>
  <c r="I70" i="1" l="1"/>
  <c r="I68" i="1" s="1"/>
  <c r="C70" i="1" s="1"/>
  <c r="I98" i="1"/>
  <c r="I96" i="1" s="1"/>
  <c r="C98" i="1" s="1"/>
  <c r="I84" i="1"/>
  <c r="I82" i="1" s="1"/>
  <c r="C84" i="1" s="1"/>
</calcChain>
</file>

<file path=xl/sharedStrings.xml><?xml version="1.0" encoding="utf-8"?>
<sst xmlns="http://schemas.openxmlformats.org/spreadsheetml/2006/main" count="358" uniqueCount="240">
  <si>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</si>
  <si>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</si>
  <si>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</si>
  <si>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</si>
  <si>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</si>
  <si>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</si>
  <si>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</si>
  <si>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</si>
  <si>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</si>
  <si>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</si>
  <si>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</si>
  <si>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</si>
  <si>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</si>
  <si>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</si>
  <si>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</si>
  <si>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</si>
  <si>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</si>
  <si>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</si>
  <si>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</si>
  <si>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</si>
  <si>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</si>
  <si>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</si>
  <si>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</si>
  <si>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</si>
  <si>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</si>
  <si>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</si>
  <si>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</si>
  <si>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</si>
  <si>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</si>
  <si>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</si>
  <si>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</si>
  <si>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</si>
  <si>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</si>
  <si>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</si>
  <si>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</si>
  <si>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</si>
  <si>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</si>
  <si>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</si>
  <si>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</si>
  <si>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</si>
  <si>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</si>
  <si>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</si>
  <si>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</si>
  <si>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</si>
  <si>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</si>
  <si>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</si>
  <si>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</si>
  <si>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</si>
  <si>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</si>
  <si>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</si>
  <si>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</si>
  <si>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</si>
  <si>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</si>
  <si>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</si>
  <si>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</si>
  <si>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</si>
  <si>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</si>
  <si>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</si>
  <si>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</si>
  <si>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</si>
  <si>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</si>
  <si>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</si>
  <si>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</si>
  <si>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</si>
  <si>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</si>
  <si>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</si>
  <si>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</si>
  <si>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</si>
  <si>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</si>
  <si>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</si>
  <si>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</si>
  <si>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</si>
  <si>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</si>
  <si>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</si>
  <si>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</si>
  <si>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</si>
  <si>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</si>
  <si>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</si>
  <si>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</si>
  <si>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</si>
  <si>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</si>
  <si>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</si>
  <si>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</si>
  <si>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</si>
  <si>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</si>
  <si>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</si>
  <si>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</si>
  <si>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</si>
  <si>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</si>
  <si>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</si>
  <si>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</si>
  <si>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</si>
  <si>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</si>
  <si>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</si>
  <si>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</si>
  <si>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</si>
  <si>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</si>
  <si>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</si>
  <si>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</si>
  <si>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</si>
  <si>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</si>
  <si>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</si>
  <si>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</si>
  <si>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</si>
  <si>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</si>
  <si>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</si>
  <si>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</si>
  <si>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</si>
  <si>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</si>
  <si>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</si>
  <si>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</si>
  <si>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</si>
  <si>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</si>
  <si>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</si>
  <si>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</si>
  <si>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</si>
  <si>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</si>
  <si>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</si>
  <si>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</si>
  <si>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</si>
  <si>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</si>
  <si>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</si>
  <si>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</si>
  <si>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</si>
  <si>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</si>
  <si>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</si>
  <si>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</si>
  <si>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</si>
  <si>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</si>
  <si>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</si>
  <si>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</si>
  <si>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</si>
  <si>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</si>
  <si>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</si>
  <si>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</si>
  <si>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</si>
  <si>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</si>
  <si>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</si>
  <si>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</si>
  <si>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</si>
  <si>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</si>
  <si>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</si>
  <si>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</si>
  <si>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</si>
  <si>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</si>
  <si>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</si>
  <si>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</si>
  <si>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</si>
  <si>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</si>
  <si>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</si>
  <si>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</si>
  <si>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</si>
  <si>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</si>
  <si>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</si>
  <si>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</si>
  <si>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</si>
  <si>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</si>
  <si>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</si>
  <si>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</si>
  <si>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</si>
  <si>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</si>
  <si>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</si>
  <si>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</si>
  <si>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</si>
  <si>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</si>
  <si>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</si>
  <si>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</si>
  <si>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</si>
  <si>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</si>
  <si>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</si>
  <si>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</si>
  <si>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</si>
  <si>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</si>
  <si>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</si>
  <si>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</si>
  <si>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</si>
  <si>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</si>
  <si>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</si>
  <si>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</si>
  <si>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</si>
  <si>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</si>
  <si>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Samarpan</t>
  </si>
  <si>
    <t>HS Construction</t>
  </si>
  <si>
    <t>Axis Thane</t>
  </si>
  <si>
    <t>Mr. Rohit Dodake (9821502036)</t>
  </si>
  <si>
    <t>P51800034794</t>
  </si>
  <si>
    <t>CTS No</t>
  </si>
  <si>
    <t>Ghatkopar</t>
  </si>
  <si>
    <t>Pant Nagar</t>
  </si>
  <si>
    <t>Ghatkopar East</t>
  </si>
  <si>
    <t>Mumbai</t>
  </si>
  <si>
    <t>MH/EE/(BP)/GM/MHADA-1/1087/2022/CC/1/New</t>
  </si>
  <si>
    <t>This C.C. issued upto Plinth level as per approved ZERO FSI IOA plans dtd. 08.04.2022.</t>
  </si>
  <si>
    <t xml:space="preserve">Commencement-CC No
Valid Up to: </t>
  </si>
  <si>
    <t>Name / No of the  Existing Building</t>
  </si>
  <si>
    <t>Kurla</t>
  </si>
  <si>
    <t>0.850KM from Ghatkopar Railway Station</t>
  </si>
  <si>
    <t>Yashvant Seth Jadhav Marg</t>
  </si>
  <si>
    <t>Anuj Aura</t>
  </si>
  <si>
    <t>Consider Loading of 55%</t>
  </si>
  <si>
    <t>Approved Plans, CC, Cost Sheet</t>
  </si>
  <si>
    <t xml:space="preserve">Maharashtra Housing and Area Development Authority (MHADA)
</t>
  </si>
  <si>
    <t>https://goo.gl/maps/sBpafNdBDJG5i4J87</t>
  </si>
  <si>
    <t>Pant Nagar Sai Bhavan CHS</t>
  </si>
  <si>
    <t>2bhk</t>
  </si>
  <si>
    <t>Office No. 1031, Wing J, Akshar Business Park, Plot No. 03 Sector 25, Near APMC Market, 
Vashi, Navi Mumbai, Maharashtra 400703 TEL: 022-46090378/79/8
E mail : vsjcapf@gmail.com. Web site : www.vsjadon.com</t>
  </si>
  <si>
    <t>184C (Pt), Building No.93 Pant Nagar Sai Bhavan CHS</t>
  </si>
  <si>
    <t>Alag Olive</t>
  </si>
  <si>
    <t>Internal Road/ Alag Olive</t>
  </si>
  <si>
    <t>MHADA-1/912/2023</t>
  </si>
  <si>
    <t>Building No.93</t>
  </si>
  <si>
    <t>1st to 5th Floor For Residential</t>
  </si>
  <si>
    <t>6th &amp; 7th, 9th to 13th Floor</t>
  </si>
  <si>
    <t>8th Floor (Part Refuge Area)</t>
  </si>
  <si>
    <t>Refuge Area</t>
  </si>
  <si>
    <t>14th Floor (Part Terrace Area)</t>
  </si>
  <si>
    <t>Terrace Area</t>
  </si>
  <si>
    <t>Residential Area Details :(Flats)</t>
  </si>
  <si>
    <t>Ground Floor For Parking &amp; Meter Room</t>
  </si>
  <si>
    <t>Vitrified tiles flooring, Kitchen Platform, Decorative Entrance</t>
  </si>
  <si>
    <t>Flats - 145</t>
  </si>
  <si>
    <t>Sunshine Building</t>
  </si>
  <si>
    <t>B + Gr + 1st to 14th Floor</t>
  </si>
  <si>
    <t>B + Gr + 1st to 17th Floor</t>
  </si>
  <si>
    <t>We considered Gross carpet area = Net carpet + Balcony.</t>
  </si>
  <si>
    <t>Basement/ Pit Floor For Parking, Tanks &amp; Pump Room</t>
  </si>
  <si>
    <t>We have updated approved layout plan &amp; Floor Plan (on 24/08/2023).</t>
  </si>
  <si>
    <t>Residential</t>
  </si>
  <si>
    <t>Mr. Siddhesh 7039898752</t>
  </si>
  <si>
    <t>Latitude,Longitude</t>
  </si>
  <si>
    <t>19.08909,72.9151795</t>
  </si>
  <si>
    <t>Akash Kadam</t>
  </si>
  <si>
    <t>As per RERA - 31/12/2025</t>
  </si>
  <si>
    <t xml:space="preserve">OC NO. MH/EE/(BP)/GM/MHADA-1/1087/2025/OCC/1/New </t>
  </si>
  <si>
    <t>Basement + Ground (Pt.) + Stilt (Pt.) + 1st to 17th upper floor having height of 51.45 Mt. AGL + OHT (Pt.) (i.e., excluding flat no. 1703 &amp; 1704 on 17th floor)</t>
  </si>
  <si>
    <t>Shruti Tathare</t>
  </si>
  <si>
    <t>Completed</t>
  </si>
  <si>
    <t>Construction work is in process at the time of Visit. Internal photos was not allowed.</t>
  </si>
  <si>
    <t xml:space="preserve">All work completed. Please provide OC.
</t>
  </si>
  <si>
    <t>Please provide revised approved Plans &amp;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</si>
</sst>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4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6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7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2" borderId="0" xfId="1" applyFont="1" applyFill="1"/>
    <xf numFmtId="0" fontId="25" fillId="0" borderId="31" xfId="0" applyFont="1" applyBorder="1"/>
    <xf numFmtId="0" fontId="25" fillId="0" borderId="5" xfId="0" applyFont="1" applyBorder="1"/>
    <xf numFmtId="0" fontId="1" fillId="0" borderId="1" xfId="5" applyFont="1" applyBorder="1" applyAlignment="1">
      <alignment horizontal="center" vertical="center"/>
    </xf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>
      <alignment horizontal="center" vertical="center"/>
    </xf>
    <xf numFmtId="0" fontId="25" fillId="2" borderId="15" xfId="0" applyFont="1" applyFill="1" applyBorder="1"/>
    <xf numFmtId="0" fontId="25" fillId="0" borderId="9" xfId="0" applyFont="1" applyBorder="1"/>
    <xf numFmtId="0" fontId="26" fillId="0" borderId="9" xfId="0" applyFont="1" applyBorder="1"/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10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12" xfId="8" applyFont="1" applyFill="1" applyBorder="1" applyAlignment="1" applyProtection="1">
      <alignment horizontal="center" vertical="center" wrapText="1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3" borderId="17" xfId="1" applyFont="1" applyFill="1" applyBorder="1" applyAlignment="1" applyProtection="1">
      <alignment horizontal="left" vertical="top" wrapText="1"/>
      <protection locked="0"/>
    </xf>
    <xf numFmtId="0" fontId="13" fillId="3" borderId="18" xfId="1" applyFont="1" applyFill="1" applyBorder="1" applyAlignment="1" applyProtection="1">
      <alignment horizontal="left" vertical="top" wrapText="1"/>
      <protection locked="0"/>
    </xf>
    <xf numFmtId="0" fontId="13" fillId="3" borderId="19" xfId="1" applyFont="1" applyFill="1" applyBorder="1" applyAlignment="1" applyProtection="1">
      <alignment horizontal="left" vertical="top" wrapText="1"/>
      <protection locked="0"/>
    </xf>
    <xf numFmtId="0" fontId="13" fillId="3" borderId="20" xfId="1" applyFont="1" applyFill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9" fillId="3" borderId="1" xfId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/>
      <protection locked="0"/>
    </xf>
    <xf numFmtId="168" fontId="7" fillId="0" borderId="17" xfId="1" applyNumberFormat="1" applyFont="1" applyBorder="1" applyAlignment="1" applyProtection="1">
      <alignment horizontal="center" vertical="center" wrapText="1"/>
      <protection locked="0"/>
    </xf>
    <xf numFmtId="168" fontId="7" fillId="0" borderId="24" xfId="1" applyNumberFormat="1" applyFont="1" applyBorder="1" applyAlignment="1" applyProtection="1">
      <alignment horizontal="center" vertical="center" wrapText="1"/>
      <protection locked="0"/>
    </xf>
    <xf numFmtId="168" fontId="7" fillId="0" borderId="18" xfId="1" applyNumberFormat="1" applyFont="1" applyBorder="1" applyAlignment="1" applyProtection="1">
      <alignment horizontal="center" vertical="center" wrapText="1"/>
      <protection locked="0"/>
    </xf>
    <xf numFmtId="168" fontId="7" fillId="0" borderId="25" xfId="1" applyNumberFormat="1" applyFont="1" applyBorder="1" applyAlignment="1" applyProtection="1">
      <alignment horizontal="center" vertical="center" wrapText="1"/>
      <protection locked="0"/>
    </xf>
    <xf numFmtId="168" fontId="7" fillId="0" borderId="0" xfId="1" applyNumberFormat="1" applyFont="1" applyAlignment="1" applyProtection="1">
      <alignment horizontal="center" vertical="center" wrapText="1"/>
      <protection locked="0"/>
    </xf>
    <xf numFmtId="168" fontId="7" fillId="0" borderId="26" xfId="1" applyNumberFormat="1" applyFont="1" applyBorder="1" applyAlignment="1" applyProtection="1">
      <alignment horizontal="center" vertical="center" wrapText="1"/>
      <protection locked="0"/>
    </xf>
    <xf numFmtId="168" fontId="7" fillId="0" borderId="19" xfId="1" applyNumberFormat="1" applyFont="1" applyBorder="1" applyAlignment="1" applyProtection="1">
      <alignment horizontal="center" vertical="center" wrapText="1"/>
      <protection locked="0"/>
    </xf>
    <xf numFmtId="168" fontId="7" fillId="0" borderId="2" xfId="1" applyNumberFormat="1" applyFont="1" applyBorder="1" applyAlignment="1" applyProtection="1">
      <alignment horizontal="center" vertical="center" wrapText="1"/>
      <protection locked="0"/>
    </xf>
    <xf numFmtId="168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left"/>
    </xf>
    <xf numFmtId="15" fontId="0" fillId="0" borderId="0" xfId="0" applyNumberFormat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347</xdr:row>
      <xdr:rowOff>191578</xdr:rowOff>
    </xdr:from>
    <xdr:to>
      <xdr:col>6</xdr:col>
      <xdr:colOff>732601</xdr:colOff>
      <xdr:row>364</xdr:row>
      <xdr:rowOff>31153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" y="48502378"/>
          <a:ext cx="507600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114301</xdr:colOff>
      <xdr:row>331</xdr:row>
      <xdr:rowOff>19050</xdr:rowOff>
    </xdr:from>
    <xdr:to>
      <xdr:col>6</xdr:col>
      <xdr:colOff>732602</xdr:colOff>
      <xdr:row>347</xdr:row>
      <xdr:rowOff>58650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1" y="45129450"/>
          <a:ext cx="5076001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19050</xdr:colOff>
      <xdr:row>288</xdr:row>
      <xdr:rowOff>19050</xdr:rowOff>
    </xdr:from>
    <xdr:to>
      <xdr:col>5</xdr:col>
      <xdr:colOff>777675</xdr:colOff>
      <xdr:row>324</xdr:row>
      <xdr:rowOff>18149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5450" y="36128325"/>
          <a:ext cx="3568500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271897</xdr:colOff>
      <xdr:row>294</xdr:row>
      <xdr:rowOff>168159</xdr:rowOff>
    </xdr:from>
    <xdr:to>
      <xdr:col>3</xdr:col>
      <xdr:colOff>410917</xdr:colOff>
      <xdr:row>296</xdr:row>
      <xdr:rowOff>108102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 rot="613876">
          <a:off x="2865628" y="37183774"/>
          <a:ext cx="139020" cy="335597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</a:endParaRPr>
        </a:p>
      </xdr:txBody>
    </xdr:sp>
    <xdr:clientData/>
  </xdr:twoCellAnchor>
  <xdr:twoCellAnchor>
    <xdr:from>
      <xdr:col>3</xdr:col>
      <xdr:colOff>366346</xdr:colOff>
      <xdr:row>289</xdr:row>
      <xdr:rowOff>80596</xdr:rowOff>
    </xdr:from>
    <xdr:to>
      <xdr:col>3</xdr:col>
      <xdr:colOff>952500</xdr:colOff>
      <xdr:row>294</xdr:row>
      <xdr:rowOff>190500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 flipH="1">
          <a:off x="2960077" y="36107077"/>
          <a:ext cx="586154" cy="1099038"/>
        </a:xfrm>
        <a:prstGeom prst="straightConnector1">
          <a:avLst/>
        </a:prstGeom>
        <a:ln w="1270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483576</xdr:colOff>
      <xdr:row>287</xdr:row>
      <xdr:rowOff>175846</xdr:rowOff>
    </xdr:from>
    <xdr:to>
      <xdr:col>5</xdr:col>
      <xdr:colOff>293077</xdr:colOff>
      <xdr:row>290</xdr:row>
      <xdr:rowOff>43961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3077307" y="35806673"/>
          <a:ext cx="1655885" cy="4615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7030A0"/>
              </a:solidFill>
            </a:rPr>
            <a:t>Samarpan</a:t>
          </a:r>
        </a:p>
      </xdr:txBody>
    </xdr:sp>
    <xdr:clientData/>
  </xdr:twoCellAnchor>
  <xdr:twoCellAnchor editAs="oneCell">
    <xdr:from>
      <xdr:col>10</xdr:col>
      <xdr:colOff>57151</xdr:colOff>
      <xdr:row>30</xdr:row>
      <xdr:rowOff>1731</xdr:rowOff>
    </xdr:from>
    <xdr:to>
      <xdr:col>16</xdr:col>
      <xdr:colOff>53996</xdr:colOff>
      <xdr:row>47</xdr:row>
      <xdr:rowOff>324251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5826" y="7021656"/>
          <a:ext cx="4473595" cy="3722945"/>
        </a:xfrm>
        <a:prstGeom prst="rect">
          <a:avLst/>
        </a:prstGeom>
      </xdr:spPr>
    </xdr:pic>
    <xdr:clientData/>
  </xdr:twoCellAnchor>
  <xdr:twoCellAnchor editAs="oneCell">
    <xdr:from>
      <xdr:col>11</xdr:col>
      <xdr:colOff>514350</xdr:colOff>
      <xdr:row>27</xdr:row>
      <xdr:rowOff>142875</xdr:rowOff>
    </xdr:from>
    <xdr:to>
      <xdr:col>16</xdr:col>
      <xdr:colOff>590069</xdr:colOff>
      <xdr:row>51</xdr:row>
      <xdr:rowOff>151746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7875" y="6572250"/>
          <a:ext cx="3847619" cy="5228571"/>
        </a:xfrm>
        <a:prstGeom prst="rect">
          <a:avLst/>
        </a:prstGeom>
      </xdr:spPr>
    </xdr:pic>
    <xdr:clientData/>
  </xdr:twoCellAnchor>
  <xdr:twoCellAnchor>
    <xdr:from>
      <xdr:col>0</xdr:col>
      <xdr:colOff>504824</xdr:colOff>
      <xdr:row>245</xdr:row>
      <xdr:rowOff>44053</xdr:rowOff>
    </xdr:from>
    <xdr:to>
      <xdr:col>7</xdr:col>
      <xdr:colOff>333375</xdr:colOff>
      <xdr:row>285</xdr:row>
      <xdr:rowOff>74025</xdr:rowOff>
    </xdr:to>
    <xdr:grpSp>
      <xdr:nvGrpSpPr>
        <xdr:cNvPr id="16" name="Group 15"/>
        <xdr:cNvGrpSpPr/>
      </xdr:nvGrpSpPr>
      <xdr:grpSpPr>
        <a:xfrm>
          <a:off x="504824" y="36220003"/>
          <a:ext cx="5524501" cy="8021447"/>
          <a:chOff x="504824" y="36448603"/>
          <a:chExt cx="5524501" cy="8021447"/>
        </a:xfrm>
      </xdr:grpSpPr>
      <xdr:pic>
        <xdr:nvPicPr>
          <xdr:cNvPr id="28" name="Picture 27" descr="https://vsjcllp.vsjadon.com/upload/insp-243344-1525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4175" y="42586884"/>
            <a:ext cx="3347850" cy="18831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344-843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61309" y="40339506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344-845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72899" y="36455469"/>
            <a:ext cx="2856426" cy="380856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3344-850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70187" y="40338859"/>
            <a:ext cx="158278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3344-851.jpe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4824" y="36448603"/>
            <a:ext cx="2572613" cy="380856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BpafNdBDJG5i4J8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29"/>
  <sheetViews>
    <sheetView tabSelected="1" view="pageBreakPreview" topLeftCell="A197" zoomScaleNormal="100" zoomScaleSheetLayoutView="100" workbookViewId="0">
      <selection activeCell="J274" sqref="J274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12" ht="46.5" customHeight="1" x14ac:dyDescent="0.25">
      <c r="A1" s="151" t="s">
        <v>205</v>
      </c>
      <c r="B1" s="151"/>
      <c r="C1" s="151"/>
      <c r="D1" s="151"/>
      <c r="E1" s="151"/>
      <c r="F1" s="151"/>
      <c r="G1" s="151"/>
      <c r="H1" s="151"/>
    </row>
    <row r="2" spans="1:12" ht="16.5" customHeight="1" x14ac:dyDescent="0.2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12" x14ac:dyDescent="0.25">
      <c r="A3" s="65" t="s">
        <v>1</v>
      </c>
      <c r="B3" s="65"/>
      <c r="C3" s="65"/>
      <c r="D3" s="65"/>
      <c r="E3" s="65" t="str">
        <f ca="1">TEXT(TODAY(),"DD/MM/YYYY")</f>
        <v>18/08/2025</v>
      </c>
      <c r="F3" s="65"/>
      <c r="G3" s="65"/>
      <c r="H3" s="65"/>
    </row>
    <row r="4" spans="1:12" ht="15" customHeight="1" x14ac:dyDescent="0.25">
      <c r="A4" s="65" t="s">
        <v>2</v>
      </c>
      <c r="B4" s="65"/>
      <c r="C4" s="65"/>
      <c r="D4" s="65"/>
      <c r="E4" s="65" t="s">
        <v>183</v>
      </c>
      <c r="F4" s="65"/>
      <c r="G4" s="65"/>
      <c r="H4" s="65"/>
    </row>
    <row r="5" spans="1:12" x14ac:dyDescent="0.25">
      <c r="A5" s="65" t="s">
        <v>3</v>
      </c>
      <c r="B5" s="65"/>
      <c r="C5" s="65"/>
      <c r="D5" s="65"/>
      <c r="E5" s="152">
        <v>45881</v>
      </c>
      <c r="F5" s="65"/>
      <c r="G5" s="65"/>
      <c r="H5" s="65"/>
    </row>
    <row r="6" spans="1:12" ht="16.5" customHeight="1" x14ac:dyDescent="0.25">
      <c r="A6" s="65" t="s">
        <v>4</v>
      </c>
      <c r="B6" s="65"/>
      <c r="C6" s="65"/>
      <c r="D6" s="65"/>
      <c r="E6" s="65" t="s">
        <v>182</v>
      </c>
      <c r="F6" s="65"/>
      <c r="G6" s="65"/>
      <c r="H6" s="65"/>
    </row>
    <row r="7" spans="1:12" ht="15" customHeight="1" x14ac:dyDescent="0.25">
      <c r="A7" s="65" t="s">
        <v>5</v>
      </c>
      <c r="B7" s="65"/>
      <c r="C7" s="65"/>
      <c r="D7" s="65"/>
      <c r="E7" s="65" t="str">
        <f>E6</f>
        <v>HS Construction</v>
      </c>
      <c r="F7" s="65"/>
      <c r="G7" s="65"/>
      <c r="H7" s="65"/>
    </row>
    <row r="8" spans="1:12" x14ac:dyDescent="0.25">
      <c r="A8" s="65" t="s">
        <v>6</v>
      </c>
      <c r="B8" s="65"/>
      <c r="C8" s="65"/>
      <c r="D8" s="65"/>
      <c r="E8" s="126" t="s">
        <v>181</v>
      </c>
      <c r="F8" s="126"/>
      <c r="G8" s="126"/>
      <c r="H8" s="126"/>
    </row>
    <row r="9" spans="1:12" x14ac:dyDescent="0.25">
      <c r="A9" s="65" t="s">
        <v>178</v>
      </c>
      <c r="B9" s="65"/>
      <c r="C9" s="65"/>
      <c r="D9" s="65"/>
      <c r="E9" s="65" t="s">
        <v>184</v>
      </c>
      <c r="F9" s="65"/>
      <c r="G9" s="65"/>
      <c r="H9" s="65"/>
    </row>
    <row r="10" spans="1:12" x14ac:dyDescent="0.25">
      <c r="A10" s="65" t="s">
        <v>179</v>
      </c>
      <c r="B10" s="65"/>
      <c r="C10" s="65"/>
      <c r="D10" s="65"/>
      <c r="E10" s="65" t="s">
        <v>30</v>
      </c>
      <c r="F10" s="65"/>
      <c r="G10" s="65"/>
      <c r="H10" s="65"/>
      <c r="I10" s="65" t="s">
        <v>228</v>
      </c>
      <c r="J10" s="65"/>
      <c r="K10" s="65"/>
      <c r="L10" s="65"/>
    </row>
    <row r="11" spans="1:12" x14ac:dyDescent="0.25">
      <c r="A11" s="65" t="s">
        <v>194</v>
      </c>
      <c r="B11" s="65"/>
      <c r="C11" s="65"/>
      <c r="D11" s="65"/>
      <c r="E11" s="65" t="s">
        <v>203</v>
      </c>
      <c r="F11" s="65"/>
      <c r="G11" s="65"/>
      <c r="H11" s="65"/>
    </row>
    <row r="12" spans="1:12" x14ac:dyDescent="0.25">
      <c r="A12" s="65" t="s">
        <v>7</v>
      </c>
      <c r="B12" s="65"/>
      <c r="C12" s="65"/>
      <c r="D12" s="65"/>
      <c r="E12" s="65" t="s">
        <v>128</v>
      </c>
      <c r="F12" s="65"/>
      <c r="G12" s="65"/>
      <c r="H12" s="65"/>
    </row>
    <row r="13" spans="1:12" x14ac:dyDescent="0.25">
      <c r="A13" s="66" t="s">
        <v>8</v>
      </c>
      <c r="B13" s="66"/>
      <c r="C13" s="66"/>
      <c r="D13" s="66"/>
      <c r="E13" s="90" t="s">
        <v>200</v>
      </c>
      <c r="F13" s="90"/>
      <c r="G13" s="90"/>
      <c r="H13" s="90"/>
    </row>
    <row r="14" spans="1:12" x14ac:dyDescent="0.25">
      <c r="A14" s="66" t="s">
        <v>9</v>
      </c>
      <c r="B14" s="66"/>
      <c r="C14" s="66"/>
      <c r="D14" s="66"/>
      <c r="E14" s="90" t="s">
        <v>185</v>
      </c>
      <c r="F14" s="65"/>
      <c r="G14" s="65"/>
      <c r="H14" s="65"/>
    </row>
    <row r="15" spans="1:12" ht="48.75" customHeight="1" x14ac:dyDescent="0.25">
      <c r="A15" s="128" t="s">
        <v>10</v>
      </c>
      <c r="B15" s="128"/>
      <c r="C15" s="12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Samarpan, CTS No.184C (Pt), Building No.93 Pant Nagar Sai Bhavan CHS, near Alag Olive, Yashvant Seth Jadhav Marg, Pant Nagar, Ghatkopar, Ghatkopar East, Kurla, Mumbai - 400075.</v>
      </c>
      <c r="D15" s="128"/>
      <c r="E15" s="128"/>
      <c r="F15" s="128"/>
      <c r="G15" s="128"/>
      <c r="H15" s="128"/>
    </row>
    <row r="16" spans="1:12" x14ac:dyDescent="0.25">
      <c r="A16" s="90" t="s">
        <v>186</v>
      </c>
      <c r="B16" s="90"/>
      <c r="C16" s="90" t="s">
        <v>206</v>
      </c>
      <c r="D16" s="90"/>
      <c r="E16" s="90"/>
      <c r="F16" s="90"/>
      <c r="G16" s="90"/>
      <c r="H16" s="90"/>
    </row>
    <row r="17" spans="1:8" ht="15.75" customHeight="1" x14ac:dyDescent="0.25">
      <c r="A17" s="90" t="s">
        <v>177</v>
      </c>
      <c r="B17" s="90"/>
      <c r="C17" s="90" t="s">
        <v>188</v>
      </c>
      <c r="D17" s="90"/>
      <c r="E17" s="90"/>
      <c r="F17" s="90"/>
      <c r="G17" s="90"/>
      <c r="H17" s="90"/>
    </row>
    <row r="18" spans="1:8" ht="15.75" customHeight="1" x14ac:dyDescent="0.25">
      <c r="A18" s="128" t="s">
        <v>11</v>
      </c>
      <c r="B18" s="128"/>
      <c r="C18" s="90" t="s">
        <v>197</v>
      </c>
      <c r="D18" s="65"/>
      <c r="E18" s="128" t="s">
        <v>74</v>
      </c>
      <c r="F18" s="128"/>
      <c r="G18" s="90" t="s">
        <v>187</v>
      </c>
      <c r="H18" s="90"/>
    </row>
    <row r="19" spans="1:8" x14ac:dyDescent="0.25">
      <c r="A19" s="66" t="s">
        <v>13</v>
      </c>
      <c r="B19" s="66"/>
      <c r="C19" s="90" t="s">
        <v>189</v>
      </c>
      <c r="D19" s="90"/>
      <c r="E19" s="128" t="s">
        <v>12</v>
      </c>
      <c r="F19" s="128"/>
      <c r="G19" s="153" t="s">
        <v>190</v>
      </c>
      <c r="H19" s="153"/>
    </row>
    <row r="20" spans="1:8" x14ac:dyDescent="0.25">
      <c r="A20" s="66" t="s">
        <v>75</v>
      </c>
      <c r="B20" s="66"/>
      <c r="C20" s="90" t="s">
        <v>195</v>
      </c>
      <c r="D20" s="90"/>
      <c r="E20" s="128" t="s">
        <v>14</v>
      </c>
      <c r="F20" s="128"/>
      <c r="G20" s="90">
        <v>400075</v>
      </c>
      <c r="H20" s="90"/>
    </row>
    <row r="21" spans="1:8" ht="32.25" customHeight="1" x14ac:dyDescent="0.25">
      <c r="A21" s="66" t="s">
        <v>130</v>
      </c>
      <c r="B21" s="66"/>
      <c r="C21" s="90" t="s">
        <v>207</v>
      </c>
      <c r="D21" s="90"/>
      <c r="E21" s="128" t="s">
        <v>15</v>
      </c>
      <c r="F21" s="128"/>
      <c r="G21" s="90" t="s">
        <v>196</v>
      </c>
      <c r="H21" s="90"/>
    </row>
    <row r="22" spans="1:8" ht="15" customHeight="1" x14ac:dyDescent="0.25">
      <c r="A22" s="128" t="s">
        <v>78</v>
      </c>
      <c r="B22" s="128"/>
      <c r="C22" s="128"/>
      <c r="D22" s="128"/>
      <c r="E22" s="65" t="s">
        <v>16</v>
      </c>
      <c r="F22" s="65"/>
      <c r="G22" s="65"/>
      <c r="H22" s="65"/>
    </row>
    <row r="23" spans="1:8" ht="18.75" customHeight="1" x14ac:dyDescent="0.25">
      <c r="A23" s="128"/>
      <c r="B23" s="128"/>
      <c r="C23" s="128"/>
      <c r="D23" s="128"/>
      <c r="E23" s="65"/>
      <c r="F23" s="65"/>
      <c r="G23" s="65"/>
      <c r="H23" s="65"/>
    </row>
    <row r="24" spans="1:8" ht="15" customHeight="1" x14ac:dyDescent="0.25">
      <c r="A24" s="128" t="s">
        <v>17</v>
      </c>
      <c r="B24" s="128"/>
      <c r="C24" s="128"/>
      <c r="D24" s="128"/>
      <c r="E24" s="90" t="s">
        <v>18</v>
      </c>
      <c r="F24" s="90"/>
      <c r="G24" s="90"/>
      <c r="H24" s="90"/>
    </row>
    <row r="25" spans="1:8" ht="15" customHeight="1" x14ac:dyDescent="0.25">
      <c r="A25" s="66" t="s">
        <v>19</v>
      </c>
      <c r="B25" s="66"/>
      <c r="C25" s="66"/>
      <c r="D25" s="66"/>
      <c r="E25" s="90" t="str">
        <f>IF(AND(G19="Mumbai"),"Upper Class","Middle Class")</f>
        <v>Upper Class</v>
      </c>
      <c r="F25" s="90"/>
      <c r="G25" s="90"/>
      <c r="H25" s="90"/>
    </row>
    <row r="26" spans="1:8" x14ac:dyDescent="0.25">
      <c r="A26" s="66" t="s">
        <v>20</v>
      </c>
      <c r="B26" s="66"/>
      <c r="C26" s="66"/>
      <c r="D26" s="66"/>
      <c r="E26" s="90" t="s">
        <v>21</v>
      </c>
      <c r="F26" s="90"/>
      <c r="G26" s="90"/>
      <c r="H26" s="90"/>
    </row>
    <row r="27" spans="1:8" ht="15.75" customHeight="1" x14ac:dyDescent="0.25">
      <c r="A27" s="66" t="s">
        <v>22</v>
      </c>
      <c r="B27" s="66"/>
      <c r="C27" s="66"/>
      <c r="D27" s="66"/>
      <c r="E27" s="90" t="str">
        <f>IF(AND(G19="Mumbai"),"Developed","Developing")</f>
        <v>Developed</v>
      </c>
      <c r="F27" s="90"/>
      <c r="G27" s="90"/>
      <c r="H27" s="90"/>
    </row>
    <row r="28" spans="1:8" x14ac:dyDescent="0.25">
      <c r="A28" s="66" t="s">
        <v>23</v>
      </c>
      <c r="B28" s="66"/>
      <c r="C28" s="66"/>
      <c r="D28" s="66"/>
      <c r="E28" s="90" t="s">
        <v>24</v>
      </c>
      <c r="F28" s="90"/>
      <c r="G28" s="90"/>
      <c r="H28" s="90"/>
    </row>
    <row r="29" spans="1:8" ht="15.75" customHeight="1" x14ac:dyDescent="0.25">
      <c r="A29" s="66" t="s">
        <v>83</v>
      </c>
      <c r="B29" s="66"/>
      <c r="C29" s="66"/>
      <c r="D29" s="66"/>
      <c r="E29" s="90" t="s">
        <v>84</v>
      </c>
      <c r="F29" s="90"/>
      <c r="G29" s="90"/>
      <c r="H29" s="90"/>
    </row>
    <row r="30" spans="1:8" ht="15" customHeight="1" x14ac:dyDescent="0.25">
      <c r="A30" s="66" t="s">
        <v>33</v>
      </c>
      <c r="B30" s="66"/>
      <c r="C30" s="66"/>
      <c r="D30" s="66"/>
      <c r="E30" s="90" t="s">
        <v>227</v>
      </c>
      <c r="F30" s="90"/>
      <c r="G30" s="90"/>
      <c r="H30" s="90"/>
    </row>
    <row r="31" spans="1:8" ht="15.75" customHeight="1" x14ac:dyDescent="0.25">
      <c r="A31" s="66" t="s">
        <v>95</v>
      </c>
      <c r="B31" s="66"/>
      <c r="C31" s="66"/>
      <c r="D31" s="66"/>
      <c r="E31" s="90" t="s">
        <v>34</v>
      </c>
      <c r="F31" s="90"/>
      <c r="G31" s="90"/>
      <c r="H31" s="90"/>
    </row>
    <row r="32" spans="1:8" s="23" customFormat="1" x14ac:dyDescent="0.25">
      <c r="A32" s="157" t="s">
        <v>96</v>
      </c>
      <c r="B32" s="157"/>
      <c r="C32" s="156" t="s">
        <v>29</v>
      </c>
      <c r="D32" s="156"/>
      <c r="E32" s="156"/>
      <c r="F32" s="156" t="s">
        <v>31</v>
      </c>
      <c r="G32" s="156"/>
      <c r="H32" s="156"/>
    </row>
    <row r="33" spans="1:8" s="23" customFormat="1" x14ac:dyDescent="0.25">
      <c r="A33" s="154" t="s">
        <v>25</v>
      </c>
      <c r="B33" s="154" t="s">
        <v>30</v>
      </c>
      <c r="C33" s="155" t="s">
        <v>30</v>
      </c>
      <c r="D33" s="155"/>
      <c r="E33" s="155"/>
      <c r="F33" s="155" t="s">
        <v>197</v>
      </c>
      <c r="G33" s="155"/>
      <c r="H33" s="155"/>
    </row>
    <row r="34" spans="1:8" x14ac:dyDescent="0.25">
      <c r="A34" s="154" t="s">
        <v>26</v>
      </c>
      <c r="B34" s="154" t="s">
        <v>30</v>
      </c>
      <c r="C34" s="155" t="s">
        <v>30</v>
      </c>
      <c r="D34" s="155"/>
      <c r="E34" s="155"/>
      <c r="F34" s="155" t="s">
        <v>208</v>
      </c>
      <c r="G34" s="155"/>
      <c r="H34" s="155"/>
    </row>
    <row r="35" spans="1:8" s="23" customFormat="1" x14ac:dyDescent="0.25">
      <c r="A35" s="154" t="s">
        <v>28</v>
      </c>
      <c r="B35" s="154" t="s">
        <v>30</v>
      </c>
      <c r="C35" s="155" t="s">
        <v>30</v>
      </c>
      <c r="D35" s="155"/>
      <c r="E35" s="155"/>
      <c r="F35" s="155" t="s">
        <v>221</v>
      </c>
      <c r="G35" s="155"/>
      <c r="H35" s="155"/>
    </row>
    <row r="36" spans="1:8" x14ac:dyDescent="0.25">
      <c r="A36" s="154" t="s">
        <v>27</v>
      </c>
      <c r="B36" s="154" t="s">
        <v>30</v>
      </c>
      <c r="C36" s="155" t="s">
        <v>30</v>
      </c>
      <c r="D36" s="155"/>
      <c r="E36" s="155"/>
      <c r="F36" s="155" t="s">
        <v>198</v>
      </c>
      <c r="G36" s="155"/>
      <c r="H36" s="155"/>
    </row>
    <row r="37" spans="1:8" x14ac:dyDescent="0.25">
      <c r="A37" s="66" t="s">
        <v>32</v>
      </c>
      <c r="B37" s="66"/>
      <c r="C37" s="66"/>
      <c r="D37" s="66"/>
      <c r="E37" s="66"/>
      <c r="F37" s="66"/>
      <c r="G37" s="66"/>
      <c r="H37" s="66"/>
    </row>
    <row r="38" spans="1:8" ht="15.75" customHeight="1" x14ac:dyDescent="0.25">
      <c r="A38" s="66" t="s">
        <v>229</v>
      </c>
      <c r="B38" s="66"/>
      <c r="C38" s="161" t="s">
        <v>230</v>
      </c>
      <c r="D38" s="161"/>
      <c r="E38" s="161"/>
      <c r="F38" s="161"/>
      <c r="G38" s="161"/>
      <c r="H38" s="161"/>
    </row>
    <row r="39" spans="1:8" x14ac:dyDescent="0.25">
      <c r="A39" s="66" t="s">
        <v>176</v>
      </c>
      <c r="B39" s="66"/>
      <c r="C39" s="162" t="s">
        <v>202</v>
      </c>
      <c r="D39" s="90"/>
      <c r="E39" s="90"/>
      <c r="F39" s="90"/>
      <c r="G39" s="90"/>
      <c r="H39" s="90"/>
    </row>
    <row r="40" spans="1:8" x14ac:dyDescent="0.25">
      <c r="A40" s="159" t="s">
        <v>35</v>
      </c>
      <c r="B40" s="159"/>
      <c r="C40" s="159"/>
      <c r="D40" s="159"/>
      <c r="E40" s="159"/>
      <c r="F40" s="159"/>
      <c r="G40" s="159"/>
      <c r="H40" s="159"/>
    </row>
    <row r="41" spans="1:8" x14ac:dyDescent="0.25">
      <c r="A41" s="66" t="s">
        <v>36</v>
      </c>
      <c r="B41" s="66"/>
      <c r="C41" s="66"/>
      <c r="D41" s="66"/>
      <c r="E41" s="158">
        <v>835.13</v>
      </c>
      <c r="F41" s="158"/>
      <c r="G41" s="158"/>
      <c r="H41" s="158"/>
    </row>
    <row r="42" spans="1:8" x14ac:dyDescent="0.25">
      <c r="A42" s="66" t="s">
        <v>37</v>
      </c>
      <c r="B42" s="66"/>
      <c r="C42" s="66"/>
      <c r="D42" s="66"/>
      <c r="E42" s="91">
        <v>3</v>
      </c>
      <c r="F42" s="91"/>
      <c r="G42" s="91"/>
      <c r="H42" s="91"/>
    </row>
    <row r="43" spans="1:8" x14ac:dyDescent="0.25">
      <c r="A43" s="66" t="s">
        <v>38</v>
      </c>
      <c r="B43" s="66"/>
      <c r="C43" s="66"/>
      <c r="D43" s="66"/>
      <c r="E43" s="91">
        <f>E44-E42</f>
        <v>4.8864967130865855</v>
      </c>
      <c r="F43" s="91"/>
      <c r="G43" s="91"/>
      <c r="H43" s="91"/>
    </row>
    <row r="44" spans="1:8" x14ac:dyDescent="0.25">
      <c r="A44" s="66" t="s">
        <v>39</v>
      </c>
      <c r="B44" s="66"/>
      <c r="C44" s="66"/>
      <c r="D44" s="66"/>
      <c r="E44" s="91">
        <f>E45/E41</f>
        <v>7.8864967130865855</v>
      </c>
      <c r="F44" s="91"/>
      <c r="G44" s="91"/>
      <c r="H44" s="91"/>
    </row>
    <row r="45" spans="1:8" x14ac:dyDescent="0.25">
      <c r="A45" s="66" t="s">
        <v>94</v>
      </c>
      <c r="B45" s="66"/>
      <c r="C45" s="66"/>
      <c r="D45" s="66"/>
      <c r="E45" s="160">
        <v>6586.25</v>
      </c>
      <c r="F45" s="160"/>
      <c r="G45" s="160"/>
      <c r="H45" s="160"/>
    </row>
    <row r="46" spans="1:8" x14ac:dyDescent="0.25">
      <c r="A46" s="65" t="s">
        <v>40</v>
      </c>
      <c r="B46" s="65"/>
      <c r="C46" s="65"/>
      <c r="D46" s="65"/>
      <c r="E46" s="65" t="s">
        <v>128</v>
      </c>
      <c r="F46" s="65"/>
      <c r="G46" s="65"/>
      <c r="H46" s="65"/>
    </row>
    <row r="47" spans="1:8" x14ac:dyDescent="0.25">
      <c r="A47" s="149" t="s">
        <v>41</v>
      </c>
      <c r="B47" s="149"/>
      <c r="C47" s="149"/>
      <c r="D47" s="149"/>
      <c r="E47" s="149"/>
      <c r="F47" s="149"/>
      <c r="G47" s="149"/>
      <c r="H47" s="149"/>
    </row>
    <row r="48" spans="1:8" ht="33.75" customHeight="1" x14ac:dyDescent="0.25">
      <c r="A48" s="97" t="s">
        <v>164</v>
      </c>
      <c r="B48" s="98"/>
      <c r="C48" s="171" t="s">
        <v>201</v>
      </c>
      <c r="D48" s="172"/>
      <c r="E48" s="172"/>
      <c r="F48" s="172"/>
      <c r="G48" s="172"/>
      <c r="H48" s="173"/>
    </row>
    <row r="49" spans="1:14" ht="15.75" customHeight="1" x14ac:dyDescent="0.25">
      <c r="A49" s="97" t="s">
        <v>42</v>
      </c>
      <c r="B49" s="98"/>
      <c r="C49" s="97" t="s">
        <v>209</v>
      </c>
      <c r="D49" s="99"/>
      <c r="E49" s="98"/>
      <c r="F49" s="19" t="s">
        <v>43</v>
      </c>
      <c r="G49" s="100">
        <v>45040</v>
      </c>
      <c r="H49" s="98"/>
    </row>
    <row r="50" spans="1:14" x14ac:dyDescent="0.25">
      <c r="A50" s="97" t="s">
        <v>44</v>
      </c>
      <c r="B50" s="98"/>
      <c r="C50" s="97" t="str">
        <f>C49</f>
        <v>MHADA-1/912/2023</v>
      </c>
      <c r="D50" s="99"/>
      <c r="E50" s="98"/>
      <c r="F50" s="19" t="s">
        <v>43</v>
      </c>
      <c r="G50" s="100">
        <v>45040</v>
      </c>
      <c r="H50" s="98"/>
    </row>
    <row r="51" spans="1:14" s="24" customFormat="1" ht="31.5" customHeight="1" x14ac:dyDescent="0.25">
      <c r="A51" s="134" t="s">
        <v>193</v>
      </c>
      <c r="B51" s="135"/>
      <c r="C51" s="97" t="s">
        <v>191</v>
      </c>
      <c r="D51" s="99"/>
      <c r="E51" s="98"/>
      <c r="F51" s="19" t="s">
        <v>43</v>
      </c>
      <c r="G51" s="100">
        <v>44740</v>
      </c>
      <c r="H51" s="98"/>
    </row>
    <row r="52" spans="1:14" s="24" customFormat="1" ht="47.25" customHeight="1" x14ac:dyDescent="0.25">
      <c r="A52" s="136"/>
      <c r="B52" s="137"/>
      <c r="C52" s="97" t="s">
        <v>192</v>
      </c>
      <c r="D52" s="99"/>
      <c r="E52" s="98"/>
      <c r="F52" s="19" t="s">
        <v>129</v>
      </c>
      <c r="G52" s="100">
        <v>45104</v>
      </c>
      <c r="H52" s="98"/>
    </row>
    <row r="53" spans="1:14" x14ac:dyDescent="0.25">
      <c r="A53" s="138" t="s">
        <v>45</v>
      </c>
      <c r="B53" s="139"/>
      <c r="C53" s="138" t="s">
        <v>108</v>
      </c>
      <c r="D53" s="140"/>
      <c r="E53" s="139"/>
      <c r="F53" s="47" t="s">
        <v>43</v>
      </c>
      <c r="G53" s="131" t="s">
        <v>30</v>
      </c>
      <c r="H53" s="132"/>
      <c r="I53" s="22" t="s">
        <v>233</v>
      </c>
      <c r="N53" s="193">
        <v>45838</v>
      </c>
    </row>
    <row r="54" spans="1:14" x14ac:dyDescent="0.25">
      <c r="A54" s="130" t="s">
        <v>47</v>
      </c>
      <c r="B54" s="130"/>
      <c r="C54" s="130"/>
      <c r="D54" s="130"/>
      <c r="E54" s="130"/>
      <c r="F54" s="130"/>
      <c r="G54" s="130"/>
      <c r="H54" s="130"/>
      <c r="J54" t="s">
        <v>234</v>
      </c>
    </row>
    <row r="55" spans="1:14" x14ac:dyDescent="0.25">
      <c r="A55" s="128" t="s">
        <v>93</v>
      </c>
      <c r="B55" s="128"/>
      <c r="C55" s="128"/>
      <c r="D55" s="66">
        <f>E45</f>
        <v>6586.25</v>
      </c>
      <c r="E55" s="66"/>
      <c r="F55" s="66"/>
      <c r="G55" s="66"/>
      <c r="H55" s="66"/>
    </row>
    <row r="56" spans="1:14" x14ac:dyDescent="0.25">
      <c r="A56" s="90" t="s">
        <v>48</v>
      </c>
      <c r="B56" s="65"/>
      <c r="C56" s="65"/>
      <c r="D56" s="65" t="s">
        <v>220</v>
      </c>
      <c r="E56" s="65"/>
      <c r="F56" s="65"/>
      <c r="G56" s="65"/>
      <c r="H56" s="65"/>
      <c r="I56" s="25"/>
    </row>
    <row r="57" spans="1:14" ht="15.75" customHeight="1" x14ac:dyDescent="0.25">
      <c r="A57" s="101" t="s">
        <v>49</v>
      </c>
      <c r="B57" s="102"/>
      <c r="C57" s="133"/>
      <c r="D57" s="90" t="s">
        <v>222</v>
      </c>
      <c r="E57" s="65"/>
      <c r="F57" s="65"/>
      <c r="G57" s="65"/>
      <c r="H57" s="65"/>
    </row>
    <row r="58" spans="1:14" ht="15.75" customHeight="1" x14ac:dyDescent="0.25">
      <c r="A58" s="101" t="s">
        <v>91</v>
      </c>
      <c r="B58" s="102"/>
      <c r="C58" s="102"/>
      <c r="D58" s="90" t="s">
        <v>223</v>
      </c>
      <c r="E58" s="65"/>
      <c r="F58" s="65"/>
      <c r="G58" s="65"/>
      <c r="H58" s="65"/>
    </row>
    <row r="59" spans="1:14" ht="15.75" hidden="1" customHeight="1" x14ac:dyDescent="0.25">
      <c r="A59" s="103"/>
      <c r="B59" s="104"/>
      <c r="C59" s="104"/>
      <c r="D59" s="107" t="s">
        <v>158</v>
      </c>
      <c r="E59" s="107"/>
      <c r="F59" s="107"/>
      <c r="G59" s="107"/>
      <c r="H59" s="107"/>
    </row>
    <row r="60" spans="1:14" ht="15.75" hidden="1" customHeight="1" x14ac:dyDescent="0.25">
      <c r="A60" s="105"/>
      <c r="B60" s="106"/>
      <c r="C60" s="106"/>
      <c r="D60" s="107" t="s">
        <v>159</v>
      </c>
      <c r="E60" s="107"/>
      <c r="F60" s="107"/>
      <c r="G60" s="107"/>
      <c r="H60" s="107"/>
    </row>
    <row r="61" spans="1:14" ht="15.75" customHeight="1" x14ac:dyDescent="0.25">
      <c r="A61" s="66" t="s">
        <v>46</v>
      </c>
      <c r="B61" s="66"/>
      <c r="C61" s="66"/>
      <c r="D61" s="128" t="s">
        <v>236</v>
      </c>
      <c r="E61" s="128"/>
      <c r="F61" s="128"/>
      <c r="G61" s="128"/>
      <c r="H61" s="128"/>
      <c r="I61" s="22" t="s">
        <v>232</v>
      </c>
      <c r="J61" s="26"/>
      <c r="K61" s="25"/>
      <c r="N61" s="25"/>
    </row>
    <row r="62" spans="1:14" ht="15.75" customHeight="1" x14ac:dyDescent="0.25">
      <c r="A62" s="66" t="s">
        <v>89</v>
      </c>
      <c r="B62" s="66"/>
      <c r="C62" s="66"/>
      <c r="D62" s="125" t="str">
        <f>(IF(G53="NA","60 Years After Completion",IF(G53&lt;&gt;"NA",""&amp;60-ROUNDDOWN((E3-G53)/360,0)&amp;" Years"," ")))</f>
        <v>60 Years After Completion</v>
      </c>
      <c r="E62" s="125"/>
      <c r="F62" s="125"/>
      <c r="G62" s="125"/>
      <c r="H62" s="125"/>
      <c r="N62" s="25"/>
    </row>
    <row r="63" spans="1:14" ht="15.75" customHeight="1" x14ac:dyDescent="0.25">
      <c r="A63" s="66" t="s">
        <v>90</v>
      </c>
      <c r="B63" s="66"/>
      <c r="C63" s="66"/>
      <c r="D63" s="128" t="s">
        <v>24</v>
      </c>
      <c r="E63" s="128"/>
      <c r="F63" s="128"/>
      <c r="G63" s="128"/>
      <c r="H63" s="128"/>
      <c r="J63" s="27"/>
      <c r="K63" s="27"/>
    </row>
    <row r="64" spans="1:14" ht="15" customHeight="1" x14ac:dyDescent="0.25">
      <c r="A64" s="66" t="s">
        <v>76</v>
      </c>
      <c r="B64" s="66"/>
      <c r="C64" s="66"/>
      <c r="D64" s="90" t="s">
        <v>219</v>
      </c>
      <c r="E64" s="128"/>
      <c r="F64" s="128"/>
      <c r="G64" s="128"/>
      <c r="H64" s="128"/>
    </row>
    <row r="65" spans="1:14" x14ac:dyDescent="0.25">
      <c r="A65" s="128" t="s">
        <v>160</v>
      </c>
      <c r="B65" s="128"/>
      <c r="C65" s="128"/>
      <c r="D65" s="128" t="s">
        <v>30</v>
      </c>
      <c r="E65" s="128"/>
      <c r="F65" s="128"/>
      <c r="G65" s="128"/>
      <c r="H65" s="128"/>
      <c r="I65" s="28"/>
      <c r="J65" s="28"/>
      <c r="K65" s="28"/>
      <c r="L65" s="28"/>
      <c r="M65" s="28"/>
      <c r="N65" s="28"/>
    </row>
    <row r="66" spans="1:14" ht="15.75" customHeight="1" x14ac:dyDescent="0.25">
      <c r="A66" s="129" t="s">
        <v>88</v>
      </c>
      <c r="B66" s="129"/>
      <c r="C66" s="129"/>
      <c r="D66" s="141" t="str">
        <f ca="1">(IF(G72&gt;95%,"Nothing",IF(G72&gt;0%,"Cement, Aggregate, Steel, etc",IF(G72=0%,"Work not yet Started"))))</f>
        <v>Nothing</v>
      </c>
      <c r="E66" s="141"/>
      <c r="F66" s="141"/>
      <c r="G66" s="141"/>
      <c r="H66" s="141"/>
      <c r="J66" s="27"/>
    </row>
    <row r="67" spans="1:14" ht="33.75" customHeight="1" thickBot="1" x14ac:dyDescent="0.3">
      <c r="A67" s="128" t="s">
        <v>121</v>
      </c>
      <c r="B67" s="128"/>
      <c r="C67" s="128"/>
      <c r="D67" s="90" t="str">
        <f ca="1">(IF(D66="Nothing","Yes",IF(D66="Cement, Aggregate, Steel, etc","Under Construction",IF(D66="Work not yet Started","Work not yet Started"))))</f>
        <v>Yes</v>
      </c>
      <c r="E67" s="90"/>
      <c r="F67" s="90" t="str">
        <f ca="1">(IF(D66="Nothing","Yes",IF(D66="Cement, Aggregate, Steel, etc","Under Construction",IF(D66="Work not yet Started","Work not yet Started"))))</f>
        <v>Yes</v>
      </c>
      <c r="G67" s="90"/>
      <c r="H67" s="90"/>
    </row>
    <row r="68" spans="1:14" s="24" customFormat="1" ht="15.75" customHeight="1" x14ac:dyDescent="0.25">
      <c r="A68" s="127" t="s">
        <v>148</v>
      </c>
      <c r="B68" s="127"/>
      <c r="C68" s="127" t="str">
        <f>D58</f>
        <v>B + Gr + 1st to 17th Floor</v>
      </c>
      <c r="D68" s="127"/>
      <c r="E68" s="127"/>
      <c r="F68" s="127"/>
      <c r="G68" s="127"/>
      <c r="H68" s="127"/>
      <c r="I68" s="62" t="str">
        <f ca="1">IF(D81=100%,"All work Completed. Possession granted to the Building.",IF(D80=100%,"All work Completed, Waiting for OC",I69&amp;""&amp;I70&amp;""&amp;J69&amp;""&amp;J68&amp;" "&amp;J70))</f>
        <v>All work Completed. Possession granted to the Building.</v>
      </c>
      <c r="J68" s="57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s="24" customFormat="1" x14ac:dyDescent="0.25">
      <c r="A69" s="49" t="s">
        <v>150</v>
      </c>
      <c r="B69" s="49">
        <v>1</v>
      </c>
      <c r="C69" s="49" t="s">
        <v>73</v>
      </c>
      <c r="D69" s="49">
        <v>1</v>
      </c>
      <c r="E69" s="49" t="s">
        <v>72</v>
      </c>
      <c r="F69" s="49">
        <v>0</v>
      </c>
      <c r="G69" s="49" t="s">
        <v>82</v>
      </c>
      <c r="H69" s="49">
        <f ca="1">--TRIM(RIGHT(SUBSTITUTE(LEFT(C68,_xlfn.AGGREGATE(16,6,FIND({0,1,2,3,4,5,6,7,8,9},C68,ROW(INDIRECT("1:"&amp;LEN(C68)))),1))," ",REPT(" ",LEN(C68))),LEN(C68)))</f>
        <v>17</v>
      </c>
      <c r="I69" s="63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9" s="58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25">
      <c r="A70" s="126" t="s">
        <v>92</v>
      </c>
      <c r="B70" s="126"/>
      <c r="C70" s="127" t="str">
        <f ca="1">I68</f>
        <v>All work Completed. Possession granted to the Building.</v>
      </c>
      <c r="D70" s="127"/>
      <c r="E70" s="127"/>
      <c r="F70" s="127"/>
      <c r="G70" s="127"/>
      <c r="H70" s="127"/>
      <c r="I70" s="64" t="str">
        <f ca="1">IF(I69&lt;&gt;""," Completed","")</f>
        <v xml:space="preserve"> Completed</v>
      </c>
      <c r="J70" s="54" t="str">
        <f ca="1">IF(J68&lt;&gt;"","Completed","")</f>
        <v/>
      </c>
    </row>
    <row r="71" spans="1:14" ht="15.75" customHeight="1" x14ac:dyDescent="0.25">
      <c r="A71" s="81" t="s">
        <v>50</v>
      </c>
      <c r="B71" s="81"/>
      <c r="C71" s="45" t="s">
        <v>147</v>
      </c>
      <c r="D71" s="45" t="s">
        <v>85</v>
      </c>
      <c r="E71" s="81" t="s">
        <v>87</v>
      </c>
      <c r="F71" s="81"/>
      <c r="G71" s="81" t="s">
        <v>86</v>
      </c>
      <c r="H71" s="81"/>
      <c r="I71" s="14" t="s">
        <v>149</v>
      </c>
      <c r="J71" s="29">
        <f ca="1">H69*25%</f>
        <v>4.25</v>
      </c>
    </row>
    <row r="72" spans="1:14" x14ac:dyDescent="0.25">
      <c r="A72" s="80" t="s">
        <v>136</v>
      </c>
      <c r="B72" s="81"/>
      <c r="C72" s="55">
        <f ca="1">J73</f>
        <v>17</v>
      </c>
      <c r="D72" s="20">
        <f ca="1">((100/H69)*C72)/100</f>
        <v>1</v>
      </c>
      <c r="E72" s="114">
        <f ca="1">(((C73/H69*10)+(40/(D69+F69+H69)*C74)+(7.5/(H69)*C75)+(7.5/(H69)*C76)+(10/H69*C77)+(10/H69*C78)+(5/H69*C79)+(5/H69*C80)+(5/H69*C81))/100)</f>
        <v>1</v>
      </c>
      <c r="F72" s="120"/>
      <c r="G72" s="114">
        <f ca="1">((((C72/H69)*20)+((C73/H69)*25)+(30/(H69+F69+D69)*C74)+(5/H69*C75)+(5/H69*C76)+(5/H69*C77)+(5/H69*C78)+(0/H69*C79)+(0/H69*C80)+(5/H69*C81))/100)</f>
        <v>1</v>
      </c>
      <c r="H72" s="115"/>
      <c r="I72" s="14" t="s">
        <v>103</v>
      </c>
      <c r="J72" s="30">
        <f ca="1">H69*50%</f>
        <v>8.5</v>
      </c>
    </row>
    <row r="73" spans="1:14" x14ac:dyDescent="0.25">
      <c r="A73" s="80" t="s">
        <v>51</v>
      </c>
      <c r="B73" s="81"/>
      <c r="C73" s="55">
        <f ca="1">J81</f>
        <v>17</v>
      </c>
      <c r="D73" s="20">
        <f ca="1">((100/H69)*C73)/100</f>
        <v>1</v>
      </c>
      <c r="E73" s="116"/>
      <c r="F73" s="121"/>
      <c r="G73" s="116"/>
      <c r="H73" s="117"/>
      <c r="I73" s="14" t="s">
        <v>104</v>
      </c>
      <c r="J73" s="30">
        <f ca="1">H69</f>
        <v>17</v>
      </c>
    </row>
    <row r="74" spans="1:14" ht="15.75" customHeight="1" x14ac:dyDescent="0.25">
      <c r="A74" s="80" t="s">
        <v>137</v>
      </c>
      <c r="B74" s="81"/>
      <c r="C74" s="45">
        <v>18</v>
      </c>
      <c r="D74" s="20">
        <f ca="1">((100/(D69+F69+H69))*C74)/100</f>
        <v>1</v>
      </c>
      <c r="E74" s="116"/>
      <c r="F74" s="121"/>
      <c r="G74" s="116"/>
      <c r="H74" s="117"/>
      <c r="I74" s="14" t="s">
        <v>105</v>
      </c>
      <c r="J74" s="31">
        <f ca="1">(IF(B69&gt;1,(H69/(B69+2)),H69/4))</f>
        <v>4.25</v>
      </c>
    </row>
    <row r="75" spans="1:14" ht="15.75" customHeight="1" x14ac:dyDescent="0.25">
      <c r="A75" s="80" t="s">
        <v>144</v>
      </c>
      <c r="B75" s="81" t="s">
        <v>138</v>
      </c>
      <c r="C75" s="45">
        <v>17</v>
      </c>
      <c r="D75" s="20">
        <f ca="1">((100/H69)*C75)/100</f>
        <v>1</v>
      </c>
      <c r="E75" s="116"/>
      <c r="F75" s="121"/>
      <c r="G75" s="116"/>
      <c r="H75" s="117"/>
      <c r="I75" s="14" t="s">
        <v>106</v>
      </c>
      <c r="J75" s="31">
        <f ca="1">(IF(B69&gt;1,(H69/(B69+2)+J74),H69/4+J74))</f>
        <v>8.5</v>
      </c>
    </row>
    <row r="76" spans="1:14" ht="15.75" customHeight="1" x14ac:dyDescent="0.25">
      <c r="A76" s="80" t="s">
        <v>145</v>
      </c>
      <c r="B76" s="81" t="s">
        <v>138</v>
      </c>
      <c r="C76" s="45">
        <v>17</v>
      </c>
      <c r="D76" s="20">
        <f ca="1">((100/H69)*C76)/100</f>
        <v>1</v>
      </c>
      <c r="E76" s="116"/>
      <c r="F76" s="121"/>
      <c r="G76" s="116"/>
      <c r="H76" s="117"/>
      <c r="I76" s="14" t="s">
        <v>156</v>
      </c>
      <c r="J76" s="31">
        <f>(IF(B69&gt;1,(H69/(B69+2)+J75),0))</f>
        <v>0</v>
      </c>
    </row>
    <row r="77" spans="1:14" ht="15" customHeight="1" x14ac:dyDescent="0.25">
      <c r="A77" s="80" t="s">
        <v>143</v>
      </c>
      <c r="B77" s="81" t="s">
        <v>140</v>
      </c>
      <c r="C77" s="45">
        <v>17</v>
      </c>
      <c r="D77" s="20">
        <f ca="1">((100/(H69))*C77)/100</f>
        <v>1</v>
      </c>
      <c r="E77" s="116"/>
      <c r="F77" s="121"/>
      <c r="G77" s="116"/>
      <c r="H77" s="117"/>
      <c r="I77" s="14" t="s">
        <v>151</v>
      </c>
      <c r="J77" s="31">
        <f>(IF(B69&gt;2,(H69/(B69+2)+J76),0))</f>
        <v>0</v>
      </c>
    </row>
    <row r="78" spans="1:14" ht="15.75" customHeight="1" x14ac:dyDescent="0.25">
      <c r="A78" s="80" t="s">
        <v>139</v>
      </c>
      <c r="B78" s="81" t="s">
        <v>139</v>
      </c>
      <c r="C78" s="45">
        <v>17</v>
      </c>
      <c r="D78" s="20">
        <f ca="1">((100/H69)*C78)/100</f>
        <v>1</v>
      </c>
      <c r="E78" s="116"/>
      <c r="F78" s="121"/>
      <c r="G78" s="116"/>
      <c r="H78" s="117"/>
      <c r="I78" s="14" t="s">
        <v>152</v>
      </c>
      <c r="J78" s="32">
        <f>(IF(B69&gt;3,(H69/(B69+2)+J77),0))</f>
        <v>0</v>
      </c>
    </row>
    <row r="79" spans="1:14" ht="15.75" customHeight="1" x14ac:dyDescent="0.25">
      <c r="A79" s="80" t="s">
        <v>146</v>
      </c>
      <c r="B79" s="81"/>
      <c r="C79" s="45">
        <v>17</v>
      </c>
      <c r="D79" s="20">
        <f ca="1">((100/H69)*C79)/100</f>
        <v>1</v>
      </c>
      <c r="E79" s="116"/>
      <c r="F79" s="121"/>
      <c r="G79" s="116"/>
      <c r="H79" s="117"/>
      <c r="I79" s="14" t="s">
        <v>153</v>
      </c>
      <c r="J79" s="31">
        <f>(IF(B69&gt;4,(H69/(B69+2)+J78),0))</f>
        <v>0</v>
      </c>
    </row>
    <row r="80" spans="1:14" ht="15.75" customHeight="1" x14ac:dyDescent="0.25">
      <c r="A80" s="80" t="s">
        <v>141</v>
      </c>
      <c r="B80" s="81" t="s">
        <v>141</v>
      </c>
      <c r="C80" s="45">
        <v>17</v>
      </c>
      <c r="D80" s="20">
        <f ca="1">((100/(H69))*C80)/100</f>
        <v>1</v>
      </c>
      <c r="E80" s="116"/>
      <c r="F80" s="121"/>
      <c r="G80" s="116"/>
      <c r="H80" s="117"/>
      <c r="I80" s="14" t="s">
        <v>157</v>
      </c>
      <c r="J80" s="31">
        <f ca="1">(IF(B69=1,(H69/(B69+3)+J75),IF(B69=0,(H69/4+J75),IF(B69&gt;1,0))))</f>
        <v>12.75</v>
      </c>
    </row>
    <row r="81" spans="1:10" ht="16.5" thickBot="1" x14ac:dyDescent="0.3">
      <c r="A81" s="123" t="s">
        <v>142</v>
      </c>
      <c r="B81" s="124"/>
      <c r="C81" s="46">
        <v>17</v>
      </c>
      <c r="D81" s="21">
        <f ca="1">((100/(H69))*C81)/100</f>
        <v>1</v>
      </c>
      <c r="E81" s="118"/>
      <c r="F81" s="122"/>
      <c r="G81" s="118"/>
      <c r="H81" s="119"/>
      <c r="I81" s="16" t="s">
        <v>107</v>
      </c>
      <c r="J81" s="33">
        <f ca="1">(IF(B69&gt;1.5,(H69/(B69+2)+J75+MAX(0,J76-J75)+MAX(0,J77-J76)+MAX(0,J78-J77)+MAX(0,J79-J78)+MAX(0,J80-J79)),IF(B69=1,(H69/(B69+3)+J80),IF(B69=0,H69/4+J80))))</f>
        <v>17</v>
      </c>
    </row>
    <row r="82" spans="1:10" ht="15.75" hidden="1" customHeight="1" x14ac:dyDescent="0.25">
      <c r="A82" s="92" t="s">
        <v>148</v>
      </c>
      <c r="B82" s="93"/>
      <c r="C82" s="94" t="str">
        <f>D59</f>
        <v>B Wing = G + 1st to 20th Floor</v>
      </c>
      <c r="D82" s="95"/>
      <c r="E82" s="95"/>
      <c r="F82" s="95"/>
      <c r="G82" s="95"/>
      <c r="H82" s="96"/>
      <c r="I82" s="51" t="str">
        <f ca="1">IF(D95=100%,"All work Completed. Possession granted to the Building.",IF(D94=100%,"All work Completed, Waiting for OC",I83&amp;""&amp;I84&amp;""&amp;J83&amp;""&amp;J82&amp;" "&amp;J84))</f>
        <v xml:space="preserve">Excavation, Plinth, RCC Slab Completed </v>
      </c>
      <c r="J82" s="52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25">
      <c r="A83" s="17" t="s">
        <v>150</v>
      </c>
      <c r="B83" s="15">
        <v>0</v>
      </c>
      <c r="C83" s="49" t="s">
        <v>73</v>
      </c>
      <c r="D83" s="49">
        <v>1</v>
      </c>
      <c r="E83" s="49" t="s">
        <v>72</v>
      </c>
      <c r="F83" s="15">
        <v>0</v>
      </c>
      <c r="G83" s="50" t="s">
        <v>82</v>
      </c>
      <c r="H83" s="18">
        <f ca="1">--TRIM(RIGHT(SUBSTITUTE(LEFT(C82,_xlfn.AGGREGATE(16,6,FIND({0,1,2,3,4,5,6,7,8,9},C82,ROW(INDIRECT("1:"&amp;LEN(C82)))),1))," ",REPT(" ",LEN(C82))),LEN(C82)))</f>
        <v>20</v>
      </c>
      <c r="I83" s="53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</v>
      </c>
      <c r="J83" s="54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hidden="1" customHeight="1" x14ac:dyDescent="0.25">
      <c r="A84" s="174" t="s">
        <v>92</v>
      </c>
      <c r="B84" s="126"/>
      <c r="C84" s="127" t="str">
        <f ca="1">(IF($G$53="NA",I82,"All work Completed. OC Received."))</f>
        <v xml:space="preserve">Excavation, Plinth, RCC Slab Completed </v>
      </c>
      <c r="D84" s="127"/>
      <c r="E84" s="127"/>
      <c r="F84" s="127"/>
      <c r="G84" s="127"/>
      <c r="H84" s="175"/>
      <c r="I84" s="53" t="str">
        <f ca="1">IF(I83&lt;&gt;""," Completed","")</f>
        <v xml:space="preserve"> Completed</v>
      </c>
      <c r="J84" s="54" t="str">
        <f ca="1">IF(J82&lt;&gt;"","Completed","")</f>
        <v/>
      </c>
    </row>
    <row r="85" spans="1:10" ht="15.75" hidden="1" customHeight="1" x14ac:dyDescent="0.25">
      <c r="A85" s="80" t="s">
        <v>50</v>
      </c>
      <c r="B85" s="81"/>
      <c r="C85" s="45" t="s">
        <v>147</v>
      </c>
      <c r="D85" s="45" t="s">
        <v>85</v>
      </c>
      <c r="E85" s="81" t="s">
        <v>87</v>
      </c>
      <c r="F85" s="81"/>
      <c r="G85" s="81" t="s">
        <v>86</v>
      </c>
      <c r="H85" s="166"/>
      <c r="I85" s="14" t="s">
        <v>149</v>
      </c>
      <c r="J85" s="29">
        <f ca="1">H83*25%</f>
        <v>5</v>
      </c>
    </row>
    <row r="86" spans="1:10" hidden="1" x14ac:dyDescent="0.25">
      <c r="A86" s="80" t="s">
        <v>136</v>
      </c>
      <c r="B86" s="81"/>
      <c r="C86" s="45">
        <f ca="1">J87</f>
        <v>20</v>
      </c>
      <c r="D86" s="20">
        <f ca="1">((100/H83)*C86)/100</f>
        <v>1</v>
      </c>
      <c r="E86" s="114">
        <f ca="1">(((C87/H83*10)+(40/(D83+F83+H83)*C88)+(7.5/(H83)*C89)+(7.5/(H83)*C90)+(10/H83*C91)+(10/H83*C92)+(5/H83*C93)+(5/H83*C94)+(5/H83*C95))/100)</f>
        <v>0.5</v>
      </c>
      <c r="F86" s="120"/>
      <c r="G86" s="114">
        <f ca="1">((((C86/H83)*20)+((C87/H83)*25)+(30/(H83+F83+D83)*C88)+(5/H83*C89)+(5/H83*C90)+(5/H83*C91)+(5/H83*C92)+(0/H83*C93)+(0/H83*C94)+(5/H83*C95))/100)</f>
        <v>0.75</v>
      </c>
      <c r="H86" s="115"/>
      <c r="I86" s="14" t="s">
        <v>103</v>
      </c>
      <c r="J86" s="30">
        <f ca="1">H83*50%</f>
        <v>10</v>
      </c>
    </row>
    <row r="87" spans="1:10" hidden="1" x14ac:dyDescent="0.25">
      <c r="A87" s="80" t="s">
        <v>51</v>
      </c>
      <c r="B87" s="81"/>
      <c r="C87" s="45">
        <f ca="1">J95</f>
        <v>20</v>
      </c>
      <c r="D87" s="20">
        <f ca="1">((100/H83)*C87)/100</f>
        <v>1</v>
      </c>
      <c r="E87" s="116"/>
      <c r="F87" s="121"/>
      <c r="G87" s="116"/>
      <c r="H87" s="117"/>
      <c r="I87" s="14" t="s">
        <v>104</v>
      </c>
      <c r="J87" s="30">
        <f ca="1">H83</f>
        <v>20</v>
      </c>
    </row>
    <row r="88" spans="1:10" ht="15.75" hidden="1" customHeight="1" x14ac:dyDescent="0.25">
      <c r="A88" s="80" t="s">
        <v>137</v>
      </c>
      <c r="B88" s="81"/>
      <c r="C88" s="45">
        <f ca="1">D83+H83</f>
        <v>21</v>
      </c>
      <c r="D88" s="20">
        <f ca="1">((100/(D83+F83+H83))*C88)/100</f>
        <v>1</v>
      </c>
      <c r="E88" s="116"/>
      <c r="F88" s="121"/>
      <c r="G88" s="116"/>
      <c r="H88" s="117"/>
      <c r="I88" s="14" t="s">
        <v>105</v>
      </c>
      <c r="J88" s="31">
        <f ca="1">(IF(B83&gt;1,(H83/(B83+2)),H83/4))</f>
        <v>5</v>
      </c>
    </row>
    <row r="89" spans="1:10" ht="15.75" hidden="1" customHeight="1" x14ac:dyDescent="0.25">
      <c r="A89" s="80" t="s">
        <v>144</v>
      </c>
      <c r="B89" s="81" t="s">
        <v>138</v>
      </c>
      <c r="C89" s="45">
        <v>0</v>
      </c>
      <c r="D89" s="20">
        <f ca="1">((100/H83)*C89)/100</f>
        <v>0</v>
      </c>
      <c r="E89" s="116"/>
      <c r="F89" s="121"/>
      <c r="G89" s="116"/>
      <c r="H89" s="117"/>
      <c r="I89" s="14" t="s">
        <v>106</v>
      </c>
      <c r="J89" s="31">
        <f ca="1">(IF(B83&gt;1,(H83/(B83+2)+J88),H83/4+J88))</f>
        <v>10</v>
      </c>
    </row>
    <row r="90" spans="1:10" ht="15.75" hidden="1" customHeight="1" x14ac:dyDescent="0.25">
      <c r="A90" s="80" t="s">
        <v>145</v>
      </c>
      <c r="B90" s="81" t="s">
        <v>138</v>
      </c>
      <c r="C90" s="45">
        <v>0</v>
      </c>
      <c r="D90" s="20">
        <f ca="1">((100/H83)*C90)/100</f>
        <v>0</v>
      </c>
      <c r="E90" s="116"/>
      <c r="F90" s="121"/>
      <c r="G90" s="116"/>
      <c r="H90" s="117"/>
      <c r="I90" s="14" t="s">
        <v>156</v>
      </c>
      <c r="J90" s="31">
        <f>(IF(B83&gt;1,(H83/(B83+2)+J89),0))</f>
        <v>0</v>
      </c>
    </row>
    <row r="91" spans="1:10" ht="15" hidden="1" customHeight="1" x14ac:dyDescent="0.25">
      <c r="A91" s="80" t="s">
        <v>143</v>
      </c>
      <c r="B91" s="81" t="s">
        <v>140</v>
      </c>
      <c r="C91" s="45">
        <v>0</v>
      </c>
      <c r="D91" s="20">
        <f ca="1">((100/(H83))*C91)/100</f>
        <v>0</v>
      </c>
      <c r="E91" s="116"/>
      <c r="F91" s="121"/>
      <c r="G91" s="116"/>
      <c r="H91" s="117"/>
      <c r="I91" s="14" t="s">
        <v>151</v>
      </c>
      <c r="J91" s="31">
        <f>(IF(B83&gt;2,(H83/(B83+2)+J90),0))</f>
        <v>0</v>
      </c>
    </row>
    <row r="92" spans="1:10" ht="15.75" hidden="1" customHeight="1" x14ac:dyDescent="0.25">
      <c r="A92" s="80" t="s">
        <v>139</v>
      </c>
      <c r="B92" s="81" t="s">
        <v>139</v>
      </c>
      <c r="C92" s="45">
        <v>0</v>
      </c>
      <c r="D92" s="20">
        <f ca="1">((100/H83)*C92)/100</f>
        <v>0</v>
      </c>
      <c r="E92" s="116"/>
      <c r="F92" s="121"/>
      <c r="G92" s="116"/>
      <c r="H92" s="117"/>
      <c r="I92" s="14" t="s">
        <v>152</v>
      </c>
      <c r="J92" s="32">
        <f>(IF(B83&gt;3,(H83/(B83+2)+J91),0))</f>
        <v>0</v>
      </c>
    </row>
    <row r="93" spans="1:10" ht="15.75" hidden="1" customHeight="1" x14ac:dyDescent="0.25">
      <c r="A93" s="80" t="s">
        <v>146</v>
      </c>
      <c r="B93" s="81"/>
      <c r="C93" s="45">
        <v>0</v>
      </c>
      <c r="D93" s="20">
        <f ca="1">((100/H83)*C93)/100</f>
        <v>0</v>
      </c>
      <c r="E93" s="116"/>
      <c r="F93" s="121"/>
      <c r="G93" s="116"/>
      <c r="H93" s="117"/>
      <c r="I93" s="14" t="s">
        <v>153</v>
      </c>
      <c r="J93" s="31">
        <f>(IF(B83&gt;4,(H83/(B83+2)+J92),0))</f>
        <v>0</v>
      </c>
    </row>
    <row r="94" spans="1:10" ht="15.75" hidden="1" customHeight="1" x14ac:dyDescent="0.25">
      <c r="A94" s="80" t="s">
        <v>141</v>
      </c>
      <c r="B94" s="81" t="s">
        <v>141</v>
      </c>
      <c r="C94" s="45">
        <v>0</v>
      </c>
      <c r="D94" s="20">
        <f ca="1">((100/(H83))*C94)/100</f>
        <v>0</v>
      </c>
      <c r="E94" s="116"/>
      <c r="F94" s="121"/>
      <c r="G94" s="116"/>
      <c r="H94" s="117"/>
      <c r="I94" s="14" t="s">
        <v>157</v>
      </c>
      <c r="J94" s="31">
        <f ca="1">(IF(B83=1,(H83/(B83+3)+J89),IF(B83=0,(H83/4+J89),IF(B83&gt;1,0))))</f>
        <v>15</v>
      </c>
    </row>
    <row r="95" spans="1:10" ht="16.5" hidden="1" thickBot="1" x14ac:dyDescent="0.3">
      <c r="A95" s="123" t="s">
        <v>142</v>
      </c>
      <c r="B95" s="124"/>
      <c r="C95" s="46">
        <v>0</v>
      </c>
      <c r="D95" s="21">
        <f ca="1">((100/(H83))*C95)/100</f>
        <v>0</v>
      </c>
      <c r="E95" s="118"/>
      <c r="F95" s="122"/>
      <c r="G95" s="118"/>
      <c r="H95" s="119"/>
      <c r="I95" s="16" t="s">
        <v>107</v>
      </c>
      <c r="J95" s="33">
        <f ca="1">(IF(B83&gt;1.5,(H83/(B83+2)+J89+MAX(0,J90-J89)+MAX(0,J91-J90)+MAX(0,J92-J91)+MAX(0,J93-J92)+MAX(0,J94-J93)),IF(B83=1,(H83/(B83+3)+J94),IF(B83=0,H83/4+J94))))</f>
        <v>20</v>
      </c>
    </row>
    <row r="96" spans="1:10" ht="15.75" hidden="1" customHeight="1" x14ac:dyDescent="0.25">
      <c r="A96" s="92" t="s">
        <v>148</v>
      </c>
      <c r="B96" s="93"/>
      <c r="C96" s="94" t="str">
        <f>D60</f>
        <v>C Wing = G + 1st to 20th Floor</v>
      </c>
      <c r="D96" s="95"/>
      <c r="E96" s="95"/>
      <c r="F96" s="95"/>
      <c r="G96" s="95"/>
      <c r="H96" s="96"/>
      <c r="I96" s="51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52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hidden="1" x14ac:dyDescent="0.25">
      <c r="A97" s="17" t="s">
        <v>150</v>
      </c>
      <c r="B97" s="15">
        <v>0</v>
      </c>
      <c r="C97" s="49" t="s">
        <v>73</v>
      </c>
      <c r="D97" s="49">
        <v>1</v>
      </c>
      <c r="E97" s="49" t="s">
        <v>72</v>
      </c>
      <c r="F97" s="15">
        <v>0</v>
      </c>
      <c r="G97" s="50" t="s">
        <v>82</v>
      </c>
      <c r="H97" s="18">
        <f ca="1">--TRIM(RIGHT(SUBSTITUTE(LEFT(C96,_xlfn.AGGREGATE(16,6,FIND({0,1,2,3,4,5,6,7,8,9},C96,ROW(INDIRECT("1:"&amp;LEN(C96)))),1))," ",REPT(" ",LEN(C96))),LEN(C96)))</f>
        <v>20</v>
      </c>
      <c r="I97" s="53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4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hidden="1" customHeight="1" x14ac:dyDescent="0.25">
      <c r="A98" s="174" t="s">
        <v>92</v>
      </c>
      <c r="B98" s="126"/>
      <c r="C98" s="127" t="str">
        <f ca="1">(IF($G$53="NA",I96,"All work Completed. OC Received."))</f>
        <v xml:space="preserve">Excavation, Plinth, RCC Slab Completed </v>
      </c>
      <c r="D98" s="127"/>
      <c r="E98" s="127"/>
      <c r="F98" s="127"/>
      <c r="G98" s="127"/>
      <c r="H98" s="175"/>
      <c r="I98" s="53" t="str">
        <f ca="1">IF(I97&lt;&gt;""," Completed","")</f>
        <v xml:space="preserve"> Completed</v>
      </c>
      <c r="J98" s="54" t="str">
        <f ca="1">IF(J96&lt;&gt;"","Completed","")</f>
        <v/>
      </c>
    </row>
    <row r="99" spans="1:10" ht="15.75" hidden="1" customHeight="1" x14ac:dyDescent="0.25">
      <c r="A99" s="80" t="s">
        <v>50</v>
      </c>
      <c r="B99" s="81"/>
      <c r="C99" s="45" t="s">
        <v>147</v>
      </c>
      <c r="D99" s="45" t="s">
        <v>85</v>
      </c>
      <c r="E99" s="81" t="s">
        <v>87</v>
      </c>
      <c r="F99" s="81"/>
      <c r="G99" s="81" t="s">
        <v>86</v>
      </c>
      <c r="H99" s="166"/>
      <c r="I99" s="14" t="s">
        <v>149</v>
      </c>
      <c r="J99" s="29">
        <f ca="1">H97*25%</f>
        <v>5</v>
      </c>
    </row>
    <row r="100" spans="1:10" hidden="1" x14ac:dyDescent="0.25">
      <c r="A100" s="80" t="s">
        <v>136</v>
      </c>
      <c r="B100" s="81"/>
      <c r="C100" s="45">
        <f ca="1">J101</f>
        <v>20</v>
      </c>
      <c r="D100" s="20">
        <f ca="1">((100/H97)*C100)/100</f>
        <v>1</v>
      </c>
      <c r="E100" s="114">
        <f ca="1">(((C101/H97*10)+(40/(D97+F97+H97)*C102)+(7.5/(H97)*C103)+(7.5/(H97)*C104)+(10/H97*C105)+(10/H97*C106)+(5/H97*C107)+(5/H97*C108)+(5/H97*C109))/100)</f>
        <v>0.5</v>
      </c>
      <c r="F100" s="120"/>
      <c r="G100" s="114">
        <f ca="1">((((C100/H97)*20)+((C101/H97)*25)+(30/(H97+F97+D97)*C102)+(5/H97*C103)+(5/H97*C104)+(5/H97*C105)+(5/H97*C106)+(0/H97*C107)+(0/H97*C108)+(5/H97*C109))/100)</f>
        <v>0.75</v>
      </c>
      <c r="H100" s="115"/>
      <c r="I100" s="14" t="s">
        <v>103</v>
      </c>
      <c r="J100" s="30">
        <f ca="1">H97*50%</f>
        <v>10</v>
      </c>
    </row>
    <row r="101" spans="1:10" hidden="1" x14ac:dyDescent="0.25">
      <c r="A101" s="80" t="s">
        <v>51</v>
      </c>
      <c r="B101" s="81"/>
      <c r="C101" s="45">
        <f ca="1">J109</f>
        <v>20</v>
      </c>
      <c r="D101" s="20">
        <f ca="1">((100/H97)*C101)/100</f>
        <v>1</v>
      </c>
      <c r="E101" s="116"/>
      <c r="F101" s="121"/>
      <c r="G101" s="116"/>
      <c r="H101" s="117"/>
      <c r="I101" s="14" t="s">
        <v>104</v>
      </c>
      <c r="J101" s="30">
        <f ca="1">H97</f>
        <v>20</v>
      </c>
    </row>
    <row r="102" spans="1:10" ht="15.75" hidden="1" customHeight="1" x14ac:dyDescent="0.25">
      <c r="A102" s="80" t="s">
        <v>137</v>
      </c>
      <c r="B102" s="81"/>
      <c r="C102" s="45">
        <f ca="1">D97+H97</f>
        <v>21</v>
      </c>
      <c r="D102" s="20">
        <f ca="1">((100/(D97+F97+H97))*C102)/100</f>
        <v>1</v>
      </c>
      <c r="E102" s="116"/>
      <c r="F102" s="121"/>
      <c r="G102" s="116"/>
      <c r="H102" s="117"/>
      <c r="I102" s="14" t="s">
        <v>105</v>
      </c>
      <c r="J102" s="31">
        <f ca="1">(IF(B97&gt;1,(H97/(B97+2)),H97/4))</f>
        <v>5</v>
      </c>
    </row>
    <row r="103" spans="1:10" ht="15.75" hidden="1" customHeight="1" x14ac:dyDescent="0.25">
      <c r="A103" s="80" t="s">
        <v>144</v>
      </c>
      <c r="B103" s="81" t="s">
        <v>138</v>
      </c>
      <c r="C103" s="45">
        <v>0</v>
      </c>
      <c r="D103" s="20">
        <f ca="1">((100/H97)*C103)/100</f>
        <v>0</v>
      </c>
      <c r="E103" s="116"/>
      <c r="F103" s="121"/>
      <c r="G103" s="116"/>
      <c r="H103" s="117"/>
      <c r="I103" s="14" t="s">
        <v>106</v>
      </c>
      <c r="J103" s="31">
        <f ca="1">(IF(B97&gt;1,(H97/(B97+2)+J102),H97/4+J102))</f>
        <v>10</v>
      </c>
    </row>
    <row r="104" spans="1:10" ht="15.75" hidden="1" customHeight="1" x14ac:dyDescent="0.25">
      <c r="A104" s="80" t="s">
        <v>145</v>
      </c>
      <c r="B104" s="81" t="s">
        <v>138</v>
      </c>
      <c r="C104" s="45">
        <v>0</v>
      </c>
      <c r="D104" s="20">
        <f ca="1">((100/H97)*C104)/100</f>
        <v>0</v>
      </c>
      <c r="E104" s="116"/>
      <c r="F104" s="121"/>
      <c r="G104" s="116"/>
      <c r="H104" s="117"/>
      <c r="I104" s="14" t="s">
        <v>156</v>
      </c>
      <c r="J104" s="31">
        <f>(IF(B97&gt;1,(H97/(B97+2)+J103),0))</f>
        <v>0</v>
      </c>
    </row>
    <row r="105" spans="1:10" ht="15" hidden="1" customHeight="1" x14ac:dyDescent="0.25">
      <c r="A105" s="80" t="s">
        <v>143</v>
      </c>
      <c r="B105" s="81" t="s">
        <v>140</v>
      </c>
      <c r="C105" s="45">
        <v>0</v>
      </c>
      <c r="D105" s="20">
        <f ca="1">((100/(H97))*C105)/100</f>
        <v>0</v>
      </c>
      <c r="E105" s="116"/>
      <c r="F105" s="121"/>
      <c r="G105" s="116"/>
      <c r="H105" s="117"/>
      <c r="I105" s="14" t="s">
        <v>151</v>
      </c>
      <c r="J105" s="31">
        <f>(IF(B97&gt;2,(H97/(B97+2)+J104),0))</f>
        <v>0</v>
      </c>
    </row>
    <row r="106" spans="1:10" ht="15.75" hidden="1" customHeight="1" x14ac:dyDescent="0.25">
      <c r="A106" s="80" t="s">
        <v>139</v>
      </c>
      <c r="B106" s="81" t="s">
        <v>139</v>
      </c>
      <c r="C106" s="45">
        <v>0</v>
      </c>
      <c r="D106" s="20">
        <f ca="1">((100/H97)*C106)/100</f>
        <v>0</v>
      </c>
      <c r="E106" s="116"/>
      <c r="F106" s="121"/>
      <c r="G106" s="116"/>
      <c r="H106" s="117"/>
      <c r="I106" s="14" t="s">
        <v>152</v>
      </c>
      <c r="J106" s="32">
        <f>(IF(B97&gt;3,(H97/(B97+2)+J105),0))</f>
        <v>0</v>
      </c>
    </row>
    <row r="107" spans="1:10" ht="15.75" hidden="1" customHeight="1" x14ac:dyDescent="0.25">
      <c r="A107" s="80" t="s">
        <v>146</v>
      </c>
      <c r="B107" s="81"/>
      <c r="C107" s="45">
        <v>0</v>
      </c>
      <c r="D107" s="20">
        <f ca="1">((100/H97)*C107)/100</f>
        <v>0</v>
      </c>
      <c r="E107" s="116"/>
      <c r="F107" s="121"/>
      <c r="G107" s="116"/>
      <c r="H107" s="117"/>
      <c r="I107" s="14" t="s">
        <v>153</v>
      </c>
      <c r="J107" s="31">
        <f>(IF(B97&gt;4,(H97/(B97+2)+J106),0))</f>
        <v>0</v>
      </c>
    </row>
    <row r="108" spans="1:10" ht="15.75" hidden="1" customHeight="1" x14ac:dyDescent="0.25">
      <c r="A108" s="80" t="s">
        <v>141</v>
      </c>
      <c r="B108" s="81" t="s">
        <v>141</v>
      </c>
      <c r="C108" s="45">
        <v>0</v>
      </c>
      <c r="D108" s="20">
        <f ca="1">((100/(H97))*C108)/100</f>
        <v>0</v>
      </c>
      <c r="E108" s="116"/>
      <c r="F108" s="121"/>
      <c r="G108" s="116"/>
      <c r="H108" s="117"/>
      <c r="I108" s="14" t="s">
        <v>157</v>
      </c>
      <c r="J108" s="31">
        <f ca="1">(IF(B97=1,(H97/(B97+3)+J103),IF(B97=0,(H97/4+J103),IF(B97&gt;1,0))))</f>
        <v>15</v>
      </c>
    </row>
    <row r="109" spans="1:10" ht="16.5" hidden="1" thickBot="1" x14ac:dyDescent="0.3">
      <c r="A109" s="123" t="s">
        <v>142</v>
      </c>
      <c r="B109" s="124"/>
      <c r="C109" s="46">
        <v>0</v>
      </c>
      <c r="D109" s="21">
        <f ca="1">((100/(H97))*C109)/100</f>
        <v>0</v>
      </c>
      <c r="E109" s="118"/>
      <c r="F109" s="122"/>
      <c r="G109" s="118"/>
      <c r="H109" s="119"/>
      <c r="I109" s="16" t="s">
        <v>107</v>
      </c>
      <c r="J109" s="33">
        <f ca="1">(IF(B97&gt;1.5,(H97/(B97+2)+J103+MAX(0,J104-J103)+MAX(0,J105-J104)+MAX(0,J106-J105)+MAX(0,J107-J106)+MAX(0,J108-J107)),IF(B97=1,(H97/(B97+3)+J108),IF(B97=0,H97/4+J108))))</f>
        <v>20</v>
      </c>
    </row>
    <row r="110" spans="1:10" x14ac:dyDescent="0.25">
      <c r="A110" s="176" t="s">
        <v>169</v>
      </c>
      <c r="B110" s="176"/>
      <c r="C110" s="176"/>
      <c r="D110" s="176"/>
      <c r="E110" s="176"/>
      <c r="F110" s="165" t="s">
        <v>174</v>
      </c>
      <c r="G110" s="165"/>
      <c r="H110" s="165"/>
    </row>
    <row r="111" spans="1:10" x14ac:dyDescent="0.25">
      <c r="A111" s="66" t="s">
        <v>172</v>
      </c>
      <c r="B111" s="66"/>
      <c r="C111" s="66"/>
      <c r="D111" s="66"/>
      <c r="E111" s="66"/>
      <c r="F111" s="82">
        <v>15500</v>
      </c>
      <c r="G111" s="82"/>
      <c r="H111" s="82"/>
      <c r="I111" s="56" t="s">
        <v>199</v>
      </c>
      <c r="J111" s="56"/>
    </row>
    <row r="112" spans="1:10" hidden="1" x14ac:dyDescent="0.25">
      <c r="A112" s="66" t="s">
        <v>171</v>
      </c>
      <c r="B112" s="66"/>
      <c r="C112" s="66"/>
      <c r="D112" s="66"/>
      <c r="E112" s="66"/>
      <c r="F112" s="82"/>
      <c r="G112" s="82"/>
      <c r="H112" s="82"/>
    </row>
    <row r="113" spans="1:8" hidden="1" x14ac:dyDescent="0.25">
      <c r="A113" s="66" t="s">
        <v>173</v>
      </c>
      <c r="B113" s="66"/>
      <c r="C113" s="66"/>
      <c r="D113" s="66"/>
      <c r="E113" s="66"/>
      <c r="F113" s="82"/>
      <c r="G113" s="82"/>
      <c r="H113" s="82"/>
    </row>
    <row r="114" spans="1:8" s="34" customFormat="1" hidden="1" x14ac:dyDescent="0.25">
      <c r="A114" s="66" t="s">
        <v>170</v>
      </c>
      <c r="B114" s="66"/>
      <c r="C114" s="66"/>
      <c r="D114" s="66"/>
      <c r="E114" s="66"/>
      <c r="F114" s="82"/>
      <c r="G114" s="82"/>
      <c r="H114" s="82"/>
    </row>
    <row r="115" spans="1:8" s="34" customFormat="1" hidden="1" x14ac:dyDescent="0.25">
      <c r="A115" s="66" t="s">
        <v>97</v>
      </c>
      <c r="B115" s="66"/>
      <c r="C115" s="66"/>
      <c r="D115" s="66"/>
      <c r="E115" s="66"/>
      <c r="F115" s="82"/>
      <c r="G115" s="82"/>
      <c r="H115" s="82"/>
    </row>
    <row r="116" spans="1:8" s="34" customFormat="1" hidden="1" x14ac:dyDescent="0.25">
      <c r="A116" s="66" t="s">
        <v>98</v>
      </c>
      <c r="B116" s="66"/>
      <c r="C116" s="66"/>
      <c r="D116" s="66"/>
      <c r="E116" s="66"/>
      <c r="F116" s="82"/>
      <c r="G116" s="82"/>
      <c r="H116" s="82"/>
    </row>
    <row r="117" spans="1:8" s="34" customFormat="1" hidden="1" x14ac:dyDescent="0.25">
      <c r="A117" s="66" t="s">
        <v>175</v>
      </c>
      <c r="B117" s="66"/>
      <c r="C117" s="66"/>
      <c r="D117" s="66"/>
      <c r="E117" s="66"/>
      <c r="F117" s="82"/>
      <c r="G117" s="82"/>
      <c r="H117" s="82"/>
    </row>
    <row r="118" spans="1:8" s="34" customFormat="1" hidden="1" x14ac:dyDescent="0.25">
      <c r="A118" s="66" t="s">
        <v>99</v>
      </c>
      <c r="B118" s="66"/>
      <c r="C118" s="66"/>
      <c r="D118" s="66"/>
      <c r="E118" s="66"/>
      <c r="F118" s="82"/>
      <c r="G118" s="82"/>
      <c r="H118" s="82"/>
    </row>
    <row r="119" spans="1:8" s="34" customFormat="1" hidden="1" x14ac:dyDescent="0.25">
      <c r="A119" s="66" t="s">
        <v>100</v>
      </c>
      <c r="B119" s="66"/>
      <c r="C119" s="66"/>
      <c r="D119" s="66"/>
      <c r="E119" s="66"/>
      <c r="F119" s="82"/>
      <c r="G119" s="82"/>
      <c r="H119" s="82"/>
    </row>
    <row r="120" spans="1:8" s="34" customFormat="1" hidden="1" x14ac:dyDescent="0.25">
      <c r="A120" s="66" t="s">
        <v>101</v>
      </c>
      <c r="B120" s="66"/>
      <c r="C120" s="66"/>
      <c r="D120" s="66"/>
      <c r="E120" s="66"/>
      <c r="F120" s="82"/>
      <c r="G120" s="82"/>
      <c r="H120" s="82"/>
    </row>
    <row r="121" spans="1:8" s="34" customFormat="1" hidden="1" x14ac:dyDescent="0.25">
      <c r="A121" s="66" t="s">
        <v>102</v>
      </c>
      <c r="B121" s="66"/>
      <c r="C121" s="66"/>
      <c r="D121" s="66"/>
      <c r="E121" s="66"/>
      <c r="F121" s="82"/>
      <c r="G121" s="82"/>
      <c r="H121" s="82"/>
    </row>
    <row r="122" spans="1:8" x14ac:dyDescent="0.25">
      <c r="A122" s="66" t="s">
        <v>52</v>
      </c>
      <c r="B122" s="66"/>
      <c r="C122" s="66"/>
      <c r="D122" s="66"/>
      <c r="E122" s="66"/>
      <c r="F122" s="82">
        <v>600000</v>
      </c>
      <c r="G122" s="82"/>
      <c r="H122" s="82"/>
    </row>
    <row r="123" spans="1:8" s="35" customFormat="1" x14ac:dyDescent="0.25">
      <c r="A123" s="149" t="s">
        <v>53</v>
      </c>
      <c r="B123" s="149"/>
      <c r="C123" s="149"/>
      <c r="D123" s="149"/>
      <c r="E123" s="149"/>
      <c r="F123" s="82">
        <f>F111*0.8</f>
        <v>12400</v>
      </c>
      <c r="G123" s="82"/>
      <c r="H123" s="82"/>
    </row>
    <row r="124" spans="1:8" s="36" customFormat="1" ht="15.75" hidden="1" customHeight="1" x14ac:dyDescent="0.25">
      <c r="A124" s="148" t="s">
        <v>77</v>
      </c>
      <c r="B124" s="148"/>
      <c r="C124" s="148"/>
      <c r="D124" s="148"/>
      <c r="E124" s="148"/>
      <c r="F124" s="148"/>
      <c r="G124" s="148"/>
      <c r="H124" s="148"/>
    </row>
    <row r="125" spans="1:8" s="36" customFormat="1" ht="15.75" hidden="1" customHeight="1" x14ac:dyDescent="0.25">
      <c r="A125" s="71" t="s">
        <v>54</v>
      </c>
      <c r="B125" s="71"/>
      <c r="C125" s="84" t="s">
        <v>80</v>
      </c>
      <c r="D125" s="84"/>
      <c r="E125" s="86" t="s">
        <v>55</v>
      </c>
      <c r="F125" s="86"/>
      <c r="G125" s="71" t="s">
        <v>56</v>
      </c>
      <c r="H125" s="71"/>
    </row>
    <row r="126" spans="1:8" s="36" customFormat="1" hidden="1" x14ac:dyDescent="0.25">
      <c r="A126" s="150"/>
      <c r="B126" s="150"/>
      <c r="C126" s="163"/>
      <c r="D126" s="163"/>
      <c r="E126" s="169"/>
      <c r="F126" s="169"/>
      <c r="G126" s="83"/>
      <c r="H126" s="83"/>
    </row>
    <row r="127" spans="1:8" s="36" customFormat="1" hidden="1" x14ac:dyDescent="0.25">
      <c r="A127" s="150"/>
      <c r="B127" s="150"/>
      <c r="C127" s="163"/>
      <c r="D127" s="163"/>
      <c r="E127" s="169"/>
      <c r="F127" s="169"/>
      <c r="G127" s="83"/>
      <c r="H127" s="83"/>
    </row>
    <row r="128" spans="1:8" s="36" customFormat="1" hidden="1" x14ac:dyDescent="0.25">
      <c r="A128" s="148" t="s">
        <v>163</v>
      </c>
      <c r="B128" s="148"/>
      <c r="C128" s="84"/>
      <c r="D128" s="84"/>
      <c r="E128" s="86"/>
      <c r="F128" s="86"/>
      <c r="G128" s="71"/>
      <c r="H128" s="71"/>
    </row>
    <row r="129" spans="1:14" s="36" customFormat="1" x14ac:dyDescent="0.25">
      <c r="A129" s="148" t="s">
        <v>217</v>
      </c>
      <c r="B129" s="148"/>
      <c r="C129" s="148"/>
      <c r="D129" s="148"/>
      <c r="E129" s="148"/>
      <c r="F129" s="148"/>
      <c r="G129" s="148"/>
      <c r="H129" s="148"/>
    </row>
    <row r="130" spans="1:14" s="36" customFormat="1" ht="15.75" customHeight="1" x14ac:dyDescent="0.25">
      <c r="A130" s="71" t="s">
        <v>54</v>
      </c>
      <c r="B130" s="71"/>
      <c r="C130" s="84" t="s">
        <v>80</v>
      </c>
      <c r="D130" s="84"/>
      <c r="E130" s="86" t="s">
        <v>55</v>
      </c>
      <c r="F130" s="86"/>
      <c r="G130" s="71" t="s">
        <v>56</v>
      </c>
      <c r="H130" s="71"/>
    </row>
    <row r="131" spans="1:14" s="36" customFormat="1" x14ac:dyDescent="0.25">
      <c r="A131" s="150" t="s">
        <v>210</v>
      </c>
      <c r="B131" s="150"/>
      <c r="C131" s="163">
        <f>COUNT(D151:D161)*5+COUNT(D163:D173)*7+COUNT(D175:D178,D183:D185)+COUNT(D191:D196)</f>
        <v>145</v>
      </c>
      <c r="D131" s="163"/>
      <c r="E131" s="164">
        <f>SUM(D151:D161)*5+SUM(D163:D173)*7+SUM(D175:D178,D183:D185)+SUM(D191:D196)</f>
        <v>54810.559252799998</v>
      </c>
      <c r="F131" s="164"/>
      <c r="G131" s="164">
        <f>SUM(F151:F161)*5+SUM(F163:F173)*7+SUM(F175:F178,F183:F185)+SUM(F191:F196)</f>
        <v>84956.366841840019</v>
      </c>
      <c r="H131" s="164"/>
    </row>
    <row r="132" spans="1:14" s="36" customFormat="1" hidden="1" x14ac:dyDescent="0.25">
      <c r="A132" s="150"/>
      <c r="B132" s="150"/>
      <c r="C132" s="163"/>
      <c r="D132" s="163"/>
      <c r="E132" s="169"/>
      <c r="F132" s="169"/>
      <c r="G132" s="83"/>
      <c r="H132" s="83"/>
    </row>
    <row r="133" spans="1:14" s="36" customFormat="1" hidden="1" x14ac:dyDescent="0.25">
      <c r="A133" s="148" t="s">
        <v>163</v>
      </c>
      <c r="B133" s="148"/>
      <c r="C133" s="84"/>
      <c r="D133" s="84"/>
      <c r="E133" s="86"/>
      <c r="F133" s="86"/>
      <c r="G133" s="71"/>
      <c r="H133" s="71"/>
    </row>
    <row r="134" spans="1:14" s="35" customFormat="1" x14ac:dyDescent="0.25">
      <c r="A134" s="142"/>
      <c r="B134" s="142"/>
      <c r="C134" s="142"/>
      <c r="D134" s="142"/>
      <c r="E134" s="142"/>
      <c r="F134" s="142"/>
      <c r="G134" s="142"/>
      <c r="H134" s="142"/>
    </row>
    <row r="135" spans="1:14" s="35" customFormat="1" x14ac:dyDescent="0.25">
      <c r="A135" s="142" t="s">
        <v>57</v>
      </c>
      <c r="B135" s="142"/>
      <c r="C135" s="142"/>
      <c r="D135" s="142"/>
      <c r="E135" s="142"/>
      <c r="F135" s="142"/>
      <c r="G135" s="142"/>
      <c r="H135" s="142"/>
    </row>
    <row r="136" spans="1:14" x14ac:dyDescent="0.25">
      <c r="A136" s="142" t="s">
        <v>58</v>
      </c>
      <c r="B136" s="142"/>
      <c r="C136" s="142"/>
      <c r="D136" s="142"/>
      <c r="E136" s="142"/>
      <c r="F136" s="142"/>
      <c r="G136" s="142"/>
      <c r="H136" s="142"/>
    </row>
    <row r="137" spans="1:14" ht="47.25" hidden="1" customHeight="1" x14ac:dyDescent="0.25">
      <c r="A137" s="72" t="s">
        <v>125</v>
      </c>
      <c r="B137" s="72" t="s">
        <v>124</v>
      </c>
      <c r="C137" s="72" t="s">
        <v>59</v>
      </c>
      <c r="D137" s="72" t="s">
        <v>60</v>
      </c>
      <c r="E137" s="74" t="s">
        <v>168</v>
      </c>
      <c r="F137" s="44" t="s">
        <v>161</v>
      </c>
      <c r="G137" s="76" t="s">
        <v>62</v>
      </c>
      <c r="H137" s="77"/>
    </row>
    <row r="138" spans="1:14" s="38" customFormat="1" hidden="1" x14ac:dyDescent="0.25">
      <c r="A138" s="73"/>
      <c r="B138" s="73"/>
      <c r="C138" s="73"/>
      <c r="D138" s="73"/>
      <c r="E138" s="75"/>
      <c r="F138" s="13">
        <v>0.6</v>
      </c>
      <c r="G138" s="78"/>
      <c r="H138" s="79"/>
    </row>
    <row r="139" spans="1:14" s="38" customFormat="1" hidden="1" x14ac:dyDescent="0.25">
      <c r="A139" s="108" t="s">
        <v>122</v>
      </c>
      <c r="B139" s="109"/>
      <c r="C139" s="109"/>
      <c r="D139" s="109"/>
      <c r="E139" s="109"/>
      <c r="F139" s="109"/>
      <c r="G139" s="109"/>
      <c r="H139" s="110"/>
      <c r="J139" s="37"/>
    </row>
    <row r="140" spans="1:14" s="38" customFormat="1" hidden="1" x14ac:dyDescent="0.25">
      <c r="A140" s="68">
        <v>1</v>
      </c>
      <c r="B140" s="69"/>
      <c r="C140" s="43"/>
      <c r="D140" s="43"/>
      <c r="E140" s="43">
        <v>0</v>
      </c>
      <c r="F140" s="43">
        <f>(D140+E140)*(($F$138)+1)</f>
        <v>0</v>
      </c>
      <c r="G140" s="68" t="str">
        <f>A139</f>
        <v>Ground Floor</v>
      </c>
      <c r="H140" s="69"/>
      <c r="I140" s="37"/>
      <c r="L140" s="167"/>
      <c r="M140" s="167"/>
      <c r="N140" s="37"/>
    </row>
    <row r="141" spans="1:14" s="38" customFormat="1" hidden="1" x14ac:dyDescent="0.25">
      <c r="A141" s="68">
        <f t="shared" ref="A141:A143" si="0">A140+1</f>
        <v>2</v>
      </c>
      <c r="B141" s="69"/>
      <c r="C141" s="43"/>
      <c r="D141" s="43"/>
      <c r="E141" s="43">
        <v>0</v>
      </c>
      <c r="F141" s="43">
        <f t="shared" ref="F141:F143" si="1">(D141+E141)*(($F$138)+1)</f>
        <v>0</v>
      </c>
      <c r="G141" s="68" t="str">
        <f t="shared" ref="G141:G143" si="2">G140</f>
        <v>Ground Floor</v>
      </c>
      <c r="H141" s="69"/>
      <c r="I141" s="37"/>
      <c r="L141" s="167"/>
      <c r="M141" s="167"/>
      <c r="N141" s="37"/>
    </row>
    <row r="142" spans="1:14" s="38" customFormat="1" hidden="1" x14ac:dyDescent="0.25">
      <c r="A142" s="68">
        <f t="shared" si="0"/>
        <v>3</v>
      </c>
      <c r="B142" s="69"/>
      <c r="C142" s="43"/>
      <c r="D142" s="43"/>
      <c r="E142" s="43">
        <v>0</v>
      </c>
      <c r="F142" s="43">
        <f t="shared" si="1"/>
        <v>0</v>
      </c>
      <c r="G142" s="68" t="str">
        <f t="shared" si="2"/>
        <v>Ground Floor</v>
      </c>
      <c r="H142" s="69"/>
      <c r="I142" s="37"/>
      <c r="L142" s="167"/>
      <c r="M142" s="167"/>
      <c r="N142" s="37"/>
    </row>
    <row r="143" spans="1:14" s="38" customFormat="1" hidden="1" x14ac:dyDescent="0.25">
      <c r="A143" s="68">
        <f t="shared" si="0"/>
        <v>4</v>
      </c>
      <c r="B143" s="69"/>
      <c r="C143" s="43"/>
      <c r="D143" s="43"/>
      <c r="E143" s="43">
        <v>0</v>
      </c>
      <c r="F143" s="43">
        <f t="shared" si="1"/>
        <v>0</v>
      </c>
      <c r="G143" s="68" t="str">
        <f t="shared" si="2"/>
        <v>Ground Floor</v>
      </c>
      <c r="H143" s="69"/>
      <c r="I143" s="37"/>
      <c r="L143" s="167"/>
      <c r="M143" s="167"/>
      <c r="N143" s="37"/>
    </row>
    <row r="144" spans="1:14" s="38" customFormat="1" hidden="1" x14ac:dyDescent="0.25">
      <c r="A144" s="68"/>
      <c r="B144" s="168"/>
      <c r="C144" s="168"/>
      <c r="D144" s="168"/>
      <c r="E144" s="168"/>
      <c r="F144" s="168"/>
      <c r="G144" s="168"/>
      <c r="H144" s="69"/>
      <c r="I144" s="37"/>
      <c r="N144" s="37"/>
    </row>
    <row r="145" spans="1:14" ht="47.25" customHeight="1" x14ac:dyDescent="0.25">
      <c r="A145" s="76" t="s">
        <v>126</v>
      </c>
      <c r="B145" s="76" t="s">
        <v>127</v>
      </c>
      <c r="C145" s="72" t="s">
        <v>59</v>
      </c>
      <c r="D145" s="72" t="s">
        <v>60</v>
      </c>
      <c r="E145" s="74" t="s">
        <v>61</v>
      </c>
      <c r="F145" s="44" t="s">
        <v>161</v>
      </c>
      <c r="G145" s="76" t="s">
        <v>62</v>
      </c>
      <c r="H145" s="77"/>
      <c r="I145" s="37"/>
      <c r="K145" s="22">
        <f>350*1.55</f>
        <v>542.5</v>
      </c>
    </row>
    <row r="146" spans="1:14" s="38" customFormat="1" x14ac:dyDescent="0.25">
      <c r="A146" s="78"/>
      <c r="B146" s="78"/>
      <c r="C146" s="73"/>
      <c r="D146" s="73"/>
      <c r="E146" s="75"/>
      <c r="F146" s="13">
        <v>0.55000000000000004</v>
      </c>
      <c r="G146" s="78"/>
      <c r="H146" s="79"/>
      <c r="I146" s="37"/>
      <c r="K146" s="38">
        <f>8003100/K145</f>
        <v>14752.258064516129</v>
      </c>
    </row>
    <row r="147" spans="1:14" s="38" customFormat="1" ht="17.25" customHeight="1" x14ac:dyDescent="0.25">
      <c r="A147" s="108" t="s">
        <v>210</v>
      </c>
      <c r="B147" s="109"/>
      <c r="C147" s="109"/>
      <c r="D147" s="109"/>
      <c r="E147" s="109"/>
      <c r="F147" s="109"/>
      <c r="G147" s="109"/>
      <c r="H147" s="110"/>
      <c r="J147" s="61">
        <f>10.764</f>
        <v>10.763999999999999</v>
      </c>
    </row>
    <row r="148" spans="1:14" s="38" customFormat="1" ht="17.25" customHeight="1" x14ac:dyDescent="0.25">
      <c r="A148" s="111" t="s">
        <v>225</v>
      </c>
      <c r="B148" s="112"/>
      <c r="C148" s="112"/>
      <c r="D148" s="112"/>
      <c r="E148" s="112"/>
      <c r="F148" s="112"/>
      <c r="G148" s="112"/>
      <c r="H148" s="113"/>
      <c r="J148" s="37"/>
    </row>
    <row r="149" spans="1:14" s="38" customFormat="1" ht="17.25" customHeight="1" x14ac:dyDescent="0.25">
      <c r="A149" s="111" t="s">
        <v>218</v>
      </c>
      <c r="B149" s="112"/>
      <c r="C149" s="112"/>
      <c r="D149" s="112"/>
      <c r="E149" s="112"/>
      <c r="F149" s="112"/>
      <c r="G149" s="112"/>
      <c r="H149" s="113"/>
      <c r="J149" s="37"/>
    </row>
    <row r="150" spans="1:14" s="38" customFormat="1" ht="17.25" customHeight="1" x14ac:dyDescent="0.25">
      <c r="A150" s="85" t="s">
        <v>211</v>
      </c>
      <c r="B150" s="85"/>
      <c r="C150" s="85"/>
      <c r="D150" s="85"/>
      <c r="E150" s="85"/>
      <c r="F150" s="85"/>
      <c r="G150" s="85"/>
      <c r="H150" s="85"/>
      <c r="J150" s="37">
        <f>3.04*6.37+2.31*2.15+2.81*3.69+3.61*2.9+1.88*1.21+1.21*2.58+2.5*0.9</f>
        <v>52.815799999999996</v>
      </c>
    </row>
    <row r="151" spans="1:14" s="38" customFormat="1" ht="15.75" customHeight="1" x14ac:dyDescent="0.25">
      <c r="A151" s="70">
        <v>1</v>
      </c>
      <c r="B151" s="70"/>
      <c r="C151" s="60">
        <v>2</v>
      </c>
      <c r="D151" s="61">
        <f>(54.83+2.77*0.94)*(10.764)</f>
        <v>618.21742319999998</v>
      </c>
      <c r="E151" s="43">
        <v>0</v>
      </c>
      <c r="F151" s="43">
        <f t="shared" ref="F151:F161" si="3">D151*(($F$146)+1)+(IF(E151&lt;101,E151,IF(E151&lt;201,E151/2,IF(E151&lt;=301,E151/3,E151/4))))</f>
        <v>958.23700596000003</v>
      </c>
      <c r="G151" s="70" t="str">
        <f>A150</f>
        <v>1st to 5th Floor For Residential</v>
      </c>
      <c r="H151" s="70"/>
      <c r="I151" s="37"/>
      <c r="L151" s="167"/>
      <c r="M151" s="167"/>
      <c r="N151" s="37"/>
    </row>
    <row r="152" spans="1:14" s="38" customFormat="1" ht="15.75" customHeight="1" x14ac:dyDescent="0.25">
      <c r="A152" s="70">
        <f t="shared" ref="A152:A161" si="4">A151+1</f>
        <v>2</v>
      </c>
      <c r="B152" s="70"/>
      <c r="C152" s="60">
        <v>2</v>
      </c>
      <c r="D152" s="61">
        <f>(54.8+2.77*0.94)*(10.764)</f>
        <v>617.89450319999992</v>
      </c>
      <c r="E152" s="43">
        <v>0</v>
      </c>
      <c r="F152" s="43">
        <f t="shared" si="3"/>
        <v>957.73647995999988</v>
      </c>
      <c r="G152" s="70"/>
      <c r="H152" s="70"/>
      <c r="I152" s="37"/>
      <c r="L152" s="167"/>
      <c r="M152" s="167"/>
      <c r="N152" s="37"/>
    </row>
    <row r="153" spans="1:14" s="38" customFormat="1" ht="15.75" customHeight="1" x14ac:dyDescent="0.25">
      <c r="A153" s="70">
        <f t="shared" si="4"/>
        <v>3</v>
      </c>
      <c r="B153" s="70"/>
      <c r="C153" s="60">
        <v>1</v>
      </c>
      <c r="D153" s="61">
        <f>(32.62)*(10.764)</f>
        <v>351.12167999999997</v>
      </c>
      <c r="E153" s="43">
        <v>0</v>
      </c>
      <c r="F153" s="43">
        <f t="shared" si="3"/>
        <v>544.23860400000001</v>
      </c>
      <c r="G153" s="70"/>
      <c r="H153" s="70"/>
      <c r="I153" s="37"/>
      <c r="L153" s="167"/>
      <c r="M153" s="167"/>
      <c r="N153" s="37"/>
    </row>
    <row r="154" spans="1:14" s="38" customFormat="1" ht="15.75" customHeight="1" x14ac:dyDescent="0.25">
      <c r="A154" s="70">
        <f t="shared" si="4"/>
        <v>4</v>
      </c>
      <c r="B154" s="70"/>
      <c r="C154" s="60">
        <v>1</v>
      </c>
      <c r="D154" s="61">
        <f>(32.62)*(10.764)</f>
        <v>351.12167999999997</v>
      </c>
      <c r="E154" s="43">
        <v>0</v>
      </c>
      <c r="F154" s="43">
        <f t="shared" si="3"/>
        <v>544.23860400000001</v>
      </c>
      <c r="G154" s="70"/>
      <c r="H154" s="70"/>
      <c r="I154" s="37"/>
      <c r="L154" s="167"/>
      <c r="M154" s="167"/>
      <c r="N154" s="37"/>
    </row>
    <row r="155" spans="1:14" s="38" customFormat="1" ht="15.75" customHeight="1" x14ac:dyDescent="0.25">
      <c r="A155" s="70">
        <f t="shared" si="4"/>
        <v>5</v>
      </c>
      <c r="B155" s="70"/>
      <c r="C155" s="60">
        <v>1</v>
      </c>
      <c r="D155" s="61">
        <f>(33.29)*(10.764)</f>
        <v>358.33355999999998</v>
      </c>
      <c r="E155" s="43">
        <v>0</v>
      </c>
      <c r="F155" s="43">
        <f t="shared" si="3"/>
        <v>555.41701799999998</v>
      </c>
      <c r="G155" s="70"/>
      <c r="H155" s="70"/>
      <c r="I155" s="37"/>
      <c r="L155" s="167"/>
      <c r="M155" s="167"/>
      <c r="N155" s="37"/>
    </row>
    <row r="156" spans="1:14" s="38" customFormat="1" ht="15.75" customHeight="1" x14ac:dyDescent="0.25">
      <c r="A156" s="70">
        <f t="shared" si="4"/>
        <v>6</v>
      </c>
      <c r="B156" s="70"/>
      <c r="C156" s="60">
        <v>1</v>
      </c>
      <c r="D156" s="61">
        <f>(28.05)*(10.764)</f>
        <v>301.93020000000001</v>
      </c>
      <c r="E156" s="43">
        <v>0</v>
      </c>
      <c r="F156" s="43">
        <f t="shared" si="3"/>
        <v>467.99181000000004</v>
      </c>
      <c r="G156" s="70"/>
      <c r="H156" s="70"/>
      <c r="I156" s="37"/>
      <c r="J156" s="38">
        <f>3.85*2.74+2*1.7+2.61*2.74+1.87*1.09+1.1*1.65+1.7</f>
        <v>26.653700000000001</v>
      </c>
      <c r="L156" s="167"/>
      <c r="M156" s="167"/>
      <c r="N156" s="37"/>
    </row>
    <row r="157" spans="1:14" s="38" customFormat="1" ht="15.75" customHeight="1" x14ac:dyDescent="0.25">
      <c r="A157" s="70">
        <f t="shared" si="4"/>
        <v>7</v>
      </c>
      <c r="B157" s="70"/>
      <c r="C157" s="60">
        <v>1</v>
      </c>
      <c r="D157" s="61">
        <f>(31.04)*(10.764)</f>
        <v>334.11455999999998</v>
      </c>
      <c r="E157" s="43">
        <v>0</v>
      </c>
      <c r="F157" s="43">
        <f t="shared" si="3"/>
        <v>517.877568</v>
      </c>
      <c r="G157" s="70"/>
      <c r="H157" s="70"/>
      <c r="I157" s="37"/>
      <c r="L157" s="167"/>
      <c r="M157" s="167"/>
      <c r="N157" s="37"/>
    </row>
    <row r="158" spans="1:14" s="38" customFormat="1" ht="15.75" customHeight="1" x14ac:dyDescent="0.25">
      <c r="A158" s="70">
        <f t="shared" si="4"/>
        <v>8</v>
      </c>
      <c r="B158" s="70"/>
      <c r="C158" s="60">
        <v>0</v>
      </c>
      <c r="D158" s="61">
        <f>(21.61)*(10.764)</f>
        <v>232.61003999999997</v>
      </c>
      <c r="E158" s="43">
        <v>0</v>
      </c>
      <c r="F158" s="43">
        <f t="shared" si="3"/>
        <v>360.54556199999996</v>
      </c>
      <c r="G158" s="70"/>
      <c r="H158" s="70"/>
      <c r="I158" s="37"/>
      <c r="L158" s="167"/>
      <c r="M158" s="167"/>
      <c r="N158" s="37"/>
    </row>
    <row r="159" spans="1:14" s="38" customFormat="1" ht="15.75" customHeight="1" x14ac:dyDescent="0.25">
      <c r="A159" s="70">
        <f t="shared" si="4"/>
        <v>9</v>
      </c>
      <c r="B159" s="70"/>
      <c r="C159" s="60">
        <v>0</v>
      </c>
      <c r="D159" s="61">
        <f>(20.86)*(10.764)</f>
        <v>224.53703999999999</v>
      </c>
      <c r="E159" s="43">
        <v>0</v>
      </c>
      <c r="F159" s="43">
        <f t="shared" si="3"/>
        <v>348.03241200000002</v>
      </c>
      <c r="G159" s="70"/>
      <c r="H159" s="70"/>
      <c r="I159" s="37"/>
      <c r="L159" s="167"/>
      <c r="M159" s="167"/>
      <c r="N159" s="37"/>
    </row>
    <row r="160" spans="1:14" s="38" customFormat="1" ht="15.75" customHeight="1" x14ac:dyDescent="0.25">
      <c r="A160" s="70">
        <f t="shared" si="4"/>
        <v>10</v>
      </c>
      <c r="B160" s="70"/>
      <c r="C160" s="60">
        <v>1</v>
      </c>
      <c r="D160" s="61">
        <f>(32.62)*(10.764)</f>
        <v>351.12167999999997</v>
      </c>
      <c r="E160" s="43">
        <v>0</v>
      </c>
      <c r="F160" s="43">
        <f t="shared" si="3"/>
        <v>544.23860400000001</v>
      </c>
      <c r="G160" s="70"/>
      <c r="H160" s="70"/>
      <c r="I160" s="37"/>
      <c r="L160" s="167"/>
      <c r="M160" s="167"/>
      <c r="N160" s="37"/>
    </row>
    <row r="161" spans="1:14" s="38" customFormat="1" ht="15.75" customHeight="1" x14ac:dyDescent="0.25">
      <c r="A161" s="70">
        <f t="shared" si="4"/>
        <v>11</v>
      </c>
      <c r="B161" s="70"/>
      <c r="C161" s="60">
        <v>1</v>
      </c>
      <c r="D161" s="61">
        <f>(32.62)*(10.764)</f>
        <v>351.12167999999997</v>
      </c>
      <c r="E161" s="43">
        <v>0</v>
      </c>
      <c r="F161" s="43">
        <f t="shared" si="3"/>
        <v>544.23860400000001</v>
      </c>
      <c r="G161" s="70"/>
      <c r="H161" s="70"/>
      <c r="I161" s="37"/>
      <c r="L161" s="167"/>
      <c r="M161" s="167"/>
      <c r="N161" s="37"/>
    </row>
    <row r="162" spans="1:14" s="38" customFormat="1" ht="19.5" customHeight="1" x14ac:dyDescent="0.25">
      <c r="A162" s="108" t="s">
        <v>212</v>
      </c>
      <c r="B162" s="109"/>
      <c r="C162" s="109"/>
      <c r="D162" s="109"/>
      <c r="E162" s="109"/>
      <c r="F162" s="109"/>
      <c r="G162" s="109"/>
      <c r="H162" s="110"/>
      <c r="J162" s="37"/>
    </row>
    <row r="163" spans="1:14" s="38" customFormat="1" ht="15.75" customHeight="1" x14ac:dyDescent="0.25">
      <c r="A163" s="68">
        <v>1</v>
      </c>
      <c r="B163" s="69"/>
      <c r="C163" s="60">
        <v>2</v>
      </c>
      <c r="D163" s="61">
        <f>(54.83+2.77*0.94)*(10.764)</f>
        <v>618.21742319999998</v>
      </c>
      <c r="E163" s="43">
        <v>0</v>
      </c>
      <c r="F163" s="43">
        <f t="shared" ref="F163:F173" si="5">D163*(($F$146)+1)+(IF(E163&lt;101,E163,IF(E163&lt;201,E163/2,IF(E163&lt;=301,E163/3,E163/4))))</f>
        <v>958.23700596000003</v>
      </c>
      <c r="G163" s="186" t="str">
        <f>A162</f>
        <v>6th &amp; 7th, 9th to 13th Floor</v>
      </c>
      <c r="H163" s="187"/>
      <c r="I163" s="37"/>
      <c r="L163" s="167"/>
      <c r="M163" s="167"/>
      <c r="N163" s="37"/>
    </row>
    <row r="164" spans="1:14" s="38" customFormat="1" ht="15.75" customHeight="1" x14ac:dyDescent="0.25">
      <c r="A164" s="68">
        <f t="shared" ref="A164:A173" si="6">A163+1</f>
        <v>2</v>
      </c>
      <c r="B164" s="69"/>
      <c r="C164" s="60">
        <v>2</v>
      </c>
      <c r="D164" s="61">
        <f>(54.8+2.77*0.94)*(10.764)</f>
        <v>617.89450319999992</v>
      </c>
      <c r="E164" s="43">
        <v>0</v>
      </c>
      <c r="F164" s="43">
        <f t="shared" si="5"/>
        <v>957.73647995999988</v>
      </c>
      <c r="G164" s="188"/>
      <c r="H164" s="189"/>
      <c r="I164" s="37"/>
      <c r="L164" s="167"/>
      <c r="M164" s="167"/>
      <c r="N164" s="37"/>
    </row>
    <row r="165" spans="1:14" s="38" customFormat="1" ht="15.75" customHeight="1" x14ac:dyDescent="0.25">
      <c r="A165" s="68">
        <f t="shared" si="6"/>
        <v>3</v>
      </c>
      <c r="B165" s="69"/>
      <c r="C165" s="60">
        <v>1</v>
      </c>
      <c r="D165" s="61">
        <f>(32.9+2.69*0.77)*(10.764)</f>
        <v>376.43107319999996</v>
      </c>
      <c r="E165" s="43">
        <v>0</v>
      </c>
      <c r="F165" s="43">
        <f t="shared" si="5"/>
        <v>583.46816345999991</v>
      </c>
      <c r="G165" s="188"/>
      <c r="H165" s="189"/>
      <c r="I165" s="37"/>
      <c r="L165" s="167"/>
      <c r="M165" s="167"/>
      <c r="N165" s="37"/>
    </row>
    <row r="166" spans="1:14" s="38" customFormat="1" ht="15.75" customHeight="1" x14ac:dyDescent="0.25">
      <c r="A166" s="68">
        <f t="shared" si="6"/>
        <v>4</v>
      </c>
      <c r="B166" s="69"/>
      <c r="C166" s="60">
        <v>1</v>
      </c>
      <c r="D166" s="61">
        <f>(32.9+2.84*0.77)*(10.764)</f>
        <v>377.67431519999997</v>
      </c>
      <c r="E166" s="43">
        <v>0</v>
      </c>
      <c r="F166" s="43">
        <f t="shared" si="5"/>
        <v>585.39518855999995</v>
      </c>
      <c r="G166" s="188"/>
      <c r="H166" s="189"/>
      <c r="I166" s="37"/>
      <c r="L166" s="167"/>
      <c r="M166" s="167"/>
      <c r="N166" s="37"/>
    </row>
    <row r="167" spans="1:14" s="38" customFormat="1" ht="15.75" customHeight="1" x14ac:dyDescent="0.25">
      <c r="A167" s="68">
        <f t="shared" si="6"/>
        <v>5</v>
      </c>
      <c r="B167" s="69"/>
      <c r="C167" s="60">
        <v>1</v>
      </c>
      <c r="D167" s="61">
        <f>(33.29)*(10.764)</f>
        <v>358.33355999999998</v>
      </c>
      <c r="E167" s="43">
        <v>0</v>
      </c>
      <c r="F167" s="43">
        <f t="shared" si="5"/>
        <v>555.41701799999998</v>
      </c>
      <c r="G167" s="188"/>
      <c r="H167" s="189"/>
      <c r="I167" s="37"/>
      <c r="L167" s="167"/>
      <c r="M167" s="167"/>
      <c r="N167" s="37"/>
    </row>
    <row r="168" spans="1:14" s="38" customFormat="1" ht="15.75" customHeight="1" x14ac:dyDescent="0.25">
      <c r="A168" s="68">
        <f t="shared" si="6"/>
        <v>6</v>
      </c>
      <c r="B168" s="69"/>
      <c r="C168" s="60">
        <v>1</v>
      </c>
      <c r="D168" s="61">
        <f>(28.05)*(10.764)</f>
        <v>301.93020000000001</v>
      </c>
      <c r="E168" s="43">
        <v>0</v>
      </c>
      <c r="F168" s="43">
        <f t="shared" si="5"/>
        <v>467.99181000000004</v>
      </c>
      <c r="G168" s="188"/>
      <c r="H168" s="189"/>
      <c r="I168" s="37"/>
      <c r="K168" s="38">
        <f>13*11</f>
        <v>143</v>
      </c>
      <c r="L168" s="167"/>
      <c r="M168" s="167"/>
      <c r="N168" s="37"/>
    </row>
    <row r="169" spans="1:14" s="38" customFormat="1" ht="15.75" customHeight="1" x14ac:dyDescent="0.25">
      <c r="A169" s="68">
        <f t="shared" si="6"/>
        <v>7</v>
      </c>
      <c r="B169" s="69"/>
      <c r="C169" s="60">
        <v>1</v>
      </c>
      <c r="D169" s="61">
        <f>(31.04)*(10.764)</f>
        <v>334.11455999999998</v>
      </c>
      <c r="E169" s="43">
        <v>0</v>
      </c>
      <c r="F169" s="43">
        <f t="shared" si="5"/>
        <v>517.877568</v>
      </c>
      <c r="G169" s="188"/>
      <c r="H169" s="189"/>
      <c r="I169" s="37"/>
      <c r="K169" s="38">
        <f>K168-4</f>
        <v>139</v>
      </c>
      <c r="L169" s="167"/>
      <c r="M169" s="167"/>
      <c r="N169" s="37"/>
    </row>
    <row r="170" spans="1:14" s="38" customFormat="1" ht="15.75" customHeight="1" x14ac:dyDescent="0.25">
      <c r="A170" s="68">
        <f t="shared" si="6"/>
        <v>8</v>
      </c>
      <c r="B170" s="69"/>
      <c r="C170" s="60">
        <v>0</v>
      </c>
      <c r="D170" s="61">
        <f>(21.61)*(10.764)</f>
        <v>232.61003999999997</v>
      </c>
      <c r="E170" s="43">
        <v>0</v>
      </c>
      <c r="F170" s="43">
        <f t="shared" si="5"/>
        <v>360.54556199999996</v>
      </c>
      <c r="G170" s="188"/>
      <c r="H170" s="189"/>
      <c r="I170" s="37"/>
      <c r="K170" s="38">
        <f>K169+6</f>
        <v>145</v>
      </c>
      <c r="L170" s="167"/>
      <c r="M170" s="167"/>
      <c r="N170" s="37"/>
    </row>
    <row r="171" spans="1:14" s="38" customFormat="1" ht="15.75" customHeight="1" x14ac:dyDescent="0.25">
      <c r="A171" s="68">
        <f t="shared" si="6"/>
        <v>9</v>
      </c>
      <c r="B171" s="69"/>
      <c r="C171" s="60">
        <v>0</v>
      </c>
      <c r="D171" s="61">
        <f>(20.86)*(10.764)</f>
        <v>224.53703999999999</v>
      </c>
      <c r="E171" s="43">
        <v>0</v>
      </c>
      <c r="F171" s="43">
        <f t="shared" si="5"/>
        <v>348.03241200000002</v>
      </c>
      <c r="G171" s="188"/>
      <c r="H171" s="189"/>
      <c r="I171" s="37"/>
      <c r="L171" s="167"/>
      <c r="M171" s="167"/>
      <c r="N171" s="37"/>
    </row>
    <row r="172" spans="1:14" s="38" customFormat="1" ht="15.75" customHeight="1" x14ac:dyDescent="0.25">
      <c r="A172" s="68">
        <f t="shared" si="6"/>
        <v>10</v>
      </c>
      <c r="B172" s="69"/>
      <c r="C172" s="60">
        <v>1</v>
      </c>
      <c r="D172" s="61">
        <f>(32.9+2.84*0.77)*(10.764)</f>
        <v>377.67431519999997</v>
      </c>
      <c r="E172" s="43">
        <v>0</v>
      </c>
      <c r="F172" s="43">
        <f t="shared" si="5"/>
        <v>585.39518855999995</v>
      </c>
      <c r="G172" s="188"/>
      <c r="H172" s="189"/>
      <c r="I172" s="37"/>
      <c r="L172" s="167"/>
      <c r="M172" s="167"/>
      <c r="N172" s="37"/>
    </row>
    <row r="173" spans="1:14" s="38" customFormat="1" ht="15.75" customHeight="1" x14ac:dyDescent="0.25">
      <c r="A173" s="68">
        <f t="shared" si="6"/>
        <v>11</v>
      </c>
      <c r="B173" s="69"/>
      <c r="C173" s="60">
        <v>1</v>
      </c>
      <c r="D173" s="61">
        <f>(32.9+2.69*0.77)*(10.764)</f>
        <v>376.43107319999996</v>
      </c>
      <c r="E173" s="43">
        <v>0</v>
      </c>
      <c r="F173" s="43">
        <f t="shared" si="5"/>
        <v>583.46816345999991</v>
      </c>
      <c r="G173" s="190"/>
      <c r="H173" s="191"/>
      <c r="I173" s="37"/>
      <c r="L173" s="167"/>
      <c r="M173" s="167"/>
      <c r="N173" s="37"/>
    </row>
    <row r="174" spans="1:14" s="38" customFormat="1" ht="21" customHeight="1" x14ac:dyDescent="0.25">
      <c r="A174" s="108" t="s">
        <v>213</v>
      </c>
      <c r="B174" s="109"/>
      <c r="C174" s="109"/>
      <c r="D174" s="109"/>
      <c r="E174" s="109"/>
      <c r="F174" s="109"/>
      <c r="G174" s="109"/>
      <c r="H174" s="110"/>
      <c r="J174" s="37"/>
    </row>
    <row r="175" spans="1:14" s="38" customFormat="1" ht="15.75" customHeight="1" x14ac:dyDescent="0.25">
      <c r="A175" s="68">
        <v>1</v>
      </c>
      <c r="B175" s="69"/>
      <c r="C175" s="60">
        <v>2</v>
      </c>
      <c r="D175" s="61">
        <f>(54.83+2.77*0.94)*(10.764)</f>
        <v>618.21742319999998</v>
      </c>
      <c r="E175" s="43">
        <v>0</v>
      </c>
      <c r="F175" s="43">
        <f>D175*(($F$146)+1)+(IF(E175&lt;101,E175,IF(E175&lt;201,E175/2,IF(E175&lt;=301,E175/3,E175/4))))</f>
        <v>958.23700596000003</v>
      </c>
      <c r="G175" s="186" t="str">
        <f>A174</f>
        <v>8th Floor (Part Refuge Area)</v>
      </c>
      <c r="H175" s="187"/>
      <c r="I175" s="37"/>
      <c r="L175" s="167"/>
      <c r="M175" s="167"/>
      <c r="N175" s="37"/>
    </row>
    <row r="176" spans="1:14" s="38" customFormat="1" ht="15.75" customHeight="1" x14ac:dyDescent="0.25">
      <c r="A176" s="68">
        <f t="shared" ref="A176:A185" si="7">A175+1</f>
        <v>2</v>
      </c>
      <c r="B176" s="69"/>
      <c r="C176" s="60">
        <v>2</v>
      </c>
      <c r="D176" s="61">
        <f>(54.8+2.77*0.94)*(10.764)</f>
        <v>617.89450319999992</v>
      </c>
      <c r="E176" s="43">
        <v>0</v>
      </c>
      <c r="F176" s="43">
        <f>D176*(($F$146)+1)+(IF(E176&lt;101,E176,IF(E176&lt;201,E176/2,IF(E176&lt;=301,E176/3,E176/4))))</f>
        <v>957.73647995999988</v>
      </c>
      <c r="G176" s="188"/>
      <c r="H176" s="189"/>
      <c r="I176" s="37"/>
      <c r="L176" s="167"/>
      <c r="M176" s="167"/>
      <c r="N176" s="37"/>
    </row>
    <row r="177" spans="1:14" s="38" customFormat="1" ht="15.75" customHeight="1" x14ac:dyDescent="0.25">
      <c r="A177" s="68">
        <f t="shared" si="7"/>
        <v>3</v>
      </c>
      <c r="B177" s="69"/>
      <c r="C177" s="60">
        <v>1</v>
      </c>
      <c r="D177" s="61">
        <f>(32.9+2.69*0.77)*(10.764)</f>
        <v>376.43107319999996</v>
      </c>
      <c r="E177" s="43">
        <v>0</v>
      </c>
      <c r="F177" s="43">
        <f>D177*(($F$146)+1)+(IF(E177&lt;101,E177,IF(E177&lt;201,E177/2,IF(E177&lt;=301,E177/3,E177/4))))</f>
        <v>583.46816345999991</v>
      </c>
      <c r="G177" s="188"/>
      <c r="H177" s="189"/>
      <c r="I177" s="37"/>
      <c r="L177" s="167"/>
      <c r="M177" s="167"/>
      <c r="N177" s="37"/>
    </row>
    <row r="178" spans="1:14" s="38" customFormat="1" ht="15.75" customHeight="1" x14ac:dyDescent="0.25">
      <c r="A178" s="68">
        <f t="shared" si="7"/>
        <v>4</v>
      </c>
      <c r="B178" s="69"/>
      <c r="C178" s="60">
        <v>1</v>
      </c>
      <c r="D178" s="61">
        <f>(32.9+2.84*0.77)*(10.764)</f>
        <v>377.67431519999997</v>
      </c>
      <c r="E178" s="43">
        <v>0</v>
      </c>
      <c r="F178" s="43">
        <f>D178*(($F$146)+1)+(IF(E178&lt;101,E178,IF(E178&lt;201,E178/2,IF(E178&lt;=301,E178/3,E178/4))))</f>
        <v>585.39518855999995</v>
      </c>
      <c r="G178" s="188"/>
      <c r="H178" s="189"/>
      <c r="I178" s="37"/>
      <c r="L178" s="167"/>
      <c r="M178" s="167"/>
      <c r="N178" s="37"/>
    </row>
    <row r="179" spans="1:14" s="38" customFormat="1" ht="15.75" customHeight="1" x14ac:dyDescent="0.25">
      <c r="A179" s="68">
        <f t="shared" si="7"/>
        <v>5</v>
      </c>
      <c r="B179" s="69"/>
      <c r="C179" s="177" t="s">
        <v>214</v>
      </c>
      <c r="D179" s="178"/>
      <c r="E179" s="178"/>
      <c r="F179" s="179"/>
      <c r="G179" s="188"/>
      <c r="H179" s="189"/>
      <c r="I179" s="37"/>
      <c r="L179" s="167"/>
      <c r="M179" s="167"/>
      <c r="N179" s="37"/>
    </row>
    <row r="180" spans="1:14" s="38" customFormat="1" ht="15.75" customHeight="1" x14ac:dyDescent="0.25">
      <c r="A180" s="68">
        <f t="shared" si="7"/>
        <v>6</v>
      </c>
      <c r="B180" s="69"/>
      <c r="C180" s="180"/>
      <c r="D180" s="181"/>
      <c r="E180" s="181"/>
      <c r="F180" s="182"/>
      <c r="G180" s="188"/>
      <c r="H180" s="189"/>
      <c r="I180" s="37"/>
      <c r="L180" s="167"/>
      <c r="M180" s="167"/>
      <c r="N180" s="37"/>
    </row>
    <row r="181" spans="1:14" s="38" customFormat="1" ht="15.75" customHeight="1" x14ac:dyDescent="0.25">
      <c r="A181" s="68">
        <f t="shared" si="7"/>
        <v>7</v>
      </c>
      <c r="B181" s="69"/>
      <c r="C181" s="180"/>
      <c r="D181" s="181"/>
      <c r="E181" s="181"/>
      <c r="F181" s="182"/>
      <c r="G181" s="188"/>
      <c r="H181" s="189"/>
      <c r="I181" s="37"/>
      <c r="L181" s="167"/>
      <c r="M181" s="167"/>
      <c r="N181" s="37"/>
    </row>
    <row r="182" spans="1:14" s="38" customFormat="1" ht="15.75" customHeight="1" x14ac:dyDescent="0.25">
      <c r="A182" s="68">
        <f t="shared" si="7"/>
        <v>8</v>
      </c>
      <c r="B182" s="69"/>
      <c r="C182" s="183"/>
      <c r="D182" s="184"/>
      <c r="E182" s="184"/>
      <c r="F182" s="185"/>
      <c r="G182" s="188"/>
      <c r="H182" s="189"/>
      <c r="I182" s="37"/>
      <c r="L182" s="167"/>
      <c r="M182" s="167"/>
      <c r="N182" s="37"/>
    </row>
    <row r="183" spans="1:14" s="38" customFormat="1" ht="15.75" customHeight="1" x14ac:dyDescent="0.25">
      <c r="A183" s="68">
        <f t="shared" si="7"/>
        <v>9</v>
      </c>
      <c r="B183" s="69"/>
      <c r="C183" s="60">
        <v>1</v>
      </c>
      <c r="D183" s="61">
        <f>(37.67)*(10.764)</f>
        <v>405.47987999999998</v>
      </c>
      <c r="E183" s="43">
        <v>0</v>
      </c>
      <c r="F183" s="43">
        <f>D183*(($F$146)+1)+(IF(E183&lt;101,E183,IF(E183&lt;201,E183/2,IF(E183&lt;=301,E183/3,E183/4))))</f>
        <v>628.49381400000004</v>
      </c>
      <c r="G183" s="188"/>
      <c r="H183" s="189"/>
      <c r="I183" s="37"/>
      <c r="L183" s="167"/>
      <c r="M183" s="167"/>
      <c r="N183" s="37"/>
    </row>
    <row r="184" spans="1:14" s="38" customFormat="1" ht="15.75" customHeight="1" x14ac:dyDescent="0.25">
      <c r="A184" s="68">
        <f t="shared" si="7"/>
        <v>10</v>
      </c>
      <c r="B184" s="69"/>
      <c r="C184" s="60">
        <v>1</v>
      </c>
      <c r="D184" s="61">
        <f>(32.9+2.84*0.77)*(10.764)</f>
        <v>377.67431519999997</v>
      </c>
      <c r="E184" s="43">
        <v>0</v>
      </c>
      <c r="F184" s="43">
        <f>D184*(($F$146)+1)+(IF(E184&lt;101,E184,IF(E184&lt;201,E184/2,IF(E184&lt;=301,E184/3,E184/4))))</f>
        <v>585.39518855999995</v>
      </c>
      <c r="G184" s="188"/>
      <c r="H184" s="189"/>
      <c r="I184" s="37"/>
      <c r="L184" s="167"/>
      <c r="M184" s="167"/>
      <c r="N184" s="37"/>
    </row>
    <row r="185" spans="1:14" s="38" customFormat="1" ht="15.75" customHeight="1" x14ac:dyDescent="0.25">
      <c r="A185" s="68">
        <f t="shared" si="7"/>
        <v>11</v>
      </c>
      <c r="B185" s="69"/>
      <c r="C185" s="60">
        <v>1</v>
      </c>
      <c r="D185" s="61">
        <f>(32.9+2.69*0.77)*(10.764)</f>
        <v>376.43107319999996</v>
      </c>
      <c r="E185" s="43">
        <v>0</v>
      </c>
      <c r="F185" s="43">
        <f>D185*(($F$146)+1)+(IF(E185&lt;101,E185,IF(E185&lt;201,E185/2,IF(E185&lt;=301,E185/3,E185/4))))</f>
        <v>583.46816345999991</v>
      </c>
      <c r="G185" s="190"/>
      <c r="H185" s="191"/>
      <c r="I185" s="37"/>
      <c r="L185" s="167"/>
      <c r="M185" s="167"/>
      <c r="N185" s="37"/>
    </row>
    <row r="186" spans="1:14" s="38" customFormat="1" ht="21.75" customHeight="1" x14ac:dyDescent="0.25">
      <c r="A186" s="108" t="s">
        <v>215</v>
      </c>
      <c r="B186" s="109"/>
      <c r="C186" s="109"/>
      <c r="D186" s="109"/>
      <c r="E186" s="109"/>
      <c r="F186" s="109"/>
      <c r="G186" s="109"/>
      <c r="H186" s="110"/>
      <c r="J186" s="37"/>
    </row>
    <row r="187" spans="1:14" s="38" customFormat="1" x14ac:dyDescent="0.25">
      <c r="A187" s="68">
        <v>1</v>
      </c>
      <c r="B187" s="69"/>
      <c r="C187" s="177" t="s">
        <v>216</v>
      </c>
      <c r="D187" s="178"/>
      <c r="E187" s="178"/>
      <c r="F187" s="179"/>
      <c r="G187" s="186" t="str">
        <f>A186</f>
        <v>14th Floor (Part Terrace Area)</v>
      </c>
      <c r="H187" s="187"/>
      <c r="I187" s="37"/>
      <c r="L187" s="167"/>
      <c r="M187" s="167"/>
      <c r="N187" s="37"/>
    </row>
    <row r="188" spans="1:14" s="38" customFormat="1" x14ac:dyDescent="0.25">
      <c r="A188" s="68">
        <f t="shared" ref="A188:A197" si="8">A187+1</f>
        <v>2</v>
      </c>
      <c r="B188" s="69"/>
      <c r="C188" s="180"/>
      <c r="D188" s="181"/>
      <c r="E188" s="181"/>
      <c r="F188" s="182"/>
      <c r="G188" s="188"/>
      <c r="H188" s="189"/>
      <c r="I188" s="37"/>
      <c r="L188" s="167"/>
      <c r="M188" s="167"/>
      <c r="N188" s="37"/>
    </row>
    <row r="189" spans="1:14" s="38" customFormat="1" x14ac:dyDescent="0.25">
      <c r="A189" s="68">
        <f t="shared" si="8"/>
        <v>3</v>
      </c>
      <c r="B189" s="69"/>
      <c r="C189" s="180"/>
      <c r="D189" s="181"/>
      <c r="E189" s="181"/>
      <c r="F189" s="182"/>
      <c r="G189" s="188"/>
      <c r="H189" s="189"/>
      <c r="I189" s="37"/>
      <c r="L189" s="167"/>
      <c r="M189" s="167"/>
      <c r="N189" s="37"/>
    </row>
    <row r="190" spans="1:14" s="38" customFormat="1" x14ac:dyDescent="0.25">
      <c r="A190" s="68">
        <f t="shared" si="8"/>
        <v>4</v>
      </c>
      <c r="B190" s="69"/>
      <c r="C190" s="183"/>
      <c r="D190" s="184"/>
      <c r="E190" s="184"/>
      <c r="F190" s="185"/>
      <c r="G190" s="188"/>
      <c r="H190" s="189"/>
      <c r="I190" s="37"/>
      <c r="L190" s="167"/>
      <c r="M190" s="167"/>
      <c r="N190" s="37"/>
    </row>
    <row r="191" spans="1:14" s="38" customFormat="1" x14ac:dyDescent="0.25">
      <c r="A191" s="68">
        <f t="shared" si="8"/>
        <v>5</v>
      </c>
      <c r="B191" s="69"/>
      <c r="C191" s="60">
        <v>1</v>
      </c>
      <c r="D191" s="61">
        <f>(33.29)*(10.764)</f>
        <v>358.33355999999998</v>
      </c>
      <c r="E191" s="43">
        <v>0</v>
      </c>
      <c r="F191" s="43">
        <f t="shared" ref="F191:F196" si="9">D191*(($F$146)+1)+(IF(E191&lt;101,E191,IF(E191&lt;201,E191/2,IF(E191&lt;=301,E191/3,E191/4))))</f>
        <v>555.41701799999998</v>
      </c>
      <c r="G191" s="188"/>
      <c r="H191" s="189"/>
      <c r="I191" s="37"/>
      <c r="L191" s="167"/>
      <c r="M191" s="167"/>
      <c r="N191" s="37"/>
    </row>
    <row r="192" spans="1:14" s="38" customFormat="1" x14ac:dyDescent="0.25">
      <c r="A192" s="68">
        <f t="shared" si="8"/>
        <v>6</v>
      </c>
      <c r="B192" s="69"/>
      <c r="C192" s="60">
        <v>1</v>
      </c>
      <c r="D192" s="61">
        <f>(28.05)*(10.764)</f>
        <v>301.93020000000001</v>
      </c>
      <c r="E192" s="43">
        <v>0</v>
      </c>
      <c r="F192" s="43">
        <f t="shared" si="9"/>
        <v>467.99181000000004</v>
      </c>
      <c r="G192" s="188"/>
      <c r="H192" s="189"/>
      <c r="I192" s="37"/>
      <c r="L192" s="167"/>
      <c r="M192" s="167"/>
      <c r="N192" s="37"/>
    </row>
    <row r="193" spans="1:14" s="38" customFormat="1" x14ac:dyDescent="0.25">
      <c r="A193" s="68">
        <f t="shared" si="8"/>
        <v>7</v>
      </c>
      <c r="B193" s="69"/>
      <c r="C193" s="60">
        <v>1</v>
      </c>
      <c r="D193" s="61">
        <f>(31.04)*(10.764)</f>
        <v>334.11455999999998</v>
      </c>
      <c r="E193" s="43">
        <v>0</v>
      </c>
      <c r="F193" s="43">
        <f t="shared" si="9"/>
        <v>517.877568</v>
      </c>
      <c r="G193" s="188"/>
      <c r="H193" s="189"/>
      <c r="I193" s="37"/>
      <c r="L193" s="167"/>
      <c r="M193" s="167"/>
      <c r="N193" s="37"/>
    </row>
    <row r="194" spans="1:14" s="38" customFormat="1" x14ac:dyDescent="0.25">
      <c r="A194" s="68">
        <f t="shared" si="8"/>
        <v>8</v>
      </c>
      <c r="B194" s="69"/>
      <c r="C194" s="60">
        <v>0</v>
      </c>
      <c r="D194" s="61">
        <f>(21.61)*(10.764)</f>
        <v>232.61003999999997</v>
      </c>
      <c r="E194" s="43">
        <v>0</v>
      </c>
      <c r="F194" s="43">
        <f t="shared" si="9"/>
        <v>360.54556199999996</v>
      </c>
      <c r="G194" s="188"/>
      <c r="H194" s="189"/>
      <c r="I194" s="37"/>
      <c r="L194" s="167"/>
      <c r="M194" s="167"/>
      <c r="N194" s="37"/>
    </row>
    <row r="195" spans="1:14" s="38" customFormat="1" x14ac:dyDescent="0.25">
      <c r="A195" s="68">
        <f t="shared" si="8"/>
        <v>9</v>
      </c>
      <c r="B195" s="69"/>
      <c r="C195" s="60">
        <v>0</v>
      </c>
      <c r="D195" s="61">
        <f>(20.86)*(10.764)</f>
        <v>224.53703999999999</v>
      </c>
      <c r="E195" s="43">
        <v>0</v>
      </c>
      <c r="F195" s="43">
        <f t="shared" si="9"/>
        <v>348.03241200000002</v>
      </c>
      <c r="G195" s="188"/>
      <c r="H195" s="189"/>
      <c r="I195" s="37"/>
      <c r="L195" s="167"/>
      <c r="M195" s="167"/>
      <c r="N195" s="37"/>
    </row>
    <row r="196" spans="1:14" s="38" customFormat="1" x14ac:dyDescent="0.25">
      <c r="A196" s="68">
        <f t="shared" si="8"/>
        <v>10</v>
      </c>
      <c r="B196" s="69"/>
      <c r="C196" s="60">
        <v>1</v>
      </c>
      <c r="D196" s="61">
        <f>(32.9+2.84*0.77)*(10.764)</f>
        <v>377.67431519999997</v>
      </c>
      <c r="E196" s="43">
        <v>0</v>
      </c>
      <c r="F196" s="43">
        <f t="shared" si="9"/>
        <v>585.39518855999995</v>
      </c>
      <c r="G196" s="188"/>
      <c r="H196" s="189"/>
      <c r="I196" s="37"/>
      <c r="L196" s="167"/>
      <c r="M196" s="167"/>
      <c r="N196" s="37"/>
    </row>
    <row r="197" spans="1:14" s="38" customFormat="1" x14ac:dyDescent="0.25">
      <c r="A197" s="68">
        <f t="shared" si="8"/>
        <v>11</v>
      </c>
      <c r="B197" s="69"/>
      <c r="C197" s="177" t="s">
        <v>216</v>
      </c>
      <c r="D197" s="178"/>
      <c r="E197" s="178"/>
      <c r="F197" s="179"/>
      <c r="G197" s="190"/>
      <c r="H197" s="191"/>
      <c r="I197" s="37"/>
      <c r="L197" s="167"/>
      <c r="M197" s="167"/>
      <c r="N197" s="37"/>
    </row>
    <row r="198" spans="1:14" s="38" customFormat="1" hidden="1" x14ac:dyDescent="0.25">
      <c r="A198" s="85" t="s">
        <v>123</v>
      </c>
      <c r="B198" s="85"/>
      <c r="C198" s="85"/>
      <c r="D198" s="85"/>
      <c r="E198" s="85"/>
      <c r="F198" s="85"/>
      <c r="G198" s="85"/>
      <c r="H198" s="85"/>
      <c r="I198" s="37"/>
      <c r="L198" s="167"/>
      <c r="M198" s="167"/>
    </row>
    <row r="199" spans="1:14" s="38" customFormat="1" hidden="1" x14ac:dyDescent="0.25">
      <c r="A199" s="70">
        <f>LEFT(A198,SUM(LEN(A198)-LEN(SUBSTITUTE(A198,{"0","1","2","3","4","5","6","7","8","9"},""))))*100+1</f>
        <v>201</v>
      </c>
      <c r="B199" s="70"/>
      <c r="C199" s="60"/>
      <c r="D199" s="43"/>
      <c r="E199" s="43">
        <v>0</v>
      </c>
      <c r="F199" s="43">
        <f t="shared" ref="F199:F200" si="10">D199*(($F$146)+1)+(IF(E199&lt;101,E199,IF(E199&lt;201,E199/2,IF(E199&lt;=301,E199/3,E199/4))))</f>
        <v>0</v>
      </c>
      <c r="G199" s="70" t="str">
        <f>A198</f>
        <v>2nd Floor</v>
      </c>
      <c r="H199" s="70"/>
      <c r="I199" s="37"/>
      <c r="N199" s="37"/>
    </row>
    <row r="200" spans="1:14" s="38" customFormat="1" hidden="1" x14ac:dyDescent="0.25">
      <c r="A200" s="70">
        <f>A199+1</f>
        <v>202</v>
      </c>
      <c r="B200" s="70"/>
      <c r="C200" s="60"/>
      <c r="D200" s="43"/>
      <c r="E200" s="43">
        <v>0</v>
      </c>
      <c r="F200" s="43">
        <f t="shared" si="10"/>
        <v>0</v>
      </c>
      <c r="G200" s="70" t="str">
        <f>G199</f>
        <v>2nd Floor</v>
      </c>
      <c r="H200" s="70"/>
      <c r="I200" s="37"/>
      <c r="N200" s="37"/>
    </row>
    <row r="201" spans="1:14" s="38" customFormat="1" hidden="1" x14ac:dyDescent="0.25">
      <c r="A201" s="70">
        <f>A200+1</f>
        <v>203</v>
      </c>
      <c r="B201" s="70"/>
      <c r="C201" s="60"/>
      <c r="D201" s="43"/>
      <c r="E201" s="43">
        <v>0</v>
      </c>
      <c r="F201" s="43">
        <f>D201*(($F$146)+1)+(IF(E201&lt;101,E201,IF(E201&lt;201,E201/2,IF(E201&lt;=301,E201/3,E201/4))))</f>
        <v>0</v>
      </c>
      <c r="G201" s="70" t="str">
        <f>G200</f>
        <v>2nd Floor</v>
      </c>
      <c r="H201" s="70"/>
      <c r="I201" s="37"/>
      <c r="N201" s="37"/>
    </row>
    <row r="202" spans="1:14" s="38" customFormat="1" hidden="1" x14ac:dyDescent="0.25">
      <c r="A202" s="70">
        <f>A201+1</f>
        <v>204</v>
      </c>
      <c r="B202" s="70"/>
      <c r="C202" s="60"/>
      <c r="D202" s="43"/>
      <c r="E202" s="43">
        <v>0</v>
      </c>
      <c r="F202" s="43">
        <f>D202*(($F$146)+1)+(IF(E202&lt;101,E202,IF(E202&lt;201,E202/2,IF(E202&lt;=301,E202/3,E202/4))))</f>
        <v>0</v>
      </c>
      <c r="G202" s="70" t="str">
        <f>G201</f>
        <v>2nd Floor</v>
      </c>
      <c r="H202" s="70"/>
      <c r="I202" s="37"/>
      <c r="N202" s="37"/>
    </row>
    <row r="203" spans="1:14" s="38" customFormat="1" hidden="1" x14ac:dyDescent="0.25">
      <c r="A203" s="70">
        <f>A202+1</f>
        <v>205</v>
      </c>
      <c r="B203" s="70"/>
      <c r="C203" s="60"/>
      <c r="D203" s="43"/>
      <c r="E203" s="43">
        <v>0</v>
      </c>
      <c r="F203" s="43">
        <f>D203*(($F$146)+1)+(IF(E203&lt;101,E203,IF(E203&lt;201,E203/2,IF(E203&lt;=301,E203/3,E203/4))))</f>
        <v>0</v>
      </c>
      <c r="G203" s="70" t="str">
        <f>G202</f>
        <v>2nd Floor</v>
      </c>
      <c r="H203" s="70"/>
      <c r="I203" s="37"/>
      <c r="N203" s="37"/>
    </row>
    <row r="204" spans="1:14" s="38" customFormat="1" ht="15.75" hidden="1" customHeight="1" x14ac:dyDescent="0.25">
      <c r="A204" s="108" t="s">
        <v>162</v>
      </c>
      <c r="B204" s="109"/>
      <c r="C204" s="109"/>
      <c r="D204" s="109"/>
      <c r="E204" s="109"/>
      <c r="F204" s="109"/>
      <c r="G204" s="109"/>
      <c r="H204" s="110"/>
      <c r="I204" s="37"/>
    </row>
    <row r="205" spans="1:14" s="38" customFormat="1" hidden="1" x14ac:dyDescent="0.25">
      <c r="A205" s="68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10^ROW(INDIRECT("1:"&amp;LEN((LEFT(A204,SUM(LEN(A204)-LEN(SUBSTITUTE(A204,{"0","1","2"},""))))))))/10))*100+1&amp;""&amp;"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",LEN(A204))),LEN(A204)))))))/10))*100+1</f>
        <v>301 ,.., 1501</v>
      </c>
      <c r="B205" s="69"/>
      <c r="C205" s="60"/>
      <c r="D205" s="43"/>
      <c r="E205" s="43">
        <v>0</v>
      </c>
      <c r="F205" s="43">
        <f>D205*(($F$146)+1)+(IF(E205&lt;101,E205,IF(E205&lt;201,E205/2,IF(E205&lt;=301,E205/3,E205/4))))</f>
        <v>0</v>
      </c>
      <c r="G205" s="68" t="str">
        <f>A204</f>
        <v>3rd, 5th, 7th, 9th, 11th, 13th, 15th Floor</v>
      </c>
      <c r="H205" s="69"/>
      <c r="I205" s="37"/>
    </row>
    <row r="206" spans="1:14" s="38" customFormat="1" hidden="1" x14ac:dyDescent="0.25">
      <c r="A206" s="68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302 ,.., 1502</v>
      </c>
      <c r="B206" s="69"/>
      <c r="C206" s="60"/>
      <c r="D206" s="43"/>
      <c r="E206" s="43">
        <v>0</v>
      </c>
      <c r="F206" s="43">
        <f>D206*(($F$146)+1)+(IF(E206&lt;101,E206,IF(E206&lt;201,E206/2,IF(E206&lt;=301,E206/3,E206/4))))</f>
        <v>0</v>
      </c>
      <c r="G206" s="68" t="str">
        <f>G205</f>
        <v>3rd, 5th, 7th, 9th, 11th, 13th, 15th Floor</v>
      </c>
      <c r="H206" s="69"/>
      <c r="I206" s="37"/>
    </row>
    <row r="207" spans="1:14" s="38" customFormat="1" ht="15.75" hidden="1" customHeight="1" x14ac:dyDescent="0.25">
      <c r="A207" s="68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303 ,.., 1503</v>
      </c>
      <c r="B207" s="69"/>
      <c r="C207" s="60"/>
      <c r="D207" s="43"/>
      <c r="E207" s="43">
        <v>0</v>
      </c>
      <c r="F207" s="43">
        <f>D207*(($F$146)+1)+(IF(E207&lt;101,E207,IF(E207&lt;201,E207/2,IF(E207&lt;=301,E207/3,E207/4))))</f>
        <v>0</v>
      </c>
      <c r="G207" s="68" t="str">
        <f>G206</f>
        <v>3rd, 5th, 7th, 9th, 11th, 13th, 15th Floor</v>
      </c>
      <c r="H207" s="69"/>
      <c r="I207" s="37"/>
    </row>
    <row r="208" spans="1:14" s="38" customFormat="1" ht="15.75" hidden="1" customHeight="1" x14ac:dyDescent="0.25">
      <c r="A208" s="68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304 ,.., 1504</v>
      </c>
      <c r="B208" s="69"/>
      <c r="C208" s="60"/>
      <c r="D208" s="43"/>
      <c r="E208" s="43">
        <v>0</v>
      </c>
      <c r="F208" s="43">
        <f>D208*(($F$146)+1)+(IF(E208&lt;101,E208,IF(E208&lt;201,E208/2,IF(E208&lt;=301,E208/3,E208/4))))</f>
        <v>0</v>
      </c>
      <c r="G208" s="68" t="str">
        <f>G207</f>
        <v>3rd, 5th, 7th, 9th, 11th, 13th, 15th Floor</v>
      </c>
      <c r="H208" s="69"/>
      <c r="I208" s="37"/>
    </row>
    <row r="209" spans="1:9" s="38" customFormat="1" ht="15.75" hidden="1" customHeight="1" x14ac:dyDescent="0.25">
      <c r="A209" s="68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,..,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305 ,.., 1505</v>
      </c>
      <c r="B209" s="69"/>
      <c r="C209" s="60"/>
      <c r="D209" s="43"/>
      <c r="E209" s="43">
        <v>0</v>
      </c>
      <c r="F209" s="43">
        <f>D209*(($F$146)+1)+(IF(E209&lt;101,E209,IF(E209&lt;201,E209/2,IF(E209&lt;=301,E209/3,E209/4))))</f>
        <v>0</v>
      </c>
      <c r="G209" s="68" t="str">
        <f>G208</f>
        <v>3rd, 5th, 7th, 9th, 11th, 13th, 15th Floor</v>
      </c>
      <c r="H209" s="69"/>
      <c r="I209" s="37"/>
    </row>
    <row r="210" spans="1:9" s="38" customFormat="1" hidden="1" x14ac:dyDescent="0.25">
      <c r="A210" s="108" t="s">
        <v>154</v>
      </c>
      <c r="B210" s="109"/>
      <c r="C210" s="109"/>
      <c r="D210" s="109"/>
      <c r="E210" s="109"/>
      <c r="F210" s="109"/>
      <c r="G210" s="109"/>
      <c r="H210" s="110"/>
      <c r="I210" s="37"/>
    </row>
    <row r="211" spans="1:9" s="38" customFormat="1" hidden="1" x14ac:dyDescent="0.25">
      <c r="A211" s="68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10^ROW(INDIRECT("1:"&amp;LEN((LEFT(A210,SUM(LEN(A210)-LEN(SUBSTITUTE(A210,{"0","1","2"},""))))))))/10))*100+1&amp;""&amp;" to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",LEN(A210))),LEN(A210)))))))/10))*100+1</f>
        <v>201 to 501</v>
      </c>
      <c r="B211" s="69"/>
      <c r="C211" s="60"/>
      <c r="D211" s="43"/>
      <c r="E211" s="43">
        <v>0</v>
      </c>
      <c r="F211" s="43">
        <f>D211*(($F$146)+1)+(IF(E211&lt;101,E211,IF(E211&lt;201,E211/2,IF(E211&lt;=301,E211/3,E211/4))))</f>
        <v>0</v>
      </c>
      <c r="G211" s="68" t="str">
        <f>A210</f>
        <v>2nd to 5th Floor</v>
      </c>
      <c r="H211" s="69"/>
      <c r="I211" s="37"/>
    </row>
    <row r="212" spans="1:9" s="38" customFormat="1" hidden="1" x14ac:dyDescent="0.25">
      <c r="A212" s="68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to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202 to 502</v>
      </c>
      <c r="B212" s="69"/>
      <c r="C212" s="60"/>
      <c r="D212" s="43"/>
      <c r="E212" s="43">
        <v>0</v>
      </c>
      <c r="F212" s="43">
        <f>D212*(($F$146)+1)+(IF(E212&lt;101,E212,IF(E212&lt;201,E212/2,IF(E212&lt;=301,E212/3,E212/4))))</f>
        <v>0</v>
      </c>
      <c r="G212" s="68" t="str">
        <f>G211</f>
        <v>2nd to 5th Floor</v>
      </c>
      <c r="H212" s="69"/>
      <c r="I212" s="37"/>
    </row>
    <row r="213" spans="1:9" s="38" customFormat="1" hidden="1" x14ac:dyDescent="0.25">
      <c r="A213" s="68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to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203 to 503</v>
      </c>
      <c r="B213" s="69"/>
      <c r="C213" s="60"/>
      <c r="D213" s="43"/>
      <c r="E213" s="43">
        <v>0</v>
      </c>
      <c r="F213" s="43">
        <f>D213*(($F$146)+1)+(IF(E213&lt;101,E213,IF(E213&lt;201,E213/2,IF(E213&lt;=301,E213/3,E213/4))))</f>
        <v>0</v>
      </c>
      <c r="G213" s="68" t="str">
        <f>G212</f>
        <v>2nd to 5th Floor</v>
      </c>
      <c r="H213" s="69"/>
      <c r="I213" s="37"/>
    </row>
    <row r="214" spans="1:9" s="38" customFormat="1" hidden="1" x14ac:dyDescent="0.25">
      <c r="A214" s="68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to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204 to 504</v>
      </c>
      <c r="B214" s="69"/>
      <c r="C214" s="60"/>
      <c r="D214" s="43"/>
      <c r="E214" s="43">
        <v>0</v>
      </c>
      <c r="F214" s="43">
        <f>D214*(($F$146)+1)+(IF(E214&lt;101,E214,IF(E214&lt;201,E214/2,IF(E214&lt;=301,E214/3,E214/4))))</f>
        <v>0</v>
      </c>
      <c r="G214" s="68" t="str">
        <f>G213</f>
        <v>2nd to 5th Floor</v>
      </c>
      <c r="H214" s="69"/>
      <c r="I214" s="37"/>
    </row>
    <row r="215" spans="1:9" s="38" customFormat="1" hidden="1" x14ac:dyDescent="0.25">
      <c r="A215" s="68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to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205 to 505</v>
      </c>
      <c r="B215" s="69"/>
      <c r="C215" s="60"/>
      <c r="D215" s="43"/>
      <c r="E215" s="43">
        <v>0</v>
      </c>
      <c r="F215" s="43">
        <f>D215*(($F$146)+1)+(IF(E215&lt;101,E215,IF(E215&lt;201,E215/2,IF(E215&lt;=301,E215/3,E215/4))))</f>
        <v>0</v>
      </c>
      <c r="G215" s="68" t="str">
        <f>G214</f>
        <v>2nd to 5th Floor</v>
      </c>
      <c r="H215" s="69"/>
      <c r="I215" s="37"/>
    </row>
    <row r="216" spans="1:9" s="38" customFormat="1" hidden="1" x14ac:dyDescent="0.25">
      <c r="A216" s="108" t="s">
        <v>155</v>
      </c>
      <c r="B216" s="109"/>
      <c r="C216" s="109"/>
      <c r="D216" s="109"/>
      <c r="E216" s="109"/>
      <c r="F216" s="109"/>
      <c r="G216" s="109"/>
      <c r="H216" s="110"/>
      <c r="I216" s="37"/>
    </row>
    <row r="217" spans="1:9" s="38" customFormat="1" hidden="1" x14ac:dyDescent="0.25">
      <c r="A217" s="68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10^ROW(INDIRECT("1:"&amp;LEN((LEFT(A216,SUM(LEN(A216)-LEN(SUBSTITUTE(A216,{"0","1","2"},""))))))))/10))*100+1&amp;""&amp;" &amp;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201 &amp; 501</v>
      </c>
      <c r="B217" s="69"/>
      <c r="C217" s="60"/>
      <c r="D217" s="43"/>
      <c r="E217" s="43">
        <v>0</v>
      </c>
      <c r="F217" s="43">
        <f>D217*(($F$146)+1)+(IF(E217&lt;101,E217,IF(E217&lt;201,E217/2,IF(E217&lt;=301,E217/3,E217/4))))</f>
        <v>0</v>
      </c>
      <c r="G217" s="68" t="str">
        <f>A216</f>
        <v>2nd &amp; 5th Floor</v>
      </c>
      <c r="H217" s="69"/>
      <c r="I217" s="37"/>
    </row>
    <row r="218" spans="1:9" s="38" customFormat="1" hidden="1" x14ac:dyDescent="0.25">
      <c r="A218" s="68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&amp;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202 &amp; 502</v>
      </c>
      <c r="B218" s="69"/>
      <c r="C218" s="60"/>
      <c r="D218" s="43"/>
      <c r="E218" s="43">
        <v>0</v>
      </c>
      <c r="F218" s="43">
        <f>D218*(($F$146)+1)+(IF(E218&lt;101,E218,IF(E218&lt;201,E218/2,IF(E218&lt;=301,E218/3,E218/4))))</f>
        <v>0</v>
      </c>
      <c r="G218" s="68" t="str">
        <f t="shared" ref="G218:G221" si="11">G217</f>
        <v>2nd &amp; 5th Floor</v>
      </c>
      <c r="H218" s="69"/>
      <c r="I218" s="37"/>
    </row>
    <row r="219" spans="1:9" s="38" customFormat="1" hidden="1" x14ac:dyDescent="0.25">
      <c r="A219" s="68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203 &amp; 503</v>
      </c>
      <c r="B219" s="69"/>
      <c r="C219" s="60"/>
      <c r="D219" s="43"/>
      <c r="E219" s="43">
        <v>0</v>
      </c>
      <c r="F219" s="43">
        <f>D219*(($F$146)+1)+(IF(E219&lt;101,E219,IF(E219&lt;201,E219/2,IF(E219&lt;=301,E219/3,E219/4))))</f>
        <v>0</v>
      </c>
      <c r="G219" s="68" t="str">
        <f t="shared" si="11"/>
        <v>2nd &amp; 5th Floor</v>
      </c>
      <c r="H219" s="69"/>
      <c r="I219" s="37"/>
    </row>
    <row r="220" spans="1:9" s="38" customFormat="1" hidden="1" x14ac:dyDescent="0.25">
      <c r="A220" s="68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204 &amp; 504</v>
      </c>
      <c r="B220" s="69"/>
      <c r="C220" s="60"/>
      <c r="D220" s="43"/>
      <c r="E220" s="43">
        <v>0</v>
      </c>
      <c r="F220" s="43">
        <f>D220*(($F$146)+1)+(IF(E220&lt;101,E220,IF(E220&lt;201,E220/2,IF(E220&lt;=301,E220/3,E220/4))))</f>
        <v>0</v>
      </c>
      <c r="G220" s="68" t="str">
        <f t="shared" si="11"/>
        <v>2nd &amp; 5th Floor</v>
      </c>
      <c r="H220" s="69"/>
      <c r="I220" s="37"/>
    </row>
    <row r="221" spans="1:9" s="38" customFormat="1" hidden="1" x14ac:dyDescent="0.25">
      <c r="A221" s="68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&amp;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205 &amp; 505</v>
      </c>
      <c r="B221" s="69"/>
      <c r="C221" s="60"/>
      <c r="D221" s="43"/>
      <c r="E221" s="43">
        <v>0</v>
      </c>
      <c r="F221" s="43">
        <f>D221*(($F$146)+1)+(IF(E221&lt;101,E221,IF(E221&lt;201,E221/2,IF(E221&lt;=301,E221/3,E221/4))))</f>
        <v>0</v>
      </c>
      <c r="G221" s="68" t="str">
        <f t="shared" si="11"/>
        <v>2nd &amp; 5th Floor</v>
      </c>
      <c r="H221" s="69"/>
      <c r="I221" s="37"/>
    </row>
    <row r="222" spans="1:9" s="36" customFormat="1" x14ac:dyDescent="0.25">
      <c r="A222" s="170" t="s">
        <v>70</v>
      </c>
      <c r="B222" s="170"/>
      <c r="C222" s="170"/>
      <c r="D222" s="170"/>
      <c r="E222" s="170"/>
      <c r="F222" s="170"/>
      <c r="G222" s="170"/>
      <c r="H222" s="170"/>
    </row>
    <row r="223" spans="1:9" s="36" customFormat="1" x14ac:dyDescent="0.25">
      <c r="A223" s="48" t="s">
        <v>166</v>
      </c>
      <c r="B223" s="143" t="s">
        <v>238</v>
      </c>
      <c r="C223" s="144"/>
      <c r="D223" s="144"/>
      <c r="E223" s="144"/>
      <c r="F223" s="144"/>
      <c r="G223" s="144"/>
      <c r="H223" s="145"/>
      <c r="I223" s="36" t="s">
        <v>237</v>
      </c>
    </row>
    <row r="224" spans="1:9" s="36" customFormat="1" x14ac:dyDescent="0.25">
      <c r="A224" s="48" t="s">
        <v>166</v>
      </c>
      <c r="B224" s="143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224" s="144"/>
      <c r="D224" s="144"/>
      <c r="E224" s="144"/>
      <c r="F224" s="144"/>
      <c r="G224" s="144"/>
      <c r="H224" s="145"/>
    </row>
    <row r="225" spans="1:8" s="36" customFormat="1" x14ac:dyDescent="0.25">
      <c r="A225" s="48" t="s">
        <v>166</v>
      </c>
      <c r="B225" s="87" t="s">
        <v>131</v>
      </c>
      <c r="C225" s="88"/>
      <c r="D225" s="88"/>
      <c r="E225" s="88"/>
      <c r="F225" s="88"/>
      <c r="G225" s="88"/>
      <c r="H225" s="89"/>
    </row>
    <row r="226" spans="1:8" s="36" customFormat="1" x14ac:dyDescent="0.25">
      <c r="A226" s="48" t="s">
        <v>166</v>
      </c>
      <c r="B226" s="87" t="s">
        <v>224</v>
      </c>
      <c r="C226" s="88"/>
      <c r="D226" s="88"/>
      <c r="E226" s="88"/>
      <c r="F226" s="88"/>
      <c r="G226" s="88"/>
      <c r="H226" s="89"/>
    </row>
    <row r="227" spans="1:8" s="36" customFormat="1" x14ac:dyDescent="0.25">
      <c r="A227" s="48" t="s">
        <v>166</v>
      </c>
      <c r="B227" s="87" t="s">
        <v>165</v>
      </c>
      <c r="C227" s="88"/>
      <c r="D227" s="88"/>
      <c r="E227" s="88"/>
      <c r="F227" s="88"/>
      <c r="G227" s="88"/>
      <c r="H227" s="89"/>
    </row>
    <row r="228" spans="1:8" s="36" customFormat="1" x14ac:dyDescent="0.25">
      <c r="A228" s="48" t="s">
        <v>166</v>
      </c>
      <c r="B228" s="87" t="s">
        <v>132</v>
      </c>
      <c r="C228" s="88"/>
      <c r="D228" s="88"/>
      <c r="E228" s="88"/>
      <c r="F228" s="88"/>
      <c r="G228" s="88"/>
      <c r="H228" s="89"/>
    </row>
    <row r="229" spans="1:8" s="36" customFormat="1" ht="34.5" customHeight="1" x14ac:dyDescent="0.25">
      <c r="A229" s="48" t="s">
        <v>166</v>
      </c>
      <c r="B229" s="87" t="s">
        <v>167</v>
      </c>
      <c r="C229" s="88"/>
      <c r="D229" s="88"/>
      <c r="E229" s="88"/>
      <c r="F229" s="88"/>
      <c r="G229" s="88"/>
      <c r="H229" s="89"/>
    </row>
    <row r="230" spans="1:8" s="36" customFormat="1" x14ac:dyDescent="0.25">
      <c r="A230" s="48" t="s">
        <v>166</v>
      </c>
      <c r="B230" s="87" t="s">
        <v>133</v>
      </c>
      <c r="C230" s="88"/>
      <c r="D230" s="88"/>
      <c r="E230" s="88"/>
      <c r="F230" s="88"/>
      <c r="G230" s="88"/>
      <c r="H230" s="89"/>
    </row>
    <row r="231" spans="1:8" s="36" customFormat="1" x14ac:dyDescent="0.25">
      <c r="A231" s="48" t="s">
        <v>166</v>
      </c>
      <c r="B231" s="87" t="s">
        <v>226</v>
      </c>
      <c r="C231" s="88"/>
      <c r="D231" s="88"/>
      <c r="E231" s="88"/>
      <c r="F231" s="88"/>
      <c r="G231" s="88"/>
      <c r="H231" s="89"/>
    </row>
    <row r="232" spans="1:8" s="36" customFormat="1" x14ac:dyDescent="0.25">
      <c r="A232" s="48" t="s">
        <v>166</v>
      </c>
      <c r="B232" s="87" t="s">
        <v>239</v>
      </c>
      <c r="C232" s="88"/>
      <c r="D232" s="88"/>
      <c r="E232" s="88"/>
      <c r="F232" s="88"/>
      <c r="G232" s="88"/>
      <c r="H232" s="89"/>
    </row>
    <row r="233" spans="1:8" x14ac:dyDescent="0.25">
      <c r="A233" s="130" t="s">
        <v>63</v>
      </c>
      <c r="B233" s="130"/>
      <c r="C233" s="130"/>
      <c r="D233" s="130"/>
      <c r="E233" s="130"/>
      <c r="F233" s="130"/>
      <c r="G233" s="130"/>
      <c r="H233" s="130"/>
    </row>
    <row r="234" spans="1:8" x14ac:dyDescent="0.25">
      <c r="A234" s="66" t="s">
        <v>64</v>
      </c>
      <c r="B234" s="66"/>
      <c r="C234" s="66"/>
      <c r="D234" s="66"/>
      <c r="E234" s="66"/>
      <c r="F234" s="66"/>
      <c r="G234" s="66"/>
      <c r="H234" s="66"/>
    </row>
    <row r="235" spans="1:8" ht="15.75" customHeight="1" x14ac:dyDescent="0.25">
      <c r="A235" s="67" t="s">
        <v>65</v>
      </c>
      <c r="B235" s="67"/>
      <c r="C235" s="67"/>
      <c r="D235" s="67"/>
      <c r="E235" s="67"/>
      <c r="F235" s="67"/>
      <c r="G235" s="67"/>
      <c r="H235" s="67"/>
    </row>
    <row r="236" spans="1:8" x14ac:dyDescent="0.25">
      <c r="A236" s="66" t="s">
        <v>66</v>
      </c>
      <c r="B236" s="66"/>
      <c r="C236" s="66"/>
      <c r="D236" s="66"/>
      <c r="E236" s="66"/>
      <c r="F236" s="66"/>
      <c r="G236" s="66"/>
      <c r="H236" s="66"/>
    </row>
    <row r="237" spans="1:8" x14ac:dyDescent="0.25">
      <c r="A237" s="66" t="s">
        <v>67</v>
      </c>
      <c r="B237" s="66"/>
      <c r="C237" s="66"/>
      <c r="D237" s="66"/>
      <c r="E237" s="66"/>
      <c r="F237" s="66"/>
      <c r="G237" s="66"/>
      <c r="H237" s="66"/>
    </row>
    <row r="238" spans="1:8" x14ac:dyDescent="0.25">
      <c r="A238" s="66" t="s">
        <v>134</v>
      </c>
      <c r="B238" s="66"/>
      <c r="C238" s="66"/>
      <c r="D238" s="66"/>
      <c r="E238" s="66"/>
      <c r="F238" s="66"/>
      <c r="G238" s="66"/>
      <c r="H238" s="66"/>
    </row>
    <row r="239" spans="1:8" x14ac:dyDescent="0.25">
      <c r="A239" s="128" t="s">
        <v>135</v>
      </c>
      <c r="B239" s="128"/>
      <c r="C239" s="128"/>
      <c r="D239" s="128"/>
      <c r="E239" s="128"/>
      <c r="F239" s="128"/>
      <c r="G239" s="128"/>
      <c r="H239" s="128"/>
    </row>
    <row r="240" spans="1:8" x14ac:dyDescent="0.25">
      <c r="A240" s="147" t="s">
        <v>79</v>
      </c>
      <c r="B240" s="147"/>
      <c r="C240" s="147" t="s">
        <v>231</v>
      </c>
      <c r="D240" s="147"/>
      <c r="E240" s="147" t="s">
        <v>109</v>
      </c>
      <c r="F240" s="147"/>
      <c r="G240" s="147" t="s">
        <v>235</v>
      </c>
      <c r="H240" s="147"/>
    </row>
    <row r="241" spans="1:8" x14ac:dyDescent="0.25">
      <c r="A241" s="146" t="s">
        <v>81</v>
      </c>
      <c r="B241" s="146"/>
      <c r="C241" s="146"/>
      <c r="D241" s="146"/>
      <c r="E241" s="146"/>
      <c r="F241" s="146"/>
      <c r="G241" s="146"/>
      <c r="H241" s="146"/>
    </row>
    <row r="242" spans="1:8" x14ac:dyDescent="0.25">
      <c r="A242" s="146"/>
      <c r="B242" s="146"/>
      <c r="C242" s="146"/>
      <c r="D242" s="146"/>
      <c r="E242" s="146"/>
      <c r="F242" s="146"/>
      <c r="G242" s="146"/>
      <c r="H242" s="146"/>
    </row>
    <row r="243" spans="1:8" x14ac:dyDescent="0.25">
      <c r="A243" s="146"/>
      <c r="B243" s="146"/>
      <c r="C243" s="146"/>
      <c r="D243" s="146"/>
      <c r="E243" s="146"/>
      <c r="F243" s="146"/>
      <c r="G243" s="146"/>
      <c r="H243" s="146"/>
    </row>
    <row r="244" spans="1:8" x14ac:dyDescent="0.25">
      <c r="A244" s="146"/>
      <c r="B244" s="146"/>
      <c r="C244" s="146"/>
      <c r="D244" s="146"/>
      <c r="E244" s="146"/>
      <c r="F244" s="146"/>
      <c r="G244" s="146"/>
      <c r="H244" s="146"/>
    </row>
    <row r="245" spans="1:8" x14ac:dyDescent="0.25">
      <c r="A245" s="39" t="s">
        <v>68</v>
      </c>
      <c r="B245" s="40"/>
      <c r="C245" s="40"/>
      <c r="D245" s="39" t="str">
        <f>E8</f>
        <v>Samarpan</v>
      </c>
      <c r="F245" s="40"/>
      <c r="G245" s="40"/>
      <c r="H245" s="40"/>
    </row>
    <row r="246" spans="1:8" x14ac:dyDescent="0.25">
      <c r="A246" s="40"/>
      <c r="B246" s="40"/>
      <c r="C246" s="40"/>
      <c r="D246" s="40"/>
      <c r="E246" s="40"/>
      <c r="F246" s="40"/>
      <c r="G246" s="40"/>
      <c r="H246" s="40"/>
    </row>
    <row r="247" spans="1:8" x14ac:dyDescent="0.25">
      <c r="A247" s="40"/>
      <c r="B247" s="40"/>
      <c r="C247" s="40"/>
      <c r="D247" s="40"/>
      <c r="E247" s="40"/>
      <c r="F247" s="40"/>
      <c r="G247" s="40"/>
      <c r="H247" s="40"/>
    </row>
    <row r="248" spans="1:8" ht="15" customHeight="1" x14ac:dyDescent="0.25"/>
    <row r="287" spans="1:1" x14ac:dyDescent="0.25">
      <c r="A287" s="42" t="s">
        <v>180</v>
      </c>
    </row>
    <row r="329" spans="1:1" x14ac:dyDescent="0.25">
      <c r="A329" s="42" t="s">
        <v>69</v>
      </c>
    </row>
  </sheetData>
  <mergeCells count="460">
    <mergeCell ref="L188:M188"/>
    <mergeCell ref="A189:B189"/>
    <mergeCell ref="L189:M189"/>
    <mergeCell ref="A183:B183"/>
    <mergeCell ref="L183:M183"/>
    <mergeCell ref="L180:M180"/>
    <mergeCell ref="A197:B197"/>
    <mergeCell ref="L197:M197"/>
    <mergeCell ref="G151:H161"/>
    <mergeCell ref="G163:H173"/>
    <mergeCell ref="G175:H185"/>
    <mergeCell ref="C187:F190"/>
    <mergeCell ref="C197:F197"/>
    <mergeCell ref="G187:H197"/>
    <mergeCell ref="A194:B194"/>
    <mergeCell ref="L194:M194"/>
    <mergeCell ref="A195:B195"/>
    <mergeCell ref="L195:M195"/>
    <mergeCell ref="A196:B196"/>
    <mergeCell ref="L196:M196"/>
    <mergeCell ref="A191:B191"/>
    <mergeCell ref="L191:M191"/>
    <mergeCell ref="A192:B192"/>
    <mergeCell ref="L192:M192"/>
    <mergeCell ref="A193:B193"/>
    <mergeCell ref="L193:M193"/>
    <mergeCell ref="A188:B188"/>
    <mergeCell ref="A84:B84"/>
    <mergeCell ref="C84:H84"/>
    <mergeCell ref="A85:B85"/>
    <mergeCell ref="E85:F85"/>
    <mergeCell ref="G85:H85"/>
    <mergeCell ref="A116:E116"/>
    <mergeCell ref="F116:H116"/>
    <mergeCell ref="A118:E118"/>
    <mergeCell ref="A103:B103"/>
    <mergeCell ref="A104:B104"/>
    <mergeCell ref="A105:B105"/>
    <mergeCell ref="A107:B107"/>
    <mergeCell ref="A108:B108"/>
    <mergeCell ref="A113:E113"/>
    <mergeCell ref="A110:E110"/>
    <mergeCell ref="F114:H114"/>
    <mergeCell ref="F118:H118"/>
    <mergeCell ref="A98:B98"/>
    <mergeCell ref="C98:H98"/>
    <mergeCell ref="A99:B99"/>
    <mergeCell ref="A117:E117"/>
    <mergeCell ref="E99:F99"/>
    <mergeCell ref="B229:H229"/>
    <mergeCell ref="A48:B48"/>
    <mergeCell ref="C48:H48"/>
    <mergeCell ref="B227:H227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G206:H206"/>
    <mergeCell ref="G202:H202"/>
    <mergeCell ref="G199:H199"/>
    <mergeCell ref="D137:D138"/>
    <mergeCell ref="A114:E114"/>
    <mergeCell ref="A140:B140"/>
    <mergeCell ref="A141:B141"/>
    <mergeCell ref="A142:B142"/>
    <mergeCell ref="A143:B143"/>
    <mergeCell ref="A115:E115"/>
    <mergeCell ref="A121:E121"/>
    <mergeCell ref="G133:H133"/>
    <mergeCell ref="A204:H204"/>
    <mergeCell ref="G207:H207"/>
    <mergeCell ref="G205:H205"/>
    <mergeCell ref="G212:H212"/>
    <mergeCell ref="A206:B206"/>
    <mergeCell ref="A208:B208"/>
    <mergeCell ref="A205:B205"/>
    <mergeCell ref="G209:H209"/>
    <mergeCell ref="G208:H208"/>
    <mergeCell ref="B225:H225"/>
    <mergeCell ref="B226:H226"/>
    <mergeCell ref="G217:H217"/>
    <mergeCell ref="G215:H215"/>
    <mergeCell ref="A222:H222"/>
    <mergeCell ref="A214:B214"/>
    <mergeCell ref="A215:B215"/>
    <mergeCell ref="G213:H213"/>
    <mergeCell ref="A210:H210"/>
    <mergeCell ref="A172:B172"/>
    <mergeCell ref="L172:M172"/>
    <mergeCell ref="A178:B178"/>
    <mergeCell ref="L154:M154"/>
    <mergeCell ref="L151:M151"/>
    <mergeCell ref="A152:B152"/>
    <mergeCell ref="L152:M152"/>
    <mergeCell ref="A153:B153"/>
    <mergeCell ref="L153:M153"/>
    <mergeCell ref="A162:H162"/>
    <mergeCell ref="A163:B163"/>
    <mergeCell ref="L163:M163"/>
    <mergeCell ref="A164:B164"/>
    <mergeCell ref="L173:M173"/>
    <mergeCell ref="A174:H174"/>
    <mergeCell ref="A175:B175"/>
    <mergeCell ref="L175:M175"/>
    <mergeCell ref="A176:B176"/>
    <mergeCell ref="L176:M176"/>
    <mergeCell ref="A177:B177"/>
    <mergeCell ref="L177:M177"/>
    <mergeCell ref="A173:B173"/>
    <mergeCell ref="L198:M198"/>
    <mergeCell ref="A203:B203"/>
    <mergeCell ref="A200:B200"/>
    <mergeCell ref="A201:B201"/>
    <mergeCell ref="A202:B202"/>
    <mergeCell ref="G203:H203"/>
    <mergeCell ref="L178:M178"/>
    <mergeCell ref="A179:B179"/>
    <mergeCell ref="L179:M179"/>
    <mergeCell ref="A180:B180"/>
    <mergeCell ref="A190:B190"/>
    <mergeCell ref="L190:M190"/>
    <mergeCell ref="A184:B184"/>
    <mergeCell ref="L184:M184"/>
    <mergeCell ref="A185:B185"/>
    <mergeCell ref="L185:M185"/>
    <mergeCell ref="C179:F182"/>
    <mergeCell ref="A186:H186"/>
    <mergeCell ref="A187:B187"/>
    <mergeCell ref="L187:M187"/>
    <mergeCell ref="A181:B181"/>
    <mergeCell ref="L181:M181"/>
    <mergeCell ref="A182:B182"/>
    <mergeCell ref="L182:M182"/>
    <mergeCell ref="A160:B160"/>
    <mergeCell ref="L160:M160"/>
    <mergeCell ref="A155:B155"/>
    <mergeCell ref="L155:M155"/>
    <mergeCell ref="A156:B156"/>
    <mergeCell ref="L156:M156"/>
    <mergeCell ref="A157:B157"/>
    <mergeCell ref="L143:M143"/>
    <mergeCell ref="L142:M142"/>
    <mergeCell ref="B145:B146"/>
    <mergeCell ref="A154:B154"/>
    <mergeCell ref="A151:B151"/>
    <mergeCell ref="A144:H144"/>
    <mergeCell ref="A145:A146"/>
    <mergeCell ref="A148:H148"/>
    <mergeCell ref="F119:H119"/>
    <mergeCell ref="L157:M157"/>
    <mergeCell ref="L158:M158"/>
    <mergeCell ref="A133:B133"/>
    <mergeCell ref="E133:F133"/>
    <mergeCell ref="A134:H134"/>
    <mergeCell ref="L159:M159"/>
    <mergeCell ref="L141:M141"/>
    <mergeCell ref="L140:M140"/>
    <mergeCell ref="C137:C138"/>
    <mergeCell ref="E126:F126"/>
    <mergeCell ref="C127:D127"/>
    <mergeCell ref="E127:F127"/>
    <mergeCell ref="G127:H127"/>
    <mergeCell ref="A128:B128"/>
    <mergeCell ref="C128:D128"/>
    <mergeCell ref="E128:F128"/>
    <mergeCell ref="G128:H128"/>
    <mergeCell ref="A132:B132"/>
    <mergeCell ref="C132:D132"/>
    <mergeCell ref="E132:F132"/>
    <mergeCell ref="G132:H132"/>
    <mergeCell ref="L161:M161"/>
    <mergeCell ref="L169:M169"/>
    <mergeCell ref="A170:B170"/>
    <mergeCell ref="L170:M170"/>
    <mergeCell ref="A171:B171"/>
    <mergeCell ref="L171:M171"/>
    <mergeCell ref="L165:M165"/>
    <mergeCell ref="A166:B166"/>
    <mergeCell ref="L166:M166"/>
    <mergeCell ref="A167:B167"/>
    <mergeCell ref="L167:M167"/>
    <mergeCell ref="A168:B168"/>
    <mergeCell ref="L168:M168"/>
    <mergeCell ref="A165:B165"/>
    <mergeCell ref="A169:B169"/>
    <mergeCell ref="L164:M164"/>
    <mergeCell ref="A161:B161"/>
    <mergeCell ref="A86:B86"/>
    <mergeCell ref="E86:F95"/>
    <mergeCell ref="A93:B93"/>
    <mergeCell ref="A94:B94"/>
    <mergeCell ref="A95:B95"/>
    <mergeCell ref="A100:B100"/>
    <mergeCell ref="E100:F109"/>
    <mergeCell ref="F110:H110"/>
    <mergeCell ref="F115:H115"/>
    <mergeCell ref="A109:B109"/>
    <mergeCell ref="G99:H99"/>
    <mergeCell ref="F113:H113"/>
    <mergeCell ref="C131:D131"/>
    <mergeCell ref="E131:F131"/>
    <mergeCell ref="G131:H131"/>
    <mergeCell ref="F117:H117"/>
    <mergeCell ref="A111:E111"/>
    <mergeCell ref="A96:B96"/>
    <mergeCell ref="C96:H96"/>
    <mergeCell ref="A139:H139"/>
    <mergeCell ref="E137:E138"/>
    <mergeCell ref="G137:H138"/>
    <mergeCell ref="A136:H136"/>
    <mergeCell ref="G125:H125"/>
    <mergeCell ref="A120:E120"/>
    <mergeCell ref="C126:D126"/>
    <mergeCell ref="A119:E119"/>
    <mergeCell ref="C130:D130"/>
    <mergeCell ref="G130:H130"/>
    <mergeCell ref="A127:B127"/>
    <mergeCell ref="C125:D125"/>
    <mergeCell ref="F121:H121"/>
    <mergeCell ref="A37:H37"/>
    <mergeCell ref="A36:B36"/>
    <mergeCell ref="C36:E36"/>
    <mergeCell ref="A41:D41"/>
    <mergeCell ref="E41:H41"/>
    <mergeCell ref="F33:H33"/>
    <mergeCell ref="F34:H34"/>
    <mergeCell ref="A40:H40"/>
    <mergeCell ref="A61:C61"/>
    <mergeCell ref="D61:H61"/>
    <mergeCell ref="A43:D43"/>
    <mergeCell ref="E43:H43"/>
    <mergeCell ref="E44:H44"/>
    <mergeCell ref="E45:H45"/>
    <mergeCell ref="E46:H46"/>
    <mergeCell ref="A44:D44"/>
    <mergeCell ref="F36:H36"/>
    <mergeCell ref="A38:B38"/>
    <mergeCell ref="A39:B39"/>
    <mergeCell ref="C38:H38"/>
    <mergeCell ref="A45:D45"/>
    <mergeCell ref="C39:H39"/>
    <mergeCell ref="A46:D46"/>
    <mergeCell ref="A47:H47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41:H244"/>
    <mergeCell ref="A240:B240"/>
    <mergeCell ref="E240:F240"/>
    <mergeCell ref="C240:D240"/>
    <mergeCell ref="G240:H240"/>
    <mergeCell ref="A124:H124"/>
    <mergeCell ref="A122:E122"/>
    <mergeCell ref="F122:H122"/>
    <mergeCell ref="A123:E123"/>
    <mergeCell ref="F123:H123"/>
    <mergeCell ref="A198:H198"/>
    <mergeCell ref="A131:B131"/>
    <mergeCell ref="A207:B207"/>
    <mergeCell ref="A126:B126"/>
    <mergeCell ref="A236:H236"/>
    <mergeCell ref="A129:H129"/>
    <mergeCell ref="A239:H239"/>
    <mergeCell ref="A237:H237"/>
    <mergeCell ref="G211:H211"/>
    <mergeCell ref="A233:H233"/>
    <mergeCell ref="A211:B211"/>
    <mergeCell ref="A212:B212"/>
    <mergeCell ref="A213:B213"/>
    <mergeCell ref="A158:B158"/>
    <mergeCell ref="A234:H234"/>
    <mergeCell ref="E130:F130"/>
    <mergeCell ref="B230:H230"/>
    <mergeCell ref="G142:H142"/>
    <mergeCell ref="G140:H140"/>
    <mergeCell ref="G141:H141"/>
    <mergeCell ref="G143:H143"/>
    <mergeCell ref="B228:H228"/>
    <mergeCell ref="A219:B219"/>
    <mergeCell ref="G219:H219"/>
    <mergeCell ref="G218:H218"/>
    <mergeCell ref="A216:H216"/>
    <mergeCell ref="A217:B217"/>
    <mergeCell ref="A218:B218"/>
    <mergeCell ref="A221:B221"/>
    <mergeCell ref="G221:H221"/>
    <mergeCell ref="A220:B220"/>
    <mergeCell ref="A135:H135"/>
    <mergeCell ref="G201:H201"/>
    <mergeCell ref="G220:H220"/>
    <mergeCell ref="B223:H223"/>
    <mergeCell ref="B224:H224"/>
    <mergeCell ref="A209:B209"/>
    <mergeCell ref="A159:B159"/>
    <mergeCell ref="A50:B50"/>
    <mergeCell ref="A54:H54"/>
    <mergeCell ref="A55:C55"/>
    <mergeCell ref="A56:C56"/>
    <mergeCell ref="D56:H56"/>
    <mergeCell ref="G53:H53"/>
    <mergeCell ref="D60:H60"/>
    <mergeCell ref="A65:C65"/>
    <mergeCell ref="D65:H65"/>
    <mergeCell ref="D57:H57"/>
    <mergeCell ref="A57:C57"/>
    <mergeCell ref="G50:H50"/>
    <mergeCell ref="A51:B52"/>
    <mergeCell ref="A63:C63"/>
    <mergeCell ref="D63:H63"/>
    <mergeCell ref="A64:C64"/>
    <mergeCell ref="D64:H64"/>
    <mergeCell ref="A53:B53"/>
    <mergeCell ref="C53:E53"/>
    <mergeCell ref="G71:H71"/>
    <mergeCell ref="G100:H109"/>
    <mergeCell ref="A62:C62"/>
    <mergeCell ref="E72:F81"/>
    <mergeCell ref="G72:H81"/>
    <mergeCell ref="A80:B80"/>
    <mergeCell ref="A81:B81"/>
    <mergeCell ref="D62:H62"/>
    <mergeCell ref="A78:B78"/>
    <mergeCell ref="A71:B71"/>
    <mergeCell ref="A74:B74"/>
    <mergeCell ref="A70:B70"/>
    <mergeCell ref="A68:B68"/>
    <mergeCell ref="C68:H68"/>
    <mergeCell ref="A76:B76"/>
    <mergeCell ref="C70:H70"/>
    <mergeCell ref="A73:B73"/>
    <mergeCell ref="A75:B75"/>
    <mergeCell ref="E71:F71"/>
    <mergeCell ref="A67:C67"/>
    <mergeCell ref="D67:H67"/>
    <mergeCell ref="A66:C66"/>
    <mergeCell ref="D66:H66"/>
    <mergeCell ref="A79:B79"/>
    <mergeCell ref="B231:H231"/>
    <mergeCell ref="B232:H232"/>
    <mergeCell ref="A17:B17"/>
    <mergeCell ref="C17:H17"/>
    <mergeCell ref="E42:H42"/>
    <mergeCell ref="A42:D42"/>
    <mergeCell ref="A82:B82"/>
    <mergeCell ref="C82:H82"/>
    <mergeCell ref="A77:B77"/>
    <mergeCell ref="A49:B49"/>
    <mergeCell ref="C49:E49"/>
    <mergeCell ref="C52:E52"/>
    <mergeCell ref="G52:H52"/>
    <mergeCell ref="G49:H49"/>
    <mergeCell ref="G51:H51"/>
    <mergeCell ref="D55:H55"/>
    <mergeCell ref="C51:E51"/>
    <mergeCell ref="A58:C60"/>
    <mergeCell ref="D58:H58"/>
    <mergeCell ref="D59:H59"/>
    <mergeCell ref="C50:E50"/>
    <mergeCell ref="A147:H147"/>
    <mergeCell ref="A149:H149"/>
    <mergeCell ref="A72:B72"/>
    <mergeCell ref="I10:L10"/>
    <mergeCell ref="A238:H238"/>
    <mergeCell ref="A235:H235"/>
    <mergeCell ref="G214:H214"/>
    <mergeCell ref="A199:B199"/>
    <mergeCell ref="A130:B130"/>
    <mergeCell ref="D145:D146"/>
    <mergeCell ref="E145:E146"/>
    <mergeCell ref="G145:H146"/>
    <mergeCell ref="A90:B90"/>
    <mergeCell ref="A91:B91"/>
    <mergeCell ref="A92:B92"/>
    <mergeCell ref="A106:B106"/>
    <mergeCell ref="F111:H111"/>
    <mergeCell ref="G126:H126"/>
    <mergeCell ref="G200:H200"/>
    <mergeCell ref="B137:B138"/>
    <mergeCell ref="A137:A138"/>
    <mergeCell ref="C145:C146"/>
    <mergeCell ref="C133:D133"/>
    <mergeCell ref="A150:H150"/>
    <mergeCell ref="F120:H120"/>
    <mergeCell ref="E125:F125"/>
    <mergeCell ref="A125:B125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7" man="1"/>
    <brk id="244" max="16383" man="1"/>
    <brk id="286" max="16383" man="1"/>
    <brk id="32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F6" sqref="F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2" t="s">
        <v>110</v>
      </c>
      <c r="C3" s="192"/>
      <c r="D3" s="192"/>
      <c r="E3" s="192"/>
      <c r="F3" s="192"/>
      <c r="G3" s="192"/>
      <c r="H3" s="192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>
        <v>13600000</v>
      </c>
      <c r="D5" s="59" t="s">
        <v>204</v>
      </c>
      <c r="E5" s="5">
        <v>616</v>
      </c>
      <c r="F5" s="7">
        <f>E5*1.55</f>
        <v>954.80000000000007</v>
      </c>
      <c r="G5" s="7">
        <f>H5/F5</f>
        <v>142438.20695433597</v>
      </c>
      <c r="H5" s="8">
        <v>136000000</v>
      </c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2025-08-18T05:51:52Z</cp:lastPrinted>
  <dcterms:created xsi:type="dcterms:W3CDTF">2019-07-16T09:29:46Z</dcterms:created>
  <dcterms:modified xsi:type="dcterms:W3CDTF">2025-08-18T05:54:59Z</dcterms:modified>
</cp:coreProperties>
</file>