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C% for old Flormat" sheetId="8" r:id="rId2"/>
    <sheet name="C% for new format" sheetId="6" r:id="rId3"/>
    <sheet name="AXIS" sheetId="7" r:id="rId4"/>
    <sheet name="Flat detail" sheetId="3" r:id="rId5"/>
    <sheet name="valuation" sheetId="5" r:id="rId6"/>
    <sheet name="Note" sheetId="4" r:id="rId7"/>
  </sheets>
  <definedNames>
    <definedName name="_xlnm.Print_Area" localSheetId="0">Report!$A$1:$H$227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F88" i="1" l="1"/>
  <c r="G113" i="1" l="1"/>
  <c r="D105" i="1"/>
  <c r="G101" i="1"/>
  <c r="C60" i="1"/>
  <c r="D52" i="1"/>
  <c r="H61" i="1"/>
  <c r="F105" i="1" l="1"/>
  <c r="G119" i="1"/>
  <c r="D119" i="1"/>
  <c r="F119" i="1" s="1"/>
  <c r="A119" i="1"/>
  <c r="G117" i="1"/>
  <c r="D117" i="1"/>
  <c r="F117" i="1" s="1"/>
  <c r="A117" i="1"/>
  <c r="D113" i="1"/>
  <c r="C92" i="1" s="1"/>
  <c r="D111" i="1"/>
  <c r="F111" i="1" s="1"/>
  <c r="D110" i="1"/>
  <c r="F110" i="1" s="1"/>
  <c r="G109" i="1"/>
  <c r="D103" i="1"/>
  <c r="D102" i="1"/>
  <c r="D107" i="1"/>
  <c r="D106" i="1"/>
  <c r="P109" i="1"/>
  <c r="O109" i="1"/>
  <c r="C91" i="1" l="1"/>
  <c r="C93" i="1" s="1"/>
  <c r="E91" i="1"/>
  <c r="F102" i="1"/>
  <c r="I102" i="1" s="1"/>
  <c r="E92" i="1"/>
  <c r="P110" i="1"/>
  <c r="P111" i="1" s="1"/>
  <c r="N109" i="1"/>
  <c r="A109" i="1" s="1"/>
  <c r="O110" i="1"/>
  <c r="A122" i="1"/>
  <c r="A123" i="1" s="1"/>
  <c r="A124" i="1" s="1"/>
  <c r="A125" i="1" s="1"/>
  <c r="J4" i="8"/>
  <c r="A126" i="1" l="1"/>
  <c r="E93" i="1"/>
  <c r="N110" i="1"/>
  <c r="A110" i="1" s="1"/>
  <c r="O111" i="1"/>
  <c r="N111" i="1" s="1"/>
  <c r="A111" i="1" s="1"/>
  <c r="D9" i="8"/>
  <c r="E9" i="8" s="1"/>
  <c r="E12" i="8"/>
  <c r="N8" i="8"/>
  <c r="D7" i="8" s="1"/>
  <c r="N7" i="8"/>
  <c r="E13" i="8"/>
  <c r="E15" i="8"/>
  <c r="E16" i="8"/>
  <c r="E11" i="8"/>
  <c r="N6" i="8"/>
  <c r="E10" i="8"/>
  <c r="E14" i="8"/>
  <c r="N9" i="8"/>
  <c r="N10" i="8" s="1"/>
  <c r="N11" i="8" s="1"/>
  <c r="N12" i="8" s="1"/>
  <c r="N13" i="8" s="1"/>
  <c r="N14" i="8" s="1"/>
  <c r="A113" i="1"/>
  <c r="A114" i="1" s="1"/>
  <c r="A115" i="1" s="1"/>
  <c r="P105" i="1"/>
  <c r="P101" i="1"/>
  <c r="O101" i="1"/>
  <c r="O105" i="1"/>
  <c r="N15" i="8" l="1"/>
  <c r="N16" i="8" s="1"/>
  <c r="D8" i="8" s="1"/>
  <c r="E8" i="8" s="1"/>
  <c r="E7" i="8"/>
  <c r="N101" i="1"/>
  <c r="N105" i="1"/>
  <c r="I3" i="6"/>
  <c r="K65" i="1" l="1"/>
  <c r="C64" i="1" s="1"/>
  <c r="K64" i="1"/>
  <c r="K63" i="1"/>
  <c r="L3" i="8"/>
  <c r="D5" i="8" s="1"/>
  <c r="G7" i="8" s="1"/>
  <c r="I7" i="8"/>
  <c r="E15" i="6"/>
  <c r="D8" i="6"/>
  <c r="E8" i="6" s="1"/>
  <c r="E9" i="6"/>
  <c r="E14" i="6"/>
  <c r="E13" i="6"/>
  <c r="E12" i="6"/>
  <c r="E11" i="6"/>
  <c r="E10" i="6"/>
  <c r="D66" i="1"/>
  <c r="D73" i="1"/>
  <c r="D69" i="1"/>
  <c r="D72" i="1"/>
  <c r="D68" i="1"/>
  <c r="D71" i="1"/>
  <c r="D67" i="1"/>
  <c r="K66" i="1"/>
  <c r="K67" i="1" s="1"/>
  <c r="D70" i="1"/>
  <c r="L8" i="6"/>
  <c r="L9" i="6" s="1"/>
  <c r="L5" i="6"/>
  <c r="D64" i="1" l="1"/>
  <c r="K68" i="1"/>
  <c r="L10" i="6"/>
  <c r="K69" i="1" l="1"/>
  <c r="K70" i="1" s="1"/>
  <c r="K71" i="1" s="1"/>
  <c r="L11" i="6"/>
  <c r="E12" i="7"/>
  <c r="C12" i="7"/>
  <c r="E27" i="7"/>
  <c r="C27" i="7"/>
  <c r="K72" i="1" l="1"/>
  <c r="K73" i="1" s="1"/>
  <c r="L12" i="6"/>
  <c r="L13" i="6" s="1"/>
  <c r="F10" i="7"/>
  <c r="F8" i="7"/>
  <c r="F7" i="7"/>
  <c r="F5" i="7"/>
  <c r="F9" i="7" s="1"/>
  <c r="G64" i="1" l="1"/>
  <c r="F74" i="1" s="1"/>
  <c r="L14" i="6"/>
  <c r="L15" i="6" s="1"/>
  <c r="D7" i="6" s="1"/>
  <c r="E7" i="6" s="1"/>
  <c r="F11" i="7"/>
  <c r="I11" i="7" s="1"/>
  <c r="I10" i="7"/>
  <c r="I9" i="7"/>
  <c r="I8" i="7"/>
  <c r="H7" i="7"/>
  <c r="I6" i="7"/>
  <c r="H6" i="7"/>
  <c r="I5" i="7"/>
  <c r="I4" i="7"/>
  <c r="E44" i="7"/>
  <c r="C44" i="7"/>
  <c r="F43" i="7"/>
  <c r="I43" i="7" s="1"/>
  <c r="F42" i="7"/>
  <c r="I42" i="7" s="1"/>
  <c r="F40" i="7"/>
  <c r="I40" i="7" s="1"/>
  <c r="F38" i="7"/>
  <c r="I38" i="7" s="1"/>
  <c r="F37" i="7"/>
  <c r="I37" i="7" s="1"/>
  <c r="I36" i="7"/>
  <c r="H36" i="7"/>
  <c r="B36" i="7" s="1"/>
  <c r="F35" i="7"/>
  <c r="F39" i="7" s="1"/>
  <c r="I39" i="7" s="1"/>
  <c r="I34" i="7"/>
  <c r="F26" i="7"/>
  <c r="I26" i="7" s="1"/>
  <c r="F25" i="7"/>
  <c r="I25" i="7" s="1"/>
  <c r="F22" i="7"/>
  <c r="I22" i="7" s="1"/>
  <c r="F23" i="7"/>
  <c r="I23" i="7" s="1"/>
  <c r="F20" i="7"/>
  <c r="I20" i="7" s="1"/>
  <c r="I19" i="7"/>
  <c r="H19" i="7"/>
  <c r="B19" i="7" s="1"/>
  <c r="F18" i="7"/>
  <c r="F21" i="7" s="1"/>
  <c r="I17" i="7"/>
  <c r="D59" i="1" l="1"/>
  <c r="D65" i="1"/>
  <c r="I60" i="1"/>
  <c r="H40" i="7"/>
  <c r="F41" i="7"/>
  <c r="I41" i="7" s="1"/>
  <c r="I7" i="7"/>
  <c r="I12" i="7" s="1"/>
  <c r="H8" i="7"/>
  <c r="H35" i="7"/>
  <c r="I35" i="7"/>
  <c r="D35" i="7" s="1"/>
  <c r="D36" i="7" s="1"/>
  <c r="D37" i="7" s="1"/>
  <c r="D38" i="7" s="1"/>
  <c r="D39" i="7" s="1"/>
  <c r="D40" i="7" s="1"/>
  <c r="H11" i="7"/>
  <c r="H9" i="7"/>
  <c r="H5" i="7"/>
  <c r="H10" i="7"/>
  <c r="H43" i="7"/>
  <c r="H38" i="7"/>
  <c r="H39" i="7"/>
  <c r="H37" i="7"/>
  <c r="B37" i="7" s="1"/>
  <c r="H42" i="7"/>
  <c r="F24" i="7"/>
  <c r="H25" i="7"/>
  <c r="H21" i="7"/>
  <c r="I21" i="7"/>
  <c r="H23" i="7"/>
  <c r="H20" i="7"/>
  <c r="B20" i="7" s="1"/>
  <c r="H18" i="7"/>
  <c r="H22" i="7"/>
  <c r="I18" i="7"/>
  <c r="D18" i="7" s="1"/>
  <c r="D19" i="7" s="1"/>
  <c r="D20" i="7" s="1"/>
  <c r="H26" i="7"/>
  <c r="D41" i="7" l="1"/>
  <c r="D42" i="7" s="1"/>
  <c r="B21" i="7"/>
  <c r="C62" i="1"/>
  <c r="E64" i="1" s="1"/>
  <c r="D21" i="7"/>
  <c r="D22" i="7" s="1"/>
  <c r="D23" i="7" s="1"/>
  <c r="B22" i="7"/>
  <c r="B23" i="7" s="1"/>
  <c r="H41" i="7"/>
  <c r="H44" i="7" s="1"/>
  <c r="B38" i="7"/>
  <c r="B39" i="7" s="1"/>
  <c r="B40" i="7" s="1"/>
  <c r="B41" i="7" s="1"/>
  <c r="B42" i="7" s="1"/>
  <c r="I44" i="7"/>
  <c r="H12" i="7"/>
  <c r="H24" i="7"/>
  <c r="I24" i="7"/>
  <c r="I27" i="7" s="1"/>
  <c r="D24" i="7" l="1"/>
  <c r="D25" i="7" s="1"/>
  <c r="B24" i="7"/>
  <c r="B25" i="7" s="1"/>
  <c r="H27" i="7"/>
  <c r="L7" i="6" l="1"/>
  <c r="D6" i="6" s="1"/>
  <c r="L6" i="6"/>
  <c r="H6" i="6" l="1"/>
  <c r="E6" i="6"/>
  <c r="J2" i="6" s="1"/>
  <c r="D4" i="6" l="1"/>
  <c r="F6" i="6" s="1"/>
  <c r="H17" i="6"/>
  <c r="F17" i="6" l="1"/>
  <c r="E41" i="1" l="1"/>
  <c r="E42" i="1" s="1"/>
  <c r="F103" i="1" l="1"/>
  <c r="F107" i="1"/>
  <c r="F106" i="1"/>
  <c r="F113" i="1"/>
  <c r="G92" i="1" s="1"/>
  <c r="E3" i="1"/>
  <c r="D57" i="1" s="1"/>
  <c r="G91" i="1" l="1"/>
  <c r="G93" i="1" s="1"/>
  <c r="O102" i="1"/>
  <c r="G105" i="1"/>
  <c r="A101" i="1" l="1"/>
  <c r="P102" i="1"/>
  <c r="P103" i="1" s="1"/>
  <c r="O103" i="1"/>
  <c r="O106" i="1"/>
  <c r="E25" i="1"/>
  <c r="E23" i="1"/>
  <c r="N103" i="1" l="1"/>
  <c r="A103" i="1" s="1"/>
  <c r="N102" i="1"/>
  <c r="A102" i="1" s="1"/>
  <c r="A105" i="1"/>
  <c r="P106" i="1"/>
  <c r="P107" i="1" s="1"/>
  <c r="O107" i="1"/>
  <c r="F6" i="5"/>
  <c r="G6" i="5" s="1"/>
  <c r="F7" i="5"/>
  <c r="G7" i="5" s="1"/>
  <c r="F8" i="5"/>
  <c r="G8" i="5" s="1"/>
  <c r="F9" i="5"/>
  <c r="G9" i="5" s="1"/>
  <c r="F10" i="5"/>
  <c r="G10" i="5" s="1"/>
  <c r="F11" i="5"/>
  <c r="G11" i="5" s="1"/>
  <c r="F5" i="5"/>
  <c r="G5" i="5" s="1"/>
  <c r="N106" i="1" l="1"/>
  <c r="A106" i="1" s="1"/>
  <c r="N107" i="1"/>
  <c r="A107" i="1" s="1"/>
  <c r="G12" i="5"/>
  <c r="D145" i="1" l="1"/>
  <c r="C47"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comments1.xml><?xml version="1.0" encoding="utf-8"?>
<comments xmlns="http://schemas.openxmlformats.org/spreadsheetml/2006/main">
  <authors>
    <author xml:space="preserve"> </author>
  </authors>
  <commentList>
    <comment ref="F4" authorId="0" shapeId="0">
      <text>
        <r>
          <rPr>
            <sz val="10"/>
            <rFont val="Arial"/>
            <family val="2"/>
          </rPr>
          <t>No of habitable floors</t>
        </r>
      </text>
    </comment>
    <comment ref="F6" authorId="0" shapeId="0">
      <text>
        <r>
          <rPr>
            <sz val="10"/>
            <rFont val="Arial"/>
            <family val="2"/>
          </rPr>
          <t>No of RCC slabs including podiums</t>
        </r>
      </text>
    </comment>
    <comment ref="G6" authorId="0" shapeId="0">
      <text>
        <r>
          <rPr>
            <sz val="10"/>
            <rFont val="Arial"/>
            <family val="2"/>
          </rPr>
          <t>No of constructed RCC slabs including podium</t>
        </r>
      </text>
    </comment>
    <comment ref="F17" authorId="0" shapeId="0">
      <text>
        <r>
          <rPr>
            <sz val="10"/>
            <rFont val="Arial"/>
            <family val="2"/>
          </rPr>
          <t>No of habitable floors</t>
        </r>
      </text>
    </comment>
    <comment ref="F19" authorId="0" shapeId="0">
      <text>
        <r>
          <rPr>
            <sz val="10"/>
            <rFont val="Arial"/>
            <family val="2"/>
          </rPr>
          <t>No of RCC slabs including podiums</t>
        </r>
      </text>
    </comment>
    <comment ref="G19" authorId="0" shapeId="0">
      <text>
        <r>
          <rPr>
            <sz val="10"/>
            <rFont val="Arial"/>
            <family val="2"/>
          </rPr>
          <t>No of constructed RCC slabs including podium</t>
        </r>
      </text>
    </comment>
    <comment ref="F34" authorId="0" shapeId="0">
      <text>
        <r>
          <rPr>
            <sz val="10"/>
            <rFont val="Arial"/>
            <family val="2"/>
          </rPr>
          <t>No of habitable floors</t>
        </r>
      </text>
    </comment>
    <comment ref="F36" authorId="0" shapeId="0">
      <text>
        <r>
          <rPr>
            <sz val="10"/>
            <rFont val="Arial"/>
            <family val="2"/>
          </rPr>
          <t>No of RCC slabs including podiums</t>
        </r>
      </text>
    </comment>
    <comment ref="G36" authorId="0" shapeId="0">
      <text>
        <r>
          <rPr>
            <sz val="10"/>
            <rFont val="Arial"/>
            <family val="2"/>
          </rPr>
          <t>No of constructed RCC slabs including podium</t>
        </r>
      </text>
    </comment>
  </commentList>
</comments>
</file>

<file path=xl/sharedStrings.xml><?xml version="1.0" encoding="utf-8"?>
<sst xmlns="http://schemas.openxmlformats.org/spreadsheetml/2006/main" count="462" uniqueCount="266">
  <si>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</si>
  <si>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</si>
  <si>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</si>
  <si>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</si>
  <si>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</si>
  <si>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</si>
  <si>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</si>
  <si>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</si>
  <si>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</si>
  <si>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</si>
  <si>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</si>
  <si>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</si>
  <si>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</si>
  <si>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</si>
  <si>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</si>
  <si>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</si>
  <si>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</si>
  <si>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</si>
  <si>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</si>
  <si>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</si>
  <si>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</si>
  <si>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</si>
  <si>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</si>
  <si>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</si>
  <si>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</si>
  <si>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</si>
  <si>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</si>
  <si>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</si>
  <si>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</si>
  <si>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</si>
  <si>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</si>
  <si>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</si>
  <si>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</si>
  <si>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</si>
  <si>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</si>
  <si>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</si>
  <si>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</si>
  <si>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</si>
  <si>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</si>
  <si>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</si>
  <si>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</si>
  <si>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</si>
  <si>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</si>
  <si>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</si>
  <si>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</si>
  <si>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</si>
  <si>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</si>
  <si>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</si>
  <si>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</si>
  <si>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</si>
  <si>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</si>
  <si>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</si>
  <si>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</si>
  <si>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</si>
  <si>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</si>
  <si>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</si>
  <si>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</si>
  <si>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</si>
  <si>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</si>
  <si>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</si>
  <si>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</si>
  <si>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</si>
  <si>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</si>
  <si>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</si>
  <si>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</si>
  <si>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</si>
  <si>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</si>
  <si>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</si>
  <si>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</si>
  <si>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</si>
  <si>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</si>
  <si>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</si>
  <si>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</si>
  <si>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</si>
  <si>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</si>
  <si>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</si>
  <si>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</si>
  <si>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</si>
  <si>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</si>
  <si>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</si>
  <si>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</si>
  <si>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</si>
  <si>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</si>
  <si>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</si>
  <si>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</si>
  <si>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</si>
  <si>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</si>
  <si>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</si>
  <si>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</si>
  <si>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</si>
  <si>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</si>
  <si>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</si>
  <si>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</si>
  <si>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</si>
  <si>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</si>
  <si>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</si>
  <si>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</si>
  <si>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</si>
  <si>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</si>
  <si>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</si>
  <si>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</si>
  <si>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</si>
  <si>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</si>
  <si>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</si>
  <si>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</si>
  <si>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</si>
  <si>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</si>
  <si>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</si>
  <si>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</si>
  <si>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</si>
  <si>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</si>
  <si>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</si>
  <si>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</si>
  <si>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</si>
  <si>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</si>
  <si>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</si>
  <si>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</si>
  <si>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</si>
  <si>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</si>
  <si>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</si>
  <si>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</si>
  <si>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</si>
  <si>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</si>
  <si>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</si>
  <si>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</si>
  <si>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</si>
  <si>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</si>
  <si>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</si>
  <si>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</si>
  <si>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</si>
  <si>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</si>
  <si>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</si>
  <si>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</si>
  <si>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</si>
  <si>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</si>
  <si>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</si>
  <si>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</si>
  <si>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</si>
  <si>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</si>
  <si>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</si>
  <si>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</si>
  <si>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</si>
  <si>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</si>
  <si>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</si>
  <si>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</si>
  <si>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</si>
  <si>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</si>
  <si>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</si>
  <si>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</si>
  <si>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</si>
  <si>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</si>
  <si>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</si>
  <si>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</si>
  <si>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</si>
  <si>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All work Completed. Provide OC.</t>
  </si>
  <si>
    <t xml:space="preserve">Wheather the construction is as per approved Building plan : </t>
  </si>
  <si>
    <t>Saleable area
Loading :</t>
  </si>
  <si>
    <r>
      <t xml:space="preserve">Flat No.
</t>
    </r>
    <r>
      <rPr>
        <b/>
        <sz val="11"/>
        <color rgb="FF000000"/>
        <rFont val="Times New Roman"/>
        <family val="1"/>
      </rPr>
      <t>(Approved Plan)</t>
    </r>
  </si>
  <si>
    <t>Contact Details ( Name &amp; Contact No.)</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</si>
  <si>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</si>
  <si>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</si>
  <si>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</si>
  <si>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</si>
  <si>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</si>
  <si>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</si>
  <si>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</si>
  <si>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Stage calculator as per Revised Valuation Manual</t>
  </si>
  <si>
    <t>Completed</t>
  </si>
  <si>
    <t>Net completed</t>
  </si>
  <si>
    <t>Recommended</t>
  </si>
  <si>
    <t>Net recommended</t>
  </si>
  <si>
    <t>No of floors in building</t>
  </si>
  <si>
    <t>No of constructed floors</t>
  </si>
  <si>
    <t>Completed (%)</t>
  </si>
  <si>
    <t>Recommended (%)</t>
  </si>
  <si>
    <t>Excavation</t>
  </si>
  <si>
    <t>RCC (Including podiums)</t>
  </si>
  <si>
    <t>Brickwork &amp; Internal Plaster</t>
  </si>
  <si>
    <t>Flooring &amp; Fitting</t>
  </si>
  <si>
    <t>External Plaster &amp; Plumbing</t>
  </si>
  <si>
    <t>Building Common Amenities</t>
  </si>
  <si>
    <t>Possession</t>
  </si>
  <si>
    <t>Final Stage (%)</t>
  </si>
  <si>
    <t>Ext. Plaster &amp; Plumbing</t>
  </si>
  <si>
    <t>Brickwork</t>
  </si>
  <si>
    <t>Internal Plaster</t>
  </si>
  <si>
    <t>Painting &amp; Wooden</t>
  </si>
  <si>
    <t>ASMITA recommendation</t>
  </si>
  <si>
    <t>Actual Stage Provided by AXIS Bank</t>
  </si>
  <si>
    <t>Split % by Asmita ---OK By Ajinkya</t>
  </si>
  <si>
    <t>Slab/Floor</t>
  </si>
  <si>
    <t>Construction details:</t>
  </si>
  <si>
    <t>Add 14 Black Row in OLD APF format</t>
  </si>
  <si>
    <t>Piling Work in process</t>
  </si>
  <si>
    <t>Basement</t>
  </si>
  <si>
    <t>Basement 1</t>
  </si>
  <si>
    <t>Basement 2</t>
  </si>
  <si>
    <t>Basement 3</t>
  </si>
  <si>
    <t>Building Common Amenities &amp; Painting</t>
  </si>
  <si>
    <t>Basement 4</t>
  </si>
  <si>
    <t xml:space="preserve"> Building No.  = B1 to B4 + G + 20th Floor</t>
  </si>
  <si>
    <t>G + 6th Floor</t>
  </si>
  <si>
    <t>Ground Floor for parking</t>
  </si>
  <si>
    <t>Sale /Rehab</t>
  </si>
  <si>
    <t>1BHK</t>
  </si>
  <si>
    <t>Rehab</t>
  </si>
  <si>
    <t>Sale</t>
  </si>
  <si>
    <t>4th to 7th, 9th to 14th Floor</t>
  </si>
  <si>
    <t>Amenties</t>
  </si>
  <si>
    <t>8th &amp; 15th Floor (Part Refuge Area)</t>
  </si>
  <si>
    <t>Refuge Area</t>
  </si>
  <si>
    <t>16th Floor (Part Terrace Area)</t>
  </si>
  <si>
    <t>Terrace Area</t>
  </si>
  <si>
    <t>-</t>
  </si>
  <si>
    <t>17th Floor</t>
  </si>
  <si>
    <t>18th Floor</t>
  </si>
  <si>
    <t>We considered Gross carpet area = Net carpet.</t>
  </si>
  <si>
    <t>Axis Goregaon</t>
  </si>
  <si>
    <t>Orchid Heights</t>
  </si>
  <si>
    <t>02228643445/46/47</t>
  </si>
  <si>
    <t>738B/1A</t>
  </si>
  <si>
    <t>Borivali</t>
  </si>
  <si>
    <t>Mumbai</t>
  </si>
  <si>
    <t>Residential</t>
  </si>
  <si>
    <t>SRA/ENG/PN/PVT/0186/20181006/COM/AP</t>
  </si>
  <si>
    <t>Gr. + 1st to 18th Floor</t>
  </si>
  <si>
    <t>1st Floor for Amenities</t>
  </si>
  <si>
    <t>2nd &amp; 3rd Floor (Part Amenities Area)</t>
  </si>
  <si>
    <t>We considered Saleable area as per our calculation.</t>
  </si>
  <si>
    <t>Libra CHSL</t>
  </si>
  <si>
    <t>Pathanwadi Road</t>
  </si>
  <si>
    <t>M/s. Pragti Overseas Agency</t>
  </si>
  <si>
    <t>Approved Plans, CC, Sale Plan</t>
  </si>
  <si>
    <t>Name of the builder</t>
  </si>
  <si>
    <t xml:space="preserve">Mr. Nimesh Kirtikumar Shah
</t>
  </si>
  <si>
    <t>Dindoshi</t>
  </si>
  <si>
    <t>Malad</t>
  </si>
  <si>
    <t>Building</t>
  </si>
  <si>
    <t>Aman Heights (U/C)</t>
  </si>
  <si>
    <t>CTS No</t>
  </si>
  <si>
    <t>PN/PVT/0186/20181006/AP</t>
  </si>
  <si>
    <t>Gr. + 1st to 20th Floor</t>
  </si>
  <si>
    <t xml:space="preserve">Sale </t>
  </si>
  <si>
    <t>Sale Flats - 28, Rehab Flats - 13</t>
  </si>
  <si>
    <t>600000/-</t>
  </si>
  <si>
    <t>Recommended rate should be considered as all inclusive rate if other charges are not mentioned. (Excluding GST &amp; other government Taxes).</t>
  </si>
  <si>
    <t>On Site, we meet Mr. Rajiv - 9820070242.</t>
  </si>
  <si>
    <t>Location Link</t>
  </si>
  <si>
    <t>https://goo.gl/maps/LvxSL7qC4o1RzVCeA</t>
  </si>
  <si>
    <t>2.5 KM from Malad Railway Station</t>
  </si>
  <si>
    <t>Site Person Contact Details ( Name &amp; Contact No.)</t>
  </si>
  <si>
    <t>Latitude,Longitude</t>
  </si>
  <si>
    <t>19.178874,72.865125</t>
  </si>
  <si>
    <t>Construction work goes beyond approved C.C.</t>
  </si>
  <si>
    <t>Mr. Muzanmia 9773151527</t>
  </si>
  <si>
    <t>As per RERA - 29/06/2025</t>
  </si>
  <si>
    <t>Valid Up to:  This CC is re-endorsed &amp; further extended upto full height i.e 18th upper floor for PTC tenements &amp; up to 12th floor for entire work &amp; 13th to 20th (pt) upper floor for R.C.C framework only for sale tenements inclusing LMR &amp; OHWT of composite building as per approved amended plans dated 31/12/2021.</t>
  </si>
  <si>
    <t>We have updated revised approved CC from RERA site (on 14/08/2024).</t>
  </si>
  <si>
    <t xml:space="preserve">Mr. Pradeep Sharma
</t>
  </si>
  <si>
    <t>"Office No. 1031, Wing J, Akshar Business Park, Plot No. 03 Sector 25, Near APMC Market,
Vashi, Navi Mumbai, Maharashtra 400703 TEL: 022-46090378/79/80
E mail : vsjcapf@gmail.com. Web site : www.vsjadon.com"</t>
  </si>
  <si>
    <t>Construction work is in process at the time of Visit (Slow Speed).</t>
  </si>
  <si>
    <t>Shruti Tathare</t>
  </si>
  <si>
    <t>Roshan Kudalkar</t>
  </si>
  <si>
    <t>P51800029631</t>
  </si>
  <si>
    <t>As the construction work goes beyond the approved plan. Please provide latest approved floor plans dtd. 31/12/2021.</t>
  </si>
  <si>
    <t xml:space="preserve">As per RERA, completion period of Orchid Heights is expired on 29/06/2025. but still project is under construction.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</si>
</sst>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_(* #,##0_);_(* \(#,##0\);_(* &quot;-&quot;??_);_(@_)"/>
    <numFmt numFmtId="167" formatCode="dd\/mm\/yyyy"/>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b/>
      <sz val="11"/>
      <name val="Arial"/>
      <family val="2"/>
    </font>
    <font>
      <b/>
      <sz val="10"/>
      <name val="Arial"/>
      <family val="2"/>
    </font>
    <font>
      <b/>
      <sz val="10"/>
      <color theme="0"/>
      <name val="Arial"/>
      <family val="2"/>
    </font>
    <font>
      <b/>
      <sz val="15"/>
      <color rgb="FF000000"/>
      <name val="Calibri"/>
      <family val="2"/>
    </font>
    <font>
      <u/>
      <sz val="11"/>
      <color theme="10"/>
      <name val="Calibri"/>
      <family val="2"/>
    </font>
    <font>
      <b/>
      <sz val="12"/>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6"/>
        <bgColor indexed="22"/>
      </patternFill>
    </fill>
    <fill>
      <patternFill patternType="solid">
        <fgColor indexed="26"/>
        <bgColor indexed="9"/>
      </patternFill>
    </fill>
    <fill>
      <patternFill patternType="solid">
        <fgColor indexed="13"/>
        <bgColor indexed="34"/>
      </patternFill>
    </fill>
    <fill>
      <patternFill patternType="solid">
        <fgColor indexed="45"/>
        <bgColor indexed="29"/>
      </patternFill>
    </fill>
    <fill>
      <patternFill patternType="solid">
        <fgColor indexed="27"/>
        <bgColor indexed="41"/>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0" fontId="27" fillId="0" borderId="0" applyNumberFormat="0" applyFill="0" applyBorder="0" applyAlignment="0" applyProtection="0"/>
  </cellStyleXfs>
  <cellXfs count="234">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wrapText="1"/>
      <protection locked="0"/>
    </xf>
    <xf numFmtId="1" fontId="15" fillId="0" borderId="1" xfId="1" applyNumberFormat="1" applyFont="1" applyBorder="1" applyAlignment="1" applyProtection="1">
      <alignment horizontal="center"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15" fillId="0" borderId="7" xfId="1" applyFont="1" applyBorder="1" applyAlignment="1" applyProtection="1">
      <alignment horizontal="center" wrapText="1"/>
      <protection locked="0"/>
    </xf>
    <xf numFmtId="0" fontId="7" fillId="0" borderId="11" xfId="1" applyFont="1" applyBorder="1" applyProtection="1">
      <protection hidden="1"/>
    </xf>
    <xf numFmtId="0" fontId="7" fillId="0" borderId="12" xfId="1" applyFont="1" applyBorder="1" applyProtection="1">
      <protection hidden="1"/>
    </xf>
    <xf numFmtId="0" fontId="7" fillId="0" borderId="13" xfId="1" applyFont="1" applyBorder="1" applyProtection="1">
      <protection hidden="1"/>
    </xf>
    <xf numFmtId="0" fontId="7" fillId="0" borderId="13" xfId="1" applyFont="1" applyBorder="1"/>
    <xf numFmtId="9" fontId="17" fillId="0" borderId="0" xfId="0" applyNumberFormat="1" applyFont="1" applyProtection="1">
      <protection hidden="1"/>
    </xf>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9"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1" fontId="8" fillId="0" borderId="3" xfId="1" applyNumberFormat="1" applyFont="1" applyBorder="1" applyAlignment="1" applyProtection="1">
      <alignment horizontal="center" vertical="top" wrapText="1"/>
      <protection locked="0"/>
    </xf>
    <xf numFmtId="9" fontId="9" fillId="0" borderId="0" xfId="0" applyNumberFormat="1" applyFont="1" applyAlignment="1">
      <alignment horizontal="center"/>
    </xf>
    <xf numFmtId="9" fontId="0" fillId="0" borderId="0" xfId="0" applyNumberFormat="1"/>
    <xf numFmtId="0" fontId="7" fillId="0" borderId="0" xfId="1" applyFont="1" applyAlignment="1" applyProtection="1">
      <alignment horizontal="center" vertical="top" wrapText="1"/>
      <protection locked="0"/>
    </xf>
    <xf numFmtId="0" fontId="15" fillId="0" borderId="0" xfId="1" applyFont="1" applyAlignment="1" applyProtection="1">
      <alignment horizontal="center" wrapText="1"/>
      <protection locked="0"/>
    </xf>
    <xf numFmtId="9" fontId="7" fillId="2" borderId="0" xfId="1" applyNumberFormat="1" applyFont="1" applyFill="1" applyAlignment="1" applyProtection="1">
      <alignment horizontal="center" vertical="center" wrapText="1"/>
      <protection hidden="1"/>
    </xf>
    <xf numFmtId="0" fontId="17" fillId="0" borderId="0" xfId="0" applyFont="1" applyProtection="1">
      <protection hidden="1"/>
    </xf>
    <xf numFmtId="14" fontId="7" fillId="0" borderId="0" xfId="1" applyNumberFormat="1" applyFont="1"/>
    <xf numFmtId="1" fontId="7" fillId="0" borderId="0" xfId="1" applyNumberFormat="1" applyFont="1"/>
    <xf numFmtId="0" fontId="24" fillId="4" borderId="25"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24" fillId="5" borderId="25" xfId="0" applyFont="1" applyFill="1" applyBorder="1" applyAlignment="1" applyProtection="1">
      <alignment horizontal="center" vertical="center" wrapText="1"/>
      <protection locked="0"/>
    </xf>
    <xf numFmtId="165" fontId="24" fillId="5" borderId="25" xfId="0" applyNumberFormat="1" applyFont="1" applyFill="1" applyBorder="1" applyAlignment="1">
      <alignment horizontal="center" vertical="center" wrapText="1"/>
    </xf>
    <xf numFmtId="0" fontId="24" fillId="6" borderId="25" xfId="0" applyFont="1" applyFill="1" applyBorder="1" applyAlignment="1" applyProtection="1">
      <alignment horizontal="center" vertical="center" wrapText="1"/>
      <protection locked="0"/>
    </xf>
    <xf numFmtId="0" fontId="24" fillId="7" borderId="25" xfId="0" applyFont="1" applyFill="1" applyBorder="1" applyAlignment="1" applyProtection="1">
      <alignment horizontal="center" vertical="center" wrapText="1"/>
      <protection locked="0"/>
    </xf>
    <xf numFmtId="0" fontId="24" fillId="0" borderId="25" xfId="0" applyFont="1" applyBorder="1" applyAlignment="1">
      <alignment horizontal="center" vertical="center" wrapText="1"/>
    </xf>
    <xf numFmtId="0" fontId="24" fillId="8" borderId="25" xfId="0" applyFont="1" applyFill="1" applyBorder="1" applyAlignment="1">
      <alignment horizontal="center" vertical="center" wrapText="1"/>
    </xf>
    <xf numFmtId="1" fontId="24" fillId="8" borderId="25" xfId="0" applyNumberFormat="1" applyFont="1" applyFill="1" applyBorder="1" applyAlignment="1">
      <alignment horizontal="center" vertical="center" wrapText="1"/>
    </xf>
    <xf numFmtId="0" fontId="17" fillId="0" borderId="13" xfId="0" applyFont="1" applyBorder="1" applyProtection="1">
      <protection hidden="1"/>
    </xf>
    <xf numFmtId="1" fontId="24" fillId="5" borderId="25" xfId="0" applyNumberFormat="1" applyFont="1" applyFill="1" applyBorder="1" applyAlignment="1">
      <alignment horizontal="center" vertical="center" wrapText="1"/>
    </xf>
    <xf numFmtId="0" fontId="24" fillId="4" borderId="25" xfId="0" applyFont="1" applyFill="1" applyBorder="1" applyAlignment="1">
      <alignment horizontal="left" vertical="top" wrapText="1"/>
    </xf>
    <xf numFmtId="0" fontId="24" fillId="5" borderId="25" xfId="0" applyFont="1" applyFill="1" applyBorder="1" applyAlignment="1">
      <alignment horizontal="center" vertical="top" wrapText="1"/>
    </xf>
    <xf numFmtId="0" fontId="24" fillId="5" borderId="25" xfId="0" applyFont="1" applyFill="1" applyBorder="1" applyAlignment="1" applyProtection="1">
      <alignment horizontal="center" vertical="top" wrapText="1"/>
      <protection locked="0"/>
    </xf>
    <xf numFmtId="165" fontId="24" fillId="5" borderId="25" xfId="0" applyNumberFormat="1" applyFont="1" applyFill="1" applyBorder="1" applyAlignment="1">
      <alignment horizontal="center" vertical="top" wrapText="1"/>
    </xf>
    <xf numFmtId="0" fontId="25" fillId="4" borderId="25" xfId="0" applyFont="1" applyFill="1" applyBorder="1" applyAlignment="1">
      <alignment horizontal="center" vertical="center" wrapText="1"/>
    </xf>
    <xf numFmtId="0" fontId="0" fillId="3" borderId="0" xfId="0" applyFill="1"/>
    <xf numFmtId="0" fontId="12" fillId="0" borderId="5"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9" fontId="7" fillId="2" borderId="1" xfId="1" applyNumberFormat="1" applyFont="1" applyFill="1" applyBorder="1" applyAlignment="1" applyProtection="1">
      <alignment horizontal="center" vertical="center" wrapText="1"/>
      <protection hidden="1"/>
    </xf>
    <xf numFmtId="9" fontId="7" fillId="2" borderId="7" xfId="1" applyNumberFormat="1" applyFont="1" applyFill="1" applyBorder="1" applyAlignment="1" applyProtection="1">
      <alignment horizontal="center" vertical="center" wrapText="1"/>
      <protection hidden="1"/>
    </xf>
    <xf numFmtId="0" fontId="15" fillId="0" borderId="1" xfId="1" applyFont="1" applyBorder="1" applyAlignment="1" applyProtection="1">
      <alignment horizontal="center" vertical="top"/>
      <protection locked="0"/>
    </xf>
    <xf numFmtId="0" fontId="17" fillId="0" borderId="14" xfId="0" applyFont="1" applyBorder="1" applyProtection="1">
      <protection hidden="1"/>
    </xf>
    <xf numFmtId="9" fontId="17" fillId="0" borderId="14" xfId="0" applyNumberFormat="1" applyFont="1" applyBorder="1" applyProtection="1">
      <protection hidden="1"/>
    </xf>
    <xf numFmtId="2" fontId="0" fillId="0" borderId="0" xfId="0" applyNumberFormat="1"/>
    <xf numFmtId="165" fontId="0" fillId="0" borderId="0" xfId="0" applyNumberFormat="1"/>
    <xf numFmtId="2" fontId="17" fillId="0" borderId="0" xfId="0" applyNumberFormat="1" applyFont="1" applyProtection="1">
      <protection hidden="1"/>
    </xf>
    <xf numFmtId="1" fontId="0" fillId="0" borderId="13" xfId="0" applyNumberFormat="1" applyBorder="1"/>
    <xf numFmtId="1" fontId="0" fillId="0" borderId="13" xfId="0" applyNumberFormat="1" applyBorder="1" applyAlignment="1">
      <alignment horizontal="right"/>
    </xf>
    <xf numFmtId="1" fontId="0" fillId="0" borderId="15" xfId="0" applyNumberFormat="1" applyBorder="1"/>
    <xf numFmtId="0" fontId="12" fillId="0" borderId="4" xfId="1" applyFont="1" applyBorder="1" applyAlignment="1" applyProtection="1">
      <alignment horizontal="center" vertical="top"/>
      <protection locked="0"/>
    </xf>
    <xf numFmtId="0" fontId="0" fillId="0" borderId="13" xfId="0" applyBorder="1"/>
    <xf numFmtId="1" fontId="0" fillId="0" borderId="0" xfId="0" applyNumberFormat="1"/>
    <xf numFmtId="0" fontId="0" fillId="0" borderId="0" xfId="0" applyAlignment="1">
      <alignment horizontal="center"/>
    </xf>
    <xf numFmtId="1" fontId="8" fillId="0" borderId="1" xfId="0" applyNumberFormat="1" applyFont="1" applyBorder="1" applyAlignment="1" applyProtection="1">
      <alignment horizontal="center" vertical="center" wrapText="1"/>
      <protection locked="0"/>
    </xf>
    <xf numFmtId="0" fontId="12" fillId="0" borderId="9" xfId="1" applyFont="1" applyBorder="1" applyAlignment="1" applyProtection="1">
      <alignment horizontal="center" vertical="top"/>
      <protection locked="0"/>
    </xf>
    <xf numFmtId="0" fontId="12" fillId="2" borderId="1" xfId="1" applyFont="1" applyFill="1" applyBorder="1" applyAlignment="1" applyProtection="1">
      <alignment horizontal="left" vertical="top"/>
      <protection locked="0"/>
    </xf>
    <xf numFmtId="0" fontId="7" fillId="0" borderId="0" xfId="1" applyFont="1" applyAlignment="1">
      <alignment wrapText="1"/>
    </xf>
    <xf numFmtId="0" fontId="13"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0" fontId="12" fillId="0" borderId="7" xfId="1" applyFont="1" applyBorder="1" applyAlignment="1" applyProtection="1">
      <alignment horizontal="center" wrapText="1"/>
      <protection locked="0"/>
    </xf>
    <xf numFmtId="0" fontId="10" fillId="0" borderId="0" xfId="0" applyFont="1" applyAlignment="1">
      <alignment horizontal="center" vertical="center"/>
    </xf>
    <xf numFmtId="1" fontId="13"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1" fontId="8"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8" fillId="0" borderId="9" xfId="0" applyNumberFormat="1" applyFont="1" applyBorder="1" applyAlignment="1" applyProtection="1">
      <alignment vertical="top" wrapText="1"/>
      <protection locked="0"/>
    </xf>
    <xf numFmtId="1" fontId="8" fillId="0" borderId="24" xfId="0" applyNumberFormat="1" applyFont="1" applyBorder="1" applyAlignment="1" applyProtection="1">
      <alignment vertical="top" wrapText="1"/>
      <protection locked="0"/>
    </xf>
    <xf numFmtId="1" fontId="8" fillId="0" borderId="10" xfId="0" applyNumberFormat="1" applyFont="1" applyBorder="1" applyAlignment="1" applyProtection="1">
      <alignment vertical="top" wrapText="1"/>
      <protection locked="0"/>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vertical="top" wrapText="1"/>
      <protection locked="0"/>
    </xf>
    <xf numFmtId="1" fontId="13" fillId="0" borderId="24"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1" fontId="8" fillId="0" borderId="20"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1" fontId="6" fillId="0" borderId="20" xfId="1" applyNumberFormat="1" applyFont="1" applyBorder="1" applyAlignment="1" applyProtection="1">
      <alignment horizontal="center" vertical="center" wrapText="1"/>
      <protection locked="0"/>
    </xf>
    <xf numFmtId="1" fontId="6" fillId="0" borderId="3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27" fillId="0" borderId="9" xfId="9" applyBorder="1" applyAlignment="1" applyProtection="1">
      <alignment horizontal="left"/>
      <protection locked="0"/>
    </xf>
    <xf numFmtId="0" fontId="7" fillId="0" borderId="24" xfId="1" applyFont="1" applyBorder="1" applyAlignment="1" applyProtection="1">
      <alignment horizontal="left"/>
      <protection locked="0"/>
    </xf>
    <xf numFmtId="0" fontId="7" fillId="0" borderId="10" xfId="1" applyFont="1" applyBorder="1" applyAlignment="1" applyProtection="1">
      <alignment horizontal="left"/>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0" fillId="0" borderId="9" xfId="1" applyFont="1" applyBorder="1" applyAlignment="1" applyProtection="1">
      <alignment horizontal="left"/>
      <protection locked="0"/>
    </xf>
    <xf numFmtId="0" fontId="10" fillId="0" borderId="24" xfId="1" applyFont="1" applyBorder="1" applyAlignment="1" applyProtection="1">
      <alignment horizontal="left"/>
      <protection locked="0"/>
    </xf>
    <xf numFmtId="0" fontId="10" fillId="0" borderId="10" xfId="1" applyFont="1" applyBorder="1" applyAlignment="1" applyProtection="1">
      <alignment horizontal="left"/>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6" fillId="2" borderId="1" xfId="1" applyFont="1" applyFill="1" applyBorder="1" applyAlignment="1" applyProtection="1">
      <alignment horizontal="left" vertical="top" wrapText="1"/>
      <protection locked="0"/>
    </xf>
    <xf numFmtId="167"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4" fillId="0" borderId="3" xfId="1" applyNumberFormat="1" applyFont="1" applyBorder="1" applyAlignment="1" applyProtection="1">
      <alignment horizontal="center" vertical="top" wrapText="1"/>
      <protection locked="0"/>
    </xf>
    <xf numFmtId="1" fontId="4" fillId="0" borderId="19"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6" fillId="0" borderId="34" xfId="1" applyNumberFormat="1" applyFont="1" applyBorder="1" applyAlignment="1" applyProtection="1">
      <alignment horizontal="center" vertical="center" wrapText="1"/>
      <protection locked="0"/>
    </xf>
    <xf numFmtId="1" fontId="6" fillId="0" borderId="35" xfId="1" applyNumberFormat="1" applyFont="1" applyBorder="1" applyAlignment="1" applyProtection="1">
      <alignment horizontal="center" vertical="center" wrapText="1"/>
      <protection locked="0"/>
    </xf>
    <xf numFmtId="9" fontId="7" fillId="2" borderId="1" xfId="1" applyNumberFormat="1" applyFont="1" applyFill="1" applyBorder="1" applyAlignment="1" applyProtection="1">
      <alignment horizontal="center" vertical="center" wrapText="1"/>
      <protection hidden="1"/>
    </xf>
    <xf numFmtId="9" fontId="7" fillId="2" borderId="7" xfId="1" applyNumberFormat="1" applyFont="1" applyFill="1" applyBorder="1" applyAlignment="1" applyProtection="1">
      <alignment horizontal="center" vertical="center" wrapText="1"/>
      <protection hidden="1"/>
    </xf>
    <xf numFmtId="9" fontId="7" fillId="2" borderId="5" xfId="1" applyNumberFormat="1" applyFont="1" applyFill="1" applyBorder="1" applyAlignment="1" applyProtection="1">
      <alignment horizontal="center" vertical="center" wrapText="1"/>
      <protection hidden="1"/>
    </xf>
    <xf numFmtId="9" fontId="7" fillId="2" borderId="8" xfId="1" applyNumberFormat="1" applyFont="1" applyFill="1" applyBorder="1" applyAlignment="1" applyProtection="1">
      <alignment horizontal="center" vertical="center" wrapText="1"/>
      <protection hidden="1"/>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67" fontId="12" fillId="0" borderId="1" xfId="1" applyNumberFormat="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30" xfId="1" applyFont="1" applyBorder="1" applyAlignment="1" applyProtection="1">
      <alignment horizontal="left" vertical="top" wrapText="1"/>
      <protection locked="0"/>
    </xf>
    <xf numFmtId="0" fontId="12" fillId="0" borderId="9"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0"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167" fontId="13" fillId="0" borderId="1" xfId="1" applyNumberFormat="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2" fillId="2" borderId="9" xfId="1" applyFont="1" applyFill="1" applyBorder="1" applyAlignment="1" applyProtection="1">
      <alignment horizontal="left" vertical="top" wrapText="1"/>
      <protection locked="0"/>
    </xf>
    <xf numFmtId="0" fontId="12" fillId="2" borderId="24" xfId="1" applyFont="1" applyFill="1" applyBorder="1" applyAlignment="1" applyProtection="1">
      <alignment horizontal="left" vertical="top" wrapText="1"/>
      <protection locked="0"/>
    </xf>
    <xf numFmtId="0" fontId="12" fillId="2" borderId="10" xfId="1" applyFont="1"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28"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9" xfId="1" applyFont="1" applyBorder="1" applyAlignment="1" applyProtection="1">
      <alignment horizontal="left" vertical="top" wrapText="1"/>
      <protection locked="0"/>
    </xf>
    <xf numFmtId="0" fontId="12" fillId="0" borderId="1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0" fillId="3" borderId="0" xfId="0" applyFill="1" applyAlignment="1">
      <alignment horizontal="center"/>
    </xf>
    <xf numFmtId="0" fontId="8" fillId="0" borderId="31" xfId="1" applyFont="1" applyBorder="1" applyAlignment="1" applyProtection="1">
      <alignment horizontal="center" vertical="top" wrapText="1"/>
      <protection locked="0"/>
    </xf>
    <xf numFmtId="0" fontId="8" fillId="0" borderId="32" xfId="1" applyFont="1" applyBorder="1" applyAlignment="1" applyProtection="1">
      <alignment horizontal="center" vertical="top" wrapText="1"/>
      <protection locked="0"/>
    </xf>
    <xf numFmtId="0" fontId="8" fillId="0" borderId="32" xfId="1" applyFont="1" applyBorder="1" applyAlignment="1" applyProtection="1">
      <alignment horizontal="left" vertical="top" wrapText="1"/>
      <protection locked="0"/>
    </xf>
    <xf numFmtId="0" fontId="8" fillId="0" borderId="33" xfId="1" applyFont="1" applyBorder="1" applyAlignment="1" applyProtection="1">
      <alignment horizontal="left" vertical="top" wrapText="1"/>
      <protection locked="0"/>
    </xf>
    <xf numFmtId="0" fontId="12" fillId="0" borderId="5"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0" xfId="1" applyFont="1" applyBorder="1" applyAlignment="1" applyProtection="1">
      <alignment horizontal="center" vertical="top"/>
      <protection locked="0"/>
    </xf>
    <xf numFmtId="0" fontId="8" fillId="0" borderId="28" xfId="1" applyFont="1" applyBorder="1" applyAlignment="1" applyProtection="1">
      <alignment horizontal="center" vertical="top" wrapText="1"/>
      <protection locked="0"/>
    </xf>
    <xf numFmtId="0" fontId="8" fillId="0" borderId="18" xfId="1" applyFont="1" applyBorder="1" applyAlignment="1" applyProtection="1">
      <alignment horizontal="center"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23" fillId="4" borderId="25"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6" fillId="3" borderId="26" xfId="0" applyFont="1" applyFill="1" applyBorder="1" applyAlignment="1">
      <alignment horizontal="center"/>
    </xf>
    <xf numFmtId="0" fontId="26" fillId="3" borderId="9" xfId="0" applyFont="1" applyFill="1" applyBorder="1" applyAlignment="1">
      <alignment horizontal="center"/>
    </xf>
    <xf numFmtId="0" fontId="26" fillId="3" borderId="24" xfId="0" applyFont="1" applyFill="1" applyBorder="1" applyAlignment="1">
      <alignment horizontal="center"/>
    </xf>
    <xf numFmtId="0" fontId="26" fillId="3" borderId="10" xfId="0" applyFont="1" applyFill="1" applyBorder="1" applyAlignment="1">
      <alignment horizontal="center"/>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xf numFmtId="1" fontId="28" fillId="0" borderId="9" xfId="0" applyNumberFormat="1" applyFont="1" applyBorder="1" applyAlignment="1" applyProtection="1">
      <alignment vertical="top" wrapText="1"/>
      <protection locked="0"/>
    </xf>
    <xf numFmtId="1" fontId="28" fillId="0" borderId="24" xfId="0" applyNumberFormat="1" applyFont="1" applyBorder="1" applyAlignment="1" applyProtection="1">
      <alignment vertical="top" wrapText="1"/>
      <protection locked="0"/>
    </xf>
    <xf numFmtId="1" fontId="28" fillId="0" borderId="10" xfId="0" applyNumberFormat="1" applyFont="1" applyBorder="1" applyAlignment="1" applyProtection="1">
      <alignment vertical="top" wrapText="1"/>
      <protection locked="0"/>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189</xdr:row>
      <xdr:rowOff>47625</xdr:rowOff>
    </xdr:from>
    <xdr:to>
      <xdr:col>7</xdr:col>
      <xdr:colOff>95647</xdr:colOff>
      <xdr:row>206</xdr:row>
      <xdr:rowOff>66026</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95375" y="39871650"/>
          <a:ext cx="5115322" cy="3418826"/>
        </a:xfrm>
        <a:prstGeom prst="rect">
          <a:avLst/>
        </a:prstGeom>
        <a:ln>
          <a:solidFill>
            <a:schemeClr val="tx1"/>
          </a:solidFill>
        </a:ln>
      </xdr:spPr>
    </xdr:pic>
    <xdr:clientData/>
  </xdr:twoCellAnchor>
  <xdr:twoCellAnchor editAs="oneCell">
    <xdr:from>
      <xdr:col>1</xdr:col>
      <xdr:colOff>258907</xdr:colOff>
      <xdr:row>207</xdr:row>
      <xdr:rowOff>13853</xdr:rowOff>
    </xdr:from>
    <xdr:to>
      <xdr:col>7</xdr:col>
      <xdr:colOff>78329</xdr:colOff>
      <xdr:row>223</xdr:row>
      <xdr:rowOff>126237</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020907" y="41534194"/>
          <a:ext cx="4746445" cy="3298929"/>
        </a:xfrm>
        <a:prstGeom prst="rect">
          <a:avLst/>
        </a:prstGeom>
        <a:ln>
          <a:solidFill>
            <a:schemeClr val="tx1"/>
          </a:solidFill>
        </a:ln>
      </xdr:spPr>
    </xdr:pic>
    <xdr:clientData/>
  </xdr:twoCellAnchor>
  <xdr:twoCellAnchor editAs="oneCell">
    <xdr:from>
      <xdr:col>8</xdr:col>
      <xdr:colOff>67236</xdr:colOff>
      <xdr:row>32</xdr:row>
      <xdr:rowOff>89647</xdr:rowOff>
    </xdr:from>
    <xdr:to>
      <xdr:col>20</xdr:col>
      <xdr:colOff>595281</xdr:colOff>
      <xdr:row>46</xdr:row>
      <xdr:rowOff>81424</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3"/>
        <a:stretch>
          <a:fillRect/>
        </a:stretch>
      </xdr:blipFill>
      <xdr:spPr>
        <a:xfrm>
          <a:off x="6600265" y="7418294"/>
          <a:ext cx="6971428" cy="3028571"/>
        </a:xfrm>
        <a:prstGeom prst="rect">
          <a:avLst/>
        </a:prstGeom>
      </xdr:spPr>
    </xdr:pic>
    <xdr:clientData/>
  </xdr:twoCellAnchor>
  <xdr:twoCellAnchor>
    <xdr:from>
      <xdr:col>0</xdr:col>
      <xdr:colOff>133350</xdr:colOff>
      <xdr:row>145</xdr:row>
      <xdr:rowOff>133350</xdr:rowOff>
    </xdr:from>
    <xdr:to>
      <xdr:col>7</xdr:col>
      <xdr:colOff>773906</xdr:colOff>
      <xdr:row>179</xdr:row>
      <xdr:rowOff>190499</xdr:rowOff>
    </xdr:to>
    <xdr:grpSp>
      <xdr:nvGrpSpPr>
        <xdr:cNvPr id="10" name="Group 9"/>
        <xdr:cNvGrpSpPr/>
      </xdr:nvGrpSpPr>
      <xdr:grpSpPr>
        <a:xfrm>
          <a:off x="133350" y="31927800"/>
          <a:ext cx="6336506" cy="6838949"/>
          <a:chOff x="133350" y="31480125"/>
          <a:chExt cx="6336506" cy="6838949"/>
        </a:xfrm>
      </xdr:grpSpPr>
      <xdr:pic>
        <xdr:nvPicPr>
          <xdr:cNvPr id="28" name="Picture 27" descr="https://vsjcllp.vsjadon.com/upload/insp-243348-1525.jpe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419600" y="35585399"/>
            <a:ext cx="2050256"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3348-843.jpe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19074" y="31480125"/>
            <a:ext cx="3014663" cy="4019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3348-845.jpe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286000" y="35585399"/>
            <a:ext cx="2050256"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3348-844.jpe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33350" y="35585399"/>
            <a:ext cx="2050256"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3348-847.jpe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324224" y="31480125"/>
            <a:ext cx="3014663" cy="4019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LvxSL7qC4o1RzVCe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88"/>
  <sheetViews>
    <sheetView tabSelected="1" view="pageBreakPreview" zoomScaleNormal="100" zoomScaleSheetLayoutView="100" zoomScalePageLayoutView="85" workbookViewId="0">
      <selection activeCell="L15" sqref="L15"/>
    </sheetView>
  </sheetViews>
  <sheetFormatPr defaultColWidth="9.140625" defaultRowHeight="15.75" x14ac:dyDescent="0.25"/>
  <cols>
    <col min="1" max="1" width="11.42578125" style="19" customWidth="1"/>
    <col min="2" max="2" width="12" style="19" customWidth="1"/>
    <col min="3" max="3" width="12.7109375" style="19" customWidth="1"/>
    <col min="4" max="4" width="14.140625" style="19" customWidth="1"/>
    <col min="5" max="7" width="11.7109375" style="19" customWidth="1"/>
    <col min="8" max="8" width="12.42578125" style="19" customWidth="1"/>
    <col min="9" max="9" width="15.7109375" style="8" customWidth="1"/>
    <col min="10" max="10" width="11.42578125" style="8" customWidth="1"/>
    <col min="11" max="11" width="10.5703125" style="8" bestFit="1" customWidth="1"/>
    <col min="12" max="12" width="10.5703125" style="8" customWidth="1"/>
    <col min="13" max="13" width="11.85546875" style="8" customWidth="1"/>
    <col min="14" max="14" width="12.5703125" style="8" hidden="1" customWidth="1"/>
    <col min="15" max="15" width="9.85546875" style="8" hidden="1" customWidth="1"/>
    <col min="16" max="16" width="10.42578125" style="8" hidden="1" customWidth="1"/>
    <col min="17" max="247" width="9.140625" style="8"/>
    <col min="248" max="248" width="8.7109375" style="8" customWidth="1"/>
    <col min="249" max="249" width="9.85546875" style="8" customWidth="1"/>
    <col min="250" max="250" width="14.42578125" style="8" customWidth="1"/>
    <col min="251" max="251" width="7.28515625" style="8" customWidth="1"/>
    <col min="252" max="252" width="5.5703125" style="8" customWidth="1"/>
    <col min="253" max="253" width="9" style="8" customWidth="1"/>
    <col min="254" max="255" width="9.85546875" style="8" customWidth="1"/>
    <col min="256" max="256" width="11.140625" style="8" customWidth="1"/>
    <col min="257" max="257" width="2.85546875" style="8" customWidth="1"/>
    <col min="258" max="258" width="3.5703125" style="8" customWidth="1"/>
    <col min="259" max="503" width="9.140625" style="8"/>
    <col min="504" max="504" width="8.7109375" style="8" customWidth="1"/>
    <col min="505" max="505" width="9.85546875" style="8" customWidth="1"/>
    <col min="506" max="506" width="14.42578125" style="8" customWidth="1"/>
    <col min="507" max="507" width="7.28515625" style="8" customWidth="1"/>
    <col min="508" max="508" width="5.5703125" style="8" customWidth="1"/>
    <col min="509" max="509" width="9" style="8" customWidth="1"/>
    <col min="510" max="511" width="9.85546875" style="8" customWidth="1"/>
    <col min="512" max="512" width="11.140625" style="8" customWidth="1"/>
    <col min="513" max="513" width="2.85546875" style="8" customWidth="1"/>
    <col min="514" max="514" width="3.5703125" style="8" customWidth="1"/>
    <col min="515" max="759" width="9.140625" style="8"/>
    <col min="760" max="760" width="8.7109375" style="8" customWidth="1"/>
    <col min="761" max="761" width="9.85546875" style="8" customWidth="1"/>
    <col min="762" max="762" width="14.42578125" style="8" customWidth="1"/>
    <col min="763" max="763" width="7.28515625" style="8" customWidth="1"/>
    <col min="764" max="764" width="5.5703125" style="8" customWidth="1"/>
    <col min="765" max="765" width="9" style="8" customWidth="1"/>
    <col min="766" max="767" width="9.85546875" style="8" customWidth="1"/>
    <col min="768" max="768" width="11.140625" style="8" customWidth="1"/>
    <col min="769" max="769" width="2.85546875" style="8" customWidth="1"/>
    <col min="770" max="770" width="3.5703125" style="8" customWidth="1"/>
    <col min="771" max="1015" width="9.140625" style="8"/>
    <col min="1016" max="1016" width="8.7109375" style="8" customWidth="1"/>
    <col min="1017" max="1017" width="9.85546875" style="8" customWidth="1"/>
    <col min="1018" max="1018" width="14.42578125" style="8" customWidth="1"/>
    <col min="1019" max="1019" width="7.28515625" style="8" customWidth="1"/>
    <col min="1020" max="1020" width="5.5703125" style="8" customWidth="1"/>
    <col min="1021" max="1021" width="9" style="8" customWidth="1"/>
    <col min="1022" max="1023" width="9.85546875" style="8" customWidth="1"/>
    <col min="1024" max="1024" width="11.140625" style="8" customWidth="1"/>
    <col min="1025" max="1025" width="2.85546875" style="8" customWidth="1"/>
    <col min="1026" max="1026" width="3.5703125" style="8" customWidth="1"/>
    <col min="1027" max="1271" width="9.140625" style="8"/>
    <col min="1272" max="1272" width="8.7109375" style="8" customWidth="1"/>
    <col min="1273" max="1273" width="9.85546875" style="8" customWidth="1"/>
    <col min="1274" max="1274" width="14.42578125" style="8" customWidth="1"/>
    <col min="1275" max="1275" width="7.28515625" style="8" customWidth="1"/>
    <col min="1276" max="1276" width="5.5703125" style="8" customWidth="1"/>
    <col min="1277" max="1277" width="9" style="8" customWidth="1"/>
    <col min="1278" max="1279" width="9.85546875" style="8" customWidth="1"/>
    <col min="1280" max="1280" width="11.140625" style="8" customWidth="1"/>
    <col min="1281" max="1281" width="2.85546875" style="8" customWidth="1"/>
    <col min="1282" max="1282" width="3.5703125" style="8" customWidth="1"/>
    <col min="1283" max="1527" width="9.140625" style="8"/>
    <col min="1528" max="1528" width="8.7109375" style="8" customWidth="1"/>
    <col min="1529" max="1529" width="9.85546875" style="8" customWidth="1"/>
    <col min="1530" max="1530" width="14.42578125" style="8" customWidth="1"/>
    <col min="1531" max="1531" width="7.28515625" style="8" customWidth="1"/>
    <col min="1532" max="1532" width="5.5703125" style="8" customWidth="1"/>
    <col min="1533" max="1533" width="9" style="8" customWidth="1"/>
    <col min="1534" max="1535" width="9.85546875" style="8" customWidth="1"/>
    <col min="1536" max="1536" width="11.140625" style="8" customWidth="1"/>
    <col min="1537" max="1537" width="2.85546875" style="8" customWidth="1"/>
    <col min="1538" max="1538" width="3.5703125" style="8" customWidth="1"/>
    <col min="1539" max="1783" width="9.140625" style="8"/>
    <col min="1784" max="1784" width="8.7109375" style="8" customWidth="1"/>
    <col min="1785" max="1785" width="9.85546875" style="8" customWidth="1"/>
    <col min="1786" max="1786" width="14.42578125" style="8" customWidth="1"/>
    <col min="1787" max="1787" width="7.28515625" style="8" customWidth="1"/>
    <col min="1788" max="1788" width="5.5703125" style="8" customWidth="1"/>
    <col min="1789" max="1789" width="9" style="8" customWidth="1"/>
    <col min="1790" max="1791" width="9.85546875" style="8" customWidth="1"/>
    <col min="1792" max="1792" width="11.140625" style="8" customWidth="1"/>
    <col min="1793" max="1793" width="2.85546875" style="8" customWidth="1"/>
    <col min="1794" max="1794" width="3.5703125" style="8" customWidth="1"/>
    <col min="1795" max="2039" width="9.140625" style="8"/>
    <col min="2040" max="2040" width="8.7109375" style="8" customWidth="1"/>
    <col min="2041" max="2041" width="9.85546875" style="8" customWidth="1"/>
    <col min="2042" max="2042" width="14.42578125" style="8" customWidth="1"/>
    <col min="2043" max="2043" width="7.28515625" style="8" customWidth="1"/>
    <col min="2044" max="2044" width="5.5703125" style="8" customWidth="1"/>
    <col min="2045" max="2045" width="9" style="8" customWidth="1"/>
    <col min="2046" max="2047" width="9.85546875" style="8" customWidth="1"/>
    <col min="2048" max="2048" width="11.140625" style="8" customWidth="1"/>
    <col min="2049" max="2049" width="2.85546875" style="8" customWidth="1"/>
    <col min="2050" max="2050" width="3.5703125" style="8" customWidth="1"/>
    <col min="2051" max="2295" width="9.140625" style="8"/>
    <col min="2296" max="2296" width="8.7109375" style="8" customWidth="1"/>
    <col min="2297" max="2297" width="9.85546875" style="8" customWidth="1"/>
    <col min="2298" max="2298" width="14.42578125" style="8" customWidth="1"/>
    <col min="2299" max="2299" width="7.28515625" style="8" customWidth="1"/>
    <col min="2300" max="2300" width="5.5703125" style="8" customWidth="1"/>
    <col min="2301" max="2301" width="9" style="8" customWidth="1"/>
    <col min="2302" max="2303" width="9.85546875" style="8" customWidth="1"/>
    <col min="2304" max="2304" width="11.140625" style="8" customWidth="1"/>
    <col min="2305" max="2305" width="2.85546875" style="8" customWidth="1"/>
    <col min="2306" max="2306" width="3.5703125" style="8" customWidth="1"/>
    <col min="2307" max="2551" width="9.140625" style="8"/>
    <col min="2552" max="2552" width="8.7109375" style="8" customWidth="1"/>
    <col min="2553" max="2553" width="9.85546875" style="8" customWidth="1"/>
    <col min="2554" max="2554" width="14.42578125" style="8" customWidth="1"/>
    <col min="2555" max="2555" width="7.28515625" style="8" customWidth="1"/>
    <col min="2556" max="2556" width="5.5703125" style="8" customWidth="1"/>
    <col min="2557" max="2557" width="9" style="8" customWidth="1"/>
    <col min="2558" max="2559" width="9.85546875" style="8" customWidth="1"/>
    <col min="2560" max="2560" width="11.140625" style="8" customWidth="1"/>
    <col min="2561" max="2561" width="2.85546875" style="8" customWidth="1"/>
    <col min="2562" max="2562" width="3.5703125" style="8" customWidth="1"/>
    <col min="2563" max="2807" width="9.140625" style="8"/>
    <col min="2808" max="2808" width="8.7109375" style="8" customWidth="1"/>
    <col min="2809" max="2809" width="9.85546875" style="8" customWidth="1"/>
    <col min="2810" max="2810" width="14.42578125" style="8" customWidth="1"/>
    <col min="2811" max="2811" width="7.28515625" style="8" customWidth="1"/>
    <col min="2812" max="2812" width="5.5703125" style="8" customWidth="1"/>
    <col min="2813" max="2813" width="9" style="8" customWidth="1"/>
    <col min="2814" max="2815" width="9.85546875" style="8" customWidth="1"/>
    <col min="2816" max="2816" width="11.140625" style="8" customWidth="1"/>
    <col min="2817" max="2817" width="2.85546875" style="8" customWidth="1"/>
    <col min="2818" max="2818" width="3.5703125" style="8" customWidth="1"/>
    <col min="2819" max="3063" width="9.140625" style="8"/>
    <col min="3064" max="3064" width="8.7109375" style="8" customWidth="1"/>
    <col min="3065" max="3065" width="9.85546875" style="8" customWidth="1"/>
    <col min="3066" max="3066" width="14.42578125" style="8" customWidth="1"/>
    <col min="3067" max="3067" width="7.28515625" style="8" customWidth="1"/>
    <col min="3068" max="3068" width="5.5703125" style="8" customWidth="1"/>
    <col min="3069" max="3069" width="9" style="8" customWidth="1"/>
    <col min="3070" max="3071" width="9.85546875" style="8" customWidth="1"/>
    <col min="3072" max="3072" width="11.140625" style="8" customWidth="1"/>
    <col min="3073" max="3073" width="2.85546875" style="8" customWidth="1"/>
    <col min="3074" max="3074" width="3.5703125" style="8" customWidth="1"/>
    <col min="3075" max="3319" width="9.140625" style="8"/>
    <col min="3320" max="3320" width="8.7109375" style="8" customWidth="1"/>
    <col min="3321" max="3321" width="9.85546875" style="8" customWidth="1"/>
    <col min="3322" max="3322" width="14.42578125" style="8" customWidth="1"/>
    <col min="3323" max="3323" width="7.28515625" style="8" customWidth="1"/>
    <col min="3324" max="3324" width="5.5703125" style="8" customWidth="1"/>
    <col min="3325" max="3325" width="9" style="8" customWidth="1"/>
    <col min="3326" max="3327" width="9.85546875" style="8" customWidth="1"/>
    <col min="3328" max="3328" width="11.140625" style="8" customWidth="1"/>
    <col min="3329" max="3329" width="2.85546875" style="8" customWidth="1"/>
    <col min="3330" max="3330" width="3.5703125" style="8" customWidth="1"/>
    <col min="3331" max="3575" width="9.140625" style="8"/>
    <col min="3576" max="3576" width="8.7109375" style="8" customWidth="1"/>
    <col min="3577" max="3577" width="9.85546875" style="8" customWidth="1"/>
    <col min="3578" max="3578" width="14.42578125" style="8" customWidth="1"/>
    <col min="3579" max="3579" width="7.28515625" style="8" customWidth="1"/>
    <col min="3580" max="3580" width="5.5703125" style="8" customWidth="1"/>
    <col min="3581" max="3581" width="9" style="8" customWidth="1"/>
    <col min="3582" max="3583" width="9.85546875" style="8" customWidth="1"/>
    <col min="3584" max="3584" width="11.140625" style="8" customWidth="1"/>
    <col min="3585" max="3585" width="2.85546875" style="8" customWidth="1"/>
    <col min="3586" max="3586" width="3.5703125" style="8" customWidth="1"/>
    <col min="3587" max="3831" width="9.140625" style="8"/>
    <col min="3832" max="3832" width="8.7109375" style="8" customWidth="1"/>
    <col min="3833" max="3833" width="9.85546875" style="8" customWidth="1"/>
    <col min="3834" max="3834" width="14.42578125" style="8" customWidth="1"/>
    <col min="3835" max="3835" width="7.28515625" style="8" customWidth="1"/>
    <col min="3836" max="3836" width="5.5703125" style="8" customWidth="1"/>
    <col min="3837" max="3837" width="9" style="8" customWidth="1"/>
    <col min="3838" max="3839" width="9.85546875" style="8" customWidth="1"/>
    <col min="3840" max="3840" width="11.140625" style="8" customWidth="1"/>
    <col min="3841" max="3841" width="2.85546875" style="8" customWidth="1"/>
    <col min="3842" max="3842" width="3.5703125" style="8" customWidth="1"/>
    <col min="3843" max="4087" width="9.140625" style="8"/>
    <col min="4088" max="4088" width="8.7109375" style="8" customWidth="1"/>
    <col min="4089" max="4089" width="9.85546875" style="8" customWidth="1"/>
    <col min="4090" max="4090" width="14.42578125" style="8" customWidth="1"/>
    <col min="4091" max="4091" width="7.28515625" style="8" customWidth="1"/>
    <col min="4092" max="4092" width="5.5703125" style="8" customWidth="1"/>
    <col min="4093" max="4093" width="9" style="8" customWidth="1"/>
    <col min="4094" max="4095" width="9.85546875" style="8" customWidth="1"/>
    <col min="4096" max="4096" width="11.140625" style="8" customWidth="1"/>
    <col min="4097" max="4097" width="2.85546875" style="8" customWidth="1"/>
    <col min="4098" max="4098" width="3.5703125" style="8" customWidth="1"/>
    <col min="4099" max="4343" width="9.140625" style="8"/>
    <col min="4344" max="4344" width="8.7109375" style="8" customWidth="1"/>
    <col min="4345" max="4345" width="9.85546875" style="8" customWidth="1"/>
    <col min="4346" max="4346" width="14.42578125" style="8" customWidth="1"/>
    <col min="4347" max="4347" width="7.28515625" style="8" customWidth="1"/>
    <col min="4348" max="4348" width="5.5703125" style="8" customWidth="1"/>
    <col min="4349" max="4349" width="9" style="8" customWidth="1"/>
    <col min="4350" max="4351" width="9.85546875" style="8" customWidth="1"/>
    <col min="4352" max="4352" width="11.140625" style="8" customWidth="1"/>
    <col min="4353" max="4353" width="2.85546875" style="8" customWidth="1"/>
    <col min="4354" max="4354" width="3.5703125" style="8" customWidth="1"/>
    <col min="4355" max="4599" width="9.140625" style="8"/>
    <col min="4600" max="4600" width="8.7109375" style="8" customWidth="1"/>
    <col min="4601" max="4601" width="9.85546875" style="8" customWidth="1"/>
    <col min="4602" max="4602" width="14.42578125" style="8" customWidth="1"/>
    <col min="4603" max="4603" width="7.28515625" style="8" customWidth="1"/>
    <col min="4604" max="4604" width="5.5703125" style="8" customWidth="1"/>
    <col min="4605" max="4605" width="9" style="8" customWidth="1"/>
    <col min="4606" max="4607" width="9.85546875" style="8" customWidth="1"/>
    <col min="4608" max="4608" width="11.140625" style="8" customWidth="1"/>
    <col min="4609" max="4609" width="2.85546875" style="8" customWidth="1"/>
    <col min="4610" max="4610" width="3.5703125" style="8" customWidth="1"/>
    <col min="4611" max="4855" width="9.140625" style="8"/>
    <col min="4856" max="4856" width="8.7109375" style="8" customWidth="1"/>
    <col min="4857" max="4857" width="9.85546875" style="8" customWidth="1"/>
    <col min="4858" max="4858" width="14.42578125" style="8" customWidth="1"/>
    <col min="4859" max="4859" width="7.28515625" style="8" customWidth="1"/>
    <col min="4860" max="4860" width="5.5703125" style="8" customWidth="1"/>
    <col min="4861" max="4861" width="9" style="8" customWidth="1"/>
    <col min="4862" max="4863" width="9.85546875" style="8" customWidth="1"/>
    <col min="4864" max="4864" width="11.140625" style="8" customWidth="1"/>
    <col min="4865" max="4865" width="2.85546875" style="8" customWidth="1"/>
    <col min="4866" max="4866" width="3.5703125" style="8" customWidth="1"/>
    <col min="4867" max="5111" width="9.140625" style="8"/>
    <col min="5112" max="5112" width="8.7109375" style="8" customWidth="1"/>
    <col min="5113" max="5113" width="9.85546875" style="8" customWidth="1"/>
    <col min="5114" max="5114" width="14.42578125" style="8" customWidth="1"/>
    <col min="5115" max="5115" width="7.28515625" style="8" customWidth="1"/>
    <col min="5116" max="5116" width="5.5703125" style="8" customWidth="1"/>
    <col min="5117" max="5117" width="9" style="8" customWidth="1"/>
    <col min="5118" max="5119" width="9.85546875" style="8" customWidth="1"/>
    <col min="5120" max="5120" width="11.140625" style="8" customWidth="1"/>
    <col min="5121" max="5121" width="2.85546875" style="8" customWidth="1"/>
    <col min="5122" max="5122" width="3.5703125" style="8" customWidth="1"/>
    <col min="5123" max="5367" width="9.140625" style="8"/>
    <col min="5368" max="5368" width="8.7109375" style="8" customWidth="1"/>
    <col min="5369" max="5369" width="9.85546875" style="8" customWidth="1"/>
    <col min="5370" max="5370" width="14.42578125" style="8" customWidth="1"/>
    <col min="5371" max="5371" width="7.28515625" style="8" customWidth="1"/>
    <col min="5372" max="5372" width="5.5703125" style="8" customWidth="1"/>
    <col min="5373" max="5373" width="9" style="8" customWidth="1"/>
    <col min="5374" max="5375" width="9.85546875" style="8" customWidth="1"/>
    <col min="5376" max="5376" width="11.140625" style="8" customWidth="1"/>
    <col min="5377" max="5377" width="2.85546875" style="8" customWidth="1"/>
    <col min="5378" max="5378" width="3.5703125" style="8" customWidth="1"/>
    <col min="5379" max="5623" width="9.140625" style="8"/>
    <col min="5624" max="5624" width="8.7109375" style="8" customWidth="1"/>
    <col min="5625" max="5625" width="9.85546875" style="8" customWidth="1"/>
    <col min="5626" max="5626" width="14.42578125" style="8" customWidth="1"/>
    <col min="5627" max="5627" width="7.28515625" style="8" customWidth="1"/>
    <col min="5628" max="5628" width="5.5703125" style="8" customWidth="1"/>
    <col min="5629" max="5629" width="9" style="8" customWidth="1"/>
    <col min="5630" max="5631" width="9.85546875" style="8" customWidth="1"/>
    <col min="5632" max="5632" width="11.140625" style="8" customWidth="1"/>
    <col min="5633" max="5633" width="2.85546875" style="8" customWidth="1"/>
    <col min="5634" max="5634" width="3.5703125" style="8" customWidth="1"/>
    <col min="5635" max="5879" width="9.140625" style="8"/>
    <col min="5880" max="5880" width="8.7109375" style="8" customWidth="1"/>
    <col min="5881" max="5881" width="9.85546875" style="8" customWidth="1"/>
    <col min="5882" max="5882" width="14.42578125" style="8" customWidth="1"/>
    <col min="5883" max="5883" width="7.28515625" style="8" customWidth="1"/>
    <col min="5884" max="5884" width="5.5703125" style="8" customWidth="1"/>
    <col min="5885" max="5885" width="9" style="8" customWidth="1"/>
    <col min="5886" max="5887" width="9.85546875" style="8" customWidth="1"/>
    <col min="5888" max="5888" width="11.140625" style="8" customWidth="1"/>
    <col min="5889" max="5889" width="2.85546875" style="8" customWidth="1"/>
    <col min="5890" max="5890" width="3.5703125" style="8" customWidth="1"/>
    <col min="5891" max="6135" width="9.140625" style="8"/>
    <col min="6136" max="6136" width="8.7109375" style="8" customWidth="1"/>
    <col min="6137" max="6137" width="9.85546875" style="8" customWidth="1"/>
    <col min="6138" max="6138" width="14.42578125" style="8" customWidth="1"/>
    <col min="6139" max="6139" width="7.28515625" style="8" customWidth="1"/>
    <col min="6140" max="6140" width="5.5703125" style="8" customWidth="1"/>
    <col min="6141" max="6141" width="9" style="8" customWidth="1"/>
    <col min="6142" max="6143" width="9.85546875" style="8" customWidth="1"/>
    <col min="6144" max="6144" width="11.140625" style="8" customWidth="1"/>
    <col min="6145" max="6145" width="2.85546875" style="8" customWidth="1"/>
    <col min="6146" max="6146" width="3.5703125" style="8" customWidth="1"/>
    <col min="6147" max="6391" width="9.140625" style="8"/>
    <col min="6392" max="6392" width="8.7109375" style="8" customWidth="1"/>
    <col min="6393" max="6393" width="9.85546875" style="8" customWidth="1"/>
    <col min="6394" max="6394" width="14.42578125" style="8" customWidth="1"/>
    <col min="6395" max="6395" width="7.28515625" style="8" customWidth="1"/>
    <col min="6396" max="6396" width="5.5703125" style="8" customWidth="1"/>
    <col min="6397" max="6397" width="9" style="8" customWidth="1"/>
    <col min="6398" max="6399" width="9.85546875" style="8" customWidth="1"/>
    <col min="6400" max="6400" width="11.140625" style="8" customWidth="1"/>
    <col min="6401" max="6401" width="2.85546875" style="8" customWidth="1"/>
    <col min="6402" max="6402" width="3.5703125" style="8" customWidth="1"/>
    <col min="6403" max="6647" width="9.140625" style="8"/>
    <col min="6648" max="6648" width="8.7109375" style="8" customWidth="1"/>
    <col min="6649" max="6649" width="9.85546875" style="8" customWidth="1"/>
    <col min="6650" max="6650" width="14.42578125" style="8" customWidth="1"/>
    <col min="6651" max="6651" width="7.28515625" style="8" customWidth="1"/>
    <col min="6652" max="6652" width="5.5703125" style="8" customWidth="1"/>
    <col min="6653" max="6653" width="9" style="8" customWidth="1"/>
    <col min="6654" max="6655" width="9.85546875" style="8" customWidth="1"/>
    <col min="6656" max="6656" width="11.140625" style="8" customWidth="1"/>
    <col min="6657" max="6657" width="2.85546875" style="8" customWidth="1"/>
    <col min="6658" max="6658" width="3.5703125" style="8" customWidth="1"/>
    <col min="6659" max="6903" width="9.140625" style="8"/>
    <col min="6904" max="6904" width="8.7109375" style="8" customWidth="1"/>
    <col min="6905" max="6905" width="9.85546875" style="8" customWidth="1"/>
    <col min="6906" max="6906" width="14.42578125" style="8" customWidth="1"/>
    <col min="6907" max="6907" width="7.28515625" style="8" customWidth="1"/>
    <col min="6908" max="6908" width="5.5703125" style="8" customWidth="1"/>
    <col min="6909" max="6909" width="9" style="8" customWidth="1"/>
    <col min="6910" max="6911" width="9.85546875" style="8" customWidth="1"/>
    <col min="6912" max="6912" width="11.140625" style="8" customWidth="1"/>
    <col min="6913" max="6913" width="2.85546875" style="8" customWidth="1"/>
    <col min="6914" max="6914" width="3.5703125" style="8" customWidth="1"/>
    <col min="6915" max="7159" width="9.140625" style="8"/>
    <col min="7160" max="7160" width="8.7109375" style="8" customWidth="1"/>
    <col min="7161" max="7161" width="9.85546875" style="8" customWidth="1"/>
    <col min="7162" max="7162" width="14.42578125" style="8" customWidth="1"/>
    <col min="7163" max="7163" width="7.28515625" style="8" customWidth="1"/>
    <col min="7164" max="7164" width="5.5703125" style="8" customWidth="1"/>
    <col min="7165" max="7165" width="9" style="8" customWidth="1"/>
    <col min="7166" max="7167" width="9.85546875" style="8" customWidth="1"/>
    <col min="7168" max="7168" width="11.140625" style="8" customWidth="1"/>
    <col min="7169" max="7169" width="2.85546875" style="8" customWidth="1"/>
    <col min="7170" max="7170" width="3.5703125" style="8" customWidth="1"/>
    <col min="7171" max="7415" width="9.140625" style="8"/>
    <col min="7416" max="7416" width="8.7109375" style="8" customWidth="1"/>
    <col min="7417" max="7417" width="9.85546875" style="8" customWidth="1"/>
    <col min="7418" max="7418" width="14.42578125" style="8" customWidth="1"/>
    <col min="7419" max="7419" width="7.28515625" style="8" customWidth="1"/>
    <col min="7420" max="7420" width="5.5703125" style="8" customWidth="1"/>
    <col min="7421" max="7421" width="9" style="8" customWidth="1"/>
    <col min="7422" max="7423" width="9.85546875" style="8" customWidth="1"/>
    <col min="7424" max="7424" width="11.140625" style="8" customWidth="1"/>
    <col min="7425" max="7425" width="2.85546875" style="8" customWidth="1"/>
    <col min="7426" max="7426" width="3.5703125" style="8" customWidth="1"/>
    <col min="7427" max="7671" width="9.140625" style="8"/>
    <col min="7672" max="7672" width="8.7109375" style="8" customWidth="1"/>
    <col min="7673" max="7673" width="9.85546875" style="8" customWidth="1"/>
    <col min="7674" max="7674" width="14.42578125" style="8" customWidth="1"/>
    <col min="7675" max="7675" width="7.28515625" style="8" customWidth="1"/>
    <col min="7676" max="7676" width="5.5703125" style="8" customWidth="1"/>
    <col min="7677" max="7677" width="9" style="8" customWidth="1"/>
    <col min="7678" max="7679" width="9.85546875" style="8" customWidth="1"/>
    <col min="7680" max="7680" width="11.140625" style="8" customWidth="1"/>
    <col min="7681" max="7681" width="2.85546875" style="8" customWidth="1"/>
    <col min="7682" max="7682" width="3.5703125" style="8" customWidth="1"/>
    <col min="7683" max="7927" width="9.140625" style="8"/>
    <col min="7928" max="7928" width="8.7109375" style="8" customWidth="1"/>
    <col min="7929" max="7929" width="9.85546875" style="8" customWidth="1"/>
    <col min="7930" max="7930" width="14.42578125" style="8" customWidth="1"/>
    <col min="7931" max="7931" width="7.28515625" style="8" customWidth="1"/>
    <col min="7932" max="7932" width="5.5703125" style="8" customWidth="1"/>
    <col min="7933" max="7933" width="9" style="8" customWidth="1"/>
    <col min="7934" max="7935" width="9.85546875" style="8" customWidth="1"/>
    <col min="7936" max="7936" width="11.140625" style="8" customWidth="1"/>
    <col min="7937" max="7937" width="2.85546875" style="8" customWidth="1"/>
    <col min="7938" max="7938" width="3.5703125" style="8" customWidth="1"/>
    <col min="7939" max="8183" width="9.140625" style="8"/>
    <col min="8184" max="8184" width="8.7109375" style="8" customWidth="1"/>
    <col min="8185" max="8185" width="9.85546875" style="8" customWidth="1"/>
    <col min="8186" max="8186" width="14.42578125" style="8" customWidth="1"/>
    <col min="8187" max="8187" width="7.28515625" style="8" customWidth="1"/>
    <col min="8188" max="8188" width="5.5703125" style="8" customWidth="1"/>
    <col min="8189" max="8189" width="9" style="8" customWidth="1"/>
    <col min="8190" max="8191" width="9.85546875" style="8" customWidth="1"/>
    <col min="8192" max="8192" width="11.140625" style="8" customWidth="1"/>
    <col min="8193" max="8193" width="2.85546875" style="8" customWidth="1"/>
    <col min="8194" max="8194" width="3.5703125" style="8" customWidth="1"/>
    <col min="8195" max="8439" width="9.140625" style="8"/>
    <col min="8440" max="8440" width="8.7109375" style="8" customWidth="1"/>
    <col min="8441" max="8441" width="9.85546875" style="8" customWidth="1"/>
    <col min="8442" max="8442" width="14.42578125" style="8" customWidth="1"/>
    <col min="8443" max="8443" width="7.28515625" style="8" customWidth="1"/>
    <col min="8444" max="8444" width="5.5703125" style="8" customWidth="1"/>
    <col min="8445" max="8445" width="9" style="8" customWidth="1"/>
    <col min="8446" max="8447" width="9.85546875" style="8" customWidth="1"/>
    <col min="8448" max="8448" width="11.140625" style="8" customWidth="1"/>
    <col min="8449" max="8449" width="2.85546875" style="8" customWidth="1"/>
    <col min="8450" max="8450" width="3.5703125" style="8" customWidth="1"/>
    <col min="8451" max="8695" width="9.140625" style="8"/>
    <col min="8696" max="8696" width="8.7109375" style="8" customWidth="1"/>
    <col min="8697" max="8697" width="9.85546875" style="8" customWidth="1"/>
    <col min="8698" max="8698" width="14.42578125" style="8" customWidth="1"/>
    <col min="8699" max="8699" width="7.28515625" style="8" customWidth="1"/>
    <col min="8700" max="8700" width="5.5703125" style="8" customWidth="1"/>
    <col min="8701" max="8701" width="9" style="8" customWidth="1"/>
    <col min="8702" max="8703" width="9.85546875" style="8" customWidth="1"/>
    <col min="8704" max="8704" width="11.140625" style="8" customWidth="1"/>
    <col min="8705" max="8705" width="2.85546875" style="8" customWidth="1"/>
    <col min="8706" max="8706" width="3.5703125" style="8" customWidth="1"/>
    <col min="8707" max="8951" width="9.140625" style="8"/>
    <col min="8952" max="8952" width="8.7109375" style="8" customWidth="1"/>
    <col min="8953" max="8953" width="9.85546875" style="8" customWidth="1"/>
    <col min="8954" max="8954" width="14.42578125" style="8" customWidth="1"/>
    <col min="8955" max="8955" width="7.28515625" style="8" customWidth="1"/>
    <col min="8956" max="8956" width="5.5703125" style="8" customWidth="1"/>
    <col min="8957" max="8957" width="9" style="8" customWidth="1"/>
    <col min="8958" max="8959" width="9.85546875" style="8" customWidth="1"/>
    <col min="8960" max="8960" width="11.140625" style="8" customWidth="1"/>
    <col min="8961" max="8961" width="2.85546875" style="8" customWidth="1"/>
    <col min="8962" max="8962" width="3.5703125" style="8" customWidth="1"/>
    <col min="8963" max="9207" width="9.140625" style="8"/>
    <col min="9208" max="9208" width="8.7109375" style="8" customWidth="1"/>
    <col min="9209" max="9209" width="9.85546875" style="8" customWidth="1"/>
    <col min="9210" max="9210" width="14.42578125" style="8" customWidth="1"/>
    <col min="9211" max="9211" width="7.28515625" style="8" customWidth="1"/>
    <col min="9212" max="9212" width="5.5703125" style="8" customWidth="1"/>
    <col min="9213" max="9213" width="9" style="8" customWidth="1"/>
    <col min="9214" max="9215" width="9.85546875" style="8" customWidth="1"/>
    <col min="9216" max="9216" width="11.140625" style="8" customWidth="1"/>
    <col min="9217" max="9217" width="2.85546875" style="8" customWidth="1"/>
    <col min="9218" max="9218" width="3.5703125" style="8" customWidth="1"/>
    <col min="9219" max="9463" width="9.140625" style="8"/>
    <col min="9464" max="9464" width="8.7109375" style="8" customWidth="1"/>
    <col min="9465" max="9465" width="9.85546875" style="8" customWidth="1"/>
    <col min="9466" max="9466" width="14.42578125" style="8" customWidth="1"/>
    <col min="9467" max="9467" width="7.28515625" style="8" customWidth="1"/>
    <col min="9468" max="9468" width="5.5703125" style="8" customWidth="1"/>
    <col min="9469" max="9469" width="9" style="8" customWidth="1"/>
    <col min="9470" max="9471" width="9.85546875" style="8" customWidth="1"/>
    <col min="9472" max="9472" width="11.140625" style="8" customWidth="1"/>
    <col min="9473" max="9473" width="2.85546875" style="8" customWidth="1"/>
    <col min="9474" max="9474" width="3.5703125" style="8" customWidth="1"/>
    <col min="9475" max="9719" width="9.140625" style="8"/>
    <col min="9720" max="9720" width="8.7109375" style="8" customWidth="1"/>
    <col min="9721" max="9721" width="9.85546875" style="8" customWidth="1"/>
    <col min="9722" max="9722" width="14.42578125" style="8" customWidth="1"/>
    <col min="9723" max="9723" width="7.28515625" style="8" customWidth="1"/>
    <col min="9724" max="9724" width="5.5703125" style="8" customWidth="1"/>
    <col min="9725" max="9725" width="9" style="8" customWidth="1"/>
    <col min="9726" max="9727" width="9.85546875" style="8" customWidth="1"/>
    <col min="9728" max="9728" width="11.140625" style="8" customWidth="1"/>
    <col min="9729" max="9729" width="2.85546875" style="8" customWidth="1"/>
    <col min="9730" max="9730" width="3.5703125" style="8" customWidth="1"/>
    <col min="9731" max="9975" width="9.140625" style="8"/>
    <col min="9976" max="9976" width="8.7109375" style="8" customWidth="1"/>
    <col min="9977" max="9977" width="9.85546875" style="8" customWidth="1"/>
    <col min="9978" max="9978" width="14.42578125" style="8" customWidth="1"/>
    <col min="9979" max="9979" width="7.28515625" style="8" customWidth="1"/>
    <col min="9980" max="9980" width="5.5703125" style="8" customWidth="1"/>
    <col min="9981" max="9981" width="9" style="8" customWidth="1"/>
    <col min="9982" max="9983" width="9.85546875" style="8" customWidth="1"/>
    <col min="9984" max="9984" width="11.140625" style="8" customWidth="1"/>
    <col min="9985" max="9985" width="2.85546875" style="8" customWidth="1"/>
    <col min="9986" max="9986" width="3.5703125" style="8" customWidth="1"/>
    <col min="9987" max="10231" width="9.140625" style="8"/>
    <col min="10232" max="10232" width="8.7109375" style="8" customWidth="1"/>
    <col min="10233" max="10233" width="9.85546875" style="8" customWidth="1"/>
    <col min="10234" max="10234" width="14.42578125" style="8" customWidth="1"/>
    <col min="10235" max="10235" width="7.28515625" style="8" customWidth="1"/>
    <col min="10236" max="10236" width="5.5703125" style="8" customWidth="1"/>
    <col min="10237" max="10237" width="9" style="8" customWidth="1"/>
    <col min="10238" max="10239" width="9.85546875" style="8" customWidth="1"/>
    <col min="10240" max="10240" width="11.140625" style="8" customWidth="1"/>
    <col min="10241" max="10241" width="2.85546875" style="8" customWidth="1"/>
    <col min="10242" max="10242" width="3.5703125" style="8" customWidth="1"/>
    <col min="10243" max="10487" width="9.140625" style="8"/>
    <col min="10488" max="10488" width="8.7109375" style="8" customWidth="1"/>
    <col min="10489" max="10489" width="9.85546875" style="8" customWidth="1"/>
    <col min="10490" max="10490" width="14.42578125" style="8" customWidth="1"/>
    <col min="10491" max="10491" width="7.28515625" style="8" customWidth="1"/>
    <col min="10492" max="10492" width="5.5703125" style="8" customWidth="1"/>
    <col min="10493" max="10493" width="9" style="8" customWidth="1"/>
    <col min="10494" max="10495" width="9.85546875" style="8" customWidth="1"/>
    <col min="10496" max="10496" width="11.140625" style="8" customWidth="1"/>
    <col min="10497" max="10497" width="2.85546875" style="8" customWidth="1"/>
    <col min="10498" max="10498" width="3.5703125" style="8" customWidth="1"/>
    <col min="10499" max="10743" width="9.140625" style="8"/>
    <col min="10744" max="10744" width="8.7109375" style="8" customWidth="1"/>
    <col min="10745" max="10745" width="9.85546875" style="8" customWidth="1"/>
    <col min="10746" max="10746" width="14.42578125" style="8" customWidth="1"/>
    <col min="10747" max="10747" width="7.28515625" style="8" customWidth="1"/>
    <col min="10748" max="10748" width="5.5703125" style="8" customWidth="1"/>
    <col min="10749" max="10749" width="9" style="8" customWidth="1"/>
    <col min="10750" max="10751" width="9.85546875" style="8" customWidth="1"/>
    <col min="10752" max="10752" width="11.140625" style="8" customWidth="1"/>
    <col min="10753" max="10753" width="2.85546875" style="8" customWidth="1"/>
    <col min="10754" max="10754" width="3.5703125" style="8" customWidth="1"/>
    <col min="10755" max="10999" width="9.140625" style="8"/>
    <col min="11000" max="11000" width="8.7109375" style="8" customWidth="1"/>
    <col min="11001" max="11001" width="9.85546875" style="8" customWidth="1"/>
    <col min="11002" max="11002" width="14.42578125" style="8" customWidth="1"/>
    <col min="11003" max="11003" width="7.28515625" style="8" customWidth="1"/>
    <col min="11004" max="11004" width="5.5703125" style="8" customWidth="1"/>
    <col min="11005" max="11005" width="9" style="8" customWidth="1"/>
    <col min="11006" max="11007" width="9.85546875" style="8" customWidth="1"/>
    <col min="11008" max="11008" width="11.140625" style="8" customWidth="1"/>
    <col min="11009" max="11009" width="2.85546875" style="8" customWidth="1"/>
    <col min="11010" max="11010" width="3.5703125" style="8" customWidth="1"/>
    <col min="11011" max="11255" width="9.140625" style="8"/>
    <col min="11256" max="11256" width="8.7109375" style="8" customWidth="1"/>
    <col min="11257" max="11257" width="9.85546875" style="8" customWidth="1"/>
    <col min="11258" max="11258" width="14.42578125" style="8" customWidth="1"/>
    <col min="11259" max="11259" width="7.28515625" style="8" customWidth="1"/>
    <col min="11260" max="11260" width="5.5703125" style="8" customWidth="1"/>
    <col min="11261" max="11261" width="9" style="8" customWidth="1"/>
    <col min="11262" max="11263" width="9.85546875" style="8" customWidth="1"/>
    <col min="11264" max="11264" width="11.140625" style="8" customWidth="1"/>
    <col min="11265" max="11265" width="2.85546875" style="8" customWidth="1"/>
    <col min="11266" max="11266" width="3.5703125" style="8" customWidth="1"/>
    <col min="11267" max="11511" width="9.140625" style="8"/>
    <col min="11512" max="11512" width="8.7109375" style="8" customWidth="1"/>
    <col min="11513" max="11513" width="9.85546875" style="8" customWidth="1"/>
    <col min="11514" max="11514" width="14.42578125" style="8" customWidth="1"/>
    <col min="11515" max="11515" width="7.28515625" style="8" customWidth="1"/>
    <col min="11516" max="11516" width="5.5703125" style="8" customWidth="1"/>
    <col min="11517" max="11517" width="9" style="8" customWidth="1"/>
    <col min="11518" max="11519" width="9.85546875" style="8" customWidth="1"/>
    <col min="11520" max="11520" width="11.140625" style="8" customWidth="1"/>
    <col min="11521" max="11521" width="2.85546875" style="8" customWidth="1"/>
    <col min="11522" max="11522" width="3.5703125" style="8" customWidth="1"/>
    <col min="11523" max="11767" width="9.140625" style="8"/>
    <col min="11768" max="11768" width="8.7109375" style="8" customWidth="1"/>
    <col min="11769" max="11769" width="9.85546875" style="8" customWidth="1"/>
    <col min="11770" max="11770" width="14.42578125" style="8" customWidth="1"/>
    <col min="11771" max="11771" width="7.28515625" style="8" customWidth="1"/>
    <col min="11772" max="11772" width="5.5703125" style="8" customWidth="1"/>
    <col min="11773" max="11773" width="9" style="8" customWidth="1"/>
    <col min="11774" max="11775" width="9.85546875" style="8" customWidth="1"/>
    <col min="11776" max="11776" width="11.140625" style="8" customWidth="1"/>
    <col min="11777" max="11777" width="2.85546875" style="8" customWidth="1"/>
    <col min="11778" max="11778" width="3.5703125" style="8" customWidth="1"/>
    <col min="11779" max="12023" width="9.140625" style="8"/>
    <col min="12024" max="12024" width="8.7109375" style="8" customWidth="1"/>
    <col min="12025" max="12025" width="9.85546875" style="8" customWidth="1"/>
    <col min="12026" max="12026" width="14.42578125" style="8" customWidth="1"/>
    <col min="12027" max="12027" width="7.28515625" style="8" customWidth="1"/>
    <col min="12028" max="12028" width="5.5703125" style="8" customWidth="1"/>
    <col min="12029" max="12029" width="9" style="8" customWidth="1"/>
    <col min="12030" max="12031" width="9.85546875" style="8" customWidth="1"/>
    <col min="12032" max="12032" width="11.140625" style="8" customWidth="1"/>
    <col min="12033" max="12033" width="2.85546875" style="8" customWidth="1"/>
    <col min="12034" max="12034" width="3.5703125" style="8" customWidth="1"/>
    <col min="12035" max="12279" width="9.140625" style="8"/>
    <col min="12280" max="12280" width="8.7109375" style="8" customWidth="1"/>
    <col min="12281" max="12281" width="9.85546875" style="8" customWidth="1"/>
    <col min="12282" max="12282" width="14.42578125" style="8" customWidth="1"/>
    <col min="12283" max="12283" width="7.28515625" style="8" customWidth="1"/>
    <col min="12284" max="12284" width="5.5703125" style="8" customWidth="1"/>
    <col min="12285" max="12285" width="9" style="8" customWidth="1"/>
    <col min="12286" max="12287" width="9.85546875" style="8" customWidth="1"/>
    <col min="12288" max="12288" width="11.140625" style="8" customWidth="1"/>
    <col min="12289" max="12289" width="2.85546875" style="8" customWidth="1"/>
    <col min="12290" max="12290" width="3.5703125" style="8" customWidth="1"/>
    <col min="12291" max="12535" width="9.140625" style="8"/>
    <col min="12536" max="12536" width="8.7109375" style="8" customWidth="1"/>
    <col min="12537" max="12537" width="9.85546875" style="8" customWidth="1"/>
    <col min="12538" max="12538" width="14.42578125" style="8" customWidth="1"/>
    <col min="12539" max="12539" width="7.28515625" style="8" customWidth="1"/>
    <col min="12540" max="12540" width="5.5703125" style="8" customWidth="1"/>
    <col min="12541" max="12541" width="9" style="8" customWidth="1"/>
    <col min="12542" max="12543" width="9.85546875" style="8" customWidth="1"/>
    <col min="12544" max="12544" width="11.140625" style="8" customWidth="1"/>
    <col min="12545" max="12545" width="2.85546875" style="8" customWidth="1"/>
    <col min="12546" max="12546" width="3.5703125" style="8" customWidth="1"/>
    <col min="12547" max="12791" width="9.140625" style="8"/>
    <col min="12792" max="12792" width="8.7109375" style="8" customWidth="1"/>
    <col min="12793" max="12793" width="9.85546875" style="8" customWidth="1"/>
    <col min="12794" max="12794" width="14.42578125" style="8" customWidth="1"/>
    <col min="12795" max="12795" width="7.28515625" style="8" customWidth="1"/>
    <col min="12796" max="12796" width="5.5703125" style="8" customWidth="1"/>
    <col min="12797" max="12797" width="9" style="8" customWidth="1"/>
    <col min="12798" max="12799" width="9.85546875" style="8" customWidth="1"/>
    <col min="12800" max="12800" width="11.140625" style="8" customWidth="1"/>
    <col min="12801" max="12801" width="2.85546875" style="8" customWidth="1"/>
    <col min="12802" max="12802" width="3.5703125" style="8" customWidth="1"/>
    <col min="12803" max="13047" width="9.140625" style="8"/>
    <col min="13048" max="13048" width="8.7109375" style="8" customWidth="1"/>
    <col min="13049" max="13049" width="9.85546875" style="8" customWidth="1"/>
    <col min="13050" max="13050" width="14.42578125" style="8" customWidth="1"/>
    <col min="13051" max="13051" width="7.28515625" style="8" customWidth="1"/>
    <col min="13052" max="13052" width="5.5703125" style="8" customWidth="1"/>
    <col min="13053" max="13053" width="9" style="8" customWidth="1"/>
    <col min="13054" max="13055" width="9.85546875" style="8" customWidth="1"/>
    <col min="13056" max="13056" width="11.140625" style="8" customWidth="1"/>
    <col min="13057" max="13057" width="2.85546875" style="8" customWidth="1"/>
    <col min="13058" max="13058" width="3.5703125" style="8" customWidth="1"/>
    <col min="13059" max="13303" width="9.140625" style="8"/>
    <col min="13304" max="13304" width="8.7109375" style="8" customWidth="1"/>
    <col min="13305" max="13305" width="9.85546875" style="8" customWidth="1"/>
    <col min="13306" max="13306" width="14.42578125" style="8" customWidth="1"/>
    <col min="13307" max="13307" width="7.28515625" style="8" customWidth="1"/>
    <col min="13308" max="13308" width="5.5703125" style="8" customWidth="1"/>
    <col min="13309" max="13309" width="9" style="8" customWidth="1"/>
    <col min="13310" max="13311" width="9.85546875" style="8" customWidth="1"/>
    <col min="13312" max="13312" width="11.140625" style="8" customWidth="1"/>
    <col min="13313" max="13313" width="2.85546875" style="8" customWidth="1"/>
    <col min="13314" max="13314" width="3.5703125" style="8" customWidth="1"/>
    <col min="13315" max="13559" width="9.140625" style="8"/>
    <col min="13560" max="13560" width="8.7109375" style="8" customWidth="1"/>
    <col min="13561" max="13561" width="9.85546875" style="8" customWidth="1"/>
    <col min="13562" max="13562" width="14.42578125" style="8" customWidth="1"/>
    <col min="13563" max="13563" width="7.28515625" style="8" customWidth="1"/>
    <col min="13564" max="13564" width="5.5703125" style="8" customWidth="1"/>
    <col min="13565" max="13565" width="9" style="8" customWidth="1"/>
    <col min="13566" max="13567" width="9.85546875" style="8" customWidth="1"/>
    <col min="13568" max="13568" width="11.140625" style="8" customWidth="1"/>
    <col min="13569" max="13569" width="2.85546875" style="8" customWidth="1"/>
    <col min="13570" max="13570" width="3.5703125" style="8" customWidth="1"/>
    <col min="13571" max="13815" width="9.140625" style="8"/>
    <col min="13816" max="13816" width="8.7109375" style="8" customWidth="1"/>
    <col min="13817" max="13817" width="9.85546875" style="8" customWidth="1"/>
    <col min="13818" max="13818" width="14.42578125" style="8" customWidth="1"/>
    <col min="13819" max="13819" width="7.28515625" style="8" customWidth="1"/>
    <col min="13820" max="13820" width="5.5703125" style="8" customWidth="1"/>
    <col min="13821" max="13821" width="9" style="8" customWidth="1"/>
    <col min="13822" max="13823" width="9.85546875" style="8" customWidth="1"/>
    <col min="13824" max="13824" width="11.140625" style="8" customWidth="1"/>
    <col min="13825" max="13825" width="2.85546875" style="8" customWidth="1"/>
    <col min="13826" max="13826" width="3.5703125" style="8" customWidth="1"/>
    <col min="13827" max="14071" width="9.140625" style="8"/>
    <col min="14072" max="14072" width="8.7109375" style="8" customWidth="1"/>
    <col min="14073" max="14073" width="9.85546875" style="8" customWidth="1"/>
    <col min="14074" max="14074" width="14.42578125" style="8" customWidth="1"/>
    <col min="14075" max="14075" width="7.28515625" style="8" customWidth="1"/>
    <col min="14076" max="14076" width="5.5703125" style="8" customWidth="1"/>
    <col min="14077" max="14077" width="9" style="8" customWidth="1"/>
    <col min="14078" max="14079" width="9.85546875" style="8" customWidth="1"/>
    <col min="14080" max="14080" width="11.140625" style="8" customWidth="1"/>
    <col min="14081" max="14081" width="2.85546875" style="8" customWidth="1"/>
    <col min="14082" max="14082" width="3.5703125" style="8" customWidth="1"/>
    <col min="14083" max="14327" width="9.140625" style="8"/>
    <col min="14328" max="14328" width="8.7109375" style="8" customWidth="1"/>
    <col min="14329" max="14329" width="9.85546875" style="8" customWidth="1"/>
    <col min="14330" max="14330" width="14.42578125" style="8" customWidth="1"/>
    <col min="14331" max="14331" width="7.28515625" style="8" customWidth="1"/>
    <col min="14332" max="14332" width="5.5703125" style="8" customWidth="1"/>
    <col min="14333" max="14333" width="9" style="8" customWidth="1"/>
    <col min="14334" max="14335" width="9.85546875" style="8" customWidth="1"/>
    <col min="14336" max="14336" width="11.140625" style="8" customWidth="1"/>
    <col min="14337" max="14337" width="2.85546875" style="8" customWidth="1"/>
    <col min="14338" max="14338" width="3.5703125" style="8" customWidth="1"/>
    <col min="14339" max="14583" width="9.140625" style="8"/>
    <col min="14584" max="14584" width="8.7109375" style="8" customWidth="1"/>
    <col min="14585" max="14585" width="9.85546875" style="8" customWidth="1"/>
    <col min="14586" max="14586" width="14.42578125" style="8" customWidth="1"/>
    <col min="14587" max="14587" width="7.28515625" style="8" customWidth="1"/>
    <col min="14588" max="14588" width="5.5703125" style="8" customWidth="1"/>
    <col min="14589" max="14589" width="9" style="8" customWidth="1"/>
    <col min="14590" max="14591" width="9.85546875" style="8" customWidth="1"/>
    <col min="14592" max="14592" width="11.140625" style="8" customWidth="1"/>
    <col min="14593" max="14593" width="2.85546875" style="8" customWidth="1"/>
    <col min="14594" max="14594" width="3.5703125" style="8" customWidth="1"/>
    <col min="14595" max="14839" width="9.140625" style="8"/>
    <col min="14840" max="14840" width="8.7109375" style="8" customWidth="1"/>
    <col min="14841" max="14841" width="9.85546875" style="8" customWidth="1"/>
    <col min="14842" max="14842" width="14.42578125" style="8" customWidth="1"/>
    <col min="14843" max="14843" width="7.28515625" style="8" customWidth="1"/>
    <col min="14844" max="14844" width="5.5703125" style="8" customWidth="1"/>
    <col min="14845" max="14845" width="9" style="8" customWidth="1"/>
    <col min="14846" max="14847" width="9.85546875" style="8" customWidth="1"/>
    <col min="14848" max="14848" width="11.140625" style="8" customWidth="1"/>
    <col min="14849" max="14849" width="2.85546875" style="8" customWidth="1"/>
    <col min="14850" max="14850" width="3.5703125" style="8" customWidth="1"/>
    <col min="14851" max="15095" width="9.140625" style="8"/>
    <col min="15096" max="15096" width="8.7109375" style="8" customWidth="1"/>
    <col min="15097" max="15097" width="9.85546875" style="8" customWidth="1"/>
    <col min="15098" max="15098" width="14.42578125" style="8" customWidth="1"/>
    <col min="15099" max="15099" width="7.28515625" style="8" customWidth="1"/>
    <col min="15100" max="15100" width="5.5703125" style="8" customWidth="1"/>
    <col min="15101" max="15101" width="9" style="8" customWidth="1"/>
    <col min="15102" max="15103" width="9.85546875" style="8" customWidth="1"/>
    <col min="15104" max="15104" width="11.140625" style="8" customWidth="1"/>
    <col min="15105" max="15105" width="2.85546875" style="8" customWidth="1"/>
    <col min="15106" max="15106" width="3.5703125" style="8" customWidth="1"/>
    <col min="15107" max="15351" width="9.140625" style="8"/>
    <col min="15352" max="15352" width="8.7109375" style="8" customWidth="1"/>
    <col min="15353" max="15353" width="9.85546875" style="8" customWidth="1"/>
    <col min="15354" max="15354" width="14.42578125" style="8" customWidth="1"/>
    <col min="15355" max="15355" width="7.28515625" style="8" customWidth="1"/>
    <col min="15356" max="15356" width="5.5703125" style="8" customWidth="1"/>
    <col min="15357" max="15357" width="9" style="8" customWidth="1"/>
    <col min="15358" max="15359" width="9.85546875" style="8" customWidth="1"/>
    <col min="15360" max="15360" width="11.140625" style="8" customWidth="1"/>
    <col min="15361" max="15361" width="2.85546875" style="8" customWidth="1"/>
    <col min="15362" max="15362" width="3.5703125" style="8" customWidth="1"/>
    <col min="15363" max="15607" width="9.140625" style="8"/>
    <col min="15608" max="15608" width="8.7109375" style="8" customWidth="1"/>
    <col min="15609" max="15609" width="9.85546875" style="8" customWidth="1"/>
    <col min="15610" max="15610" width="14.42578125" style="8" customWidth="1"/>
    <col min="15611" max="15611" width="7.28515625" style="8" customWidth="1"/>
    <col min="15612" max="15612" width="5.5703125" style="8" customWidth="1"/>
    <col min="15613" max="15613" width="9" style="8" customWidth="1"/>
    <col min="15614" max="15615" width="9.85546875" style="8" customWidth="1"/>
    <col min="15616" max="15616" width="11.140625" style="8" customWidth="1"/>
    <col min="15617" max="15617" width="2.85546875" style="8" customWidth="1"/>
    <col min="15618" max="15618" width="3.5703125" style="8" customWidth="1"/>
    <col min="15619" max="15863" width="9.140625" style="8"/>
    <col min="15864" max="15864" width="8.7109375" style="8" customWidth="1"/>
    <col min="15865" max="15865" width="9.85546875" style="8" customWidth="1"/>
    <col min="15866" max="15866" width="14.42578125" style="8" customWidth="1"/>
    <col min="15867" max="15867" width="7.28515625" style="8" customWidth="1"/>
    <col min="15868" max="15868" width="5.5703125" style="8" customWidth="1"/>
    <col min="15869" max="15869" width="9" style="8" customWidth="1"/>
    <col min="15870" max="15871" width="9.85546875" style="8" customWidth="1"/>
    <col min="15872" max="15872" width="11.140625" style="8" customWidth="1"/>
    <col min="15873" max="15873" width="2.85546875" style="8" customWidth="1"/>
    <col min="15874" max="15874" width="3.5703125" style="8" customWidth="1"/>
    <col min="15875" max="16119" width="9.140625" style="8"/>
    <col min="16120" max="16120" width="8.7109375" style="8" customWidth="1"/>
    <col min="16121" max="16121" width="9.85546875" style="8" customWidth="1"/>
    <col min="16122" max="16122" width="14.42578125" style="8" customWidth="1"/>
    <col min="16123" max="16123" width="7.28515625" style="8" customWidth="1"/>
    <col min="16124" max="16124" width="5.5703125" style="8" customWidth="1"/>
    <col min="16125" max="16125" width="9" style="8" customWidth="1"/>
    <col min="16126" max="16127" width="9.85546875" style="8" customWidth="1"/>
    <col min="16128" max="16128" width="11.140625" style="8" customWidth="1"/>
    <col min="16129" max="16129" width="2.85546875" style="8" customWidth="1"/>
    <col min="16130" max="16130" width="3.5703125" style="8" customWidth="1"/>
    <col min="16131" max="16384" width="9.140625" style="8"/>
  </cols>
  <sheetData>
    <row r="1" spans="1:12" ht="46.5" customHeight="1" x14ac:dyDescent="0.25">
      <c r="A1" s="153" t="s">
        <v>259</v>
      </c>
      <c r="B1" s="153"/>
      <c r="C1" s="153"/>
      <c r="D1" s="153"/>
      <c r="E1" s="153"/>
      <c r="F1" s="153"/>
      <c r="G1" s="153"/>
      <c r="H1" s="153"/>
    </row>
    <row r="2" spans="1:12" ht="16.5" customHeight="1" x14ac:dyDescent="0.25">
      <c r="A2" s="154" t="s">
        <v>0</v>
      </c>
      <c r="B2" s="154"/>
      <c r="C2" s="154"/>
      <c r="D2" s="154"/>
      <c r="E2" s="154"/>
      <c r="F2" s="154"/>
      <c r="G2" s="154"/>
      <c r="H2" s="154"/>
    </row>
    <row r="3" spans="1:12" x14ac:dyDescent="0.25">
      <c r="A3" s="99" t="s">
        <v>1</v>
      </c>
      <c r="B3" s="99"/>
      <c r="C3" s="99"/>
      <c r="D3" s="99"/>
      <c r="E3" s="152" t="str">
        <f ca="1">TEXT(TODAY(),"DD/MM/YYYY")</f>
        <v>16/08/2025</v>
      </c>
      <c r="F3" s="152"/>
      <c r="G3" s="152"/>
      <c r="H3" s="152"/>
    </row>
    <row r="4" spans="1:12" ht="15" customHeight="1" x14ac:dyDescent="0.25">
      <c r="A4" s="99" t="s">
        <v>2</v>
      </c>
      <c r="B4" s="99"/>
      <c r="C4" s="99"/>
      <c r="D4" s="99"/>
      <c r="E4" s="149" t="s">
        <v>217</v>
      </c>
      <c r="F4" s="149"/>
      <c r="G4" s="149"/>
      <c r="H4" s="149"/>
    </row>
    <row r="5" spans="1:12" x14ac:dyDescent="0.25">
      <c r="A5" s="99" t="s">
        <v>3</v>
      </c>
      <c r="B5" s="99"/>
      <c r="C5" s="99"/>
      <c r="D5" s="99"/>
      <c r="E5" s="152">
        <v>45883</v>
      </c>
      <c r="F5" s="152"/>
      <c r="G5" s="152"/>
      <c r="H5" s="152"/>
    </row>
    <row r="6" spans="1:12" x14ac:dyDescent="0.25">
      <c r="A6" s="99" t="s">
        <v>233</v>
      </c>
      <c r="B6" s="99"/>
      <c r="C6" s="99"/>
      <c r="D6" s="99"/>
      <c r="E6" s="117" t="s">
        <v>234</v>
      </c>
      <c r="F6" s="117"/>
      <c r="G6" s="117"/>
      <c r="H6" s="117"/>
      <c r="I6" s="90"/>
    </row>
    <row r="7" spans="1:12" ht="15.75" customHeight="1" x14ac:dyDescent="0.25">
      <c r="A7" s="99" t="s">
        <v>4</v>
      </c>
      <c r="B7" s="99"/>
      <c r="C7" s="99"/>
      <c r="D7" s="99"/>
      <c r="E7" s="117" t="s">
        <v>231</v>
      </c>
      <c r="F7" s="117"/>
      <c r="G7" s="117"/>
      <c r="H7" s="117"/>
    </row>
    <row r="8" spans="1:12" x14ac:dyDescent="0.25">
      <c r="A8" s="99" t="s">
        <v>5</v>
      </c>
      <c r="B8" s="99"/>
      <c r="C8" s="99"/>
      <c r="D8" s="99"/>
      <c r="E8" s="136" t="s">
        <v>218</v>
      </c>
      <c r="F8" s="136"/>
      <c r="G8" s="136"/>
      <c r="H8" s="136"/>
    </row>
    <row r="9" spans="1:12" x14ac:dyDescent="0.25">
      <c r="A9" s="99" t="s">
        <v>158</v>
      </c>
      <c r="B9" s="99"/>
      <c r="C9" s="99"/>
      <c r="D9" s="99"/>
      <c r="E9" s="99" t="s">
        <v>219</v>
      </c>
      <c r="F9" s="99"/>
      <c r="G9" s="99"/>
      <c r="H9" s="99"/>
    </row>
    <row r="10" spans="1:12" x14ac:dyDescent="0.25">
      <c r="A10" s="99" t="s">
        <v>250</v>
      </c>
      <c r="B10" s="99"/>
      <c r="C10" s="99"/>
      <c r="D10" s="99"/>
      <c r="E10" s="117" t="s">
        <v>258</v>
      </c>
      <c r="F10" s="99"/>
      <c r="G10" s="99"/>
      <c r="H10" s="99"/>
      <c r="I10" s="99" t="s">
        <v>254</v>
      </c>
      <c r="J10" s="99"/>
      <c r="K10" s="99"/>
      <c r="L10" s="99"/>
    </row>
    <row r="11" spans="1:12" x14ac:dyDescent="0.25">
      <c r="A11" s="135" t="s">
        <v>6</v>
      </c>
      <c r="B11" s="135"/>
      <c r="C11" s="135"/>
      <c r="D11" s="135"/>
      <c r="E11" s="135" t="s">
        <v>159</v>
      </c>
      <c r="F11" s="135"/>
      <c r="G11" s="135"/>
      <c r="H11" s="135"/>
    </row>
    <row r="12" spans="1:12" x14ac:dyDescent="0.25">
      <c r="A12" s="99" t="s">
        <v>7</v>
      </c>
      <c r="B12" s="99"/>
      <c r="C12" s="99"/>
      <c r="D12" s="99"/>
      <c r="E12" s="148" t="s">
        <v>232</v>
      </c>
      <c r="F12" s="148"/>
      <c r="G12" s="148"/>
      <c r="H12" s="148"/>
    </row>
    <row r="13" spans="1:12" x14ac:dyDescent="0.25">
      <c r="A13" s="99" t="s">
        <v>8</v>
      </c>
      <c r="B13" s="99"/>
      <c r="C13" s="99"/>
      <c r="D13" s="99"/>
      <c r="E13" s="148" t="s">
        <v>263</v>
      </c>
      <c r="F13" s="135"/>
      <c r="G13" s="135"/>
      <c r="H13" s="135"/>
    </row>
    <row r="14" spans="1:12" ht="36.75" customHeight="1" x14ac:dyDescent="0.25">
      <c r="A14" s="148" t="s">
        <v>9</v>
      </c>
      <c r="B14" s="148"/>
      <c r="C14" s="148" t="str">
        <f>CONCATENATE((IF(OR(E8="",E8="NA"),"",E8)),", ",(IF(OR(A15="",A15="NA"),"",A15)),".",(IF(OR(C15="",C15="NA"),"",C15)),", near ",(IF(OR(C19="",C19="NA"),"",C19)),", ",(IF(OR(C16="",C16="NA"),"",C16)),", ",(IF(OR(G16="",G16="NA"),"",G16)),", ",(IF(OR(C17="",C17="NA"),"",C17)),", ",(IF(OR(C18="",C18="NA"),"",C18)),", ",(IF(OR(G17="",G17="NA"),"",G17))," - ",(IF(OR(G18="",G18="NA"),"",G18)),".")</f>
        <v>Orchid Heights, CTS No.738B/1A, near Libra CHSL, Pathanwadi Road, Dindoshi, Malad, Borivali, Mumbai - 400067.</v>
      </c>
      <c r="D14" s="148"/>
      <c r="E14" s="148"/>
      <c r="F14" s="148"/>
      <c r="G14" s="148"/>
      <c r="H14" s="148"/>
    </row>
    <row r="15" spans="1:12" x14ac:dyDescent="0.25">
      <c r="A15" s="148" t="s">
        <v>239</v>
      </c>
      <c r="B15" s="148"/>
      <c r="C15" s="148" t="s">
        <v>220</v>
      </c>
      <c r="D15" s="148"/>
      <c r="E15" s="148"/>
      <c r="F15" s="148"/>
      <c r="G15" s="148"/>
      <c r="H15" s="148"/>
    </row>
    <row r="16" spans="1:12" ht="15.75" customHeight="1" x14ac:dyDescent="0.25">
      <c r="A16" s="148" t="s">
        <v>10</v>
      </c>
      <c r="B16" s="148"/>
      <c r="C16" s="135" t="s">
        <v>230</v>
      </c>
      <c r="D16" s="135"/>
      <c r="E16" s="148" t="s">
        <v>101</v>
      </c>
      <c r="F16" s="148"/>
      <c r="G16" s="148" t="s">
        <v>235</v>
      </c>
      <c r="H16" s="148"/>
    </row>
    <row r="17" spans="1:8" x14ac:dyDescent="0.25">
      <c r="A17" s="135" t="s">
        <v>12</v>
      </c>
      <c r="B17" s="135"/>
      <c r="C17" s="148" t="s">
        <v>236</v>
      </c>
      <c r="D17" s="148"/>
      <c r="E17" s="148" t="s">
        <v>11</v>
      </c>
      <c r="F17" s="148"/>
      <c r="G17" s="150" t="s">
        <v>222</v>
      </c>
      <c r="H17" s="150"/>
    </row>
    <row r="18" spans="1:8" x14ac:dyDescent="0.25">
      <c r="A18" s="135" t="s">
        <v>102</v>
      </c>
      <c r="B18" s="135"/>
      <c r="C18" s="148" t="s">
        <v>221</v>
      </c>
      <c r="D18" s="148"/>
      <c r="E18" s="148" t="s">
        <v>13</v>
      </c>
      <c r="F18" s="148"/>
      <c r="G18" s="148">
        <v>400067</v>
      </c>
      <c r="H18" s="148"/>
    </row>
    <row r="19" spans="1:8" ht="32.25" customHeight="1" x14ac:dyDescent="0.25">
      <c r="A19" s="99" t="s">
        <v>160</v>
      </c>
      <c r="B19" s="99"/>
      <c r="C19" s="151" t="s">
        <v>229</v>
      </c>
      <c r="D19" s="151"/>
      <c r="E19" s="117" t="s">
        <v>14</v>
      </c>
      <c r="F19" s="117"/>
      <c r="G19" s="148" t="s">
        <v>249</v>
      </c>
      <c r="H19" s="148"/>
    </row>
    <row r="20" spans="1:8" ht="15" customHeight="1" x14ac:dyDescent="0.25">
      <c r="A20" s="117" t="s">
        <v>106</v>
      </c>
      <c r="B20" s="117"/>
      <c r="C20" s="117"/>
      <c r="D20" s="117"/>
      <c r="E20" s="135" t="s">
        <v>15</v>
      </c>
      <c r="F20" s="135"/>
      <c r="G20" s="135"/>
      <c r="H20" s="135"/>
    </row>
    <row r="21" spans="1:8" ht="18.75" customHeight="1" x14ac:dyDescent="0.25">
      <c r="A21" s="117"/>
      <c r="B21" s="117"/>
      <c r="C21" s="117"/>
      <c r="D21" s="117"/>
      <c r="E21" s="135"/>
      <c r="F21" s="135"/>
      <c r="G21" s="135"/>
      <c r="H21" s="135"/>
    </row>
    <row r="22" spans="1:8" ht="15" customHeight="1" x14ac:dyDescent="0.25">
      <c r="A22" s="117" t="s">
        <v>16</v>
      </c>
      <c r="B22" s="117"/>
      <c r="C22" s="117"/>
      <c r="D22" s="117"/>
      <c r="E22" s="148" t="s">
        <v>17</v>
      </c>
      <c r="F22" s="148"/>
      <c r="G22" s="148"/>
      <c r="H22" s="148"/>
    </row>
    <row r="23" spans="1:8" x14ac:dyDescent="0.25">
      <c r="A23" s="99" t="s">
        <v>18</v>
      </c>
      <c r="B23" s="99"/>
      <c r="C23" s="99"/>
      <c r="D23" s="99"/>
      <c r="E23" s="148" t="str">
        <f>IF(AND(G17="Mumbai"),"Upper Class","Middle Class")</f>
        <v>Upper Class</v>
      </c>
      <c r="F23" s="148"/>
      <c r="G23" s="148"/>
      <c r="H23" s="148"/>
    </row>
    <row r="24" spans="1:8" x14ac:dyDescent="0.25">
      <c r="A24" s="99" t="s">
        <v>19</v>
      </c>
      <c r="B24" s="99"/>
      <c r="C24" s="99"/>
      <c r="D24" s="99"/>
      <c r="E24" s="148" t="s">
        <v>20</v>
      </c>
      <c r="F24" s="148"/>
      <c r="G24" s="148"/>
      <c r="H24" s="148"/>
    </row>
    <row r="25" spans="1:8" ht="15.75" customHeight="1" x14ac:dyDescent="0.25">
      <c r="A25" s="99" t="s">
        <v>21</v>
      </c>
      <c r="B25" s="99"/>
      <c r="C25" s="99"/>
      <c r="D25" s="99"/>
      <c r="E25" s="148" t="str">
        <f>IF(AND(G17="Mumbai"),"Developed","Developing")</f>
        <v>Developed</v>
      </c>
      <c r="F25" s="148"/>
      <c r="G25" s="148"/>
      <c r="H25" s="148"/>
    </row>
    <row r="26" spans="1:8" x14ac:dyDescent="0.25">
      <c r="A26" s="99" t="s">
        <v>22</v>
      </c>
      <c r="B26" s="99"/>
      <c r="C26" s="99"/>
      <c r="D26" s="99"/>
      <c r="E26" s="148" t="s">
        <v>23</v>
      </c>
      <c r="F26" s="148"/>
      <c r="G26" s="148"/>
      <c r="H26" s="148"/>
    </row>
    <row r="27" spans="1:8" x14ac:dyDescent="0.25">
      <c r="A27" s="99" t="s">
        <v>111</v>
      </c>
      <c r="B27" s="99"/>
      <c r="C27" s="99"/>
      <c r="D27" s="99"/>
      <c r="E27" s="148" t="s">
        <v>112</v>
      </c>
      <c r="F27" s="148"/>
      <c r="G27" s="148"/>
      <c r="H27" s="148"/>
    </row>
    <row r="28" spans="1:8" ht="15" customHeight="1" x14ac:dyDescent="0.25">
      <c r="A28" s="117" t="s">
        <v>32</v>
      </c>
      <c r="B28" s="117"/>
      <c r="C28" s="117"/>
      <c r="D28" s="117"/>
      <c r="E28" s="149" t="s">
        <v>223</v>
      </c>
      <c r="F28" s="149"/>
      <c r="G28" s="149"/>
      <c r="H28" s="149"/>
    </row>
    <row r="29" spans="1:8" x14ac:dyDescent="0.25">
      <c r="A29" s="117" t="s">
        <v>123</v>
      </c>
      <c r="B29" s="117"/>
      <c r="C29" s="117"/>
      <c r="D29" s="117"/>
      <c r="E29" s="117" t="s">
        <v>33</v>
      </c>
      <c r="F29" s="117"/>
      <c r="G29" s="117"/>
      <c r="H29" s="117"/>
    </row>
    <row r="30" spans="1:8" s="11" customFormat="1" x14ac:dyDescent="0.25">
      <c r="A30" s="144" t="s">
        <v>124</v>
      </c>
      <c r="B30" s="144"/>
      <c r="C30" s="142" t="s">
        <v>28</v>
      </c>
      <c r="D30" s="142"/>
      <c r="E30" s="142"/>
      <c r="F30" s="142" t="s">
        <v>30</v>
      </c>
      <c r="G30" s="142"/>
      <c r="H30" s="142"/>
    </row>
    <row r="31" spans="1:8" s="11" customFormat="1" x14ac:dyDescent="0.25">
      <c r="A31" s="143" t="s">
        <v>24</v>
      </c>
      <c r="B31" s="143" t="s">
        <v>29</v>
      </c>
      <c r="C31" s="138" t="s">
        <v>29</v>
      </c>
      <c r="D31" s="138"/>
      <c r="E31" s="138"/>
      <c r="F31" s="138" t="s">
        <v>229</v>
      </c>
      <c r="G31" s="138"/>
      <c r="H31" s="138"/>
    </row>
    <row r="32" spans="1:8" x14ac:dyDescent="0.25">
      <c r="A32" s="143" t="s">
        <v>25</v>
      </c>
      <c r="B32" s="143" t="s">
        <v>29</v>
      </c>
      <c r="C32" s="138" t="s">
        <v>29</v>
      </c>
      <c r="D32" s="138"/>
      <c r="E32" s="138"/>
      <c r="F32" s="138" t="s">
        <v>238</v>
      </c>
      <c r="G32" s="138"/>
      <c r="H32" s="138"/>
    </row>
    <row r="33" spans="1:8" s="11" customFormat="1" x14ac:dyDescent="0.25">
      <c r="A33" s="143" t="s">
        <v>27</v>
      </c>
      <c r="B33" s="143" t="s">
        <v>29</v>
      </c>
      <c r="C33" s="138" t="s">
        <v>29</v>
      </c>
      <c r="D33" s="138"/>
      <c r="E33" s="138"/>
      <c r="F33" s="138" t="s">
        <v>230</v>
      </c>
      <c r="G33" s="138"/>
      <c r="H33" s="138"/>
    </row>
    <row r="34" spans="1:8" x14ac:dyDescent="0.25">
      <c r="A34" s="143" t="s">
        <v>26</v>
      </c>
      <c r="B34" s="143" t="s">
        <v>29</v>
      </c>
      <c r="C34" s="138" t="s">
        <v>29</v>
      </c>
      <c r="D34" s="138"/>
      <c r="E34" s="138"/>
      <c r="F34" s="138" t="s">
        <v>237</v>
      </c>
      <c r="G34" s="138"/>
      <c r="H34" s="138"/>
    </row>
    <row r="35" spans="1:8" x14ac:dyDescent="0.25">
      <c r="A35" s="99" t="s">
        <v>31</v>
      </c>
      <c r="B35" s="99"/>
      <c r="C35" s="99"/>
      <c r="D35" s="99"/>
      <c r="E35" s="99"/>
      <c r="F35" s="99"/>
      <c r="G35" s="99"/>
      <c r="H35" s="99"/>
    </row>
    <row r="36" spans="1:8" ht="15.75" customHeight="1" x14ac:dyDescent="0.25">
      <c r="A36" s="99" t="s">
        <v>251</v>
      </c>
      <c r="B36" s="99"/>
      <c r="C36" s="145" t="s">
        <v>252</v>
      </c>
      <c r="D36" s="146"/>
      <c r="E36" s="146"/>
      <c r="F36" s="146"/>
      <c r="G36" s="146"/>
      <c r="H36" s="147"/>
    </row>
    <row r="37" spans="1:8" ht="15.75" customHeight="1" x14ac:dyDescent="0.25">
      <c r="A37" s="99" t="s">
        <v>247</v>
      </c>
      <c r="B37" s="99"/>
      <c r="C37" s="139" t="s">
        <v>248</v>
      </c>
      <c r="D37" s="140"/>
      <c r="E37" s="140"/>
      <c r="F37" s="140"/>
      <c r="G37" s="140"/>
      <c r="H37" s="141"/>
    </row>
    <row r="38" spans="1:8" x14ac:dyDescent="0.25">
      <c r="A38" s="136" t="s">
        <v>34</v>
      </c>
      <c r="B38" s="136"/>
      <c r="C38" s="136"/>
      <c r="D38" s="136"/>
      <c r="E38" s="136"/>
      <c r="F38" s="136"/>
      <c r="G38" s="136"/>
      <c r="H38" s="136"/>
    </row>
    <row r="39" spans="1:8" x14ac:dyDescent="0.25">
      <c r="A39" s="99" t="s">
        <v>35</v>
      </c>
      <c r="B39" s="99"/>
      <c r="C39" s="99"/>
      <c r="D39" s="99"/>
      <c r="E39" s="137">
        <v>462.2</v>
      </c>
      <c r="F39" s="137"/>
      <c r="G39" s="137"/>
      <c r="H39" s="137"/>
    </row>
    <row r="40" spans="1:8" x14ac:dyDescent="0.25">
      <c r="A40" s="99" t="s">
        <v>36</v>
      </c>
      <c r="B40" s="99"/>
      <c r="C40" s="99"/>
      <c r="D40" s="99"/>
      <c r="E40" s="133">
        <v>4</v>
      </c>
      <c r="F40" s="133"/>
      <c r="G40" s="133"/>
      <c r="H40" s="133"/>
    </row>
    <row r="41" spans="1:8" x14ac:dyDescent="0.25">
      <c r="A41" s="99" t="s">
        <v>37</v>
      </c>
      <c r="B41" s="99"/>
      <c r="C41" s="99"/>
      <c r="D41" s="99"/>
      <c r="E41" s="133">
        <f>E43/E39-E40</f>
        <v>0</v>
      </c>
      <c r="F41" s="133"/>
      <c r="G41" s="133"/>
      <c r="H41" s="133"/>
    </row>
    <row r="42" spans="1:8" x14ac:dyDescent="0.25">
      <c r="A42" s="99" t="s">
        <v>38</v>
      </c>
      <c r="B42" s="99"/>
      <c r="C42" s="99"/>
      <c r="D42" s="99"/>
      <c r="E42" s="133">
        <f>E40+E41</f>
        <v>4</v>
      </c>
      <c r="F42" s="133"/>
      <c r="G42" s="133"/>
      <c r="H42" s="133"/>
    </row>
    <row r="43" spans="1:8" x14ac:dyDescent="0.25">
      <c r="A43" s="99" t="s">
        <v>122</v>
      </c>
      <c r="B43" s="99"/>
      <c r="C43" s="99"/>
      <c r="D43" s="99"/>
      <c r="E43" s="134">
        <v>1848.8</v>
      </c>
      <c r="F43" s="134"/>
      <c r="G43" s="134"/>
      <c r="H43" s="134"/>
    </row>
    <row r="44" spans="1:8" x14ac:dyDescent="0.25">
      <c r="A44" s="135" t="s">
        <v>39</v>
      </c>
      <c r="B44" s="135"/>
      <c r="C44" s="135"/>
      <c r="D44" s="135"/>
      <c r="E44" s="135" t="s">
        <v>159</v>
      </c>
      <c r="F44" s="135"/>
      <c r="G44" s="135"/>
      <c r="H44" s="135"/>
    </row>
    <row r="45" spans="1:8" x14ac:dyDescent="0.25">
      <c r="A45" s="136" t="s">
        <v>40</v>
      </c>
      <c r="B45" s="136"/>
      <c r="C45" s="136"/>
      <c r="D45" s="136"/>
      <c r="E45" s="136"/>
      <c r="F45" s="136"/>
      <c r="G45" s="136"/>
      <c r="H45" s="136"/>
    </row>
    <row r="46" spans="1:8" ht="33" customHeight="1" x14ac:dyDescent="0.25">
      <c r="A46" s="117" t="s">
        <v>41</v>
      </c>
      <c r="B46" s="117"/>
      <c r="C46" s="157" t="s">
        <v>224</v>
      </c>
      <c r="D46" s="157"/>
      <c r="E46" s="157"/>
      <c r="F46" s="89" t="s">
        <v>42</v>
      </c>
      <c r="G46" s="179">
        <v>44257</v>
      </c>
      <c r="H46" s="179"/>
    </row>
    <row r="47" spans="1:8" ht="33" customHeight="1" x14ac:dyDescent="0.25">
      <c r="A47" s="99" t="s">
        <v>43</v>
      </c>
      <c r="B47" s="99"/>
      <c r="C47" s="157" t="str">
        <f>C46</f>
        <v>SRA/ENG/PN/PVT/0186/20181006/COM/AP</v>
      </c>
      <c r="D47" s="157"/>
      <c r="E47" s="157"/>
      <c r="F47" s="89" t="s">
        <v>42</v>
      </c>
      <c r="G47" s="179">
        <v>44257</v>
      </c>
      <c r="H47" s="179"/>
    </row>
    <row r="48" spans="1:8" s="10" customFormat="1" x14ac:dyDescent="0.25">
      <c r="A48" s="148" t="s">
        <v>44</v>
      </c>
      <c r="B48" s="148"/>
      <c r="C48" s="157" t="s">
        <v>240</v>
      </c>
      <c r="D48" s="126"/>
      <c r="E48" s="126"/>
      <c r="F48" s="13" t="s">
        <v>42</v>
      </c>
      <c r="G48" s="179">
        <v>44594</v>
      </c>
      <c r="H48" s="179"/>
    </row>
    <row r="49" spans="1:14" s="10" customFormat="1" ht="65.45" customHeight="1" x14ac:dyDescent="0.25">
      <c r="A49" s="148"/>
      <c r="B49" s="148"/>
      <c r="C49" s="189" t="s">
        <v>256</v>
      </c>
      <c r="D49" s="190"/>
      <c r="E49" s="190"/>
      <c r="F49" s="190"/>
      <c r="G49" s="190"/>
      <c r="H49" s="191"/>
    </row>
    <row r="50" spans="1:14" x14ac:dyDescent="0.25">
      <c r="A50" s="186" t="s">
        <v>45</v>
      </c>
      <c r="B50" s="186"/>
      <c r="C50" s="188" t="s">
        <v>140</v>
      </c>
      <c r="D50" s="169"/>
      <c r="E50" s="169" t="s">
        <v>46</v>
      </c>
      <c r="F50" s="91" t="s">
        <v>42</v>
      </c>
      <c r="G50" s="187" t="s">
        <v>29</v>
      </c>
      <c r="H50" s="187"/>
    </row>
    <row r="51" spans="1:14" x14ac:dyDescent="0.25">
      <c r="A51" s="159" t="s">
        <v>48</v>
      </c>
      <c r="B51" s="159"/>
      <c r="C51" s="159"/>
      <c r="D51" s="159"/>
      <c r="E51" s="159"/>
      <c r="F51" s="159"/>
      <c r="G51" s="159"/>
      <c r="H51" s="159"/>
    </row>
    <row r="52" spans="1:14" x14ac:dyDescent="0.25">
      <c r="A52" s="117" t="s">
        <v>121</v>
      </c>
      <c r="B52" s="117"/>
      <c r="C52" s="117"/>
      <c r="D52" s="134">
        <f>E43</f>
        <v>1848.8</v>
      </c>
      <c r="E52" s="99"/>
      <c r="F52" s="99"/>
      <c r="G52" s="99"/>
      <c r="H52" s="99"/>
    </row>
    <row r="53" spans="1:14" x14ac:dyDescent="0.25">
      <c r="A53" s="148" t="s">
        <v>49</v>
      </c>
      <c r="B53" s="135"/>
      <c r="C53" s="135"/>
      <c r="D53" s="135" t="s">
        <v>243</v>
      </c>
      <c r="E53" s="135"/>
      <c r="F53" s="135"/>
      <c r="G53" s="135"/>
      <c r="H53" s="135"/>
      <c r="I53" s="51"/>
    </row>
    <row r="54" spans="1:14" ht="15.75" customHeight="1" x14ac:dyDescent="0.25">
      <c r="A54" s="181" t="s">
        <v>50</v>
      </c>
      <c r="B54" s="182"/>
      <c r="C54" s="196"/>
      <c r="D54" s="195" t="s">
        <v>225</v>
      </c>
      <c r="E54" s="195"/>
      <c r="F54" s="195"/>
      <c r="G54" s="195"/>
      <c r="H54" s="195"/>
    </row>
    <row r="55" spans="1:14" ht="15.75" customHeight="1" x14ac:dyDescent="0.25">
      <c r="A55" s="181" t="s">
        <v>119</v>
      </c>
      <c r="B55" s="182"/>
      <c r="C55" s="182"/>
      <c r="D55" s="183" t="s">
        <v>241</v>
      </c>
      <c r="E55" s="184"/>
      <c r="F55" s="184"/>
      <c r="G55" s="184"/>
      <c r="H55" s="185"/>
    </row>
    <row r="56" spans="1:14" ht="15.75" customHeight="1" x14ac:dyDescent="0.25">
      <c r="A56" s="99" t="s">
        <v>47</v>
      </c>
      <c r="B56" s="99"/>
      <c r="C56" s="99"/>
      <c r="D56" s="180" t="s">
        <v>255</v>
      </c>
      <c r="E56" s="180"/>
      <c r="F56" s="180"/>
      <c r="G56" s="180"/>
      <c r="H56" s="180"/>
      <c r="J56" s="50"/>
      <c r="K56" s="51"/>
      <c r="N56" s="51"/>
    </row>
    <row r="57" spans="1:14" ht="15.75" customHeight="1" x14ac:dyDescent="0.25">
      <c r="A57" s="99" t="s">
        <v>117</v>
      </c>
      <c r="B57" s="99"/>
      <c r="C57" s="99"/>
      <c r="D57" s="194" t="str">
        <f>(IF(G50="NA","60 Years After Completion",IF(G50&lt;&gt;"NA",""&amp;ROUNDDOWN((E3-G50)/360,0)&amp;" Years"," ")))</f>
        <v>60 Years After Completion</v>
      </c>
      <c r="E57" s="194"/>
      <c r="F57" s="194"/>
      <c r="G57" s="194"/>
      <c r="H57" s="194"/>
      <c r="N57" s="51"/>
    </row>
    <row r="58" spans="1:14" ht="15.75" customHeight="1" x14ac:dyDescent="0.25">
      <c r="A58" s="99" t="s">
        <v>118</v>
      </c>
      <c r="B58" s="99"/>
      <c r="C58" s="99"/>
      <c r="D58" s="117" t="s">
        <v>23</v>
      </c>
      <c r="E58" s="117"/>
      <c r="F58" s="117"/>
      <c r="G58" s="117"/>
      <c r="H58" s="117"/>
      <c r="J58" s="21"/>
      <c r="K58" s="21"/>
    </row>
    <row r="59" spans="1:14" ht="15.75" customHeight="1" thickBot="1" x14ac:dyDescent="0.3">
      <c r="A59" s="197" t="s">
        <v>116</v>
      </c>
      <c r="B59" s="197"/>
      <c r="C59" s="197"/>
      <c r="D59" s="198" t="str">
        <f ca="1">(IF(G64&gt;95%,"Nothing",IF(G64&gt;0%,"Cement, Aggregate, Steel, etc",IF(G64=0%,"Work not yet Started"))))</f>
        <v>Cement, Aggregate, Steel, etc</v>
      </c>
      <c r="E59" s="198"/>
      <c r="F59" s="198"/>
      <c r="G59" s="198"/>
      <c r="H59" s="198"/>
      <c r="J59" s="21"/>
      <c r="K59" s="21"/>
    </row>
    <row r="60" spans="1:14" ht="15.75" customHeight="1" x14ac:dyDescent="0.25">
      <c r="A60" s="201" t="s">
        <v>191</v>
      </c>
      <c r="B60" s="202"/>
      <c r="C60" s="203" t="str">
        <f>D55</f>
        <v>Gr. + 1st to 20th Floor</v>
      </c>
      <c r="D60" s="204"/>
      <c r="E60" s="204"/>
      <c r="F60" s="204"/>
      <c r="G60" s="204"/>
      <c r="H60" s="205"/>
      <c r="I60" s="24" t="str">
        <f ca="1">(IF(C64=0,"Work not yet Started.",IF(D64=25%,"Piling work in process",IF(D64=50%,"Excavation work in process",IF(D64=100%,"Excavation work completed, ","0")))&amp;(IF(C65=0%,"",IF(C65=K66,"Footing work is process",IF(C65=K67,"Footing work Completed",IF(C65=K68,"1st Basement Completed",IF(C65=K69,"1st &amp; 2nd Basement Completed",IF(C65=K70,"1st to 3rd Basement Completed",IF(C65=K71,"1st to 4th Basement Completed",IF(C65=K72,"Plinth work is process",IF(C65=K73,"Plinth work completed","0")))))))))))&amp;(IF(C66&gt;0,", RCC upto "&amp;C66&amp;" Slab completed",""))&amp;(IF(C67&gt;0,", Brickwork upto "&amp;C67&amp;" Floor completed"," "))&amp;(IF(C68&gt;0,", Internal Plaster upto "&amp;C68&amp;" Floor completed"," "))&amp;(IF(C69&gt;0,", External Plaster upto "&amp;C69&amp;" Floor completed"," "))&amp;(IF(C70&gt;0,", Flooring upto "&amp;C70&amp;" Floor completed"," "))&amp;(IF(C71&gt;0,", Painting upto "&amp;C71&amp;" Floor completed"," "))&amp;(IF(C72&gt;0,", Finishing upto "&amp;C72&amp;" Floor completed"," ")))</f>
        <v xml:space="preserve">Excavation work completed, Plinth work completed, RCC upto 21 Slab completed, Brickwork upto 20 Floor completed, Internal Plaster upto 20 Floor completed, External Plaster upto 20 Floor completed, Flooring upto 17 Floor completed, Painting upto 4 Floor completed </v>
      </c>
      <c r="J60" s="24"/>
      <c r="K60" s="25"/>
    </row>
    <row r="61" spans="1:14" x14ac:dyDescent="0.25">
      <c r="A61" s="83" t="s">
        <v>194</v>
      </c>
      <c r="B61" s="71">
        <v>0</v>
      </c>
      <c r="C61" s="71" t="s">
        <v>100</v>
      </c>
      <c r="D61" s="71">
        <v>1</v>
      </c>
      <c r="E61" s="71" t="s">
        <v>99</v>
      </c>
      <c r="F61" s="71">
        <v>0</v>
      </c>
      <c r="G61" s="71" t="s">
        <v>110</v>
      </c>
      <c r="H61" s="69">
        <f ca="1">--TRIM(RIGHT(SUBSTITUTE(LEFT(C60,_xlfn.AGGREGATE(16,6,FIND({0,1,2,3,4,5,6,7,8,9},C60,ROW(INDIRECT("1:"&amp;LEN(C60)))),1))," ",REPT(" ",LEN(C60))),LEN(C60)))</f>
        <v>20</v>
      </c>
      <c r="I61" s="21" t="s">
        <v>154</v>
      </c>
      <c r="J61" s="21"/>
      <c r="K61" s="26"/>
    </row>
    <row r="62" spans="1:14" ht="64.5" customHeight="1" x14ac:dyDescent="0.25">
      <c r="A62" s="200" t="s">
        <v>120</v>
      </c>
      <c r="B62" s="170"/>
      <c r="C62" s="192" t="str">
        <f ca="1">I60</f>
        <v xml:space="preserve">Excavation work completed, Plinth work completed, RCC upto 21 Slab completed, Brickwork upto 20 Floor completed, Internal Plaster upto 20 Floor completed, External Plaster upto 20 Floor completed, Flooring upto 17 Floor completed, Painting upto 4 Floor completed </v>
      </c>
      <c r="D62" s="192"/>
      <c r="E62" s="192"/>
      <c r="F62" s="192"/>
      <c r="G62" s="192"/>
      <c r="H62" s="193"/>
      <c r="I62" s="21" t="s">
        <v>139</v>
      </c>
      <c r="J62" s="21"/>
      <c r="K62" s="26"/>
    </row>
    <row r="63" spans="1:14" x14ac:dyDescent="0.25">
      <c r="A63" s="167" t="s">
        <v>51</v>
      </c>
      <c r="B63" s="168"/>
      <c r="C63" s="14" t="s">
        <v>190</v>
      </c>
      <c r="D63" s="14" t="s">
        <v>113</v>
      </c>
      <c r="E63" s="168" t="s">
        <v>115</v>
      </c>
      <c r="F63" s="168"/>
      <c r="G63" s="168" t="s">
        <v>114</v>
      </c>
      <c r="H63" s="199"/>
      <c r="I63" s="49" t="s">
        <v>193</v>
      </c>
      <c r="K63" s="27">
        <f ca="1">H61*25%</f>
        <v>5</v>
      </c>
    </row>
    <row r="64" spans="1:14" x14ac:dyDescent="0.25">
      <c r="A64" s="167" t="s">
        <v>175</v>
      </c>
      <c r="B64" s="168"/>
      <c r="C64" s="92">
        <f ca="1">K65</f>
        <v>20</v>
      </c>
      <c r="D64" s="72">
        <f ca="1">((100/H61)*C64)/100</f>
        <v>1</v>
      </c>
      <c r="E64" s="173">
        <f ca="1">(IF(C62=I61,"100%",IF(C62=I62,"100%",(((C65/H61*10)+(40/(D61+F61+H61)*C66)+(7.5/(H61)*C67)+(7.5/(H61)*C68)+(10/H61*C69)+(10/H61*C70)+(5/H61*C71)+(5/H61*C72)+(5/H61*C73))/100))))</f>
        <v>0.84499999999999997</v>
      </c>
      <c r="F64" s="173"/>
      <c r="G64" s="173">
        <f ca="1">((((C64/H61)*20)+((C65/H61)*25)+(30/(H61+F61+D61)*C66)+(5/H61*C67)+(5/H61*C68)+(5/H61*C69)+(5/H61*C70)+(0/H61*C71)+(0/H61*C72)+(5/H61*C73))/100)</f>
        <v>0.9425</v>
      </c>
      <c r="H64" s="175"/>
      <c r="I64" s="49" t="s">
        <v>133</v>
      </c>
      <c r="J64" s="28"/>
      <c r="K64" s="61">
        <f ca="1">H61*50%</f>
        <v>10</v>
      </c>
    </row>
    <row r="65" spans="1:11" x14ac:dyDescent="0.25">
      <c r="A65" s="167" t="s">
        <v>52</v>
      </c>
      <c r="B65" s="168"/>
      <c r="C65" s="93">
        <v>20</v>
      </c>
      <c r="D65" s="72">
        <f ca="1">((100/H61)*C65)/100</f>
        <v>1</v>
      </c>
      <c r="E65" s="173"/>
      <c r="F65" s="173"/>
      <c r="G65" s="173"/>
      <c r="H65" s="175"/>
      <c r="I65" s="49" t="s">
        <v>134</v>
      </c>
      <c r="J65" s="28"/>
      <c r="K65" s="61">
        <f ca="1">H61</f>
        <v>20</v>
      </c>
    </row>
    <row r="66" spans="1:11" ht="15.75" customHeight="1" x14ac:dyDescent="0.25">
      <c r="A66" s="167" t="s">
        <v>176</v>
      </c>
      <c r="B66" s="168"/>
      <c r="C66" s="93">
        <v>21</v>
      </c>
      <c r="D66" s="72">
        <f ca="1">((100/(D61+F61+H61))*C66)/100</f>
        <v>1</v>
      </c>
      <c r="E66" s="173"/>
      <c r="F66" s="173"/>
      <c r="G66" s="173"/>
      <c r="H66" s="175"/>
      <c r="I66" s="49" t="s">
        <v>135</v>
      </c>
      <c r="J66" s="28"/>
      <c r="K66" s="80">
        <f ca="1">(IF(B61=0,H61/4,(H61/(B61+4))))</f>
        <v>5</v>
      </c>
    </row>
    <row r="67" spans="1:11" ht="15.75" customHeight="1" x14ac:dyDescent="0.25">
      <c r="A67" s="167" t="s">
        <v>184</v>
      </c>
      <c r="B67" s="168" t="s">
        <v>177</v>
      </c>
      <c r="C67" s="92">
        <v>20</v>
      </c>
      <c r="D67" s="72">
        <f ca="1">((100/H61)*C67)/100</f>
        <v>1</v>
      </c>
      <c r="E67" s="173"/>
      <c r="F67" s="173"/>
      <c r="G67" s="173"/>
      <c r="H67" s="175"/>
      <c r="I67" s="49" t="s">
        <v>136</v>
      </c>
      <c r="J67" s="28"/>
      <c r="K67" s="80">
        <f ca="1">(IF(B61=0,H61/4+K66,(H61/(B61+4)+K66)))</f>
        <v>10</v>
      </c>
    </row>
    <row r="68" spans="1:11" ht="15.75" customHeight="1" x14ac:dyDescent="0.25">
      <c r="A68" s="167" t="s">
        <v>185</v>
      </c>
      <c r="B68" s="168" t="s">
        <v>177</v>
      </c>
      <c r="C68" s="92">
        <v>20</v>
      </c>
      <c r="D68" s="72">
        <f ca="1">((100/H61)*C68)/100</f>
        <v>1</v>
      </c>
      <c r="E68" s="173"/>
      <c r="F68" s="173"/>
      <c r="G68" s="173"/>
      <c r="H68" s="175"/>
      <c r="I68" s="49" t="s">
        <v>195</v>
      </c>
      <c r="J68" s="85"/>
      <c r="K68" s="80">
        <f>(IF(B61=0,0,(H61/(B61+4)+K67)))</f>
        <v>0</v>
      </c>
    </row>
    <row r="69" spans="1:11" ht="15" customHeight="1" x14ac:dyDescent="0.25">
      <c r="A69" s="167" t="s">
        <v>183</v>
      </c>
      <c r="B69" s="168" t="s">
        <v>179</v>
      </c>
      <c r="C69" s="92">
        <v>20</v>
      </c>
      <c r="D69" s="72">
        <f ca="1">((100/(H61))*C69)/100</f>
        <v>1</v>
      </c>
      <c r="E69" s="173"/>
      <c r="F69" s="173"/>
      <c r="G69" s="173"/>
      <c r="H69" s="175"/>
      <c r="I69" s="49" t="s">
        <v>196</v>
      </c>
      <c r="J69" s="85"/>
      <c r="K69" s="80">
        <f>(IF(B61&gt;1,(H61/(B61+4)+K68),0))</f>
        <v>0</v>
      </c>
    </row>
    <row r="70" spans="1:11" ht="15.75" customHeight="1" x14ac:dyDescent="0.25">
      <c r="A70" s="167" t="s">
        <v>178</v>
      </c>
      <c r="B70" s="168" t="s">
        <v>178</v>
      </c>
      <c r="C70" s="92">
        <v>17</v>
      </c>
      <c r="D70" s="72">
        <f ca="1">((100/H61)*C70)/100</f>
        <v>0.85</v>
      </c>
      <c r="E70" s="173"/>
      <c r="F70" s="173"/>
      <c r="G70" s="173"/>
      <c r="H70" s="175"/>
      <c r="I70" s="49" t="s">
        <v>197</v>
      </c>
      <c r="J70" s="78"/>
      <c r="K70" s="81">
        <f>(IF(B61&gt;2,(H61/(B61+4)+K69),0))</f>
        <v>0</v>
      </c>
    </row>
    <row r="71" spans="1:11" ht="15.75" customHeight="1" x14ac:dyDescent="0.25">
      <c r="A71" s="167" t="s">
        <v>186</v>
      </c>
      <c r="B71" s="168"/>
      <c r="C71" s="92">
        <v>4</v>
      </c>
      <c r="D71" s="72">
        <f ca="1">((100/H61)*C71)/100</f>
        <v>0.2</v>
      </c>
      <c r="E71" s="173"/>
      <c r="F71" s="173"/>
      <c r="G71" s="173"/>
      <c r="H71" s="175"/>
      <c r="I71" s="49" t="s">
        <v>199</v>
      </c>
      <c r="J71"/>
      <c r="K71" s="84">
        <f>(IF(B61&gt;3,(H61/(B61+4)+K70),0))</f>
        <v>0</v>
      </c>
    </row>
    <row r="72" spans="1:11" ht="15.75" customHeight="1" x14ac:dyDescent="0.25">
      <c r="A72" s="167" t="s">
        <v>180</v>
      </c>
      <c r="B72" s="168" t="s">
        <v>180</v>
      </c>
      <c r="C72" s="92">
        <v>0</v>
      </c>
      <c r="D72" s="72">
        <f ca="1">((100/(H61))*C72)/100</f>
        <v>0</v>
      </c>
      <c r="E72" s="173"/>
      <c r="F72" s="173"/>
      <c r="G72" s="173"/>
      <c r="H72" s="175"/>
      <c r="I72" s="49" t="s">
        <v>137</v>
      </c>
      <c r="J72" s="28"/>
      <c r="K72" s="80">
        <f ca="1">(IF(B61=0,H61/4+K67,(H61/(B61+4)+K67+MAX(0,K68-K67)+MAX(0,K69-K68)+MAX(0,K70-K69)+MAX(0,K71-K70))))</f>
        <v>15</v>
      </c>
    </row>
    <row r="73" spans="1:11" ht="16.5" thickBot="1" x14ac:dyDescent="0.3">
      <c r="A73" s="177" t="s">
        <v>181</v>
      </c>
      <c r="B73" s="178"/>
      <c r="C73" s="94">
        <v>0</v>
      </c>
      <c r="D73" s="73">
        <f ca="1">((100/(H61))*C73)/100</f>
        <v>0</v>
      </c>
      <c r="E73" s="174"/>
      <c r="F73" s="174"/>
      <c r="G73" s="174"/>
      <c r="H73" s="176"/>
      <c r="I73" s="75" t="s">
        <v>138</v>
      </c>
      <c r="J73" s="76"/>
      <c r="K73" s="82">
        <f ca="1">(IF(B61=0,H61/4+K72,(H61/(B61+4)+K72)))</f>
        <v>20</v>
      </c>
    </row>
    <row r="74" spans="1:11" x14ac:dyDescent="0.25">
      <c r="A74" s="206" t="s">
        <v>155</v>
      </c>
      <c r="B74" s="207"/>
      <c r="C74" s="207"/>
      <c r="D74" s="207"/>
      <c r="E74" s="208"/>
      <c r="F74" s="206" t="str">
        <f ca="1">(IF(G64="100%","Yes",IF(G64&gt;0%,"Under Construction",IF(G64=0%,"Work not yet Started"))))</f>
        <v>Under Construction</v>
      </c>
      <c r="G74" s="207"/>
      <c r="H74" s="208"/>
    </row>
    <row r="75" spans="1:11" x14ac:dyDescent="0.25">
      <c r="A75" s="99" t="s">
        <v>53</v>
      </c>
      <c r="B75" s="99"/>
      <c r="C75" s="99"/>
      <c r="D75" s="99"/>
      <c r="E75" s="99"/>
      <c r="F75" s="99"/>
      <c r="G75" s="99"/>
      <c r="H75" s="99"/>
    </row>
    <row r="76" spans="1:11" x14ac:dyDescent="0.25">
      <c r="A76" s="170" t="s">
        <v>103</v>
      </c>
      <c r="B76" s="170"/>
      <c r="C76" s="192" t="s">
        <v>104</v>
      </c>
      <c r="D76" s="192"/>
      <c r="E76" s="192"/>
      <c r="F76" s="192"/>
      <c r="G76" s="192"/>
      <c r="H76" s="192"/>
    </row>
    <row r="77" spans="1:11" x14ac:dyDescent="0.25">
      <c r="A77" s="136" t="s">
        <v>54</v>
      </c>
      <c r="B77" s="136"/>
      <c r="C77" s="136"/>
      <c r="D77" s="136"/>
      <c r="E77" s="136"/>
      <c r="F77" s="136"/>
      <c r="G77" s="136"/>
      <c r="H77" s="136"/>
    </row>
    <row r="78" spans="1:11" x14ac:dyDescent="0.25">
      <c r="A78" s="99" t="s">
        <v>105</v>
      </c>
      <c r="B78" s="99"/>
      <c r="C78" s="99"/>
      <c r="D78" s="99"/>
      <c r="E78" s="99"/>
      <c r="F78" s="169">
        <v>13400</v>
      </c>
      <c r="G78" s="169"/>
      <c r="H78" s="169"/>
    </row>
    <row r="79" spans="1:11" s="12" customFormat="1" hidden="1" x14ac:dyDescent="0.25">
      <c r="A79" s="99" t="s">
        <v>125</v>
      </c>
      <c r="B79" s="99"/>
      <c r="C79" s="99"/>
      <c r="D79" s="99"/>
      <c r="E79" s="99"/>
      <c r="F79" s="126" t="s">
        <v>29</v>
      </c>
      <c r="G79" s="126"/>
      <c r="H79" s="126"/>
    </row>
    <row r="80" spans="1:11" s="12" customFormat="1" hidden="1" x14ac:dyDescent="0.25">
      <c r="A80" s="99" t="s">
        <v>126</v>
      </c>
      <c r="B80" s="99"/>
      <c r="C80" s="99"/>
      <c r="D80" s="99"/>
      <c r="E80" s="99"/>
      <c r="F80" s="126" t="s">
        <v>29</v>
      </c>
      <c r="G80" s="126"/>
      <c r="H80" s="126"/>
    </row>
    <row r="81" spans="1:9" s="12" customFormat="1" hidden="1" x14ac:dyDescent="0.25">
      <c r="A81" s="99" t="s">
        <v>127</v>
      </c>
      <c r="B81" s="99"/>
      <c r="C81" s="99"/>
      <c r="D81" s="99"/>
      <c r="E81" s="99"/>
      <c r="F81" s="126" t="s">
        <v>29</v>
      </c>
      <c r="G81" s="126"/>
      <c r="H81" s="126"/>
    </row>
    <row r="82" spans="1:9" s="12" customFormat="1" hidden="1" x14ac:dyDescent="0.25">
      <c r="A82" s="99" t="s">
        <v>128</v>
      </c>
      <c r="B82" s="99"/>
      <c r="C82" s="99"/>
      <c r="D82" s="99"/>
      <c r="E82" s="99"/>
      <c r="F82" s="126" t="s">
        <v>29</v>
      </c>
      <c r="G82" s="126"/>
      <c r="H82" s="126"/>
    </row>
    <row r="83" spans="1:9" s="12" customFormat="1" hidden="1" x14ac:dyDescent="0.25">
      <c r="A83" s="99" t="s">
        <v>129</v>
      </c>
      <c r="B83" s="99"/>
      <c r="C83" s="99"/>
      <c r="D83" s="99"/>
      <c r="E83" s="99"/>
      <c r="F83" s="126" t="s">
        <v>29</v>
      </c>
      <c r="G83" s="126"/>
      <c r="H83" s="126"/>
    </row>
    <row r="84" spans="1:9" s="12" customFormat="1" hidden="1" x14ac:dyDescent="0.25">
      <c r="A84" s="99" t="s">
        <v>130</v>
      </c>
      <c r="B84" s="99"/>
      <c r="C84" s="99"/>
      <c r="D84" s="99"/>
      <c r="E84" s="99"/>
      <c r="F84" s="126" t="s">
        <v>29</v>
      </c>
      <c r="G84" s="126"/>
      <c r="H84" s="126"/>
    </row>
    <row r="85" spans="1:9" s="12" customFormat="1" hidden="1" x14ac:dyDescent="0.25">
      <c r="A85" s="99" t="s">
        <v>131</v>
      </c>
      <c r="B85" s="99"/>
      <c r="C85" s="99"/>
      <c r="D85" s="99"/>
      <c r="E85" s="99"/>
      <c r="F85" s="126" t="s">
        <v>29</v>
      </c>
      <c r="G85" s="126"/>
      <c r="H85" s="126"/>
    </row>
    <row r="86" spans="1:9" s="12" customFormat="1" hidden="1" x14ac:dyDescent="0.25">
      <c r="A86" s="99" t="s">
        <v>132</v>
      </c>
      <c r="B86" s="99"/>
      <c r="C86" s="99"/>
      <c r="D86" s="99"/>
      <c r="E86" s="99"/>
      <c r="F86" s="126" t="s">
        <v>29</v>
      </c>
      <c r="G86" s="126"/>
      <c r="H86" s="126"/>
    </row>
    <row r="87" spans="1:9" x14ac:dyDescent="0.25">
      <c r="A87" s="99" t="s">
        <v>55</v>
      </c>
      <c r="B87" s="99"/>
      <c r="C87" s="99"/>
      <c r="D87" s="99"/>
      <c r="E87" s="99"/>
      <c r="F87" s="157" t="s">
        <v>244</v>
      </c>
      <c r="G87" s="157"/>
      <c r="H87" s="157"/>
    </row>
    <row r="88" spans="1:9" s="9" customFormat="1" x14ac:dyDescent="0.25">
      <c r="A88" s="136" t="s">
        <v>56</v>
      </c>
      <c r="B88" s="136"/>
      <c r="C88" s="136"/>
      <c r="D88" s="136"/>
      <c r="E88" s="136"/>
      <c r="F88" s="126">
        <f>F78*0.8</f>
        <v>10720</v>
      </c>
      <c r="G88" s="126"/>
      <c r="H88" s="126"/>
    </row>
    <row r="89" spans="1:9" s="1" customFormat="1" x14ac:dyDescent="0.25">
      <c r="A89" s="127" t="s">
        <v>98</v>
      </c>
      <c r="B89" s="127"/>
      <c r="C89" s="127"/>
      <c r="D89" s="127"/>
      <c r="E89" s="127"/>
      <c r="F89" s="127"/>
      <c r="G89" s="127"/>
      <c r="H89" s="127"/>
    </row>
    <row r="90" spans="1:9" s="1" customFormat="1" ht="15.75" customHeight="1" x14ac:dyDescent="0.25">
      <c r="A90" s="161" t="s">
        <v>57</v>
      </c>
      <c r="B90" s="161"/>
      <c r="C90" s="128" t="s">
        <v>108</v>
      </c>
      <c r="D90" s="128"/>
      <c r="E90" s="160" t="s">
        <v>58</v>
      </c>
      <c r="F90" s="160"/>
      <c r="G90" s="161" t="s">
        <v>59</v>
      </c>
      <c r="H90" s="161"/>
    </row>
    <row r="91" spans="1:9" s="1" customFormat="1" x14ac:dyDescent="0.25">
      <c r="A91" s="132" t="s">
        <v>242</v>
      </c>
      <c r="B91" s="132"/>
      <c r="C91" s="130">
        <f>COUNT(D102:D103)*2+COUNT(D106:D107)*10+COUNT(D110:D111)*2</f>
        <v>28</v>
      </c>
      <c r="D91" s="130"/>
      <c r="E91" s="131">
        <f>SUM(D102:D103)*2+SUM(D106:D107)*10+SUM(D110:D111)*2</f>
        <v>10542.692159999999</v>
      </c>
      <c r="F91" s="131"/>
      <c r="G91" s="131">
        <f>SUM(F102:F103)*2+SUM(F106:F107)*10+SUM(F110:F111)*2</f>
        <v>16868.307455999999</v>
      </c>
      <c r="H91" s="131"/>
    </row>
    <row r="92" spans="1:9" s="1" customFormat="1" x14ac:dyDescent="0.25">
      <c r="A92" s="132" t="s">
        <v>205</v>
      </c>
      <c r="B92" s="132"/>
      <c r="C92" s="130">
        <f>COUNT(D105)*10+COUNT(D113)+COUNT(D117)+COUNT(D119)</f>
        <v>13</v>
      </c>
      <c r="D92" s="130"/>
      <c r="E92" s="131">
        <f>SUM(D105)*10+SUM(D113)+SUM(D117)+SUM(D119)</f>
        <v>3904.1027999999992</v>
      </c>
      <c r="F92" s="131"/>
      <c r="G92" s="131">
        <f>SUM(F105)*10+SUM(F113)+SUM(F117)+SUM(F119)</f>
        <v>6246.5644800000009</v>
      </c>
      <c r="H92" s="131"/>
    </row>
    <row r="93" spans="1:9" s="95" customFormat="1" x14ac:dyDescent="0.25">
      <c r="A93" s="127" t="s">
        <v>61</v>
      </c>
      <c r="B93" s="127"/>
      <c r="C93" s="128">
        <f>SUM(C91:C92)</f>
        <v>41</v>
      </c>
      <c r="D93" s="128"/>
      <c r="E93" s="129">
        <f>SUM(E91:E92)</f>
        <v>14446.794959999997</v>
      </c>
      <c r="F93" s="129"/>
      <c r="G93" s="129">
        <f>SUM(G91:G92)</f>
        <v>23114.871936</v>
      </c>
      <c r="H93" s="129"/>
    </row>
    <row r="94" spans="1:9" s="9" customFormat="1" x14ac:dyDescent="0.25">
      <c r="A94" s="154" t="s">
        <v>62</v>
      </c>
      <c r="B94" s="154"/>
      <c r="C94" s="154"/>
      <c r="D94" s="154"/>
      <c r="E94" s="154"/>
      <c r="F94" s="154"/>
      <c r="G94" s="154"/>
      <c r="H94" s="154"/>
    </row>
    <row r="95" spans="1:9" x14ac:dyDescent="0.25">
      <c r="A95" s="154" t="s">
        <v>63</v>
      </c>
      <c r="B95" s="154"/>
      <c r="C95" s="154"/>
      <c r="D95" s="154"/>
      <c r="E95" s="154"/>
      <c r="F95" s="154"/>
      <c r="G95" s="154"/>
      <c r="H95" s="154"/>
    </row>
    <row r="96" spans="1:9" ht="47.25" customHeight="1" x14ac:dyDescent="0.25">
      <c r="A96" s="114" t="s">
        <v>157</v>
      </c>
      <c r="B96" s="114" t="s">
        <v>203</v>
      </c>
      <c r="C96" s="124" t="s">
        <v>64</v>
      </c>
      <c r="D96" s="124" t="s">
        <v>65</v>
      </c>
      <c r="E96" s="163" t="s">
        <v>66</v>
      </c>
      <c r="F96" s="43" t="s">
        <v>156</v>
      </c>
      <c r="G96" s="114" t="s">
        <v>67</v>
      </c>
      <c r="H96" s="165"/>
      <c r="I96" s="42"/>
    </row>
    <row r="97" spans="1:16" s="2" customFormat="1" x14ac:dyDescent="0.25">
      <c r="A97" s="115"/>
      <c r="B97" s="115"/>
      <c r="C97" s="125"/>
      <c r="D97" s="125"/>
      <c r="E97" s="164"/>
      <c r="F97" s="41">
        <v>0.6</v>
      </c>
      <c r="G97" s="115"/>
      <c r="H97" s="166"/>
      <c r="I97" s="42"/>
    </row>
    <row r="98" spans="1:16" s="2" customFormat="1" x14ac:dyDescent="0.25">
      <c r="A98" s="104" t="s">
        <v>202</v>
      </c>
      <c r="B98" s="104"/>
      <c r="C98" s="104"/>
      <c r="D98" s="104"/>
      <c r="E98" s="104"/>
      <c r="F98" s="104"/>
      <c r="G98" s="104"/>
      <c r="H98" s="104"/>
      <c r="I98" s="42"/>
      <c r="L98" s="103"/>
      <c r="M98" s="103"/>
    </row>
    <row r="99" spans="1:16" s="2" customFormat="1" x14ac:dyDescent="0.25">
      <c r="A99" s="104" t="s">
        <v>226</v>
      </c>
      <c r="B99" s="104"/>
      <c r="C99" s="104"/>
      <c r="D99" s="104"/>
      <c r="E99" s="104"/>
      <c r="F99" s="104"/>
      <c r="G99" s="104"/>
      <c r="H99" s="104"/>
      <c r="I99" s="42"/>
      <c r="L99" s="103"/>
      <c r="M99" s="103"/>
    </row>
    <row r="100" spans="1:16" s="2" customFormat="1" x14ac:dyDescent="0.25">
      <c r="A100" s="105" t="s">
        <v>227</v>
      </c>
      <c r="B100" s="106"/>
      <c r="C100" s="106"/>
      <c r="D100" s="106"/>
      <c r="E100" s="106"/>
      <c r="F100" s="106"/>
      <c r="G100" s="106"/>
      <c r="H100" s="107"/>
      <c r="I100" s="42"/>
    </row>
    <row r="101" spans="1:16" s="2" customFormat="1" ht="15.75" customHeight="1" x14ac:dyDescent="0.25">
      <c r="A101" s="22" t="str">
        <f t="shared" ref="A101:A103" ca="1" si="0">N101</f>
        <v>201 &amp; 301</v>
      </c>
      <c r="B101" s="22" t="s">
        <v>205</v>
      </c>
      <c r="C101" s="108" t="s">
        <v>208</v>
      </c>
      <c r="D101" s="109"/>
      <c r="E101" s="109"/>
      <c r="F101" s="110"/>
      <c r="G101" s="118" t="str">
        <f>A100</f>
        <v>2nd &amp; 3rd Floor (Part Amenities Area)</v>
      </c>
      <c r="H101" s="120"/>
      <c r="I101" s="42"/>
      <c r="N101" s="2" t="str">
        <f t="shared" ref="N101:N103" ca="1" si="1">O101&amp;""&amp;" &amp; "&amp;""&amp;P101</f>
        <v>201 &amp; 301</v>
      </c>
      <c r="O101" s="2">
        <f ca="1">(SUMPRODUCT(MID(0&amp;(LEFT(A100,SUM(LEN(A100)-LEN(SUBSTITUTE(A100,{"0","1","2"},""))))), LARGE(INDEX(ISNUMBER(--MID((LEFT(A100,SUM(LEN(A100)-LEN(SUBSTITUTE(A100,{"0","1","2"},""))))), ROW(INDIRECT("1:"&amp;LEN((LEFT(A100,SUM(LEN(A100)-LEN(SUBSTITUTE(A100,{"0","1","2"},"")))))))), 1)) * ROW(INDIRECT("1:"&amp;LEN((LEFT(A100,SUM(LEN(A100)-LEN(SUBSTITUTE(A100,{"0","1","2"},"")))))))), 0), ROW(INDIRECT("1:"&amp;LEN((LEFT(A100,SUM(LEN(A100)-LEN(SUBSTITUTE(A100,{"0","1","2"},"")))))))))+1, 1) * 10^ROW(INDIRECT("1:"&amp;LEN((LEFT(A100,SUM(LEN(A100)-LEN(SUBSTITUTE(A100,{"0","1","2"},""))))))))/10))*100+1</f>
        <v>201</v>
      </c>
      <c r="P101" s="2">
        <f ca="1">(SUMPRODUCT(MID(0&amp;(--TRIM(RIGHT(SUBSTITUTE(LEFT(A100,_xlfn.AGGREGATE(16,6,FIND({0,1,2,3,4,5,6,7,8,9},A100,ROW(INDIRECT("1:"&amp;LEN(A100)))),1))," ",REPT(" ",LEN(A100))),LEN(A100)))), LARGE(INDEX(ISNUMBER(--MID((--TRIM(RIGHT(SUBSTITUTE(LEFT(A100,_xlfn.AGGREGATE(16,6,FIND({0,1,2,3,4,5,6,7,8,9},A100,ROW(INDIRECT("1:"&amp;LEN(A100)))),1))," ",REPT(" ",LEN(A100))),LEN(A100)))), ROW(INDIRECT("1:"&amp;LEN((--TRIM(RIGHT(SUBSTITUTE(LEFT(A100,_xlfn.AGGREGATE(16,6,FIND({0,1,2,3,4,5,6,7,8,9},A100,ROW(INDIRECT("1:"&amp;LEN(A100)))),1))," ",REPT(" ",LEN(A100))),LEN(A100))))))), 1)) * ROW(INDIRECT("1:"&amp;LEN((--TRIM(RIGHT(SUBSTITUTE(LEFT(A100,_xlfn.AGGREGATE(16,6,FIND({0,1,2,3,4,5,6,7,8,9},A100,ROW(INDIRECT("1:"&amp;LEN(A100)))),1))," ",REPT(" ",LEN(A100))),LEN(A100))))))), 0), ROW(INDIRECT("1:"&amp;LEN((--TRIM(RIGHT(SUBSTITUTE(LEFT(A100,_xlfn.AGGREGATE(16,6,FIND({0,1,2,3,4,5,6,7,8,9},A100,ROW(INDIRECT("1:"&amp;LEN(A100)))),1))," ",REPT(" ",LEN(A100))),LEN(A100))))))))+1, 1) * 10^ROW(INDIRECT("1:"&amp;LEN((--TRIM(RIGHT(SUBSTITUTE(LEFT(A100,_xlfn.AGGREGATE(16,6,FIND({0,1,2,3,4,5,6,7,8,9},A100,ROW(INDIRECT("1:"&amp;LEN(A100)))),1))," ",REPT(" ",LEN(A100))),LEN(A100)))))))/10))*100+1</f>
        <v>301</v>
      </c>
    </row>
    <row r="102" spans="1:16" s="2" customFormat="1" ht="15.75" customHeight="1" x14ac:dyDescent="0.25">
      <c r="A102" s="22" t="str">
        <f t="shared" ca="1" si="0"/>
        <v>202 &amp; 302</v>
      </c>
      <c r="B102" s="22" t="s">
        <v>206</v>
      </c>
      <c r="C102" s="22" t="s">
        <v>204</v>
      </c>
      <c r="D102" s="22">
        <f>34.98*10.764</f>
        <v>376.52471999999995</v>
      </c>
      <c r="E102" s="22">
        <v>0</v>
      </c>
      <c r="F102" s="22">
        <f>D102*(($F$97)+1)+E102</f>
        <v>602.43955199999994</v>
      </c>
      <c r="G102" s="171"/>
      <c r="H102" s="172"/>
      <c r="I102" s="42">
        <f>8020000/F102</f>
        <v>13312.538948305972</v>
      </c>
      <c r="N102" s="2" t="str">
        <f t="shared" ca="1" si="1"/>
        <v>202 &amp; 302</v>
      </c>
      <c r="O102" s="2">
        <f t="shared" ref="O102:P102" ca="1" si="2">O101+1</f>
        <v>202</v>
      </c>
      <c r="P102" s="2">
        <f t="shared" ca="1" si="2"/>
        <v>302</v>
      </c>
    </row>
    <row r="103" spans="1:16" s="2" customFormat="1" ht="15.75" customHeight="1" x14ac:dyDescent="0.25">
      <c r="A103" s="22" t="str">
        <f t="shared" ca="1" si="0"/>
        <v>203 &amp; 303</v>
      </c>
      <c r="B103" s="22" t="s">
        <v>206</v>
      </c>
      <c r="C103" s="22" t="s">
        <v>204</v>
      </c>
      <c r="D103" s="22">
        <f>34.98*10.764</f>
        <v>376.52471999999995</v>
      </c>
      <c r="E103" s="22">
        <v>0</v>
      </c>
      <c r="F103" s="22">
        <f>D103*(($F$97)+1)+E103</f>
        <v>602.43955199999994</v>
      </c>
      <c r="G103" s="121"/>
      <c r="H103" s="123"/>
      <c r="I103" s="42"/>
      <c r="N103" s="2" t="str">
        <f t="shared" ca="1" si="1"/>
        <v>203 &amp; 303</v>
      </c>
      <c r="O103" s="2">
        <f t="shared" ref="O103:P103" ca="1" si="3">O102+1</f>
        <v>203</v>
      </c>
      <c r="P103" s="2">
        <f t="shared" ca="1" si="3"/>
        <v>303</v>
      </c>
    </row>
    <row r="104" spans="1:16" s="2" customFormat="1" x14ac:dyDescent="0.25">
      <c r="A104" s="105" t="s">
        <v>207</v>
      </c>
      <c r="B104" s="106"/>
      <c r="C104" s="106"/>
      <c r="D104" s="106"/>
      <c r="E104" s="106"/>
      <c r="F104" s="106"/>
      <c r="G104" s="106"/>
      <c r="H104" s="107"/>
      <c r="I104" s="42"/>
    </row>
    <row r="105" spans="1:16" s="2" customFormat="1" ht="31.5" customHeight="1" x14ac:dyDescent="0.25">
      <c r="A105" s="22" t="str">
        <f t="shared" ref="A105:A107" ca="1" si="4">N105</f>
        <v>401 to 1401</v>
      </c>
      <c r="B105" s="22" t="s">
        <v>205</v>
      </c>
      <c r="C105" s="22" t="s">
        <v>204</v>
      </c>
      <c r="D105" s="22">
        <f>27.9*10.764</f>
        <v>300.31559999999996</v>
      </c>
      <c r="E105" s="22">
        <v>0</v>
      </c>
      <c r="F105" s="22">
        <f>D105*(($F$97)+1)+E105</f>
        <v>480.50495999999998</v>
      </c>
      <c r="G105" s="118" t="str">
        <f>A104</f>
        <v>4th to 7th, 9th to 14th Floor</v>
      </c>
      <c r="H105" s="120"/>
      <c r="I105" s="42"/>
      <c r="N105" s="2" t="str">
        <f t="shared" ref="N105:N107" ca="1" si="5">O105&amp;""&amp;" to "&amp;""&amp;P105</f>
        <v>401 to 1401</v>
      </c>
      <c r="O105" s="2">
        <f ca="1">(SUMPRODUCT(MID(0&amp;(LEFT(A104,SUM(LEN(A104)-LEN(SUBSTITUTE(A104,{"0","1","2"},""))))), LARGE(INDEX(ISNUMBER(--MID((LEFT(A104,SUM(LEN(A104)-LEN(SUBSTITUTE(A104,{"0","1","2"},""))))), ROW(INDIRECT("1:"&amp;LEN((LEFT(A104,SUM(LEN(A104)-LEN(SUBSTITUTE(A104,{"0","1","2"},"")))))))), 1)) * ROW(INDIRECT("1:"&amp;LEN((LEFT(A104,SUM(LEN(A104)-LEN(SUBSTITUTE(A104,{"0","1","2"},"")))))))), 0), ROW(INDIRECT("1:"&amp;LEN((LEFT(A104,SUM(LEN(A104)-LEN(SUBSTITUTE(A104,{"0","1","2"},"")))))))))+1, 1) * 10^ROW(INDIRECT("1:"&amp;LEN((LEFT(A104,SUM(LEN(A104)-LEN(SUBSTITUTE(A104,{"0","1","2"},""))))))))/10))*100+1</f>
        <v>401</v>
      </c>
      <c r="P105" s="2">
        <f ca="1">(SUMPRODUCT(MID(0&amp;(--TRIM(RIGHT(SUBSTITUTE(LEFT(A104,_xlfn.AGGREGATE(16,6,FIND({0,1,2,3,4,5,6,7,8,9},A104,ROW(INDIRECT("1:"&amp;LEN(A104)))),1))," ",REPT(" ",LEN(A104))),LEN(A104)))), LARGE(INDEX(ISNUMBER(--MID((--TRIM(RIGHT(SUBSTITUTE(LEFT(A104,_xlfn.AGGREGATE(16,6,FIND({0,1,2,3,4,5,6,7,8,9},A104,ROW(INDIRECT("1:"&amp;LEN(A104)))),1))," ",REPT(" ",LEN(A104))),LEN(A104)))), ROW(INDIRECT("1:"&amp;LEN((--TRIM(RIGHT(SUBSTITUTE(LEFT(A104,_xlfn.AGGREGATE(16,6,FIND({0,1,2,3,4,5,6,7,8,9},A104,ROW(INDIRECT("1:"&amp;LEN(A104)))),1))," ",REPT(" ",LEN(A104))),LEN(A104))))))), 1)) * ROW(INDIRECT("1:"&amp;LEN((--TRIM(RIGHT(SUBSTITUTE(LEFT(A104,_xlfn.AGGREGATE(16,6,FIND({0,1,2,3,4,5,6,7,8,9},A104,ROW(INDIRECT("1:"&amp;LEN(A104)))),1))," ",REPT(" ",LEN(A104))),LEN(A104))))))), 0), ROW(INDIRECT("1:"&amp;LEN((--TRIM(RIGHT(SUBSTITUTE(LEFT(A104,_xlfn.AGGREGATE(16,6,FIND({0,1,2,3,4,5,6,7,8,9},A104,ROW(INDIRECT("1:"&amp;LEN(A104)))),1))," ",REPT(" ",LEN(A104))),LEN(A104))))))))+1, 1) * 10^ROW(INDIRECT("1:"&amp;LEN((--TRIM(RIGHT(SUBSTITUTE(LEFT(A104,_xlfn.AGGREGATE(16,6,FIND({0,1,2,3,4,5,6,7,8,9},A104,ROW(INDIRECT("1:"&amp;LEN(A104)))),1))," ",REPT(" ",LEN(A104))),LEN(A104)))))))/10))*100+1</f>
        <v>1401</v>
      </c>
    </row>
    <row r="106" spans="1:16" s="2" customFormat="1" ht="31.5" customHeight="1" x14ac:dyDescent="0.25">
      <c r="A106" s="22" t="str">
        <f t="shared" ca="1" si="4"/>
        <v>402 to 1402</v>
      </c>
      <c r="B106" s="22" t="s">
        <v>206</v>
      </c>
      <c r="C106" s="22" t="s">
        <v>204</v>
      </c>
      <c r="D106" s="22">
        <f>34.98*10.764</f>
        <v>376.52471999999995</v>
      </c>
      <c r="E106" s="22">
        <v>0</v>
      </c>
      <c r="F106" s="22">
        <f>D106*(($F$97)+1)+E106</f>
        <v>602.43955199999994</v>
      </c>
      <c r="G106" s="171"/>
      <c r="H106" s="172"/>
      <c r="I106" s="42"/>
      <c r="N106" s="2" t="str">
        <f t="shared" ca="1" si="5"/>
        <v>402 to 1402</v>
      </c>
      <c r="O106" s="2">
        <f t="shared" ref="O106:P107" ca="1" si="6">O105+1</f>
        <v>402</v>
      </c>
      <c r="P106" s="2">
        <f t="shared" ca="1" si="6"/>
        <v>1402</v>
      </c>
    </row>
    <row r="107" spans="1:16" s="2" customFormat="1" ht="31.5" customHeight="1" x14ac:dyDescent="0.25">
      <c r="A107" s="22" t="str">
        <f t="shared" ca="1" si="4"/>
        <v>403 to 1403</v>
      </c>
      <c r="B107" s="22" t="s">
        <v>206</v>
      </c>
      <c r="C107" s="22" t="s">
        <v>204</v>
      </c>
      <c r="D107" s="22">
        <f>34.98*10.764</f>
        <v>376.52471999999995</v>
      </c>
      <c r="E107" s="22">
        <v>0</v>
      </c>
      <c r="F107" s="22">
        <f>D107*(($F$97)+1)+E107</f>
        <v>602.43955199999994</v>
      </c>
      <c r="G107" s="121"/>
      <c r="H107" s="123"/>
      <c r="I107" s="42"/>
      <c r="N107" s="2" t="str">
        <f t="shared" ca="1" si="5"/>
        <v>403 to 1403</v>
      </c>
      <c r="O107" s="2">
        <f t="shared" ca="1" si="6"/>
        <v>403</v>
      </c>
      <c r="P107" s="2">
        <f t="shared" ca="1" si="6"/>
        <v>1403</v>
      </c>
    </row>
    <row r="108" spans="1:16" s="2" customFormat="1" x14ac:dyDescent="0.25">
      <c r="A108" s="105" t="s">
        <v>209</v>
      </c>
      <c r="B108" s="106"/>
      <c r="C108" s="106"/>
      <c r="D108" s="106"/>
      <c r="E108" s="106"/>
      <c r="F108" s="106"/>
      <c r="G108" s="106"/>
      <c r="H108" s="107"/>
      <c r="I108" s="42"/>
    </row>
    <row r="109" spans="1:16" s="2" customFormat="1" ht="31.5" customHeight="1" x14ac:dyDescent="0.25">
      <c r="A109" s="22" t="str">
        <f t="shared" ref="A109:A111" ca="1" si="7">N109</f>
        <v>801 &amp; 1501</v>
      </c>
      <c r="B109" s="22" t="s">
        <v>205</v>
      </c>
      <c r="C109" s="108" t="s">
        <v>210</v>
      </c>
      <c r="D109" s="109"/>
      <c r="E109" s="109"/>
      <c r="F109" s="110"/>
      <c r="G109" s="118" t="str">
        <f>A108</f>
        <v>8th &amp; 15th Floor (Part Refuge Area)</v>
      </c>
      <c r="H109" s="120"/>
      <c r="I109" s="42"/>
      <c r="N109" s="2" t="str">
        <f t="shared" ref="N109:N111" ca="1" si="8">O109&amp;""&amp;" &amp; "&amp;""&amp;P109</f>
        <v>801 &amp; 1501</v>
      </c>
      <c r="O109" s="2">
        <f ca="1">(SUMPRODUCT(MID(0&amp;(LEFT(A108,SUM(LEN(A108)-LEN(SUBSTITUTE(A108,{"0","1","2"},""))))), LARGE(INDEX(ISNUMBER(--MID((LEFT(A108,SUM(LEN(A108)-LEN(SUBSTITUTE(A108,{"0","1","2"},""))))), ROW(INDIRECT("1:"&amp;LEN((LEFT(A108,SUM(LEN(A108)-LEN(SUBSTITUTE(A108,{"0","1","2"},"")))))))), 1)) * ROW(INDIRECT("1:"&amp;LEN((LEFT(A108,SUM(LEN(A108)-LEN(SUBSTITUTE(A108,{"0","1","2"},"")))))))), 0), ROW(INDIRECT("1:"&amp;LEN((LEFT(A108,SUM(LEN(A108)-LEN(SUBSTITUTE(A108,{"0","1","2"},"")))))))))+1, 1) * 10^ROW(INDIRECT("1:"&amp;LEN((LEFT(A108,SUM(LEN(A108)-LEN(SUBSTITUTE(A108,{"0","1","2"},""))))))))/10))*100+1</f>
        <v>801</v>
      </c>
      <c r="P109" s="2">
        <f ca="1">(SUMPRODUCT(MID(0&amp;(--TRIM(RIGHT(SUBSTITUTE(LEFT(A108,_xlfn.AGGREGATE(16,6,FIND({0,1,2,3,4,5,6,7,8,9},A108,ROW(INDIRECT("1:"&amp;LEN(A108)))),1))," ",REPT(" ",LEN(A108))),LEN(A108)))), LARGE(INDEX(ISNUMBER(--MID((--TRIM(RIGHT(SUBSTITUTE(LEFT(A108,_xlfn.AGGREGATE(16,6,FIND({0,1,2,3,4,5,6,7,8,9},A108,ROW(INDIRECT("1:"&amp;LEN(A108)))),1))," ",REPT(" ",LEN(A108))),LEN(A108)))), ROW(INDIRECT("1:"&amp;LEN((--TRIM(RIGHT(SUBSTITUTE(LEFT(A108,_xlfn.AGGREGATE(16,6,FIND({0,1,2,3,4,5,6,7,8,9},A108,ROW(INDIRECT("1:"&amp;LEN(A108)))),1))," ",REPT(" ",LEN(A108))),LEN(A108))))))), 1)) * ROW(INDIRECT("1:"&amp;LEN((--TRIM(RIGHT(SUBSTITUTE(LEFT(A108,_xlfn.AGGREGATE(16,6,FIND({0,1,2,3,4,5,6,7,8,9},A108,ROW(INDIRECT("1:"&amp;LEN(A108)))),1))," ",REPT(" ",LEN(A108))),LEN(A108))))))), 0), ROW(INDIRECT("1:"&amp;LEN((--TRIM(RIGHT(SUBSTITUTE(LEFT(A108,_xlfn.AGGREGATE(16,6,FIND({0,1,2,3,4,5,6,7,8,9},A108,ROW(INDIRECT("1:"&amp;LEN(A108)))),1))," ",REPT(" ",LEN(A108))),LEN(A108))))))))+1, 1) * 10^ROW(INDIRECT("1:"&amp;LEN((--TRIM(RIGHT(SUBSTITUTE(LEFT(A108,_xlfn.AGGREGATE(16,6,FIND({0,1,2,3,4,5,6,7,8,9},A108,ROW(INDIRECT("1:"&amp;LEN(A108)))),1))," ",REPT(" ",LEN(A108))),LEN(A108)))))))/10))*100+1</f>
        <v>1501</v>
      </c>
    </row>
    <row r="110" spans="1:16" s="2" customFormat="1" ht="31.5" customHeight="1" x14ac:dyDescent="0.25">
      <c r="A110" s="22" t="str">
        <f t="shared" ca="1" si="7"/>
        <v>802 &amp; 1502</v>
      </c>
      <c r="B110" s="22" t="s">
        <v>206</v>
      </c>
      <c r="C110" s="22" t="s">
        <v>204</v>
      </c>
      <c r="D110" s="22">
        <f>34.98*10.764</f>
        <v>376.52471999999995</v>
      </c>
      <c r="E110" s="22">
        <v>0</v>
      </c>
      <c r="F110" s="22">
        <f t="shared" ref="F110:F111" si="9">D110*(($F$97)+1)+E110</f>
        <v>602.43955199999994</v>
      </c>
      <c r="G110" s="171"/>
      <c r="H110" s="172"/>
      <c r="I110" s="42"/>
      <c r="N110" s="2" t="str">
        <f t="shared" ca="1" si="8"/>
        <v>802 &amp; 1502</v>
      </c>
      <c r="O110" s="2">
        <f t="shared" ref="O110:P110" ca="1" si="10">O109+1</f>
        <v>802</v>
      </c>
      <c r="P110" s="2">
        <f t="shared" ca="1" si="10"/>
        <v>1502</v>
      </c>
    </row>
    <row r="111" spans="1:16" s="2" customFormat="1" ht="31.5" customHeight="1" x14ac:dyDescent="0.25">
      <c r="A111" s="22" t="str">
        <f t="shared" ca="1" si="7"/>
        <v>803 &amp; 1503</v>
      </c>
      <c r="B111" s="22" t="s">
        <v>206</v>
      </c>
      <c r="C111" s="22" t="s">
        <v>204</v>
      </c>
      <c r="D111" s="22">
        <f>34.98*10.764</f>
        <v>376.52471999999995</v>
      </c>
      <c r="E111" s="22">
        <v>0</v>
      </c>
      <c r="F111" s="22">
        <f t="shared" si="9"/>
        <v>602.43955199999994</v>
      </c>
      <c r="G111" s="121"/>
      <c r="H111" s="123"/>
      <c r="I111" s="42"/>
      <c r="N111" s="2" t="str">
        <f t="shared" ca="1" si="8"/>
        <v>803 &amp; 1503</v>
      </c>
      <c r="O111" s="2">
        <f t="shared" ref="O111:P111" ca="1" si="11">O110+1</f>
        <v>803</v>
      </c>
      <c r="P111" s="2">
        <f t="shared" ca="1" si="11"/>
        <v>1503</v>
      </c>
    </row>
    <row r="112" spans="1:16" s="2" customFormat="1" x14ac:dyDescent="0.25">
      <c r="A112" s="104" t="s">
        <v>211</v>
      </c>
      <c r="B112" s="104"/>
      <c r="C112" s="104"/>
      <c r="D112" s="104"/>
      <c r="E112" s="104"/>
      <c r="F112" s="104"/>
      <c r="G112" s="104"/>
      <c r="H112" s="104"/>
      <c r="I112" s="42"/>
      <c r="L112" s="103"/>
      <c r="M112" s="103"/>
    </row>
    <row r="113" spans="1:14" s="2" customFormat="1" ht="15.75" customHeight="1" x14ac:dyDescent="0.25">
      <c r="A113" s="22">
        <f>LEFT(A112,SUM(LEN(A112)-LEN(SUBSTITUTE(A112,{"0","1","2","3","4","5","6","7","8","9"},""))))*100+1</f>
        <v>1601</v>
      </c>
      <c r="B113" s="22" t="s">
        <v>205</v>
      </c>
      <c r="C113" s="22" t="s">
        <v>204</v>
      </c>
      <c r="D113" s="22">
        <f>27.9*10.764</f>
        <v>300.31559999999996</v>
      </c>
      <c r="E113" s="22">
        <v>0</v>
      </c>
      <c r="F113" s="22">
        <f>D113*(($F$97)+1)+E113</f>
        <v>480.50495999999998</v>
      </c>
      <c r="G113" s="118" t="str">
        <f>A112</f>
        <v>16th Floor (Part Terrace Area)</v>
      </c>
      <c r="H113" s="120"/>
      <c r="I113" s="42"/>
      <c r="N113" s="42"/>
    </row>
    <row r="114" spans="1:14" s="2" customFormat="1" ht="15.75" customHeight="1" x14ac:dyDescent="0.25">
      <c r="A114" s="22">
        <f>A113+1</f>
        <v>1602</v>
      </c>
      <c r="B114" s="22" t="s">
        <v>213</v>
      </c>
      <c r="C114" s="118" t="s">
        <v>212</v>
      </c>
      <c r="D114" s="119"/>
      <c r="E114" s="119"/>
      <c r="F114" s="120"/>
      <c r="G114" s="171"/>
      <c r="H114" s="172"/>
      <c r="I114" s="42"/>
      <c r="N114" s="42"/>
    </row>
    <row r="115" spans="1:14" s="2" customFormat="1" ht="15.75" customHeight="1" x14ac:dyDescent="0.25">
      <c r="A115" s="22">
        <f>A114+1</f>
        <v>1603</v>
      </c>
      <c r="B115" s="22" t="s">
        <v>213</v>
      </c>
      <c r="C115" s="121"/>
      <c r="D115" s="122"/>
      <c r="E115" s="122"/>
      <c r="F115" s="123"/>
      <c r="G115" s="121"/>
      <c r="H115" s="123"/>
      <c r="I115" s="42"/>
      <c r="N115" s="42"/>
    </row>
    <row r="116" spans="1:14" s="2" customFormat="1" x14ac:dyDescent="0.25">
      <c r="A116" s="104" t="s">
        <v>214</v>
      </c>
      <c r="B116" s="104"/>
      <c r="C116" s="104"/>
      <c r="D116" s="104"/>
      <c r="E116" s="104"/>
      <c r="F116" s="104"/>
      <c r="G116" s="104"/>
      <c r="H116" s="104"/>
      <c r="I116" s="42"/>
      <c r="L116" s="103"/>
      <c r="M116" s="103"/>
    </row>
    <row r="117" spans="1:14" s="2" customFormat="1" x14ac:dyDescent="0.25">
      <c r="A117" s="22">
        <f>LEFT(A116,SUM(LEN(A116)-LEN(SUBSTITUTE(A116,{"0","1","2","3","4","5","6","7","8","9"},""))))*100+1</f>
        <v>1701</v>
      </c>
      <c r="B117" s="22" t="s">
        <v>205</v>
      </c>
      <c r="C117" s="22" t="s">
        <v>204</v>
      </c>
      <c r="D117" s="22">
        <f>27.9*10.764</f>
        <v>300.31559999999996</v>
      </c>
      <c r="E117" s="22">
        <v>0</v>
      </c>
      <c r="F117" s="22">
        <f>D117*(($F$97)+1)+E117</f>
        <v>480.50495999999998</v>
      </c>
      <c r="G117" s="116" t="str">
        <f>A116</f>
        <v>17th Floor</v>
      </c>
      <c r="H117" s="116"/>
      <c r="I117" s="42"/>
      <c r="N117" s="42"/>
    </row>
    <row r="118" spans="1:14" s="2" customFormat="1" x14ac:dyDescent="0.25">
      <c r="A118" s="104" t="s">
        <v>215</v>
      </c>
      <c r="B118" s="104"/>
      <c r="C118" s="104"/>
      <c r="D118" s="104"/>
      <c r="E118" s="104"/>
      <c r="F118" s="104"/>
      <c r="G118" s="104"/>
      <c r="H118" s="104"/>
      <c r="I118" s="42"/>
      <c r="L118" s="103"/>
      <c r="M118" s="103"/>
    </row>
    <row r="119" spans="1:14" s="2" customFormat="1" ht="16.5" customHeight="1" x14ac:dyDescent="0.25">
      <c r="A119" s="22">
        <f>LEFT(A118,SUM(LEN(A118)-LEN(SUBSTITUTE(A118,{"0","1","2","3","4","5","6","7","8","9"},""))))*100+1</f>
        <v>1801</v>
      </c>
      <c r="B119" s="22" t="s">
        <v>205</v>
      </c>
      <c r="C119" s="22" t="s">
        <v>204</v>
      </c>
      <c r="D119" s="22">
        <f>27.9*10.764</f>
        <v>300.31559999999996</v>
      </c>
      <c r="E119" s="22">
        <v>0</v>
      </c>
      <c r="F119" s="22">
        <f>D119*(($F$97)+1)+E119</f>
        <v>480.50495999999998</v>
      </c>
      <c r="G119" s="116" t="str">
        <f>A118</f>
        <v>18th Floor</v>
      </c>
      <c r="H119" s="116"/>
      <c r="I119" s="42"/>
      <c r="N119" s="42"/>
    </row>
    <row r="120" spans="1:14" s="1" customFormat="1" x14ac:dyDescent="0.25">
      <c r="A120" s="158" t="s">
        <v>75</v>
      </c>
      <c r="B120" s="158"/>
      <c r="C120" s="158"/>
      <c r="D120" s="158"/>
      <c r="E120" s="158"/>
      <c r="F120" s="158"/>
      <c r="G120" s="158"/>
      <c r="H120" s="158"/>
    </row>
    <row r="121" spans="1:14" s="97" customFormat="1" x14ac:dyDescent="0.25">
      <c r="A121" s="96">
        <v>1</v>
      </c>
      <c r="B121" s="111" t="s">
        <v>260</v>
      </c>
      <c r="C121" s="112"/>
      <c r="D121" s="112"/>
      <c r="E121" s="112"/>
      <c r="F121" s="112"/>
      <c r="G121" s="112"/>
      <c r="H121" s="113"/>
    </row>
    <row r="122" spans="1:14" s="97" customFormat="1" x14ac:dyDescent="0.25">
      <c r="A122" s="96">
        <f>A121+1</f>
        <v>2</v>
      </c>
      <c r="B122" s="111" t="s">
        <v>228</v>
      </c>
      <c r="C122" s="112"/>
      <c r="D122" s="112"/>
      <c r="E122" s="112"/>
      <c r="F122" s="112"/>
      <c r="G122" s="112"/>
      <c r="H122" s="113"/>
    </row>
    <row r="123" spans="1:14" s="1" customFormat="1" x14ac:dyDescent="0.25">
      <c r="A123" s="87">
        <f t="shared" ref="A123:A126" si="12">A122+1</f>
        <v>3</v>
      </c>
      <c r="B123" s="100" t="s">
        <v>161</v>
      </c>
      <c r="C123" s="101"/>
      <c r="D123" s="101"/>
      <c r="E123" s="101"/>
      <c r="F123" s="101"/>
      <c r="G123" s="101"/>
      <c r="H123" s="102"/>
    </row>
    <row r="124" spans="1:14" s="1" customFormat="1" x14ac:dyDescent="0.25">
      <c r="A124" s="87">
        <f t="shared" si="12"/>
        <v>4</v>
      </c>
      <c r="B124" s="100" t="s">
        <v>216</v>
      </c>
      <c r="C124" s="101"/>
      <c r="D124" s="101"/>
      <c r="E124" s="101"/>
      <c r="F124" s="101"/>
      <c r="G124" s="101"/>
      <c r="H124" s="102"/>
    </row>
    <row r="125" spans="1:14" s="1" customFormat="1" x14ac:dyDescent="0.25">
      <c r="A125" s="87">
        <f t="shared" si="12"/>
        <v>5</v>
      </c>
      <c r="B125" s="100" t="s">
        <v>162</v>
      </c>
      <c r="C125" s="101"/>
      <c r="D125" s="101"/>
      <c r="E125" s="101"/>
      <c r="F125" s="101"/>
      <c r="G125" s="101"/>
      <c r="H125" s="102"/>
    </row>
    <row r="126" spans="1:14" s="1" customFormat="1" ht="30" customHeight="1" x14ac:dyDescent="0.25">
      <c r="A126" s="87">
        <f t="shared" si="12"/>
        <v>6</v>
      </c>
      <c r="B126" s="100" t="s">
        <v>245</v>
      </c>
      <c r="C126" s="101"/>
      <c r="D126" s="101"/>
      <c r="E126" s="101"/>
      <c r="F126" s="101"/>
      <c r="G126" s="101"/>
      <c r="H126" s="102"/>
    </row>
    <row r="127" spans="1:14" s="1" customFormat="1" x14ac:dyDescent="0.25">
      <c r="A127" s="87">
        <v>7</v>
      </c>
      <c r="B127" s="100" t="s">
        <v>163</v>
      </c>
      <c r="C127" s="101"/>
      <c r="D127" s="101"/>
      <c r="E127" s="101"/>
      <c r="F127" s="101"/>
      <c r="G127" s="101"/>
      <c r="H127" s="102"/>
    </row>
    <row r="128" spans="1:14" s="1" customFormat="1" hidden="1" x14ac:dyDescent="0.25">
      <c r="A128" s="87">
        <v>7</v>
      </c>
      <c r="B128" s="111" t="s">
        <v>246</v>
      </c>
      <c r="C128" s="112"/>
      <c r="D128" s="112"/>
      <c r="E128" s="112"/>
      <c r="F128" s="112"/>
      <c r="G128" s="112"/>
      <c r="H128" s="113"/>
    </row>
    <row r="129" spans="1:8" s="1" customFormat="1" x14ac:dyDescent="0.25">
      <c r="A129" s="87">
        <v>8</v>
      </c>
      <c r="B129" s="100" t="s">
        <v>253</v>
      </c>
      <c r="C129" s="101"/>
      <c r="D129" s="101"/>
      <c r="E129" s="101"/>
      <c r="F129" s="101"/>
      <c r="G129" s="101"/>
      <c r="H129" s="102"/>
    </row>
    <row r="130" spans="1:8" s="1" customFormat="1" x14ac:dyDescent="0.25">
      <c r="A130" s="87">
        <v>9</v>
      </c>
      <c r="B130" s="100" t="s">
        <v>257</v>
      </c>
      <c r="C130" s="101"/>
      <c r="D130" s="101"/>
      <c r="E130" s="101"/>
      <c r="F130" s="101"/>
      <c r="G130" s="101"/>
      <c r="H130" s="102"/>
    </row>
    <row r="131" spans="1:8" s="1" customFormat="1" ht="33.6" customHeight="1" x14ac:dyDescent="0.25">
      <c r="A131" s="98">
        <v>10</v>
      </c>
      <c r="B131" s="100" t="s">
        <v>264</v>
      </c>
      <c r="C131" s="101"/>
      <c r="D131" s="101"/>
      <c r="E131" s="101"/>
      <c r="F131" s="101"/>
      <c r="G131" s="101"/>
      <c r="H131" s="102"/>
    </row>
    <row r="132" spans="1:8" s="1" customFormat="1" ht="33.6" customHeight="1" x14ac:dyDescent="0.25">
      <c r="A132" s="87">
        <v>10</v>
      </c>
      <c r="B132" s="231" t="s">
        <v>265</v>
      </c>
      <c r="C132" s="232"/>
      <c r="D132" s="232"/>
      <c r="E132" s="232"/>
      <c r="F132" s="232"/>
      <c r="G132" s="232"/>
      <c r="H132" s="233"/>
    </row>
    <row r="133" spans="1:8" x14ac:dyDescent="0.25">
      <c r="A133" s="159" t="s">
        <v>68</v>
      </c>
      <c r="B133" s="159"/>
      <c r="C133" s="159"/>
      <c r="D133" s="159"/>
      <c r="E133" s="159"/>
      <c r="F133" s="159"/>
      <c r="G133" s="159"/>
      <c r="H133" s="159"/>
    </row>
    <row r="134" spans="1:8" x14ac:dyDescent="0.25">
      <c r="A134" s="99" t="s">
        <v>69</v>
      </c>
      <c r="B134" s="99"/>
      <c r="C134" s="99"/>
      <c r="D134" s="99"/>
      <c r="E134" s="99"/>
      <c r="F134" s="99"/>
      <c r="G134" s="99"/>
      <c r="H134" s="99"/>
    </row>
    <row r="135" spans="1:8" ht="15.75" customHeight="1" x14ac:dyDescent="0.25">
      <c r="A135" s="162" t="s">
        <v>70</v>
      </c>
      <c r="B135" s="162"/>
      <c r="C135" s="162"/>
      <c r="D135" s="162"/>
      <c r="E135" s="162"/>
      <c r="F135" s="162"/>
      <c r="G135" s="162"/>
      <c r="H135" s="162"/>
    </row>
    <row r="136" spans="1:8" x14ac:dyDescent="0.25">
      <c r="A136" s="99" t="s">
        <v>71</v>
      </c>
      <c r="B136" s="99"/>
      <c r="C136" s="99"/>
      <c r="D136" s="99"/>
      <c r="E136" s="99"/>
      <c r="F136" s="99"/>
      <c r="G136" s="99"/>
      <c r="H136" s="99"/>
    </row>
    <row r="137" spans="1:8" x14ac:dyDescent="0.25">
      <c r="A137" s="99" t="s">
        <v>72</v>
      </c>
      <c r="B137" s="99"/>
      <c r="C137" s="99"/>
      <c r="D137" s="99"/>
      <c r="E137" s="99"/>
      <c r="F137" s="99"/>
      <c r="G137" s="99"/>
      <c r="H137" s="99"/>
    </row>
    <row r="138" spans="1:8" x14ac:dyDescent="0.25">
      <c r="A138" s="99" t="s">
        <v>164</v>
      </c>
      <c r="B138" s="99"/>
      <c r="C138" s="99"/>
      <c r="D138" s="99"/>
      <c r="E138" s="99"/>
      <c r="F138" s="99"/>
      <c r="G138" s="99"/>
      <c r="H138" s="99"/>
    </row>
    <row r="139" spans="1:8" ht="35.25" hidden="1" customHeight="1" x14ac:dyDescent="0.25">
      <c r="A139" s="117" t="s">
        <v>165</v>
      </c>
      <c r="B139" s="117"/>
      <c r="C139" s="117"/>
      <c r="D139" s="117"/>
      <c r="E139" s="117"/>
      <c r="F139" s="117"/>
      <c r="G139" s="117"/>
      <c r="H139" s="117"/>
    </row>
    <row r="140" spans="1:8" x14ac:dyDescent="0.25">
      <c r="A140" s="156" t="s">
        <v>107</v>
      </c>
      <c r="B140" s="156"/>
      <c r="C140" s="156" t="s">
        <v>262</v>
      </c>
      <c r="D140" s="156"/>
      <c r="E140" s="156" t="s">
        <v>141</v>
      </c>
      <c r="F140" s="156"/>
      <c r="G140" s="156" t="s">
        <v>261</v>
      </c>
      <c r="H140" s="156"/>
    </row>
    <row r="141" spans="1:8" x14ac:dyDescent="0.25">
      <c r="A141" s="155" t="s">
        <v>109</v>
      </c>
      <c r="B141" s="155"/>
      <c r="C141" s="155"/>
      <c r="D141" s="155"/>
      <c r="E141" s="155"/>
      <c r="F141" s="155"/>
      <c r="G141" s="155"/>
      <c r="H141" s="155"/>
    </row>
    <row r="142" spans="1:8" x14ac:dyDescent="0.25">
      <c r="A142" s="155"/>
      <c r="B142" s="155"/>
      <c r="C142" s="155"/>
      <c r="D142" s="155"/>
      <c r="E142" s="155"/>
      <c r="F142" s="155"/>
      <c r="G142" s="155"/>
      <c r="H142" s="155"/>
    </row>
    <row r="143" spans="1:8" x14ac:dyDescent="0.25">
      <c r="A143" s="155"/>
      <c r="B143" s="155"/>
      <c r="C143" s="155"/>
      <c r="D143" s="155"/>
      <c r="E143" s="155"/>
      <c r="F143" s="155"/>
      <c r="G143" s="155"/>
      <c r="H143" s="155"/>
    </row>
    <row r="144" spans="1:8" x14ac:dyDescent="0.25">
      <c r="A144" s="155"/>
      <c r="B144" s="155"/>
      <c r="C144" s="155"/>
      <c r="D144" s="155"/>
      <c r="E144" s="155"/>
      <c r="F144" s="155"/>
      <c r="G144" s="155"/>
      <c r="H144" s="155"/>
    </row>
    <row r="145" spans="1:8" x14ac:dyDescent="0.25">
      <c r="A145" s="17" t="s">
        <v>73</v>
      </c>
      <c r="B145" s="18"/>
      <c r="C145" s="18"/>
      <c r="D145" s="17" t="str">
        <f>E8</f>
        <v>Orchid Heights</v>
      </c>
      <c r="F145" s="18"/>
      <c r="G145" s="18"/>
      <c r="H145" s="18"/>
    </row>
    <row r="146" spans="1:8" x14ac:dyDescent="0.25">
      <c r="A146" s="18"/>
      <c r="B146" s="18"/>
      <c r="C146" s="18"/>
      <c r="D146" s="18"/>
      <c r="E146" s="18"/>
      <c r="F146" s="18"/>
      <c r="G146" s="18"/>
      <c r="H146" s="18"/>
    </row>
    <row r="147" spans="1:8" x14ac:dyDescent="0.25">
      <c r="A147" s="18"/>
      <c r="B147" s="18"/>
      <c r="C147" s="18"/>
      <c r="D147" s="18"/>
      <c r="E147" s="18"/>
      <c r="F147" s="18"/>
      <c r="G147" s="18"/>
      <c r="H147" s="18"/>
    </row>
    <row r="148" spans="1:8" ht="15" customHeight="1" x14ac:dyDescent="0.25"/>
    <row r="162" ht="15" customHeight="1" x14ac:dyDescent="0.25"/>
    <row r="187" spans="1:1" ht="16.149999999999999" customHeight="1" x14ac:dyDescent="0.25"/>
    <row r="188" spans="1:1" x14ac:dyDescent="0.25">
      <c r="A188" s="20" t="s">
        <v>74</v>
      </c>
    </row>
  </sheetData>
  <mergeCells count="246">
    <mergeCell ref="A64:B64"/>
    <mergeCell ref="G63:H63"/>
    <mergeCell ref="A62:B62"/>
    <mergeCell ref="A60:B60"/>
    <mergeCell ref="C60:H60"/>
    <mergeCell ref="A68:B68"/>
    <mergeCell ref="A79:E79"/>
    <mergeCell ref="F79:H79"/>
    <mergeCell ref="A80:E80"/>
    <mergeCell ref="F80:H80"/>
    <mergeCell ref="A63:B63"/>
    <mergeCell ref="A66:B66"/>
    <mergeCell ref="A65:B65"/>
    <mergeCell ref="A67:B67"/>
    <mergeCell ref="E63:F63"/>
    <mergeCell ref="A70:B70"/>
    <mergeCell ref="A71:B71"/>
    <mergeCell ref="C76:H76"/>
    <mergeCell ref="A77:H77"/>
    <mergeCell ref="A74:E74"/>
    <mergeCell ref="F74:H74"/>
    <mergeCell ref="A58:C58"/>
    <mergeCell ref="D58:H58"/>
    <mergeCell ref="C62:H62"/>
    <mergeCell ref="A52:C52"/>
    <mergeCell ref="A53:C53"/>
    <mergeCell ref="D53:H53"/>
    <mergeCell ref="D57:H57"/>
    <mergeCell ref="D54:H54"/>
    <mergeCell ref="A54:C54"/>
    <mergeCell ref="A59:C59"/>
    <mergeCell ref="D59:H59"/>
    <mergeCell ref="C46:E46"/>
    <mergeCell ref="E64:F73"/>
    <mergeCell ref="G64:H73"/>
    <mergeCell ref="A72:B72"/>
    <mergeCell ref="A73:B73"/>
    <mergeCell ref="G46:H46"/>
    <mergeCell ref="A78:E78"/>
    <mergeCell ref="G47:H47"/>
    <mergeCell ref="A48:B49"/>
    <mergeCell ref="A56:C56"/>
    <mergeCell ref="A57:C57"/>
    <mergeCell ref="D56:H56"/>
    <mergeCell ref="A55:C55"/>
    <mergeCell ref="D55:H55"/>
    <mergeCell ref="C47:E47"/>
    <mergeCell ref="A50:B50"/>
    <mergeCell ref="G48:H48"/>
    <mergeCell ref="C48:E48"/>
    <mergeCell ref="A51:H51"/>
    <mergeCell ref="G50:H50"/>
    <mergeCell ref="C50:E50"/>
    <mergeCell ref="A47:B47"/>
    <mergeCell ref="C49:H49"/>
    <mergeCell ref="D52:H52"/>
    <mergeCell ref="A138:H138"/>
    <mergeCell ref="A135:H135"/>
    <mergeCell ref="A90:B90"/>
    <mergeCell ref="D96:D97"/>
    <mergeCell ref="E96:E97"/>
    <mergeCell ref="G96:H97"/>
    <mergeCell ref="A69:B69"/>
    <mergeCell ref="F78:H78"/>
    <mergeCell ref="A75:H75"/>
    <mergeCell ref="A76:B76"/>
    <mergeCell ref="G101:H103"/>
    <mergeCell ref="G105:H107"/>
    <mergeCell ref="G109:H111"/>
    <mergeCell ref="G113:H115"/>
    <mergeCell ref="B132:H132"/>
    <mergeCell ref="E92:F92"/>
    <mergeCell ref="G92:H92"/>
    <mergeCell ref="F84:H84"/>
    <mergeCell ref="F82:H82"/>
    <mergeCell ref="A86:E86"/>
    <mergeCell ref="C92:D92"/>
    <mergeCell ref="B131:H131"/>
    <mergeCell ref="A141:H144"/>
    <mergeCell ref="A140:B140"/>
    <mergeCell ref="E140:F140"/>
    <mergeCell ref="C140:D140"/>
    <mergeCell ref="G140:H140"/>
    <mergeCell ref="A87:E87"/>
    <mergeCell ref="F87:H87"/>
    <mergeCell ref="A88:E88"/>
    <mergeCell ref="F88:H88"/>
    <mergeCell ref="A112:H112"/>
    <mergeCell ref="A91:B91"/>
    <mergeCell ref="A136:H136"/>
    <mergeCell ref="A89:H89"/>
    <mergeCell ref="A139:H139"/>
    <mergeCell ref="A137:H137"/>
    <mergeCell ref="A120:H120"/>
    <mergeCell ref="A133:H133"/>
    <mergeCell ref="A134:H134"/>
    <mergeCell ref="C90:D90"/>
    <mergeCell ref="E90:F90"/>
    <mergeCell ref="G90:H90"/>
    <mergeCell ref="A94:H94"/>
    <mergeCell ref="G119:H119"/>
    <mergeCell ref="A95:H95"/>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C30:E30"/>
    <mergeCell ref="F33:H33"/>
    <mergeCell ref="F30:H30"/>
    <mergeCell ref="A31:B31"/>
    <mergeCell ref="A30:B30"/>
    <mergeCell ref="C31:E31"/>
    <mergeCell ref="A32:B32"/>
    <mergeCell ref="C32:E32"/>
    <mergeCell ref="A35:H35"/>
    <mergeCell ref="A34:B34"/>
    <mergeCell ref="C34:E34"/>
    <mergeCell ref="A39:D39"/>
    <mergeCell ref="E39:H39"/>
    <mergeCell ref="F31:H31"/>
    <mergeCell ref="F32:H32"/>
    <mergeCell ref="A38:H38"/>
    <mergeCell ref="A37:B37"/>
    <mergeCell ref="C37:H37"/>
    <mergeCell ref="A41:D41"/>
    <mergeCell ref="E41:H41"/>
    <mergeCell ref="F34:H34"/>
    <mergeCell ref="A36:B36"/>
    <mergeCell ref="C36:H36"/>
    <mergeCell ref="E42:H42"/>
    <mergeCell ref="E43:H43"/>
    <mergeCell ref="E44:H44"/>
    <mergeCell ref="A42:D42"/>
    <mergeCell ref="A43:D43"/>
    <mergeCell ref="A44:D44"/>
    <mergeCell ref="A45:H45"/>
    <mergeCell ref="E40:H40"/>
    <mergeCell ref="A40:D40"/>
    <mergeCell ref="A46:B46"/>
    <mergeCell ref="C114:F115"/>
    <mergeCell ref="B96:B97"/>
    <mergeCell ref="A104:H104"/>
    <mergeCell ref="A116:H116"/>
    <mergeCell ref="B126:H126"/>
    <mergeCell ref="C96:C97"/>
    <mergeCell ref="A85:E85"/>
    <mergeCell ref="F85:H85"/>
    <mergeCell ref="A81:E81"/>
    <mergeCell ref="F81:H81"/>
    <mergeCell ref="A82:E82"/>
    <mergeCell ref="A84:E84"/>
    <mergeCell ref="A83:E83"/>
    <mergeCell ref="F83:H83"/>
    <mergeCell ref="A93:B93"/>
    <mergeCell ref="C93:D93"/>
    <mergeCell ref="E93:F93"/>
    <mergeCell ref="G93:H93"/>
    <mergeCell ref="C91:D91"/>
    <mergeCell ref="E91:F91"/>
    <mergeCell ref="G91:H91"/>
    <mergeCell ref="F86:H86"/>
    <mergeCell ref="A92:B92"/>
    <mergeCell ref="I10:L10"/>
    <mergeCell ref="B129:H129"/>
    <mergeCell ref="B130:H130"/>
    <mergeCell ref="L116:M116"/>
    <mergeCell ref="A118:H118"/>
    <mergeCell ref="L118:M118"/>
    <mergeCell ref="A100:H100"/>
    <mergeCell ref="A98:H98"/>
    <mergeCell ref="L112:M112"/>
    <mergeCell ref="L98:M98"/>
    <mergeCell ref="A99:H99"/>
    <mergeCell ref="L99:M99"/>
    <mergeCell ref="C101:F101"/>
    <mergeCell ref="A108:H108"/>
    <mergeCell ref="C109:F109"/>
    <mergeCell ref="B127:H127"/>
    <mergeCell ref="B128:H128"/>
    <mergeCell ref="B121:H121"/>
    <mergeCell ref="B122:H122"/>
    <mergeCell ref="B123:H123"/>
    <mergeCell ref="B124:H124"/>
    <mergeCell ref="B125:H125"/>
    <mergeCell ref="A96:A97"/>
    <mergeCell ref="G117:H117"/>
  </mergeCells>
  <hyperlinks>
    <hyperlink ref="C37" r:id="rId1"/>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                                           &amp;P</oddFooter>
  </headerFooter>
  <rowBreaks count="3" manualBreakCount="3">
    <brk id="119" max="7" man="1"/>
    <brk id="144" max="16383" man="1"/>
    <brk id="18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activeCell="B3" sqref="B3:N16"/>
    </sheetView>
  </sheetViews>
  <sheetFormatPr defaultRowHeight="15" x14ac:dyDescent="0.25"/>
  <cols>
    <col min="3" max="3" width="14.140625" customWidth="1"/>
    <col min="4" max="4" width="14.85546875" customWidth="1"/>
    <col min="12" max="12" width="13.42578125" customWidth="1"/>
    <col min="13" max="13" width="12.42578125" customWidth="1"/>
  </cols>
  <sheetData>
    <row r="1" spans="1:14" x14ac:dyDescent="0.25">
      <c r="B1" s="209" t="s">
        <v>192</v>
      </c>
      <c r="C1" s="209"/>
      <c r="D1" s="209"/>
      <c r="E1" s="209"/>
      <c r="F1" s="209"/>
      <c r="G1" s="209"/>
      <c r="H1" s="209"/>
      <c r="I1" s="209"/>
      <c r="J1" s="209"/>
      <c r="K1" s="209"/>
    </row>
    <row r="2" spans="1:14" ht="15.75" thickBot="1" x14ac:dyDescent="0.3"/>
    <row r="3" spans="1:14" ht="15.75" customHeight="1" x14ac:dyDescent="0.25">
      <c r="A3" s="86">
        <v>1</v>
      </c>
      <c r="B3" s="210" t="s">
        <v>191</v>
      </c>
      <c r="C3" s="211"/>
      <c r="D3" s="212" t="s">
        <v>201</v>
      </c>
      <c r="E3" s="212"/>
      <c r="F3" s="212"/>
      <c r="G3" s="212"/>
      <c r="H3" s="212"/>
      <c r="I3" s="212"/>
      <c r="J3" s="212"/>
      <c r="K3" s="213"/>
      <c r="L3" s="24" t="str">
        <f ca="1">(IF(D7=0,"Work not yet Started.",IF(E7=25%,"Piling work in process",IF(E7=50%,"Excavation work in process",IF(E7=100%,"Excavation work completed, ","0")))&amp;(IF(D8=0%,"",IF(D8=N9,"Footing work is process",IF(D8=N10,"Footing work Completed",IF(D8=N11,"1st Basement Completed",IF(D8=N12,"1st &amp; 2nd Basement Completed",IF(D8=N13,"1st to 3rd Basement Completed",IF(D8=N14,"1st to 4th Basement Completed",IF(D8=N15,"Plinth work is process",IF(D8=N16,"Plinth work completed","0")))))))))))&amp;(IF(D9&gt;0,", RCC upto "&amp;D9&amp;" Slab completed",""))&amp;(IF(D10&gt;0,", Brickwork upto "&amp;D10&amp;" Floor completed"," "))&amp;(IF(D11&gt;0,", Internal Plaster upto "&amp;D11&amp;" Floor completed"," "))&amp;(IF(D12&gt;0,", External Plaster upto "&amp;D12&amp;" Floor completed"," "))&amp;(IF(D13&gt;0,", Flooring upto "&amp;D13&amp;" Floor completed"," "))&amp;(IF(D14&gt;0,", Painting upto "&amp;D14&amp;" Floor completed"," "))&amp;(IF(D15&gt;0,", Finishing upto "&amp;D15&amp;" Floor completed"," ")))</f>
        <v xml:space="preserve">Excavation work completed, Plinth work completed, RCC upto 7 Slab completed      </v>
      </c>
      <c r="M3" s="24"/>
      <c r="N3" s="25"/>
    </row>
    <row r="4" spans="1:14" ht="15.75" x14ac:dyDescent="0.25">
      <c r="A4" s="86">
        <v>2</v>
      </c>
      <c r="B4" s="83" t="s">
        <v>194</v>
      </c>
      <c r="C4" s="74">
        <v>4</v>
      </c>
      <c r="D4" s="71" t="s">
        <v>100</v>
      </c>
      <c r="E4" s="215">
        <v>1</v>
      </c>
      <c r="F4" s="216"/>
      <c r="G4" s="88" t="s">
        <v>99</v>
      </c>
      <c r="H4" s="74">
        <v>0</v>
      </c>
      <c r="I4" s="70" t="s">
        <v>110</v>
      </c>
      <c r="J4" s="138">
        <f ca="1">--TRIM(RIGHT(SUBSTITUTE(LEFT(D3,_xlfn.AGGREGATE(16,6,FIND({0,1,2,3,4,5,6,7,8,9},D3,ROW(INDIRECT("1:"&amp;LEN(D3)))),1))," ",REPT(" ",LEN(D3))),LEN(D3)))</f>
        <v>6</v>
      </c>
      <c r="K4" s="214"/>
      <c r="L4" s="21" t="s">
        <v>154</v>
      </c>
      <c r="M4" s="21"/>
      <c r="N4" s="26"/>
    </row>
    <row r="5" spans="1:14" ht="15.75" customHeight="1" x14ac:dyDescent="0.25">
      <c r="A5" s="86">
        <v>3</v>
      </c>
      <c r="B5" s="200" t="s">
        <v>120</v>
      </c>
      <c r="C5" s="170"/>
      <c r="D5" s="192" t="str">
        <f ca="1">L3</f>
        <v xml:space="preserve">Excavation work completed, Plinth work completed, RCC upto 7 Slab completed      </v>
      </c>
      <c r="E5" s="192"/>
      <c r="F5" s="192"/>
      <c r="G5" s="192"/>
      <c r="H5" s="192"/>
      <c r="I5" s="192"/>
      <c r="J5" s="192"/>
      <c r="K5" s="193"/>
      <c r="L5" s="21" t="s">
        <v>139</v>
      </c>
      <c r="M5" s="21"/>
      <c r="N5" s="26"/>
    </row>
    <row r="6" spans="1:14" ht="15.75" customHeight="1" x14ac:dyDescent="0.25">
      <c r="A6" s="86">
        <v>4</v>
      </c>
      <c r="B6" s="167" t="s">
        <v>51</v>
      </c>
      <c r="C6" s="168"/>
      <c r="D6" s="14" t="s">
        <v>190</v>
      </c>
      <c r="E6" s="168" t="s">
        <v>113</v>
      </c>
      <c r="F6" s="168"/>
      <c r="G6" s="168" t="s">
        <v>115</v>
      </c>
      <c r="H6" s="168"/>
      <c r="I6" s="168" t="s">
        <v>114</v>
      </c>
      <c r="J6" s="168"/>
      <c r="K6" s="199"/>
      <c r="L6" s="49" t="s">
        <v>193</v>
      </c>
      <c r="M6" s="8"/>
      <c r="N6" s="27">
        <f ca="1">J4*25%</f>
        <v>1.5</v>
      </c>
    </row>
    <row r="7" spans="1:14" ht="15.75" customHeight="1" x14ac:dyDescent="0.25">
      <c r="A7" s="86">
        <v>5</v>
      </c>
      <c r="B7" s="167" t="s">
        <v>175</v>
      </c>
      <c r="C7" s="168"/>
      <c r="D7" s="15">
        <f ca="1">N8</f>
        <v>6</v>
      </c>
      <c r="E7" s="173">
        <f ca="1">((100/J4)*D7)/100</f>
        <v>1</v>
      </c>
      <c r="F7" s="173"/>
      <c r="G7" s="173">
        <f ca="1">(IF(D5=L4,"100%",IF(D5=L5,"100%",(((D8/J4*10)+(40/(E4+H4+J4)*D9)+(7.5/(J4)*D10)+(7.5/(J4)*D11)+(10/J4*D12)+(10/J4*D13)+(5/J4*D14)+(5/J4*D15)+(5/J4*D16))/100))))</f>
        <v>0.5</v>
      </c>
      <c r="H7" s="173"/>
      <c r="I7" s="173">
        <f ca="1">((((D7/J4)*20)+((D8/J4)*25)+(30/(J4+H4+E4)*D9)+(5/J4*D10)+(5/J4*D11)+(5/J4*D12)+(5/J4*D13)+(0/J4*D14)+(0/J4*D15)+(5/J4*D16))/100)</f>
        <v>0.75</v>
      </c>
      <c r="J7" s="173"/>
      <c r="K7" s="175"/>
      <c r="L7" s="49" t="s">
        <v>133</v>
      </c>
      <c r="M7" s="28"/>
      <c r="N7" s="61">
        <f ca="1">J4*50%</f>
        <v>3</v>
      </c>
    </row>
    <row r="8" spans="1:14" ht="15.75" x14ac:dyDescent="0.25">
      <c r="A8" s="86">
        <v>6</v>
      </c>
      <c r="B8" s="167" t="s">
        <v>52</v>
      </c>
      <c r="C8" s="168"/>
      <c r="D8" s="16">
        <f ca="1">N16</f>
        <v>6</v>
      </c>
      <c r="E8" s="173">
        <f ca="1">((100/J4)*D8)/100</f>
        <v>1</v>
      </c>
      <c r="F8" s="173"/>
      <c r="G8" s="173"/>
      <c r="H8" s="173"/>
      <c r="I8" s="173"/>
      <c r="J8" s="173"/>
      <c r="K8" s="175"/>
      <c r="L8" s="49" t="s">
        <v>134</v>
      </c>
      <c r="M8" s="28"/>
      <c r="N8" s="61">
        <f ca="1">J4</f>
        <v>6</v>
      </c>
    </row>
    <row r="9" spans="1:14" ht="15.75" customHeight="1" x14ac:dyDescent="0.25">
      <c r="A9" s="86">
        <v>7</v>
      </c>
      <c r="B9" s="167" t="s">
        <v>176</v>
      </c>
      <c r="C9" s="168"/>
      <c r="D9" s="16">
        <f ca="1">E4+H4+J4</f>
        <v>7</v>
      </c>
      <c r="E9" s="173">
        <f ca="1">((100/(E4+H4+J4))*D9)/100</f>
        <v>1</v>
      </c>
      <c r="F9" s="173"/>
      <c r="G9" s="173"/>
      <c r="H9" s="173"/>
      <c r="I9" s="173"/>
      <c r="J9" s="173"/>
      <c r="K9" s="175"/>
      <c r="L9" s="49" t="s">
        <v>135</v>
      </c>
      <c r="M9" s="28"/>
      <c r="N9" s="80">
        <f ca="1">(IF(C4=0,J4/4,(J4/(C4+4))))</f>
        <v>0.75</v>
      </c>
    </row>
    <row r="10" spans="1:14" ht="15.75" customHeight="1" x14ac:dyDescent="0.25">
      <c r="A10" s="86">
        <v>8</v>
      </c>
      <c r="B10" s="167" t="s">
        <v>184</v>
      </c>
      <c r="C10" s="168" t="s">
        <v>177</v>
      </c>
      <c r="D10" s="15">
        <v>0</v>
      </c>
      <c r="E10" s="173">
        <f ca="1">((100/J4)*D10)/100</f>
        <v>0</v>
      </c>
      <c r="F10" s="173"/>
      <c r="G10" s="173"/>
      <c r="H10" s="173"/>
      <c r="I10" s="173"/>
      <c r="J10" s="173"/>
      <c r="K10" s="175"/>
      <c r="L10" s="49" t="s">
        <v>136</v>
      </c>
      <c r="M10" s="28"/>
      <c r="N10" s="80">
        <f ca="1">(IF(C4=0,J4/4+N9,(J4/(C4+4)+N9)))</f>
        <v>1.5</v>
      </c>
    </row>
    <row r="11" spans="1:14" ht="15.75" customHeight="1" x14ac:dyDescent="0.25">
      <c r="A11" s="86">
        <v>9</v>
      </c>
      <c r="B11" s="167" t="s">
        <v>185</v>
      </c>
      <c r="C11" s="168" t="s">
        <v>177</v>
      </c>
      <c r="D11" s="15">
        <v>0</v>
      </c>
      <c r="E11" s="173">
        <f ca="1">((100/J4)*D11)/100</f>
        <v>0</v>
      </c>
      <c r="F11" s="173"/>
      <c r="G11" s="173"/>
      <c r="H11" s="173"/>
      <c r="I11" s="173"/>
      <c r="J11" s="173"/>
      <c r="K11" s="175"/>
      <c r="L11" s="49" t="s">
        <v>195</v>
      </c>
      <c r="M11" s="85"/>
      <c r="N11" s="80">
        <f ca="1">(IF(C4=0,0,(J4/(C4+4)+N10)))</f>
        <v>2.25</v>
      </c>
    </row>
    <row r="12" spans="1:14" ht="15.75" customHeight="1" x14ac:dyDescent="0.25">
      <c r="A12" s="86">
        <v>10</v>
      </c>
      <c r="B12" s="167" t="s">
        <v>183</v>
      </c>
      <c r="C12" s="168" t="s">
        <v>179</v>
      </c>
      <c r="D12" s="15">
        <v>0</v>
      </c>
      <c r="E12" s="173">
        <f ca="1">((100/(J4))*D12)/100</f>
        <v>0</v>
      </c>
      <c r="F12" s="173"/>
      <c r="G12" s="173"/>
      <c r="H12" s="173"/>
      <c r="I12" s="173"/>
      <c r="J12" s="173"/>
      <c r="K12" s="175"/>
      <c r="L12" s="49" t="s">
        <v>196</v>
      </c>
      <c r="M12" s="85"/>
      <c r="N12" s="80">
        <f ca="1">(IF(C4&gt;1,(J4/(C4+4)+N11),0))</f>
        <v>3</v>
      </c>
    </row>
    <row r="13" spans="1:14" ht="15.75" customHeight="1" x14ac:dyDescent="0.25">
      <c r="A13" s="86">
        <v>11</v>
      </c>
      <c r="B13" s="167" t="s">
        <v>178</v>
      </c>
      <c r="C13" s="168" t="s">
        <v>178</v>
      </c>
      <c r="D13" s="15">
        <v>0</v>
      </c>
      <c r="E13" s="173">
        <f ca="1">((100/J4)*D13)/100</f>
        <v>0</v>
      </c>
      <c r="F13" s="173"/>
      <c r="G13" s="173"/>
      <c r="H13" s="173"/>
      <c r="I13" s="173"/>
      <c r="J13" s="173"/>
      <c r="K13" s="175"/>
      <c r="L13" s="49" t="s">
        <v>197</v>
      </c>
      <c r="M13" s="78"/>
      <c r="N13" s="81">
        <f ca="1">(IF(C4&gt;2,(J4/(C4+4)+N12),0))</f>
        <v>3.75</v>
      </c>
    </row>
    <row r="14" spans="1:14" ht="15.75" customHeight="1" x14ac:dyDescent="0.25">
      <c r="A14" s="86">
        <v>12</v>
      </c>
      <c r="B14" s="167" t="s">
        <v>186</v>
      </c>
      <c r="C14" s="168"/>
      <c r="D14" s="15">
        <v>0</v>
      </c>
      <c r="E14" s="173">
        <f ca="1">((100/J4)*D14)/100</f>
        <v>0</v>
      </c>
      <c r="F14" s="173"/>
      <c r="G14" s="173"/>
      <c r="H14" s="173"/>
      <c r="I14" s="173"/>
      <c r="J14" s="173"/>
      <c r="K14" s="175"/>
      <c r="L14" s="49" t="s">
        <v>199</v>
      </c>
      <c r="N14" s="84">
        <f ca="1">(IF(C4&gt;3,(J4/(C4+4)+N13),0))</f>
        <v>4.5</v>
      </c>
    </row>
    <row r="15" spans="1:14" ht="15.75" customHeight="1" x14ac:dyDescent="0.25">
      <c r="A15" s="86">
        <v>13</v>
      </c>
      <c r="B15" s="167" t="s">
        <v>180</v>
      </c>
      <c r="C15" s="168" t="s">
        <v>180</v>
      </c>
      <c r="D15" s="15">
        <v>0</v>
      </c>
      <c r="E15" s="173">
        <f ca="1">((100/(J4))*D15)/100</f>
        <v>0</v>
      </c>
      <c r="F15" s="173"/>
      <c r="G15" s="173"/>
      <c r="H15" s="173"/>
      <c r="I15" s="173"/>
      <c r="J15" s="173"/>
      <c r="K15" s="175"/>
      <c r="L15" s="49" t="s">
        <v>137</v>
      </c>
      <c r="M15" s="28"/>
      <c r="N15" s="80">
        <f ca="1">(IF(C4=0,J4/4+N10,(J4/(C4+4)+N10+MAX(0,N11-N10)+MAX(0,N12-N11)+MAX(0,N13-N12)+MAX(0,N14-N13))))</f>
        <v>5.25</v>
      </c>
    </row>
    <row r="16" spans="1:14" ht="16.5" customHeight="1" thickBot="1" x14ac:dyDescent="0.3">
      <c r="A16" s="86">
        <v>14</v>
      </c>
      <c r="B16" s="177" t="s">
        <v>181</v>
      </c>
      <c r="C16" s="178"/>
      <c r="D16" s="23">
        <v>0</v>
      </c>
      <c r="E16" s="174">
        <f ca="1">((100/(J4))*D16)/100</f>
        <v>0</v>
      </c>
      <c r="F16" s="174"/>
      <c r="G16" s="174"/>
      <c r="H16" s="174"/>
      <c r="I16" s="174"/>
      <c r="J16" s="174"/>
      <c r="K16" s="176"/>
      <c r="L16" s="75" t="s">
        <v>138</v>
      </c>
      <c r="M16" s="76"/>
      <c r="N16" s="82">
        <f ca="1">(IF(C4=0,J4/4+N15,(J4/(C4+4)+N15)))</f>
        <v>6</v>
      </c>
    </row>
  </sheetData>
  <mergeCells count="33">
    <mergeCell ref="B1:K1"/>
    <mergeCell ref="B3:C3"/>
    <mergeCell ref="B5:C5"/>
    <mergeCell ref="B6:C6"/>
    <mergeCell ref="D3:K3"/>
    <mergeCell ref="J4:K4"/>
    <mergeCell ref="I6:K6"/>
    <mergeCell ref="G6:H6"/>
    <mergeCell ref="D5:K5"/>
    <mergeCell ref="E4:F4"/>
    <mergeCell ref="B12:C12"/>
    <mergeCell ref="B13:C13"/>
    <mergeCell ref="B14:C14"/>
    <mergeCell ref="B15:C15"/>
    <mergeCell ref="B16:C16"/>
    <mergeCell ref="B7:C7"/>
    <mergeCell ref="B8:C8"/>
    <mergeCell ref="B9:C9"/>
    <mergeCell ref="B10:C10"/>
    <mergeCell ref="B11:C11"/>
    <mergeCell ref="I7:K16"/>
    <mergeCell ref="G7:H16"/>
    <mergeCell ref="E6:F6"/>
    <mergeCell ref="E7:F7"/>
    <mergeCell ref="E8:F8"/>
    <mergeCell ref="E9:F9"/>
    <mergeCell ref="E10:F10"/>
    <mergeCell ref="E11:F11"/>
    <mergeCell ref="E12:F12"/>
    <mergeCell ref="E13:F13"/>
    <mergeCell ref="E14:F14"/>
    <mergeCell ref="E15:F15"/>
    <mergeCell ref="E16:F16"/>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8"/>
  <sheetViews>
    <sheetView zoomScale="85" zoomScaleNormal="85" workbookViewId="0">
      <selection activeCell="F20" sqref="F20"/>
    </sheetView>
  </sheetViews>
  <sheetFormatPr defaultRowHeight="15" x14ac:dyDescent="0.25"/>
  <cols>
    <col min="2" max="11" width="14.140625" customWidth="1"/>
    <col min="12" max="12" width="18.42578125" customWidth="1"/>
  </cols>
  <sheetData>
    <row r="1" spans="2:16" ht="15.75" thickBot="1" x14ac:dyDescent="0.3"/>
    <row r="2" spans="2:16" ht="15.75" customHeight="1" x14ac:dyDescent="0.25">
      <c r="B2" s="217" t="s">
        <v>191</v>
      </c>
      <c r="C2" s="218"/>
      <c r="D2" s="219" t="s">
        <v>200</v>
      </c>
      <c r="E2" s="220"/>
      <c r="F2" s="220"/>
      <c r="G2" s="220"/>
      <c r="H2" s="220"/>
      <c r="I2" s="221"/>
      <c r="J2" s="24" t="str">
        <f ca="1">(IF(D6=0,"Work not yet Started.",IF(E6=25%,"Piling work in process",IF(E6=50%,"Excavation work in process",IF(E6=100%,"Excavation work completed, ","0")))&amp;(IF(D7=0%,"",IF(D7=L8,"Footing work is process",IF(D7=L9,"Footing work Completed",IF(D7=L10,"1st Basement Completed",IF(D7=L11,"1st &amp; 2nd Basement Completed",IF(D7=L12,"1st to 3rd Basement Completed",IF(D7=L13,"1st to 4th Basement Completed",IF(D7=L14,"Plinth work is process",IF(D7=L15,"Plinth work completed","0")))))))))))&amp;(IF(D8&gt;0,", RCC upto "&amp;D8&amp;" Slab completed",""))&amp;(IF(D9&gt;0,", Brickwork upto "&amp;D9&amp;" Floor completed"," "))&amp;(IF(D10&gt;0,", Internal Plaster upto "&amp;D10&amp;" Floor completed"," "))&amp;(IF(D11&gt;0,", External Plaster upto "&amp;D11&amp;" Floor completed"," "))&amp;(IF(D12&gt;0,", Flooring upto "&amp;D12&amp;" Floor completed"," "))&amp;(IF(D13&gt;0,", Painting upto "&amp;D13&amp;" Floor completed"," "))&amp;(IF(D14&gt;0,", Finishing upto "&amp;D14&amp;" Floor completed"," ")))</f>
        <v xml:space="preserve">Excavation work completed, Plinth work completed, RCC upto 21 Slab completed      </v>
      </c>
      <c r="K2" s="24"/>
      <c r="L2" s="25"/>
    </row>
    <row r="3" spans="2:16" ht="15.75" x14ac:dyDescent="0.25">
      <c r="B3" s="83" t="s">
        <v>194</v>
      </c>
      <c r="C3" s="74">
        <v>4</v>
      </c>
      <c r="D3" s="71" t="s">
        <v>100</v>
      </c>
      <c r="E3" s="71">
        <v>1</v>
      </c>
      <c r="F3" s="71" t="s">
        <v>99</v>
      </c>
      <c r="G3" s="74">
        <v>0</v>
      </c>
      <c r="H3" s="70" t="s">
        <v>110</v>
      </c>
      <c r="I3" s="71">
        <f ca="1">--TRIM(RIGHT(SUBSTITUTE(LEFT(D2,_xlfn.AGGREGATE(16,6,FIND({0,1,2,3,4,5,6,7,8,9},D2,ROW(INDIRECT("1:"&amp;LEN(D2)))),1))," ",REPT(" ",LEN(D2))),LEN(D2)))</f>
        <v>20</v>
      </c>
      <c r="J3" s="21" t="s">
        <v>154</v>
      </c>
      <c r="K3" s="21"/>
      <c r="L3" s="26"/>
    </row>
    <row r="4" spans="2:16" ht="15.75" x14ac:dyDescent="0.25">
      <c r="B4" s="200" t="s">
        <v>120</v>
      </c>
      <c r="C4" s="170"/>
      <c r="D4" s="192" t="str">
        <f ca="1">J2</f>
        <v xml:space="preserve">Excavation work completed, Plinth work completed, RCC upto 21 Slab completed      </v>
      </c>
      <c r="E4" s="192"/>
      <c r="F4" s="192"/>
      <c r="G4" s="192"/>
      <c r="H4" s="192"/>
      <c r="I4" s="192"/>
      <c r="J4" s="21" t="s">
        <v>139</v>
      </c>
      <c r="K4" s="21"/>
      <c r="L4" s="26"/>
    </row>
    <row r="5" spans="2:16" ht="15.75" x14ac:dyDescent="0.25">
      <c r="B5" s="167" t="s">
        <v>51</v>
      </c>
      <c r="C5" s="168"/>
      <c r="D5" s="14" t="s">
        <v>190</v>
      </c>
      <c r="E5" s="14" t="s">
        <v>113</v>
      </c>
      <c r="F5" s="168" t="s">
        <v>115</v>
      </c>
      <c r="G5" s="168"/>
      <c r="H5" s="168" t="s">
        <v>114</v>
      </c>
      <c r="I5" s="168"/>
      <c r="J5" s="49" t="s">
        <v>193</v>
      </c>
      <c r="K5" s="8"/>
      <c r="L5" s="27">
        <f ca="1">I3*25%</f>
        <v>5</v>
      </c>
    </row>
    <row r="6" spans="2:16" ht="15.75" x14ac:dyDescent="0.25">
      <c r="B6" s="167" t="s">
        <v>175</v>
      </c>
      <c r="C6" s="168"/>
      <c r="D6" s="15">
        <f ca="1">L7</f>
        <v>20</v>
      </c>
      <c r="E6" s="72">
        <f ca="1">((100/I3)*D6)/100</f>
        <v>1</v>
      </c>
      <c r="F6" s="173">
        <f ca="1">(IF(D4=J3,"100%",IF(D4=J4,"100%",(((D7/I3*10)+(40/(E3+G3+I3)*D8)+(7.5/(I3)*D9)+(7.5/(I3)*D10)+(10/I3*D11)+(10/I3*D12)+(5/I3*D13)+(5/I3*D14)+(5/I3*D15))/100))))</f>
        <v>0.5</v>
      </c>
      <c r="G6" s="173"/>
      <c r="H6" s="173">
        <f ca="1">((((D6/I3)*20)+((D7/I3)*25)+(30/(I3+G3+E3)*D8)+(5/I3*D9)+(5/I3*D10)+(5/I3*D11)+(5/I3*D12)+(0/I3*D13)+(0/I3*D14)+(5/I3*D15))/100)</f>
        <v>0.75</v>
      </c>
      <c r="I6" s="175"/>
      <c r="J6" s="49" t="s">
        <v>133</v>
      </c>
      <c r="K6" s="28"/>
      <c r="L6" s="61">
        <f ca="1">I3*50%</f>
        <v>10</v>
      </c>
    </row>
    <row r="7" spans="2:16" ht="15.75" x14ac:dyDescent="0.25">
      <c r="B7" s="167" t="s">
        <v>52</v>
      </c>
      <c r="C7" s="168"/>
      <c r="D7" s="16">
        <f ca="1">L15</f>
        <v>20</v>
      </c>
      <c r="E7" s="72">
        <f ca="1">((100/I3)*D7)/100</f>
        <v>1</v>
      </c>
      <c r="F7" s="173"/>
      <c r="G7" s="173"/>
      <c r="H7" s="173"/>
      <c r="I7" s="175"/>
      <c r="J7" s="49" t="s">
        <v>134</v>
      </c>
      <c r="K7" s="28"/>
      <c r="L7" s="61">
        <f ca="1">I3</f>
        <v>20</v>
      </c>
    </row>
    <row r="8" spans="2:16" ht="15.75" x14ac:dyDescent="0.25">
      <c r="B8" s="167" t="s">
        <v>176</v>
      </c>
      <c r="C8" s="168"/>
      <c r="D8" s="16">
        <f ca="1">E3+G3+I3</f>
        <v>21</v>
      </c>
      <c r="E8" s="72">
        <f ca="1">((100/(E3+G3+I3))*D8)/100</f>
        <v>1</v>
      </c>
      <c r="F8" s="173"/>
      <c r="G8" s="173"/>
      <c r="H8" s="173"/>
      <c r="I8" s="175"/>
      <c r="J8" s="49" t="s">
        <v>135</v>
      </c>
      <c r="K8" s="28"/>
      <c r="L8" s="80">
        <f ca="1">(IF(C3=0,I3/4,(I3/(C3+4))))</f>
        <v>2.5</v>
      </c>
    </row>
    <row r="9" spans="2:16" ht="15.75" customHeight="1" x14ac:dyDescent="0.25">
      <c r="B9" s="167" t="s">
        <v>184</v>
      </c>
      <c r="C9" s="168" t="s">
        <v>177</v>
      </c>
      <c r="D9" s="15">
        <v>0</v>
      </c>
      <c r="E9" s="72">
        <f ca="1">((100/I3)*D9)/100</f>
        <v>0</v>
      </c>
      <c r="F9" s="173"/>
      <c r="G9" s="173"/>
      <c r="H9" s="173"/>
      <c r="I9" s="175"/>
      <c r="J9" s="49" t="s">
        <v>136</v>
      </c>
      <c r="K9" s="28"/>
      <c r="L9" s="80">
        <f ca="1">(IF(C3=0,I3/4+L8,(I3/(C3+4)+L8)))</f>
        <v>5</v>
      </c>
    </row>
    <row r="10" spans="2:16" ht="15.75" customHeight="1" x14ac:dyDescent="0.25">
      <c r="B10" s="167" t="s">
        <v>185</v>
      </c>
      <c r="C10" s="168" t="s">
        <v>177</v>
      </c>
      <c r="D10" s="15">
        <v>0</v>
      </c>
      <c r="E10" s="72">
        <f ca="1">((100/I3)*D10)/100</f>
        <v>0</v>
      </c>
      <c r="F10" s="173"/>
      <c r="G10" s="173"/>
      <c r="H10" s="173"/>
      <c r="I10" s="175"/>
      <c r="J10" s="49" t="s">
        <v>195</v>
      </c>
      <c r="K10" s="85"/>
      <c r="L10" s="80">
        <f ca="1">(IF(C3=0,0,(I3/(C3+4)+L9)))</f>
        <v>7.5</v>
      </c>
      <c r="N10" s="78"/>
      <c r="P10" s="77"/>
    </row>
    <row r="11" spans="2:16" ht="15.75" customHeight="1" x14ac:dyDescent="0.25">
      <c r="B11" s="167" t="s">
        <v>183</v>
      </c>
      <c r="C11" s="168" t="s">
        <v>179</v>
      </c>
      <c r="D11" s="15">
        <v>0</v>
      </c>
      <c r="E11" s="72">
        <f ca="1">((100/(I3))*D11)/100</f>
        <v>0</v>
      </c>
      <c r="F11" s="173"/>
      <c r="G11" s="173"/>
      <c r="H11" s="173"/>
      <c r="I11" s="175"/>
      <c r="J11" s="49" t="s">
        <v>196</v>
      </c>
      <c r="K11" s="85"/>
      <c r="L11" s="80">
        <f ca="1">(IF(C3&gt;1,(I3/(C3+4)+L10),0))</f>
        <v>10</v>
      </c>
      <c r="M11" s="79"/>
      <c r="N11" s="78"/>
    </row>
    <row r="12" spans="2:16" ht="15.75" customHeight="1" x14ac:dyDescent="0.25">
      <c r="B12" s="167" t="s">
        <v>178</v>
      </c>
      <c r="C12" s="168" t="s">
        <v>178</v>
      </c>
      <c r="D12" s="15">
        <v>0</v>
      </c>
      <c r="E12" s="72">
        <f ca="1">((100/I3)*D12)/100</f>
        <v>0</v>
      </c>
      <c r="F12" s="173"/>
      <c r="G12" s="173"/>
      <c r="H12" s="173"/>
      <c r="I12" s="175"/>
      <c r="J12" s="49" t="s">
        <v>197</v>
      </c>
      <c r="K12" s="78"/>
      <c r="L12" s="81">
        <f ca="1">(IF(C3&gt;2,(I3/(C3+4)+L11),0))</f>
        <v>12.5</v>
      </c>
      <c r="M12" s="79"/>
      <c r="N12" s="78"/>
    </row>
    <row r="13" spans="2:16" ht="15.75" customHeight="1" x14ac:dyDescent="0.25">
      <c r="B13" s="167" t="s">
        <v>186</v>
      </c>
      <c r="C13" s="168"/>
      <c r="D13" s="15">
        <v>0</v>
      </c>
      <c r="E13" s="72">
        <f ca="1">((100/I3)*D13)/100</f>
        <v>0</v>
      </c>
      <c r="F13" s="173"/>
      <c r="G13" s="173"/>
      <c r="H13" s="173"/>
      <c r="I13" s="175"/>
      <c r="J13" s="49" t="s">
        <v>199</v>
      </c>
      <c r="L13" s="84">
        <f ca="1">(IF(C3&gt;3,(I3/(C3+4)+L12),0))</f>
        <v>15</v>
      </c>
      <c r="M13" s="77"/>
      <c r="N13" s="78"/>
    </row>
    <row r="14" spans="2:16" ht="15.75" customHeight="1" x14ac:dyDescent="0.25">
      <c r="B14" s="167" t="s">
        <v>180</v>
      </c>
      <c r="C14" s="168" t="s">
        <v>180</v>
      </c>
      <c r="D14" s="15">
        <v>0</v>
      </c>
      <c r="E14" s="72">
        <f ca="1">((100/(I3))*D14)/100</f>
        <v>0</v>
      </c>
      <c r="F14" s="173"/>
      <c r="G14" s="173"/>
      <c r="H14" s="173"/>
      <c r="I14" s="175"/>
      <c r="J14" s="49" t="s">
        <v>137</v>
      </c>
      <c r="K14" s="28"/>
      <c r="L14" s="80">
        <f ca="1">(IF(C3=0,I3/4+L9,(I3/(C3+4)+L9+MAX(0,L10-L9)+MAX(0,L11-L10)+MAX(0,L12-L11)+MAX(0,L13-L12))))</f>
        <v>17.5</v>
      </c>
      <c r="M14" s="79"/>
      <c r="N14" s="78"/>
    </row>
    <row r="15" spans="2:16" ht="16.5" thickBot="1" x14ac:dyDescent="0.3">
      <c r="B15" s="177" t="s">
        <v>181</v>
      </c>
      <c r="C15" s="178"/>
      <c r="D15" s="23">
        <v>0</v>
      </c>
      <c r="E15" s="73">
        <f ca="1">((100/(I3))*D15)/100</f>
        <v>0</v>
      </c>
      <c r="F15" s="174"/>
      <c r="G15" s="174"/>
      <c r="H15" s="174"/>
      <c r="I15" s="176"/>
      <c r="J15" s="75" t="s">
        <v>138</v>
      </c>
      <c r="K15" s="76"/>
      <c r="L15" s="82">
        <f ca="1">(IF(C3=0,I3/4+L14,(I3/(C3+4)+L14)))</f>
        <v>20</v>
      </c>
      <c r="M15" s="79"/>
      <c r="N15" s="78"/>
    </row>
    <row r="16" spans="2:16" ht="15.75" x14ac:dyDescent="0.25">
      <c r="B16" s="46"/>
      <c r="C16" s="46"/>
      <c r="D16" s="47"/>
      <c r="E16" s="48"/>
      <c r="F16" s="48"/>
      <c r="G16" s="48"/>
      <c r="H16" s="48"/>
      <c r="I16" s="48"/>
      <c r="J16" s="49"/>
      <c r="K16" s="28"/>
      <c r="L16" s="28"/>
      <c r="N16" s="78"/>
    </row>
    <row r="17" spans="6:8" x14ac:dyDescent="0.25">
      <c r="F17" s="44">
        <f ca="1">F6</f>
        <v>0.5</v>
      </c>
      <c r="H17" s="44">
        <f ca="1">H6</f>
        <v>0.75</v>
      </c>
    </row>
    <row r="18" spans="6:8" x14ac:dyDescent="0.25">
      <c r="F18" s="45"/>
      <c r="H18" s="45"/>
    </row>
  </sheetData>
  <mergeCells count="19">
    <mergeCell ref="B2:C2"/>
    <mergeCell ref="D2:I2"/>
    <mergeCell ref="H6:I15"/>
    <mergeCell ref="B6:C6"/>
    <mergeCell ref="B5:C5"/>
    <mergeCell ref="F5:G5"/>
    <mergeCell ref="H5:I5"/>
    <mergeCell ref="B7:C7"/>
    <mergeCell ref="B8:C8"/>
    <mergeCell ref="B9:C9"/>
    <mergeCell ref="B12:C12"/>
    <mergeCell ref="B11:C11"/>
    <mergeCell ref="B14:C14"/>
    <mergeCell ref="B15:C15"/>
    <mergeCell ref="B10:C10"/>
    <mergeCell ref="B13:C13"/>
    <mergeCell ref="F6:G15"/>
    <mergeCell ref="B4:C4"/>
    <mergeCell ref="D4: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zoomScale="85" zoomScaleNormal="85" workbookViewId="0">
      <selection activeCell="A13" sqref="A13"/>
    </sheetView>
  </sheetViews>
  <sheetFormatPr defaultRowHeight="15" x14ac:dyDescent="0.25"/>
  <cols>
    <col min="1" max="1" width="23.7109375" bestFit="1" customWidth="1"/>
    <col min="2" max="2" width="13.5703125" customWidth="1"/>
    <col min="3" max="3" width="14.28515625" bestFit="1" customWidth="1"/>
    <col min="4" max="4" width="16.7109375" customWidth="1"/>
    <col min="5" max="5" width="20.140625" customWidth="1"/>
    <col min="6" max="6" width="22" bestFit="1" customWidth="1"/>
    <col min="7" max="7" width="23.85546875" customWidth="1"/>
    <col min="8" max="8" width="15.140625" customWidth="1"/>
    <col min="9" max="9" width="20" customWidth="1"/>
  </cols>
  <sheetData>
    <row r="1" spans="1:9" ht="19.5" x14ac:dyDescent="0.3">
      <c r="A1" s="224" t="s">
        <v>188</v>
      </c>
      <c r="B1" s="224"/>
      <c r="C1" s="224"/>
      <c r="D1" s="224"/>
      <c r="E1" s="224"/>
      <c r="F1" s="224"/>
      <c r="G1" s="224"/>
      <c r="H1" s="224"/>
      <c r="I1" s="224"/>
    </row>
    <row r="2" spans="1:9" ht="15" customHeight="1" x14ac:dyDescent="0.25">
      <c r="A2" s="222" t="s">
        <v>166</v>
      </c>
      <c r="B2" s="222"/>
      <c r="C2" s="222"/>
      <c r="D2" s="222"/>
      <c r="E2" s="222"/>
      <c r="F2" s="222"/>
      <c r="G2" s="222"/>
      <c r="H2" s="222"/>
      <c r="I2" s="222"/>
    </row>
    <row r="3" spans="1:9" x14ac:dyDescent="0.25">
      <c r="A3" s="63"/>
      <c r="B3" s="64" t="s">
        <v>167</v>
      </c>
      <c r="C3" s="64" t="s">
        <v>168</v>
      </c>
      <c r="D3" s="64" t="s">
        <v>169</v>
      </c>
      <c r="E3" s="64" t="s">
        <v>170</v>
      </c>
      <c r="F3" s="65" t="s">
        <v>171</v>
      </c>
      <c r="G3" s="65" t="s">
        <v>172</v>
      </c>
      <c r="H3" s="64" t="s">
        <v>173</v>
      </c>
      <c r="I3" s="66" t="s">
        <v>174</v>
      </c>
    </row>
    <row r="4" spans="1:9" x14ac:dyDescent="0.25">
      <c r="A4" s="52" t="s">
        <v>175</v>
      </c>
      <c r="B4" s="53">
        <v>0</v>
      </c>
      <c r="C4" s="53">
        <v>0</v>
      </c>
      <c r="D4" s="53">
        <v>20</v>
      </c>
      <c r="E4" s="53">
        <v>20</v>
      </c>
      <c r="F4" s="56">
        <v>20</v>
      </c>
      <c r="G4" s="57">
        <v>20</v>
      </c>
      <c r="H4" s="55">
        <v>0</v>
      </c>
      <c r="I4" s="55">
        <f t="shared" ref="I4:I11" si="0">G4/F4*E4</f>
        <v>20</v>
      </c>
    </row>
    <row r="5" spans="1:9" x14ac:dyDescent="0.25">
      <c r="A5" s="52" t="s">
        <v>52</v>
      </c>
      <c r="B5" s="53">
        <v>10</v>
      </c>
      <c r="C5" s="53">
        <v>10</v>
      </c>
      <c r="D5" s="53">
        <v>45</v>
      </c>
      <c r="E5" s="53">
        <v>25</v>
      </c>
      <c r="F5" s="56">
        <f>F4</f>
        <v>20</v>
      </c>
      <c r="G5" s="57">
        <v>20</v>
      </c>
      <c r="H5" s="55">
        <f t="shared" ref="H5:H11" si="1">G5/F5*C5</f>
        <v>10</v>
      </c>
      <c r="I5" s="55">
        <f t="shared" si="0"/>
        <v>25</v>
      </c>
    </row>
    <row r="6" spans="1:9" ht="25.5" x14ac:dyDescent="0.25">
      <c r="A6" s="52" t="s">
        <v>176</v>
      </c>
      <c r="B6" s="53">
        <v>50</v>
      </c>
      <c r="C6" s="53">
        <v>40</v>
      </c>
      <c r="D6" s="53">
        <v>75</v>
      </c>
      <c r="E6" s="53">
        <v>30</v>
      </c>
      <c r="F6" s="56">
        <v>25</v>
      </c>
      <c r="G6" s="57">
        <v>25</v>
      </c>
      <c r="H6" s="55">
        <f t="shared" si="1"/>
        <v>40</v>
      </c>
      <c r="I6" s="55">
        <f t="shared" si="0"/>
        <v>30</v>
      </c>
    </row>
    <row r="7" spans="1:9" ht="25.5" x14ac:dyDescent="0.25">
      <c r="A7" s="67" t="s">
        <v>177</v>
      </c>
      <c r="B7" s="53">
        <v>65</v>
      </c>
      <c r="C7" s="53">
        <v>15</v>
      </c>
      <c r="D7" s="53">
        <v>85</v>
      </c>
      <c r="E7" s="53">
        <v>10</v>
      </c>
      <c r="F7" s="56">
        <f>F4</f>
        <v>20</v>
      </c>
      <c r="G7" s="57">
        <v>20</v>
      </c>
      <c r="H7" s="55">
        <f t="shared" si="1"/>
        <v>15</v>
      </c>
      <c r="I7" s="55">
        <f t="shared" si="0"/>
        <v>10</v>
      </c>
    </row>
    <row r="8" spans="1:9" x14ac:dyDescent="0.25">
      <c r="A8" s="52" t="s">
        <v>178</v>
      </c>
      <c r="B8" s="53">
        <v>75</v>
      </c>
      <c r="C8" s="53">
        <v>10</v>
      </c>
      <c r="D8" s="53">
        <v>90</v>
      </c>
      <c r="E8" s="53">
        <v>5</v>
      </c>
      <c r="F8" s="56">
        <f>F4</f>
        <v>20</v>
      </c>
      <c r="G8" s="57">
        <v>20</v>
      </c>
      <c r="H8" s="55">
        <f t="shared" si="1"/>
        <v>10</v>
      </c>
      <c r="I8" s="55">
        <f t="shared" si="0"/>
        <v>5</v>
      </c>
    </row>
    <row r="9" spans="1:9" ht="25.5" x14ac:dyDescent="0.25">
      <c r="A9" s="52" t="s">
        <v>179</v>
      </c>
      <c r="B9" s="53">
        <v>85</v>
      </c>
      <c r="C9" s="53">
        <v>10</v>
      </c>
      <c r="D9" s="53">
        <v>95</v>
      </c>
      <c r="E9" s="53">
        <v>5</v>
      </c>
      <c r="F9" s="56">
        <f>F5</f>
        <v>20</v>
      </c>
      <c r="G9" s="57">
        <v>20</v>
      </c>
      <c r="H9" s="55">
        <f t="shared" si="1"/>
        <v>10</v>
      </c>
      <c r="I9" s="55">
        <f t="shared" si="0"/>
        <v>5</v>
      </c>
    </row>
    <row r="10" spans="1:9" ht="25.5" x14ac:dyDescent="0.25">
      <c r="A10" s="67" t="s">
        <v>198</v>
      </c>
      <c r="B10" s="53">
        <v>95</v>
      </c>
      <c r="C10" s="53">
        <v>10</v>
      </c>
      <c r="D10" s="53">
        <v>95</v>
      </c>
      <c r="E10" s="53">
        <v>0</v>
      </c>
      <c r="F10" s="56">
        <f>F4</f>
        <v>20</v>
      </c>
      <c r="G10" s="57">
        <v>0</v>
      </c>
      <c r="H10" s="55">
        <f t="shared" si="1"/>
        <v>0</v>
      </c>
      <c r="I10" s="55">
        <f t="shared" si="0"/>
        <v>0</v>
      </c>
    </row>
    <row r="11" spans="1:9" x14ac:dyDescent="0.25">
      <c r="A11" s="52" t="s">
        <v>181</v>
      </c>
      <c r="B11" s="53">
        <v>100</v>
      </c>
      <c r="C11" s="53">
        <v>5</v>
      </c>
      <c r="D11" s="53">
        <v>100</v>
      </c>
      <c r="E11" s="53">
        <v>5</v>
      </c>
      <c r="F11" s="56">
        <f>F4</f>
        <v>20</v>
      </c>
      <c r="G11" s="57">
        <v>0</v>
      </c>
      <c r="H11" s="55">
        <f t="shared" si="1"/>
        <v>0</v>
      </c>
      <c r="I11" s="55">
        <f t="shared" si="0"/>
        <v>0</v>
      </c>
    </row>
    <row r="12" spans="1:9" x14ac:dyDescent="0.25">
      <c r="A12" s="58"/>
      <c r="B12" s="58"/>
      <c r="C12" s="58">
        <f>SUM(C4:C11)</f>
        <v>100</v>
      </c>
      <c r="D12" s="58"/>
      <c r="E12" s="58">
        <f>SUM(E4:E11)</f>
        <v>100</v>
      </c>
      <c r="F12" s="58"/>
      <c r="G12" s="59" t="s">
        <v>182</v>
      </c>
      <c r="H12" s="60">
        <f>SUM(H4:H11)</f>
        <v>85</v>
      </c>
      <c r="I12" s="60">
        <f>SUM(I4:I11)</f>
        <v>95</v>
      </c>
    </row>
    <row r="14" spans="1:9" ht="19.5" x14ac:dyDescent="0.3">
      <c r="A14" s="225" t="s">
        <v>189</v>
      </c>
      <c r="B14" s="226"/>
      <c r="C14" s="226"/>
      <c r="D14" s="226"/>
      <c r="E14" s="226"/>
      <c r="F14" s="226"/>
      <c r="G14" s="226"/>
      <c r="H14" s="226"/>
      <c r="I14" s="227"/>
    </row>
    <row r="15" spans="1:9" x14ac:dyDescent="0.25">
      <c r="A15" s="223" t="s">
        <v>166</v>
      </c>
      <c r="B15" s="223"/>
      <c r="C15" s="223"/>
      <c r="D15" s="223"/>
      <c r="E15" s="223"/>
      <c r="F15" s="223"/>
      <c r="G15" s="223"/>
      <c r="H15" s="223"/>
      <c r="I15" s="223"/>
    </row>
    <row r="16" spans="1:9" x14ac:dyDescent="0.25">
      <c r="A16" s="52"/>
      <c r="B16" s="53" t="s">
        <v>167</v>
      </c>
      <c r="C16" s="53" t="s">
        <v>168</v>
      </c>
      <c r="D16" s="53" t="s">
        <v>169</v>
      </c>
      <c r="E16" s="53" t="s">
        <v>170</v>
      </c>
      <c r="F16" s="54" t="s">
        <v>171</v>
      </c>
      <c r="G16" s="54" t="s">
        <v>172</v>
      </c>
      <c r="H16" s="53" t="s">
        <v>173</v>
      </c>
      <c r="I16" s="55" t="s">
        <v>174</v>
      </c>
    </row>
    <row r="17" spans="1:9" x14ac:dyDescent="0.25">
      <c r="A17" s="52" t="s">
        <v>175</v>
      </c>
      <c r="B17" s="53">
        <v>0</v>
      </c>
      <c r="C17" s="53">
        <v>0</v>
      </c>
      <c r="D17" s="53">
        <v>20</v>
      </c>
      <c r="E17" s="53">
        <v>20</v>
      </c>
      <c r="F17" s="56">
        <v>30</v>
      </c>
      <c r="G17" s="57">
        <v>30</v>
      </c>
      <c r="H17" s="55">
        <v>0</v>
      </c>
      <c r="I17" s="55">
        <f t="shared" ref="I17:I26" si="2">G17/F17*E17</f>
        <v>20</v>
      </c>
    </row>
    <row r="18" spans="1:9" x14ac:dyDescent="0.25">
      <c r="A18" s="52" t="s">
        <v>52</v>
      </c>
      <c r="B18" s="53">
        <v>10</v>
      </c>
      <c r="C18" s="53">
        <v>10</v>
      </c>
      <c r="D18" s="62">
        <f>D17+I18</f>
        <v>45</v>
      </c>
      <c r="E18" s="53">
        <v>25</v>
      </c>
      <c r="F18" s="56">
        <f>F17</f>
        <v>30</v>
      </c>
      <c r="G18" s="57">
        <v>30</v>
      </c>
      <c r="H18" s="55">
        <f>G18/F18*C18</f>
        <v>10</v>
      </c>
      <c r="I18" s="55">
        <f t="shared" si="2"/>
        <v>25</v>
      </c>
    </row>
    <row r="19" spans="1:9" ht="25.5" x14ac:dyDescent="0.25">
      <c r="A19" s="52" t="s">
        <v>176</v>
      </c>
      <c r="B19" s="62">
        <f>B18+H19</f>
        <v>50</v>
      </c>
      <c r="C19" s="53">
        <v>40</v>
      </c>
      <c r="D19" s="62">
        <f>D18+I19</f>
        <v>75</v>
      </c>
      <c r="E19" s="53">
        <v>30</v>
      </c>
      <c r="F19" s="56">
        <v>35</v>
      </c>
      <c r="G19" s="57">
        <v>35</v>
      </c>
      <c r="H19" s="55">
        <f>G19/F19*C19</f>
        <v>40</v>
      </c>
      <c r="I19" s="55">
        <f t="shared" si="2"/>
        <v>30</v>
      </c>
    </row>
    <row r="20" spans="1:9" x14ac:dyDescent="0.25">
      <c r="A20" s="67" t="s">
        <v>184</v>
      </c>
      <c r="B20" s="62">
        <f t="shared" ref="B20:B25" si="3">B19+H20</f>
        <v>57.5</v>
      </c>
      <c r="C20" s="53">
        <v>7.5</v>
      </c>
      <c r="D20" s="62">
        <f t="shared" ref="D20:D25" si="4">D19+I20</f>
        <v>80</v>
      </c>
      <c r="E20" s="53">
        <v>5</v>
      </c>
      <c r="F20" s="56">
        <f>F17</f>
        <v>30</v>
      </c>
      <c r="G20" s="57">
        <v>30</v>
      </c>
      <c r="H20" s="55">
        <f>G20/F20*7.5</f>
        <v>7.5</v>
      </c>
      <c r="I20" s="55">
        <f t="shared" si="2"/>
        <v>5</v>
      </c>
    </row>
    <row r="21" spans="1:9" x14ac:dyDescent="0.25">
      <c r="A21" s="67" t="s">
        <v>185</v>
      </c>
      <c r="B21" s="62">
        <f t="shared" si="3"/>
        <v>65</v>
      </c>
      <c r="C21" s="53">
        <v>7.5</v>
      </c>
      <c r="D21" s="62">
        <f t="shared" si="4"/>
        <v>85</v>
      </c>
      <c r="E21" s="53">
        <v>5</v>
      </c>
      <c r="F21" s="56">
        <f>F18</f>
        <v>30</v>
      </c>
      <c r="G21" s="57">
        <v>30</v>
      </c>
      <c r="H21" s="55">
        <f>G21/F21*C21</f>
        <v>7.5</v>
      </c>
      <c r="I21" s="55">
        <f>G21/F21*E21</f>
        <v>5</v>
      </c>
    </row>
    <row r="22" spans="1:9" ht="25.5" x14ac:dyDescent="0.25">
      <c r="A22" s="52" t="s">
        <v>179</v>
      </c>
      <c r="B22" s="62">
        <f t="shared" si="3"/>
        <v>75</v>
      </c>
      <c r="C22" s="53">
        <v>10</v>
      </c>
      <c r="D22" s="62">
        <f t="shared" si="4"/>
        <v>90</v>
      </c>
      <c r="E22" s="53">
        <v>5</v>
      </c>
      <c r="F22" s="56">
        <f>F17</f>
        <v>30</v>
      </c>
      <c r="G22" s="57">
        <v>30</v>
      </c>
      <c r="H22" s="55">
        <f>G22/F22*C22</f>
        <v>10</v>
      </c>
      <c r="I22" s="55">
        <f>G22/F22*E22</f>
        <v>5</v>
      </c>
    </row>
    <row r="23" spans="1:9" x14ac:dyDescent="0.25">
      <c r="A23" s="52" t="s">
        <v>178</v>
      </c>
      <c r="B23" s="62">
        <f t="shared" si="3"/>
        <v>85</v>
      </c>
      <c r="C23" s="53">
        <v>10</v>
      </c>
      <c r="D23" s="62">
        <f t="shared" si="4"/>
        <v>95</v>
      </c>
      <c r="E23" s="53">
        <v>5</v>
      </c>
      <c r="F23" s="56">
        <f>F17</f>
        <v>30</v>
      </c>
      <c r="G23" s="57">
        <v>30</v>
      </c>
      <c r="H23" s="55">
        <f>G23/F23*C23</f>
        <v>10</v>
      </c>
      <c r="I23" s="55">
        <f>G23/F23*E23</f>
        <v>5</v>
      </c>
    </row>
    <row r="24" spans="1:9" x14ac:dyDescent="0.25">
      <c r="A24" s="67" t="s">
        <v>186</v>
      </c>
      <c r="B24" s="62">
        <f t="shared" si="3"/>
        <v>90</v>
      </c>
      <c r="C24" s="53">
        <v>5</v>
      </c>
      <c r="D24" s="62">
        <f t="shared" si="4"/>
        <v>95</v>
      </c>
      <c r="E24" s="53">
        <v>0</v>
      </c>
      <c r="F24" s="56">
        <f>F18</f>
        <v>30</v>
      </c>
      <c r="G24" s="57">
        <v>30</v>
      </c>
      <c r="H24" s="55">
        <f t="shared" ref="H24:H26" si="5">G24/F24*C24</f>
        <v>5</v>
      </c>
      <c r="I24" s="55">
        <f t="shared" si="2"/>
        <v>0</v>
      </c>
    </row>
    <row r="25" spans="1:9" ht="25.5" x14ac:dyDescent="0.25">
      <c r="A25" s="67" t="s">
        <v>180</v>
      </c>
      <c r="B25" s="62">
        <f t="shared" si="3"/>
        <v>95</v>
      </c>
      <c r="C25" s="53">
        <v>5</v>
      </c>
      <c r="D25" s="62">
        <f t="shared" si="4"/>
        <v>95</v>
      </c>
      <c r="E25" s="53">
        <v>0</v>
      </c>
      <c r="F25" s="56">
        <f>F17</f>
        <v>30</v>
      </c>
      <c r="G25" s="57">
        <v>30</v>
      </c>
      <c r="H25" s="55">
        <f t="shared" si="5"/>
        <v>5</v>
      </c>
      <c r="I25" s="55">
        <f t="shared" si="2"/>
        <v>0</v>
      </c>
    </row>
    <row r="26" spans="1:9" x14ac:dyDescent="0.25">
      <c r="A26" s="52" t="s">
        <v>181</v>
      </c>
      <c r="B26" s="53">
        <v>100</v>
      </c>
      <c r="C26" s="53">
        <v>5</v>
      </c>
      <c r="D26" s="53">
        <v>100</v>
      </c>
      <c r="E26" s="53">
        <v>5</v>
      </c>
      <c r="F26" s="56">
        <f>F17</f>
        <v>30</v>
      </c>
      <c r="G26" s="57">
        <v>30</v>
      </c>
      <c r="H26" s="55">
        <f t="shared" si="5"/>
        <v>5</v>
      </c>
      <c r="I26" s="55">
        <f t="shared" si="2"/>
        <v>5</v>
      </c>
    </row>
    <row r="27" spans="1:9" x14ac:dyDescent="0.25">
      <c r="A27" s="58"/>
      <c r="B27" s="58"/>
      <c r="C27" s="58">
        <f>SUM(C17:C26)</f>
        <v>100</v>
      </c>
      <c r="D27" s="58"/>
      <c r="E27" s="58">
        <f>SUM(E17:E26)</f>
        <v>100</v>
      </c>
      <c r="F27" s="58"/>
      <c r="G27" s="59" t="s">
        <v>182</v>
      </c>
      <c r="H27" s="60">
        <f>SUM(H17:H26)</f>
        <v>100</v>
      </c>
      <c r="I27" s="60">
        <f>SUM(I17:I26)</f>
        <v>100</v>
      </c>
    </row>
    <row r="30" spans="1:9" hidden="1" x14ac:dyDescent="0.25">
      <c r="C30" s="68" t="s">
        <v>187</v>
      </c>
      <c r="D30" s="68"/>
    </row>
    <row r="31" spans="1:9" hidden="1" x14ac:dyDescent="0.25"/>
    <row r="32" spans="1:9" hidden="1" x14ac:dyDescent="0.25">
      <c r="A32" s="222" t="s">
        <v>166</v>
      </c>
      <c r="B32" s="222"/>
      <c r="C32" s="222"/>
      <c r="D32" s="222"/>
      <c r="E32" s="222"/>
      <c r="F32" s="222"/>
      <c r="G32" s="222"/>
      <c r="H32" s="222"/>
      <c r="I32" s="222"/>
    </row>
    <row r="33" spans="1:9" hidden="1" x14ac:dyDescent="0.25">
      <c r="A33" s="52"/>
      <c r="B33" s="53" t="s">
        <v>167</v>
      </c>
      <c r="C33" s="53" t="s">
        <v>168</v>
      </c>
      <c r="D33" s="53" t="s">
        <v>169</v>
      </c>
      <c r="E33" s="53" t="s">
        <v>170</v>
      </c>
      <c r="F33" s="54" t="s">
        <v>171</v>
      </c>
      <c r="G33" s="54" t="s">
        <v>172</v>
      </c>
      <c r="H33" s="53" t="s">
        <v>173</v>
      </c>
      <c r="I33" s="55" t="s">
        <v>174</v>
      </c>
    </row>
    <row r="34" spans="1:9" hidden="1" x14ac:dyDescent="0.25">
      <c r="A34" s="52" t="s">
        <v>175</v>
      </c>
      <c r="B34" s="53">
        <v>0</v>
      </c>
      <c r="C34" s="53">
        <v>0</v>
      </c>
      <c r="D34" s="53">
        <v>20</v>
      </c>
      <c r="E34" s="53">
        <v>20</v>
      </c>
      <c r="F34" s="56">
        <v>30</v>
      </c>
      <c r="G34" s="57">
        <v>30</v>
      </c>
      <c r="H34" s="55">
        <v>0</v>
      </c>
      <c r="I34" s="55">
        <f t="shared" ref="I34:I37" si="6">G34/F34*E34</f>
        <v>20</v>
      </c>
    </row>
    <row r="35" spans="1:9" hidden="1" x14ac:dyDescent="0.25">
      <c r="A35" s="52" t="s">
        <v>52</v>
      </c>
      <c r="B35" s="53">
        <v>10</v>
      </c>
      <c r="C35" s="53">
        <v>10</v>
      </c>
      <c r="D35" s="62">
        <f>D34+I35</f>
        <v>45</v>
      </c>
      <c r="E35" s="53">
        <v>25</v>
      </c>
      <c r="F35" s="56">
        <f>F34</f>
        <v>30</v>
      </c>
      <c r="G35" s="57">
        <v>30</v>
      </c>
      <c r="H35" s="55">
        <f>G35/F35*C35</f>
        <v>10</v>
      </c>
      <c r="I35" s="55">
        <f t="shared" si="6"/>
        <v>25</v>
      </c>
    </row>
    <row r="36" spans="1:9" ht="25.5" hidden="1" x14ac:dyDescent="0.25">
      <c r="A36" s="52" t="s">
        <v>176</v>
      </c>
      <c r="B36" s="62">
        <f>B35+H36</f>
        <v>50</v>
      </c>
      <c r="C36" s="53">
        <v>40</v>
      </c>
      <c r="D36" s="62">
        <f>D35+I36</f>
        <v>75</v>
      </c>
      <c r="E36" s="53">
        <v>30</v>
      </c>
      <c r="F36" s="56">
        <v>35</v>
      </c>
      <c r="G36" s="57">
        <v>35</v>
      </c>
      <c r="H36" s="55">
        <f>G36/F36*C36</f>
        <v>40</v>
      </c>
      <c r="I36" s="55">
        <f t="shared" si="6"/>
        <v>30</v>
      </c>
    </row>
    <row r="37" spans="1:9" hidden="1" x14ac:dyDescent="0.25">
      <c r="A37" s="52" t="s">
        <v>184</v>
      </c>
      <c r="B37" s="62">
        <f t="shared" ref="B37:B42" si="7">B36+H37</f>
        <v>57.5</v>
      </c>
      <c r="C37" s="53">
        <v>10</v>
      </c>
      <c r="D37" s="62">
        <f t="shared" ref="D37:D42" si="8">D36+I37</f>
        <v>82.5</v>
      </c>
      <c r="E37" s="53">
        <v>7.5</v>
      </c>
      <c r="F37" s="56">
        <f>F34</f>
        <v>30</v>
      </c>
      <c r="G37" s="57">
        <v>30</v>
      </c>
      <c r="H37" s="55">
        <f>G37/F37*7.5</f>
        <v>7.5</v>
      </c>
      <c r="I37" s="55">
        <f t="shared" si="6"/>
        <v>7.5</v>
      </c>
    </row>
    <row r="38" spans="1:9" ht="25.5" hidden="1" x14ac:dyDescent="0.25">
      <c r="A38" s="52" t="s">
        <v>179</v>
      </c>
      <c r="B38" s="62">
        <f t="shared" si="7"/>
        <v>62.5</v>
      </c>
      <c r="C38" s="53">
        <v>5</v>
      </c>
      <c r="D38" s="62">
        <f t="shared" si="8"/>
        <v>85</v>
      </c>
      <c r="E38" s="53">
        <v>2.5</v>
      </c>
      <c r="F38" s="56">
        <f>F34</f>
        <v>30</v>
      </c>
      <c r="G38" s="57">
        <v>30</v>
      </c>
      <c r="H38" s="55">
        <f>G38/F38*C38</f>
        <v>5</v>
      </c>
      <c r="I38" s="55">
        <f>G38/F38*E38</f>
        <v>2.5</v>
      </c>
    </row>
    <row r="39" spans="1:9" hidden="1" x14ac:dyDescent="0.25">
      <c r="A39" s="52" t="s">
        <v>185</v>
      </c>
      <c r="B39" s="62">
        <f t="shared" si="7"/>
        <v>67.5</v>
      </c>
      <c r="C39" s="53">
        <v>5</v>
      </c>
      <c r="D39" s="62">
        <f t="shared" si="8"/>
        <v>87.5</v>
      </c>
      <c r="E39" s="53">
        <v>2.5</v>
      </c>
      <c r="F39" s="56">
        <f>F35</f>
        <v>30</v>
      </c>
      <c r="G39" s="57">
        <v>30</v>
      </c>
      <c r="H39" s="55">
        <f t="shared" ref="H39" si="9">G39/F39*C39</f>
        <v>5</v>
      </c>
      <c r="I39" s="55">
        <f t="shared" ref="I39" si="10">G39/F39*E39</f>
        <v>2.5</v>
      </c>
    </row>
    <row r="40" spans="1:9" hidden="1" x14ac:dyDescent="0.25">
      <c r="A40" s="52" t="s">
        <v>178</v>
      </c>
      <c r="B40" s="62">
        <f t="shared" si="7"/>
        <v>77.5</v>
      </c>
      <c r="C40" s="53">
        <v>10</v>
      </c>
      <c r="D40" s="62">
        <f t="shared" si="8"/>
        <v>90</v>
      </c>
      <c r="E40" s="53">
        <v>2.5</v>
      </c>
      <c r="F40" s="56">
        <f>F34</f>
        <v>30</v>
      </c>
      <c r="G40" s="57">
        <v>30</v>
      </c>
      <c r="H40" s="55">
        <f>G40/F40*C40</f>
        <v>10</v>
      </c>
      <c r="I40" s="55">
        <f>G40/F40*E40</f>
        <v>2.5</v>
      </c>
    </row>
    <row r="41" spans="1:9" hidden="1" x14ac:dyDescent="0.25">
      <c r="A41" s="52" t="s">
        <v>186</v>
      </c>
      <c r="B41" s="62">
        <f t="shared" si="7"/>
        <v>87.5</v>
      </c>
      <c r="C41" s="53">
        <v>10</v>
      </c>
      <c r="D41" s="62">
        <f t="shared" si="8"/>
        <v>95</v>
      </c>
      <c r="E41" s="53">
        <v>5</v>
      </c>
      <c r="F41" s="56">
        <f>F35</f>
        <v>30</v>
      </c>
      <c r="G41" s="57">
        <v>30</v>
      </c>
      <c r="H41" s="55">
        <f t="shared" ref="H41:H43" si="11">G41/F41*C41</f>
        <v>10</v>
      </c>
      <c r="I41" s="55">
        <f t="shared" ref="I41:I43" si="12">G41/F41*E41</f>
        <v>5</v>
      </c>
    </row>
    <row r="42" spans="1:9" ht="25.5" hidden="1" x14ac:dyDescent="0.25">
      <c r="A42" s="52" t="s">
        <v>180</v>
      </c>
      <c r="B42" s="62">
        <f t="shared" si="7"/>
        <v>92.5</v>
      </c>
      <c r="C42" s="53">
        <v>5</v>
      </c>
      <c r="D42" s="62">
        <f t="shared" si="8"/>
        <v>97.5</v>
      </c>
      <c r="E42" s="53">
        <v>2.5</v>
      </c>
      <c r="F42" s="56">
        <f>F34</f>
        <v>30</v>
      </c>
      <c r="G42" s="57">
        <v>30</v>
      </c>
      <c r="H42" s="55">
        <f t="shared" si="11"/>
        <v>5</v>
      </c>
      <c r="I42" s="55">
        <f t="shared" si="12"/>
        <v>2.5</v>
      </c>
    </row>
    <row r="43" spans="1:9" hidden="1" x14ac:dyDescent="0.25">
      <c r="A43" s="52" t="s">
        <v>181</v>
      </c>
      <c r="B43" s="53">
        <v>100</v>
      </c>
      <c r="C43" s="53">
        <v>5</v>
      </c>
      <c r="D43" s="53">
        <v>100</v>
      </c>
      <c r="E43" s="53">
        <v>2.5</v>
      </c>
      <c r="F43" s="56">
        <f>F34</f>
        <v>30</v>
      </c>
      <c r="G43" s="57">
        <v>30</v>
      </c>
      <c r="H43" s="55">
        <f t="shared" si="11"/>
        <v>5</v>
      </c>
      <c r="I43" s="55">
        <f t="shared" si="12"/>
        <v>2.5</v>
      </c>
    </row>
    <row r="44" spans="1:9" hidden="1" x14ac:dyDescent="0.25">
      <c r="A44" s="58"/>
      <c r="B44" s="58"/>
      <c r="C44" s="58">
        <f>SUM(C34:C43)</f>
        <v>100</v>
      </c>
      <c r="D44" s="58"/>
      <c r="E44" s="58">
        <f>SUM(E34:E43)</f>
        <v>100</v>
      </c>
      <c r="F44" s="58"/>
      <c r="G44" s="59" t="s">
        <v>182</v>
      </c>
      <c r="H44" s="60">
        <f>SUM(H34:H43)</f>
        <v>97.5</v>
      </c>
      <c r="I44" s="60">
        <f>SUM(I34:I43)</f>
        <v>100</v>
      </c>
    </row>
  </sheetData>
  <mergeCells count="5">
    <mergeCell ref="A2:I2"/>
    <mergeCell ref="A15:I15"/>
    <mergeCell ref="A32:I32"/>
    <mergeCell ref="A1:I1"/>
    <mergeCell ref="A14:I14"/>
  </mergeCells>
  <pageMargins left="0.7" right="0.7" top="0.75" bottom="0.75" header="0.3" footer="0.3"/>
  <pageSetup paperSize="9" orientation="portrait" horizontalDpi="300" verticalDpi="0" copies="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topLeftCell="A7" workbookViewId="0">
      <selection activeCell="C21" sqref="C21:D25"/>
    </sheetView>
  </sheetViews>
  <sheetFormatPr defaultRowHeight="15" x14ac:dyDescent="0.25"/>
  <cols>
    <col min="2" max="2" width="12.28515625" customWidth="1"/>
  </cols>
  <sheetData>
    <row r="2" spans="1:12" x14ac:dyDescent="0.25">
      <c r="B2" s="3" t="s">
        <v>76</v>
      </c>
      <c r="C2" s="228"/>
      <c r="D2" s="228"/>
    </row>
    <row r="3" spans="1:12" x14ac:dyDescent="0.25">
      <c r="D3" s="4"/>
      <c r="E3" s="4"/>
      <c r="F3" s="4"/>
      <c r="G3" s="4"/>
      <c r="H3" s="4"/>
      <c r="I3" s="4"/>
    </row>
    <row r="4" spans="1:12" x14ac:dyDescent="0.25">
      <c r="A4" s="3" t="s">
        <v>77</v>
      </c>
      <c r="B4" s="5" t="s">
        <v>78</v>
      </c>
      <c r="C4" s="229" t="s">
        <v>79</v>
      </c>
      <c r="D4" s="229"/>
      <c r="E4" s="229"/>
      <c r="F4" s="6"/>
      <c r="G4" s="229" t="s">
        <v>80</v>
      </c>
      <c r="H4" s="229"/>
      <c r="I4" s="229"/>
      <c r="J4" s="229" t="s">
        <v>81</v>
      </c>
      <c r="K4" s="229"/>
      <c r="L4" s="229"/>
    </row>
    <row r="5" spans="1:12" x14ac:dyDescent="0.25">
      <c r="A5" s="3">
        <v>202</v>
      </c>
      <c r="B5" s="5"/>
      <c r="C5" s="5" t="s">
        <v>82</v>
      </c>
      <c r="D5" s="5" t="s">
        <v>83</v>
      </c>
      <c r="E5" s="5" t="s">
        <v>60</v>
      </c>
      <c r="F5" s="5"/>
      <c r="G5" s="5" t="s">
        <v>82</v>
      </c>
      <c r="H5" s="5" t="s">
        <v>83</v>
      </c>
      <c r="I5" s="5" t="s">
        <v>60</v>
      </c>
      <c r="J5" s="5" t="s">
        <v>82</v>
      </c>
      <c r="K5" s="5" t="s">
        <v>83</v>
      </c>
      <c r="L5" s="5" t="s">
        <v>60</v>
      </c>
    </row>
    <row r="6" spans="1:12" x14ac:dyDescent="0.25">
      <c r="B6" s="7" t="s">
        <v>84</v>
      </c>
      <c r="C6" s="7"/>
      <c r="D6" s="7"/>
      <c r="E6" s="7">
        <f>C6*D6</f>
        <v>0</v>
      </c>
      <c r="F6" s="7" t="s">
        <v>85</v>
      </c>
      <c r="G6" s="7"/>
      <c r="H6" s="7"/>
      <c r="I6" s="7">
        <f>G6*H6</f>
        <v>0</v>
      </c>
      <c r="J6" s="7"/>
      <c r="K6" s="7"/>
      <c r="L6" s="7">
        <f>J6*K6</f>
        <v>0</v>
      </c>
    </row>
    <row r="7" spans="1:12" x14ac:dyDescent="0.25">
      <c r="B7" s="7"/>
      <c r="C7" s="7"/>
      <c r="D7" s="7"/>
      <c r="E7" s="7">
        <f t="shared" ref="E7:E33" si="0">C7*D7</f>
        <v>0</v>
      </c>
      <c r="F7" s="7" t="s">
        <v>86</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87</v>
      </c>
      <c r="C9" s="7"/>
      <c r="D9" s="7"/>
      <c r="E9" s="7">
        <f t="shared" si="0"/>
        <v>0</v>
      </c>
      <c r="F9" s="7" t="s">
        <v>85</v>
      </c>
      <c r="G9" s="7"/>
      <c r="H9" s="7"/>
      <c r="I9" s="7">
        <f t="shared" si="1"/>
        <v>0</v>
      </c>
      <c r="J9" s="7"/>
      <c r="K9" s="7"/>
      <c r="L9" s="7">
        <f t="shared" si="2"/>
        <v>0</v>
      </c>
    </row>
    <row r="10" spans="1:12" x14ac:dyDescent="0.25">
      <c r="B10" s="7"/>
      <c r="C10" s="7"/>
      <c r="D10" s="7"/>
      <c r="E10" s="7">
        <f t="shared" si="0"/>
        <v>0</v>
      </c>
      <c r="F10" s="7" t="s">
        <v>86</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88</v>
      </c>
      <c r="C13" s="7"/>
      <c r="D13" s="7"/>
      <c r="E13" s="7">
        <f t="shared" si="0"/>
        <v>0</v>
      </c>
      <c r="F13" s="7" t="s">
        <v>85</v>
      </c>
      <c r="G13" s="7"/>
      <c r="H13" s="7"/>
      <c r="I13" s="7">
        <f t="shared" si="1"/>
        <v>0</v>
      </c>
      <c r="J13" s="7"/>
      <c r="K13" s="7"/>
      <c r="L13" s="7">
        <f t="shared" si="2"/>
        <v>0</v>
      </c>
    </row>
    <row r="14" spans="1:12" x14ac:dyDescent="0.25">
      <c r="B14" s="7"/>
      <c r="C14" s="7"/>
      <c r="D14" s="7"/>
      <c r="E14" s="7">
        <f t="shared" si="0"/>
        <v>0</v>
      </c>
      <c r="F14" s="7" t="s">
        <v>86</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89</v>
      </c>
      <c r="C17" s="7"/>
      <c r="D17" s="7"/>
      <c r="E17" s="7">
        <f t="shared" si="0"/>
        <v>0</v>
      </c>
      <c r="F17" s="7" t="s">
        <v>85</v>
      </c>
      <c r="G17" s="7"/>
      <c r="H17" s="7"/>
      <c r="I17" s="7">
        <f t="shared" si="1"/>
        <v>0</v>
      </c>
      <c r="J17" s="7"/>
      <c r="K17" s="7"/>
      <c r="L17" s="7">
        <f t="shared" si="2"/>
        <v>0</v>
      </c>
    </row>
    <row r="18" spans="2:12" x14ac:dyDescent="0.25">
      <c r="B18" s="7"/>
      <c r="C18" s="7"/>
      <c r="D18" s="7"/>
      <c r="E18" s="7">
        <f t="shared" si="0"/>
        <v>0</v>
      </c>
      <c r="F18" s="7" t="s">
        <v>86</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89</v>
      </c>
      <c r="C20" s="7"/>
      <c r="D20" s="7"/>
      <c r="E20" s="7">
        <f t="shared" si="0"/>
        <v>0</v>
      </c>
      <c r="F20" s="7" t="s">
        <v>85</v>
      </c>
      <c r="G20" s="7"/>
      <c r="H20" s="7"/>
      <c r="I20" s="7">
        <f t="shared" si="1"/>
        <v>0</v>
      </c>
      <c r="J20" s="7"/>
      <c r="K20" s="7"/>
      <c r="L20" s="7">
        <f t="shared" si="2"/>
        <v>0</v>
      </c>
    </row>
    <row r="21" spans="2:12" x14ac:dyDescent="0.25">
      <c r="B21" s="7"/>
      <c r="C21" s="7"/>
      <c r="D21" s="7"/>
      <c r="E21" s="7">
        <f t="shared" si="0"/>
        <v>0</v>
      </c>
      <c r="F21" s="7" t="s">
        <v>86</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90</v>
      </c>
      <c r="C23" s="7"/>
      <c r="D23" s="7"/>
      <c r="E23" s="7">
        <f t="shared" si="0"/>
        <v>0</v>
      </c>
      <c r="F23" s="7" t="s">
        <v>91</v>
      </c>
      <c r="G23" s="7"/>
      <c r="H23" s="7"/>
      <c r="I23" s="7">
        <f t="shared" si="1"/>
        <v>0</v>
      </c>
      <c r="J23" s="7"/>
      <c r="K23" s="7"/>
      <c r="L23" s="7">
        <f t="shared" si="2"/>
        <v>0</v>
      </c>
    </row>
    <row r="24" spans="2:12" x14ac:dyDescent="0.25">
      <c r="B24" s="7" t="s">
        <v>92</v>
      </c>
      <c r="C24" s="7"/>
      <c r="D24" s="7"/>
      <c r="E24" s="7">
        <f t="shared" si="0"/>
        <v>0</v>
      </c>
      <c r="F24" s="7" t="s">
        <v>91</v>
      </c>
      <c r="G24" s="7"/>
      <c r="H24" s="7"/>
      <c r="I24" s="7">
        <f t="shared" si="1"/>
        <v>0</v>
      </c>
      <c r="J24" s="7"/>
      <c r="K24" s="7"/>
      <c r="L24" s="7">
        <f t="shared" si="2"/>
        <v>0</v>
      </c>
    </row>
    <row r="25" spans="2:12" x14ac:dyDescent="0.25">
      <c r="B25" s="7" t="s">
        <v>93</v>
      </c>
      <c r="C25" s="7"/>
      <c r="D25" s="7"/>
      <c r="E25" s="7">
        <f t="shared" si="0"/>
        <v>0</v>
      </c>
      <c r="F25" s="7" t="s">
        <v>91</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94</v>
      </c>
      <c r="C27" s="7"/>
      <c r="D27" s="7"/>
      <c r="E27" s="7">
        <f t="shared" si="0"/>
        <v>0</v>
      </c>
      <c r="F27" s="7"/>
      <c r="G27" s="7"/>
      <c r="H27" s="7"/>
      <c r="I27" s="7">
        <f t="shared" si="1"/>
        <v>0</v>
      </c>
      <c r="J27" s="7"/>
      <c r="K27" s="7"/>
      <c r="L27" s="7">
        <f t="shared" si="2"/>
        <v>0</v>
      </c>
    </row>
    <row r="28" spans="2:12" x14ac:dyDescent="0.25">
      <c r="B28" s="7" t="s">
        <v>95</v>
      </c>
      <c r="C28" s="7"/>
      <c r="D28" s="7"/>
      <c r="E28" s="7">
        <f t="shared" si="0"/>
        <v>0</v>
      </c>
      <c r="F28" s="7"/>
      <c r="G28" s="7"/>
      <c r="H28" s="7"/>
      <c r="I28" s="7">
        <f t="shared" si="1"/>
        <v>0</v>
      </c>
      <c r="J28" s="7"/>
      <c r="K28" s="7"/>
      <c r="L28" s="7">
        <f t="shared" si="2"/>
        <v>0</v>
      </c>
    </row>
    <row r="29" spans="2:12" x14ac:dyDescent="0.25">
      <c r="B29" s="7" t="s">
        <v>96</v>
      </c>
      <c r="C29" s="7"/>
      <c r="D29" s="7"/>
      <c r="E29" s="7">
        <f t="shared" si="0"/>
        <v>0</v>
      </c>
      <c r="F29" s="7"/>
      <c r="G29" s="7"/>
      <c r="H29" s="7"/>
      <c r="I29" s="7">
        <f t="shared" si="1"/>
        <v>0</v>
      </c>
      <c r="J29" s="7"/>
      <c r="K29" s="7"/>
      <c r="L29" s="7">
        <f t="shared" si="2"/>
        <v>0</v>
      </c>
    </row>
    <row r="30" spans="2:12" x14ac:dyDescent="0.25">
      <c r="B30" s="7" t="s">
        <v>97</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61</v>
      </c>
      <c r="C34" s="7"/>
      <c r="D34" s="7">
        <f>E34*10.764</f>
        <v>0</v>
      </c>
      <c r="E34" s="7">
        <f>SUM(E6:E33)</f>
        <v>0</v>
      </c>
      <c r="F34" s="7"/>
      <c r="G34" s="7"/>
      <c r="H34" s="7">
        <f>I34*10.764</f>
        <v>0</v>
      </c>
      <c r="I34" s="7">
        <f>SUM(I6:I33)</f>
        <v>0</v>
      </c>
      <c r="J34" s="7"/>
      <c r="K34" s="7">
        <f>L34*10.764</f>
        <v>0</v>
      </c>
      <c r="L34" s="7">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election activeCell="D13" sqref="D13"/>
    </sheetView>
  </sheetViews>
  <sheetFormatPr defaultColWidth="8.7109375" defaultRowHeight="15" x14ac:dyDescent="0.25"/>
  <cols>
    <col min="1" max="1" width="8.7109375" style="29"/>
    <col min="2" max="2" width="22.140625" style="29" customWidth="1"/>
    <col min="3" max="3" width="37" style="29" customWidth="1"/>
    <col min="4" max="5" width="11.42578125" style="29" customWidth="1"/>
    <col min="6" max="6" width="14" style="29" customWidth="1"/>
    <col min="7" max="7" width="20" style="29" customWidth="1"/>
    <col min="8" max="8" width="16.42578125" style="29" customWidth="1"/>
    <col min="9" max="16384" width="8.7109375" style="29"/>
  </cols>
  <sheetData>
    <row r="1" spans="1:9" ht="15" customHeight="1" x14ac:dyDescent="0.25"/>
    <row r="2" spans="1:9" ht="15" customHeight="1" x14ac:dyDescent="0.25">
      <c r="A2" s="30"/>
      <c r="B2" s="30"/>
      <c r="C2" s="30"/>
      <c r="D2" s="30"/>
      <c r="E2" s="30"/>
      <c r="F2" s="30"/>
      <c r="G2" s="30"/>
      <c r="H2" s="30"/>
    </row>
    <row r="3" spans="1:9" ht="15.75" customHeight="1" x14ac:dyDescent="0.25">
      <c r="A3" s="30"/>
      <c r="B3" s="230" t="s">
        <v>142</v>
      </c>
      <c r="C3" s="230"/>
      <c r="D3" s="230"/>
      <c r="E3" s="230"/>
      <c r="F3" s="230"/>
      <c r="G3" s="230"/>
      <c r="H3" s="230"/>
    </row>
    <row r="4" spans="1:9" x14ac:dyDescent="0.25">
      <c r="A4" s="30"/>
      <c r="B4" s="31" t="s">
        <v>143</v>
      </c>
      <c r="C4" s="31" t="s">
        <v>144</v>
      </c>
      <c r="D4" s="31" t="s">
        <v>77</v>
      </c>
      <c r="E4" s="31" t="s">
        <v>145</v>
      </c>
      <c r="F4" s="31" t="s">
        <v>152</v>
      </c>
      <c r="G4" s="31" t="s">
        <v>153</v>
      </c>
      <c r="H4" s="31" t="s">
        <v>146</v>
      </c>
    </row>
    <row r="5" spans="1:9" ht="15" customHeight="1" x14ac:dyDescent="0.25">
      <c r="A5" s="30"/>
      <c r="B5" s="33" t="s">
        <v>147</v>
      </c>
      <c r="C5" s="34"/>
      <c r="D5" s="33" t="s">
        <v>148</v>
      </c>
      <c r="E5" s="33">
        <v>1106</v>
      </c>
      <c r="F5" s="35">
        <f>E5*1.6</f>
        <v>1769.6000000000001</v>
      </c>
      <c r="G5" s="35">
        <f>H5/F5</f>
        <v>31532.549728752259</v>
      </c>
      <c r="H5" s="36">
        <v>55800000</v>
      </c>
    </row>
    <row r="6" spans="1:9" x14ac:dyDescent="0.25">
      <c r="A6" s="30"/>
      <c r="B6" s="33" t="s">
        <v>147</v>
      </c>
      <c r="C6" s="37"/>
      <c r="D6" s="33"/>
      <c r="E6" s="33"/>
      <c r="F6" s="35">
        <f t="shared" ref="F6:F11" si="0">E6*1.6</f>
        <v>0</v>
      </c>
      <c r="G6" s="35" t="e">
        <f t="shared" ref="G6:G11" si="1">H6/F6</f>
        <v>#DIV/0!</v>
      </c>
      <c r="H6" s="36"/>
    </row>
    <row r="7" spans="1:9" ht="15" customHeight="1" x14ac:dyDescent="0.25">
      <c r="A7" s="30"/>
      <c r="B7" s="33" t="s">
        <v>147</v>
      </c>
      <c r="C7" s="34"/>
      <c r="D7" s="33"/>
      <c r="E7" s="33"/>
      <c r="F7" s="35">
        <f t="shared" si="0"/>
        <v>0</v>
      </c>
      <c r="G7" s="35" t="e">
        <f t="shared" si="1"/>
        <v>#DIV/0!</v>
      </c>
      <c r="H7" s="36"/>
    </row>
    <row r="8" spans="1:9" x14ac:dyDescent="0.25">
      <c r="A8" s="30"/>
      <c r="B8" s="33" t="s">
        <v>147</v>
      </c>
      <c r="C8" s="37"/>
      <c r="D8" s="33"/>
      <c r="E8" s="33"/>
      <c r="F8" s="35">
        <f t="shared" si="0"/>
        <v>0</v>
      </c>
      <c r="G8" s="35" t="e">
        <f t="shared" si="1"/>
        <v>#DIV/0!</v>
      </c>
      <c r="H8" s="36"/>
    </row>
    <row r="9" spans="1:9" ht="15" customHeight="1" x14ac:dyDescent="0.25">
      <c r="A9" s="30"/>
      <c r="B9" s="33" t="s">
        <v>147</v>
      </c>
      <c r="C9" s="37"/>
      <c r="D9" s="33"/>
      <c r="E9" s="33"/>
      <c r="F9" s="35">
        <f t="shared" si="0"/>
        <v>0</v>
      </c>
      <c r="G9" s="35" t="e">
        <f t="shared" si="1"/>
        <v>#DIV/0!</v>
      </c>
      <c r="H9" s="36"/>
    </row>
    <row r="10" spans="1:9" ht="15" customHeight="1" x14ac:dyDescent="0.25">
      <c r="A10" s="30"/>
      <c r="B10" s="33" t="s">
        <v>149</v>
      </c>
      <c r="C10" s="34"/>
      <c r="D10" s="33"/>
      <c r="E10" s="33"/>
      <c r="F10" s="35">
        <f t="shared" si="0"/>
        <v>0</v>
      </c>
      <c r="G10" s="35" t="e">
        <f t="shared" si="1"/>
        <v>#DIV/0!</v>
      </c>
      <c r="H10" s="36"/>
    </row>
    <row r="11" spans="1:9" ht="15" customHeight="1" x14ac:dyDescent="0.25">
      <c r="A11" s="30"/>
      <c r="B11" s="33" t="s">
        <v>149</v>
      </c>
      <c r="C11" s="34"/>
      <c r="D11" s="33"/>
      <c r="E11" s="33"/>
      <c r="F11" s="35">
        <f t="shared" si="0"/>
        <v>0</v>
      </c>
      <c r="G11" s="35" t="e">
        <f t="shared" si="1"/>
        <v>#DIV/0!</v>
      </c>
      <c r="H11" s="36"/>
    </row>
    <row r="12" spans="1:9" ht="15" customHeight="1" x14ac:dyDescent="0.25">
      <c r="A12" s="30"/>
      <c r="B12" s="38" t="s">
        <v>150</v>
      </c>
      <c r="C12" s="33"/>
      <c r="D12" s="33"/>
      <c r="E12" s="33"/>
      <c r="F12" s="33"/>
      <c r="G12" s="39" t="e">
        <f>AVERAGE(G5:G11)</f>
        <v>#DIV/0!</v>
      </c>
      <c r="H12" s="33"/>
    </row>
    <row r="13" spans="1:9" ht="15" customHeight="1" x14ac:dyDescent="0.25">
      <c r="B13" s="38" t="s">
        <v>151</v>
      </c>
      <c r="C13" s="33"/>
      <c r="D13" s="33"/>
      <c r="E13" s="33"/>
      <c r="F13" s="40"/>
      <c r="G13" s="38"/>
      <c r="H13" s="38"/>
      <c r="I13" s="32"/>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G16" sqref="G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vt:lpstr>
      <vt:lpstr>C% for old Flormat</vt:lpstr>
      <vt:lpstr>C% for new format</vt:lpstr>
      <vt:lpstr>AXIS</vt:lpstr>
      <vt:lpstr>Flat detail</vt:lpstr>
      <vt:lpstr>valuation</vt:lpstr>
      <vt:lpstr>Note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2025-08-16T10:08:44Z</cp:lastPrinted>
  <dcterms:created xsi:type="dcterms:W3CDTF">2019-07-16T09:29:46Z</dcterms:created>
  <dcterms:modified xsi:type="dcterms:W3CDTF">2025-08-16T10:08:49Z</dcterms:modified>
</cp:coreProperties>
</file>