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Shruti\Aug 25\Dump\DUMP\New folder\"/>
    </mc:Choice>
  </mc:AlternateContent>
  <bookViews>
    <workbookView xWindow="0" yWindow="0" windowWidth="20490" windowHeight="7755"/>
  </bookViews>
  <sheets>
    <sheet name="Report" sheetId="1" r:id="rId1"/>
    <sheet name="VALUATION" sheetId="5" r:id="rId2"/>
    <sheet name="Note" sheetId="4" r:id="rId3"/>
    <sheet name="Flat detail" sheetId="3" r:id="rId4"/>
  </sheets>
  <definedNames>
    <definedName name="_xlnm.Print_Area" localSheetId="0">Report!$A$1:$H$730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2" i="1" l="1"/>
  <c r="D598" i="1" l="1"/>
  <c r="F598" i="1" s="1"/>
  <c r="D597" i="1"/>
  <c r="F597" i="1" s="1"/>
  <c r="D596" i="1"/>
  <c r="D595" i="1"/>
  <c r="F595" i="1" s="1"/>
  <c r="D594" i="1"/>
  <c r="F594" i="1" s="1"/>
  <c r="D593" i="1"/>
  <c r="F593" i="1" s="1"/>
  <c r="D592" i="1"/>
  <c r="F592" i="1" s="1"/>
  <c r="D591" i="1"/>
  <c r="F591" i="1" s="1"/>
  <c r="D590" i="1"/>
  <c r="F590" i="1" s="1"/>
  <c r="G589" i="1"/>
  <c r="D589" i="1"/>
  <c r="F589" i="1" s="1"/>
  <c r="F187" i="1" l="1"/>
  <c r="C124" i="1" l="1"/>
  <c r="C82" i="1" l="1"/>
  <c r="J128" i="1"/>
  <c r="J127" i="1"/>
  <c r="J126" i="1"/>
  <c r="J125" i="1"/>
  <c r="E3" i="1"/>
  <c r="J142" i="1"/>
  <c r="J141" i="1"/>
  <c r="J140" i="1"/>
  <c r="J139" i="1"/>
  <c r="C110" i="1"/>
  <c r="H118" i="1"/>
  <c r="H132" i="1"/>
  <c r="J122" i="1" l="1"/>
  <c r="C121" i="1" s="1"/>
  <c r="G121" i="1" s="1"/>
  <c r="E121" i="1"/>
  <c r="D130" i="1"/>
  <c r="D128" i="1"/>
  <c r="D126" i="1"/>
  <c r="D124" i="1"/>
  <c r="D122" i="1"/>
  <c r="J123" i="1"/>
  <c r="J124" i="1" s="1"/>
  <c r="J129" i="1" s="1"/>
  <c r="J130" i="1" s="1"/>
  <c r="J121" i="1"/>
  <c r="D129" i="1"/>
  <c r="D127" i="1"/>
  <c r="D125" i="1"/>
  <c r="D123" i="1"/>
  <c r="J120" i="1"/>
  <c r="J137" i="1"/>
  <c r="J138" i="1" s="1"/>
  <c r="J143" i="1" s="1"/>
  <c r="J144" i="1" s="1"/>
  <c r="J136" i="1"/>
  <c r="C135" i="1" s="1"/>
  <c r="G135" i="1" s="1"/>
  <c r="J135" i="1"/>
  <c r="E135" i="1"/>
  <c r="D144" i="1"/>
  <c r="D143" i="1"/>
  <c r="D142" i="1"/>
  <c r="D141" i="1"/>
  <c r="D140" i="1"/>
  <c r="D139" i="1"/>
  <c r="D138" i="1"/>
  <c r="D137" i="1"/>
  <c r="D136" i="1"/>
  <c r="J134" i="1"/>
  <c r="C167" i="1"/>
  <c r="J157" i="1"/>
  <c r="J156" i="1"/>
  <c r="J155" i="1"/>
  <c r="J154" i="1"/>
  <c r="H147" i="1"/>
  <c r="D135" i="1" l="1"/>
  <c r="I131" i="1" s="1"/>
  <c r="C133" i="1" s="1"/>
  <c r="H145" i="1"/>
  <c r="E145" i="1"/>
  <c r="D121" i="1"/>
  <c r="I117" i="1" s="1"/>
  <c r="C119" i="1" s="1"/>
  <c r="D159" i="1"/>
  <c r="D153" i="1"/>
  <c r="D158" i="1"/>
  <c r="D152" i="1"/>
  <c r="J151" i="1"/>
  <c r="C150" i="1" s="1"/>
  <c r="G150" i="1" s="1"/>
  <c r="D157" i="1"/>
  <c r="D151" i="1"/>
  <c r="D156" i="1"/>
  <c r="E150" i="1"/>
  <c r="D154" i="1"/>
  <c r="J152" i="1"/>
  <c r="J153" i="1" s="1"/>
  <c r="J158" i="1" s="1"/>
  <c r="J159" i="1" s="1"/>
  <c r="J150" i="1"/>
  <c r="D155" i="1"/>
  <c r="J149" i="1"/>
  <c r="C96" i="1"/>
  <c r="C67" i="1"/>
  <c r="C97" i="1" l="1"/>
  <c r="C98" i="1"/>
  <c r="D150" i="1"/>
  <c r="I146" i="1" s="1"/>
  <c r="C148" i="1" s="1"/>
  <c r="J86" i="1"/>
  <c r="J85" i="1"/>
  <c r="J84" i="1"/>
  <c r="J83" i="1"/>
  <c r="H76" i="1"/>
  <c r="J80" i="1" l="1"/>
  <c r="C79" i="1" s="1"/>
  <c r="D79" i="1" s="1"/>
  <c r="J78" i="1"/>
  <c r="D81" i="1"/>
  <c r="D88" i="1"/>
  <c r="D86" i="1"/>
  <c r="D84" i="1"/>
  <c r="D82" i="1"/>
  <c r="J81" i="1"/>
  <c r="J82" i="1" s="1"/>
  <c r="J87" i="1" s="1"/>
  <c r="J88" i="1" s="1"/>
  <c r="C80" i="1" s="1"/>
  <c r="E79" i="1" s="1"/>
  <c r="D87" i="1"/>
  <c r="D85" i="1"/>
  <c r="D83" i="1"/>
  <c r="J79" i="1"/>
  <c r="J171" i="1"/>
  <c r="J170" i="1"/>
  <c r="J169" i="1"/>
  <c r="J168" i="1"/>
  <c r="J100" i="1"/>
  <c r="J99" i="1"/>
  <c r="J98" i="1"/>
  <c r="J97" i="1"/>
  <c r="J114" i="1"/>
  <c r="J113" i="1"/>
  <c r="J112" i="1"/>
  <c r="J111" i="1"/>
  <c r="J71" i="1"/>
  <c r="J70" i="1"/>
  <c r="J69" i="1"/>
  <c r="J68" i="1"/>
  <c r="H161" i="1"/>
  <c r="H90" i="1"/>
  <c r="H104" i="1"/>
  <c r="H61" i="1"/>
  <c r="I75" i="1" l="1"/>
  <c r="C77" i="1" s="1"/>
  <c r="D80" i="1"/>
  <c r="G79" i="1"/>
  <c r="J165" i="1"/>
  <c r="C164" i="1" s="1"/>
  <c r="J163" i="1"/>
  <c r="J166" i="1"/>
  <c r="D172" i="1"/>
  <c r="D170" i="1"/>
  <c r="D168" i="1"/>
  <c r="D166" i="1"/>
  <c r="J164" i="1"/>
  <c r="D173" i="1"/>
  <c r="D171" i="1"/>
  <c r="D169" i="1"/>
  <c r="D167" i="1"/>
  <c r="J94" i="1"/>
  <c r="C93" i="1" s="1"/>
  <c r="D93" i="1" s="1"/>
  <c r="J92" i="1"/>
  <c r="D97" i="1"/>
  <c r="J93" i="1"/>
  <c r="D102" i="1"/>
  <c r="D100" i="1"/>
  <c r="D98" i="1"/>
  <c r="D96" i="1"/>
  <c r="D101" i="1"/>
  <c r="D99" i="1"/>
  <c r="D95" i="1"/>
  <c r="J95" i="1"/>
  <c r="J96" i="1" s="1"/>
  <c r="J101" i="1" s="1"/>
  <c r="J102" i="1" s="1"/>
  <c r="C94" i="1" s="1"/>
  <c r="J108" i="1"/>
  <c r="C107" i="1" s="1"/>
  <c r="D107" i="1" s="1"/>
  <c r="J106" i="1"/>
  <c r="D113" i="1"/>
  <c r="J107" i="1"/>
  <c r="D116" i="1"/>
  <c r="D114" i="1"/>
  <c r="D112" i="1"/>
  <c r="D110" i="1"/>
  <c r="J109" i="1"/>
  <c r="J110" i="1" s="1"/>
  <c r="J115" i="1" s="1"/>
  <c r="D115" i="1"/>
  <c r="D111" i="1"/>
  <c r="D109" i="1"/>
  <c r="J64" i="1"/>
  <c r="J66" i="1"/>
  <c r="J67" i="1" s="1"/>
  <c r="J72" i="1" s="1"/>
  <c r="J73" i="1" s="1"/>
  <c r="D72" i="1"/>
  <c r="D68" i="1"/>
  <c r="D73" i="1"/>
  <c r="D71" i="1"/>
  <c r="D69" i="1"/>
  <c r="D67" i="1"/>
  <c r="J65" i="1"/>
  <c r="C64" i="1" s="1"/>
  <c r="D64" i="1" s="1"/>
  <c r="J63" i="1"/>
  <c r="D70" i="1"/>
  <c r="D66" i="1"/>
  <c r="C65" i="1" l="1"/>
  <c r="E64" i="1" s="1"/>
  <c r="J74" i="1"/>
  <c r="J116" i="1"/>
  <c r="D108" i="1"/>
  <c r="J167" i="1"/>
  <c r="J172" i="1" s="1"/>
  <c r="D164" i="1"/>
  <c r="E93" i="1"/>
  <c r="I89" i="1" s="1"/>
  <c r="C91" i="1" s="1"/>
  <c r="D94" i="1"/>
  <c r="G93" i="1"/>
  <c r="I60" i="1" l="1"/>
  <c r="C74" i="1"/>
  <c r="G64" i="1"/>
  <c r="G74" i="1" s="1"/>
  <c r="D65" i="1"/>
  <c r="G107" i="1"/>
  <c r="E107" i="1"/>
  <c r="I103" i="1" s="1"/>
  <c r="C105" i="1" s="1"/>
  <c r="J173" i="1"/>
  <c r="E164" i="1" l="1"/>
  <c r="I160" i="1" s="1"/>
  <c r="C162" i="1" s="1"/>
  <c r="G164" i="1"/>
  <c r="D165" i="1"/>
  <c r="D632" i="1" l="1"/>
  <c r="F632" i="1" s="1"/>
  <c r="D631" i="1"/>
  <c r="F631" i="1" s="1"/>
  <c r="D630" i="1"/>
  <c r="F630" i="1" s="1"/>
  <c r="D629" i="1"/>
  <c r="F629" i="1" s="1"/>
  <c r="D627" i="1"/>
  <c r="F627" i="1" s="1"/>
  <c r="D626" i="1"/>
  <c r="F626" i="1" s="1"/>
  <c r="D625" i="1"/>
  <c r="F625" i="1" s="1"/>
  <c r="D624" i="1"/>
  <c r="F624" i="1" s="1"/>
  <c r="D623" i="1"/>
  <c r="F623" i="1" s="1"/>
  <c r="D621" i="1"/>
  <c r="F621" i="1" s="1"/>
  <c r="D620" i="1"/>
  <c r="F620" i="1" s="1"/>
  <c r="D619" i="1"/>
  <c r="F619" i="1" s="1"/>
  <c r="D618" i="1"/>
  <c r="F618" i="1" s="1"/>
  <c r="D616" i="1"/>
  <c r="F616" i="1" s="1"/>
  <c r="D615" i="1"/>
  <c r="F615" i="1" s="1"/>
  <c r="D614" i="1"/>
  <c r="F614" i="1" s="1"/>
  <c r="D613" i="1"/>
  <c r="F613" i="1" s="1"/>
  <c r="D612" i="1"/>
  <c r="F612" i="1" s="1"/>
  <c r="D609" i="1"/>
  <c r="D608" i="1"/>
  <c r="D607" i="1"/>
  <c r="D606" i="1"/>
  <c r="D604" i="1"/>
  <c r="D603" i="1"/>
  <c r="D602" i="1"/>
  <c r="D601" i="1"/>
  <c r="D600" i="1"/>
  <c r="D587" i="1"/>
  <c r="D586" i="1"/>
  <c r="D585" i="1"/>
  <c r="D584" i="1"/>
  <c r="D583" i="1"/>
  <c r="D582" i="1"/>
  <c r="D581" i="1"/>
  <c r="D578" i="1"/>
  <c r="D579" i="1"/>
  <c r="D580" i="1"/>
  <c r="D576" i="1"/>
  <c r="D575" i="1"/>
  <c r="D574" i="1"/>
  <c r="D573" i="1"/>
  <c r="D572" i="1"/>
  <c r="D569" i="1"/>
  <c r="D568" i="1"/>
  <c r="D567" i="1"/>
  <c r="D563" i="1"/>
  <c r="F563" i="1" s="1"/>
  <c r="D562" i="1"/>
  <c r="F562" i="1" s="1"/>
  <c r="D561" i="1"/>
  <c r="F561" i="1" s="1"/>
  <c r="D560" i="1"/>
  <c r="F560" i="1" s="1"/>
  <c r="D559" i="1"/>
  <c r="F559" i="1" s="1"/>
  <c r="D557" i="1"/>
  <c r="F557" i="1" s="1"/>
  <c r="D556" i="1"/>
  <c r="F556" i="1" s="1"/>
  <c r="D555" i="1"/>
  <c r="F555" i="1" s="1"/>
  <c r="D554" i="1"/>
  <c r="F554" i="1" s="1"/>
  <c r="D553" i="1"/>
  <c r="F553" i="1" s="1"/>
  <c r="D552" i="1"/>
  <c r="F552" i="1" s="1"/>
  <c r="D550" i="1"/>
  <c r="F550" i="1" s="1"/>
  <c r="D549" i="1"/>
  <c r="F549" i="1" s="1"/>
  <c r="D548" i="1"/>
  <c r="F548" i="1" s="1"/>
  <c r="D547" i="1"/>
  <c r="F547" i="1" s="1"/>
  <c r="D546" i="1"/>
  <c r="F546" i="1" s="1"/>
  <c r="D544" i="1"/>
  <c r="F544" i="1" s="1"/>
  <c r="D543" i="1"/>
  <c r="F543" i="1" s="1"/>
  <c r="D542" i="1"/>
  <c r="F542" i="1" s="1"/>
  <c r="D541" i="1"/>
  <c r="F541" i="1" s="1"/>
  <c r="D540" i="1"/>
  <c r="F540" i="1" s="1"/>
  <c r="D539" i="1"/>
  <c r="F539" i="1" s="1"/>
  <c r="D536" i="1"/>
  <c r="F536" i="1" s="1"/>
  <c r="D535" i="1"/>
  <c r="F535" i="1" s="1"/>
  <c r="D534" i="1"/>
  <c r="F534" i="1" s="1"/>
  <c r="D533" i="1"/>
  <c r="F533" i="1" s="1"/>
  <c r="D532" i="1"/>
  <c r="F532" i="1" s="1"/>
  <c r="D530" i="1"/>
  <c r="F530" i="1" s="1"/>
  <c r="D529" i="1"/>
  <c r="F529" i="1" s="1"/>
  <c r="D528" i="1"/>
  <c r="F528" i="1" s="1"/>
  <c r="D527" i="1"/>
  <c r="F527" i="1" s="1"/>
  <c r="D526" i="1"/>
  <c r="F526" i="1" s="1"/>
  <c r="D525" i="1"/>
  <c r="F525" i="1" s="1"/>
  <c r="D523" i="1"/>
  <c r="D515" i="1"/>
  <c r="D514" i="1"/>
  <c r="D522" i="1"/>
  <c r="F522" i="1" s="1"/>
  <c r="D521" i="1"/>
  <c r="F521" i="1" s="1"/>
  <c r="D520" i="1"/>
  <c r="D519" i="1"/>
  <c r="D518" i="1"/>
  <c r="D517" i="1"/>
  <c r="D516" i="1"/>
  <c r="D513" i="1"/>
  <c r="D512" i="1"/>
  <c r="D509" i="1"/>
  <c r="D508" i="1"/>
  <c r="D507" i="1"/>
  <c r="F507" i="1" s="1"/>
  <c r="D506" i="1"/>
  <c r="F506" i="1" s="1"/>
  <c r="D505" i="1"/>
  <c r="D504" i="1"/>
  <c r="D503" i="1"/>
  <c r="D500" i="1"/>
  <c r="D499" i="1"/>
  <c r="E195" i="1" l="1"/>
  <c r="E196" i="1"/>
  <c r="F609" i="1"/>
  <c r="F608" i="1"/>
  <c r="F607" i="1"/>
  <c r="F606" i="1"/>
  <c r="F604" i="1"/>
  <c r="F603" i="1"/>
  <c r="F602" i="1"/>
  <c r="F601" i="1"/>
  <c r="F600" i="1"/>
  <c r="F582" i="1"/>
  <c r="F580" i="1"/>
  <c r="F579" i="1"/>
  <c r="F587" i="1"/>
  <c r="F586" i="1"/>
  <c r="F585" i="1"/>
  <c r="I585" i="1" s="1"/>
  <c r="J585" i="1" s="1"/>
  <c r="F584" i="1"/>
  <c r="F583" i="1"/>
  <c r="I583" i="1" s="1"/>
  <c r="J583" i="1" s="1"/>
  <c r="F581" i="1"/>
  <c r="F578" i="1"/>
  <c r="F576" i="1"/>
  <c r="F575" i="1"/>
  <c r="F574" i="1"/>
  <c r="F573" i="1"/>
  <c r="F572" i="1"/>
  <c r="F569" i="1"/>
  <c r="F568" i="1"/>
  <c r="F567" i="1"/>
  <c r="G567" i="1"/>
  <c r="G552" i="1"/>
  <c r="F514" i="1"/>
  <c r="F513" i="1"/>
  <c r="F523" i="1"/>
  <c r="F520" i="1"/>
  <c r="F519" i="1"/>
  <c r="F518" i="1"/>
  <c r="F517" i="1"/>
  <c r="F516" i="1"/>
  <c r="F515" i="1"/>
  <c r="F512" i="1"/>
  <c r="F509" i="1"/>
  <c r="F508" i="1"/>
  <c r="F500" i="1"/>
  <c r="F505" i="1"/>
  <c r="F504" i="1"/>
  <c r="F503" i="1"/>
  <c r="F499" i="1"/>
  <c r="G499" i="1"/>
  <c r="D495" i="1"/>
  <c r="F495" i="1" s="1"/>
  <c r="D494" i="1"/>
  <c r="F494" i="1" s="1"/>
  <c r="D493" i="1"/>
  <c r="F493" i="1" s="1"/>
  <c r="D492" i="1"/>
  <c r="F492" i="1" s="1"/>
  <c r="D491" i="1"/>
  <c r="F491" i="1" s="1"/>
  <c r="D489" i="1"/>
  <c r="F489" i="1" s="1"/>
  <c r="D488" i="1"/>
  <c r="F488" i="1" s="1"/>
  <c r="D487" i="1"/>
  <c r="F487" i="1" s="1"/>
  <c r="G486" i="1"/>
  <c r="D486" i="1"/>
  <c r="F486" i="1" s="1"/>
  <c r="D484" i="1"/>
  <c r="F484" i="1" s="1"/>
  <c r="D483" i="1"/>
  <c r="F483" i="1" s="1"/>
  <c r="D482" i="1"/>
  <c r="F482" i="1" s="1"/>
  <c r="D481" i="1"/>
  <c r="F481" i="1" s="1"/>
  <c r="D480" i="1"/>
  <c r="F480" i="1" s="1"/>
  <c r="D478" i="1"/>
  <c r="F478" i="1" s="1"/>
  <c r="D477" i="1"/>
  <c r="F477" i="1" s="1"/>
  <c r="D476" i="1"/>
  <c r="F476" i="1" s="1"/>
  <c r="G475" i="1"/>
  <c r="D475" i="1"/>
  <c r="F475" i="1" s="1"/>
  <c r="D472" i="1"/>
  <c r="F472" i="1" s="1"/>
  <c r="D471" i="1"/>
  <c r="F471" i="1" s="1"/>
  <c r="D470" i="1"/>
  <c r="F470" i="1" s="1"/>
  <c r="D469" i="1"/>
  <c r="F469" i="1" s="1"/>
  <c r="D468" i="1"/>
  <c r="F468" i="1" s="1"/>
  <c r="D466" i="1"/>
  <c r="F466" i="1" s="1"/>
  <c r="D465" i="1"/>
  <c r="F465" i="1" s="1"/>
  <c r="D464" i="1"/>
  <c r="F464" i="1" s="1"/>
  <c r="G463" i="1"/>
  <c r="D463" i="1"/>
  <c r="F463" i="1" s="1"/>
  <c r="D461" i="1"/>
  <c r="F461" i="1" s="1"/>
  <c r="D460" i="1"/>
  <c r="F460" i="1" s="1"/>
  <c r="D459" i="1"/>
  <c r="F459" i="1" s="1"/>
  <c r="D458" i="1"/>
  <c r="F458" i="1" s="1"/>
  <c r="D457" i="1"/>
  <c r="F457" i="1" s="1"/>
  <c r="D456" i="1"/>
  <c r="F456" i="1" s="1"/>
  <c r="D455" i="1"/>
  <c r="F455" i="1" s="1"/>
  <c r="D454" i="1"/>
  <c r="F454" i="1" s="1"/>
  <c r="D453" i="1"/>
  <c r="F453" i="1" s="1"/>
  <c r="G452" i="1"/>
  <c r="D452" i="1"/>
  <c r="F452" i="1" s="1"/>
  <c r="D449" i="1"/>
  <c r="F449" i="1" s="1"/>
  <c r="D448" i="1"/>
  <c r="F448" i="1" s="1"/>
  <c r="D447" i="1"/>
  <c r="F447" i="1" s="1"/>
  <c r="D446" i="1"/>
  <c r="F446" i="1" s="1"/>
  <c r="D445" i="1"/>
  <c r="F445" i="1" s="1"/>
  <c r="D444" i="1"/>
  <c r="F444" i="1" s="1"/>
  <c r="D443" i="1"/>
  <c r="F443" i="1" s="1"/>
  <c r="D442" i="1"/>
  <c r="F442" i="1" s="1"/>
  <c r="G441" i="1"/>
  <c r="D441" i="1"/>
  <c r="F441" i="1" s="1"/>
  <c r="G278" i="1"/>
  <c r="G267" i="1"/>
  <c r="D272" i="1"/>
  <c r="F272" i="1" s="1"/>
  <c r="D287" i="1"/>
  <c r="F287" i="1" s="1"/>
  <c r="D286" i="1"/>
  <c r="F286" i="1" s="1"/>
  <c r="D285" i="1"/>
  <c r="F285" i="1" s="1"/>
  <c r="D284" i="1"/>
  <c r="F284" i="1" s="1"/>
  <c r="D283" i="1"/>
  <c r="F283" i="1" s="1"/>
  <c r="D282" i="1"/>
  <c r="F282" i="1" s="1"/>
  <c r="D281" i="1"/>
  <c r="F281" i="1" s="1"/>
  <c r="D280" i="1"/>
  <c r="F280" i="1" s="1"/>
  <c r="D279" i="1"/>
  <c r="F279" i="1" s="1"/>
  <c r="D278" i="1"/>
  <c r="F278" i="1" s="1"/>
  <c r="I278" i="1" s="1"/>
  <c r="J278" i="1" s="1"/>
  <c r="D437" i="1"/>
  <c r="F437" i="1" s="1"/>
  <c r="D436" i="1"/>
  <c r="F436" i="1" s="1"/>
  <c r="D435" i="1"/>
  <c r="F435" i="1" s="1"/>
  <c r="D434" i="1"/>
  <c r="F434" i="1" s="1"/>
  <c r="D433" i="1"/>
  <c r="F433" i="1" s="1"/>
  <c r="D431" i="1"/>
  <c r="F431" i="1" s="1"/>
  <c r="D430" i="1"/>
  <c r="F430" i="1" s="1"/>
  <c r="D429" i="1"/>
  <c r="F429" i="1" s="1"/>
  <c r="G428" i="1"/>
  <c r="D428" i="1"/>
  <c r="F428" i="1" s="1"/>
  <c r="D426" i="1"/>
  <c r="F426" i="1" s="1"/>
  <c r="D425" i="1"/>
  <c r="F425" i="1" s="1"/>
  <c r="D424" i="1"/>
  <c r="F424" i="1" s="1"/>
  <c r="D423" i="1"/>
  <c r="F423" i="1" s="1"/>
  <c r="D422" i="1"/>
  <c r="F422" i="1" s="1"/>
  <c r="D420" i="1"/>
  <c r="F420" i="1" s="1"/>
  <c r="D419" i="1"/>
  <c r="F419" i="1" s="1"/>
  <c r="D418" i="1"/>
  <c r="F418" i="1" s="1"/>
  <c r="G417" i="1"/>
  <c r="D417" i="1"/>
  <c r="F417" i="1" s="1"/>
  <c r="D414" i="1"/>
  <c r="F414" i="1" s="1"/>
  <c r="D413" i="1"/>
  <c r="F413" i="1" s="1"/>
  <c r="D412" i="1"/>
  <c r="F412" i="1" s="1"/>
  <c r="D411" i="1"/>
  <c r="F411" i="1" s="1"/>
  <c r="D410" i="1"/>
  <c r="F410" i="1" s="1"/>
  <c r="D408" i="1"/>
  <c r="F408" i="1" s="1"/>
  <c r="D407" i="1"/>
  <c r="F407" i="1" s="1"/>
  <c r="D406" i="1"/>
  <c r="F406" i="1" s="1"/>
  <c r="G405" i="1"/>
  <c r="D405" i="1"/>
  <c r="F405" i="1" s="1"/>
  <c r="D403" i="1"/>
  <c r="F403" i="1" s="1"/>
  <c r="D402" i="1"/>
  <c r="F402" i="1" s="1"/>
  <c r="D401" i="1"/>
  <c r="F401" i="1" s="1"/>
  <c r="D400" i="1"/>
  <c r="F400" i="1" s="1"/>
  <c r="D399" i="1"/>
  <c r="F399" i="1" s="1"/>
  <c r="D398" i="1"/>
  <c r="F398" i="1" s="1"/>
  <c r="D397" i="1"/>
  <c r="F397" i="1" s="1"/>
  <c r="D396" i="1"/>
  <c r="F396" i="1" s="1"/>
  <c r="D395" i="1"/>
  <c r="F395" i="1" s="1"/>
  <c r="I395" i="1" s="1"/>
  <c r="J395" i="1" s="1"/>
  <c r="G394" i="1"/>
  <c r="D394" i="1"/>
  <c r="F394" i="1" s="1"/>
  <c r="D392" i="1"/>
  <c r="F392" i="1" s="1"/>
  <c r="D391" i="1"/>
  <c r="F391" i="1" s="1"/>
  <c r="D390" i="1"/>
  <c r="F390" i="1" s="1"/>
  <c r="D387" i="1"/>
  <c r="F387" i="1" s="1"/>
  <c r="D386" i="1"/>
  <c r="F386" i="1" s="1"/>
  <c r="G383" i="1"/>
  <c r="D383" i="1"/>
  <c r="F383" i="1" s="1"/>
  <c r="D379" i="1"/>
  <c r="F379" i="1" s="1"/>
  <c r="D378" i="1"/>
  <c r="F378" i="1" s="1"/>
  <c r="D377" i="1"/>
  <c r="F377" i="1" s="1"/>
  <c r="D376" i="1"/>
  <c r="F376" i="1" s="1"/>
  <c r="D375" i="1"/>
  <c r="F375" i="1" s="1"/>
  <c r="D373" i="1"/>
  <c r="F373" i="1" s="1"/>
  <c r="D372" i="1"/>
  <c r="F372" i="1" s="1"/>
  <c r="D371" i="1"/>
  <c r="F371" i="1" s="1"/>
  <c r="D370" i="1"/>
  <c r="F370" i="1" s="1"/>
  <c r="D368" i="1"/>
  <c r="F368" i="1" s="1"/>
  <c r="D367" i="1"/>
  <c r="F367" i="1" s="1"/>
  <c r="D366" i="1"/>
  <c r="F366" i="1" s="1"/>
  <c r="D365" i="1"/>
  <c r="F365" i="1" s="1"/>
  <c r="D364" i="1"/>
  <c r="F364" i="1" s="1"/>
  <c r="D362" i="1"/>
  <c r="F362" i="1" s="1"/>
  <c r="D361" i="1"/>
  <c r="F361" i="1" s="1"/>
  <c r="D360" i="1"/>
  <c r="F360" i="1" s="1"/>
  <c r="D359" i="1"/>
  <c r="F359" i="1" s="1"/>
  <c r="D356" i="1"/>
  <c r="F356" i="1" s="1"/>
  <c r="D355" i="1"/>
  <c r="F355" i="1" s="1"/>
  <c r="D354" i="1"/>
  <c r="F354" i="1" s="1"/>
  <c r="D353" i="1"/>
  <c r="F353" i="1" s="1"/>
  <c r="D352" i="1"/>
  <c r="F352" i="1" s="1"/>
  <c r="D350" i="1"/>
  <c r="F350" i="1" s="1"/>
  <c r="D349" i="1"/>
  <c r="F349" i="1" s="1"/>
  <c r="D348" i="1"/>
  <c r="F348" i="1" s="1"/>
  <c r="D347" i="1"/>
  <c r="F347" i="1" s="1"/>
  <c r="D342" i="1"/>
  <c r="D341" i="1"/>
  <c r="D338" i="1"/>
  <c r="D337" i="1"/>
  <c r="D345" i="1"/>
  <c r="F345" i="1" s="1"/>
  <c r="D344" i="1"/>
  <c r="F344" i="1" s="1"/>
  <c r="D343" i="1"/>
  <c r="F343" i="1" s="1"/>
  <c r="D340" i="1"/>
  <c r="F340" i="1" s="1"/>
  <c r="D339" i="1"/>
  <c r="F339" i="1" s="1"/>
  <c r="D336" i="1"/>
  <c r="F336" i="1" s="1"/>
  <c r="D334" i="1"/>
  <c r="F334" i="1" s="1"/>
  <c r="D333" i="1"/>
  <c r="F333" i="1" s="1"/>
  <c r="D332" i="1"/>
  <c r="F332" i="1" s="1"/>
  <c r="D329" i="1"/>
  <c r="F329" i="1" s="1"/>
  <c r="D328" i="1"/>
  <c r="F328" i="1" s="1"/>
  <c r="D325" i="1"/>
  <c r="F325" i="1" s="1"/>
  <c r="G325" i="1"/>
  <c r="D321" i="1"/>
  <c r="F321" i="1" s="1"/>
  <c r="D320" i="1"/>
  <c r="F320" i="1" s="1"/>
  <c r="D319" i="1"/>
  <c r="F319" i="1" s="1"/>
  <c r="D318" i="1"/>
  <c r="F318" i="1" s="1"/>
  <c r="D317" i="1"/>
  <c r="F317" i="1" s="1"/>
  <c r="D315" i="1"/>
  <c r="F315" i="1" s="1"/>
  <c r="D314" i="1"/>
  <c r="F314" i="1" s="1"/>
  <c r="D313" i="1"/>
  <c r="F313" i="1" s="1"/>
  <c r="D312" i="1"/>
  <c r="F312" i="1" s="1"/>
  <c r="D310" i="1"/>
  <c r="F310" i="1" s="1"/>
  <c r="D309" i="1"/>
  <c r="F309" i="1" s="1"/>
  <c r="D308" i="1"/>
  <c r="F308" i="1" s="1"/>
  <c r="D307" i="1"/>
  <c r="F307" i="1" s="1"/>
  <c r="D306" i="1"/>
  <c r="F306" i="1" s="1"/>
  <c r="D304" i="1"/>
  <c r="F304" i="1" s="1"/>
  <c r="D303" i="1"/>
  <c r="F303" i="1" s="1"/>
  <c r="D302" i="1"/>
  <c r="F302" i="1" s="1"/>
  <c r="D301" i="1"/>
  <c r="F301" i="1" s="1"/>
  <c r="D298" i="1"/>
  <c r="F298" i="1" s="1"/>
  <c r="D297" i="1"/>
  <c r="F297" i="1" s="1"/>
  <c r="D296" i="1"/>
  <c r="F296" i="1" s="1"/>
  <c r="D295" i="1"/>
  <c r="F295" i="1" s="1"/>
  <c r="D294" i="1"/>
  <c r="F294" i="1" s="1"/>
  <c r="D292" i="1"/>
  <c r="F292" i="1" s="1"/>
  <c r="D291" i="1"/>
  <c r="F291" i="1" s="1"/>
  <c r="D290" i="1"/>
  <c r="F290" i="1" s="1"/>
  <c r="D289" i="1"/>
  <c r="F289" i="1" s="1"/>
  <c r="D275" i="1"/>
  <c r="F275" i="1" s="1"/>
  <c r="D274" i="1"/>
  <c r="F274" i="1" s="1"/>
  <c r="D273" i="1"/>
  <c r="F273" i="1" s="1"/>
  <c r="D271" i="1"/>
  <c r="F271" i="1" s="1"/>
  <c r="D270" i="1"/>
  <c r="F270" i="1" s="1"/>
  <c r="D269" i="1"/>
  <c r="F269" i="1" s="1"/>
  <c r="D268" i="1"/>
  <c r="F268" i="1" s="1"/>
  <c r="D267" i="1"/>
  <c r="F267" i="1" s="1"/>
  <c r="D263" i="1"/>
  <c r="F263" i="1" s="1"/>
  <c r="D261" i="1"/>
  <c r="F261" i="1" s="1"/>
  <c r="D260" i="1"/>
  <c r="F260" i="1" s="1"/>
  <c r="D259" i="1"/>
  <c r="F259" i="1" s="1"/>
  <c r="D258" i="1"/>
  <c r="F258" i="1" s="1"/>
  <c r="D257" i="1"/>
  <c r="F257" i="1" s="1"/>
  <c r="D256" i="1"/>
  <c r="F256" i="1" s="1"/>
  <c r="D255" i="1"/>
  <c r="F255" i="1" s="1"/>
  <c r="D254" i="1"/>
  <c r="F254" i="1" s="1"/>
  <c r="G253" i="1"/>
  <c r="D253" i="1"/>
  <c r="F253" i="1" s="1"/>
  <c r="D251" i="1"/>
  <c r="F251" i="1" s="1"/>
  <c r="D249" i="1"/>
  <c r="F249" i="1" s="1"/>
  <c r="D248" i="1"/>
  <c r="F248" i="1" s="1"/>
  <c r="D247" i="1"/>
  <c r="F247" i="1" s="1"/>
  <c r="D246" i="1"/>
  <c r="F246" i="1" s="1"/>
  <c r="D245" i="1"/>
  <c r="F245" i="1" s="1"/>
  <c r="D244" i="1"/>
  <c r="F244" i="1" s="1"/>
  <c r="D243" i="1"/>
  <c r="F243" i="1" s="1"/>
  <c r="D242" i="1"/>
  <c r="F242" i="1" s="1"/>
  <c r="G241" i="1"/>
  <c r="D241" i="1"/>
  <c r="F241" i="1" s="1"/>
  <c r="D238" i="1"/>
  <c r="F238" i="1" s="1"/>
  <c r="D236" i="1"/>
  <c r="F236" i="1" s="1"/>
  <c r="D235" i="1"/>
  <c r="F235" i="1" s="1"/>
  <c r="D234" i="1"/>
  <c r="F234" i="1" s="1"/>
  <c r="D233" i="1"/>
  <c r="F233" i="1" s="1"/>
  <c r="D232" i="1"/>
  <c r="F232" i="1" s="1"/>
  <c r="D231" i="1"/>
  <c r="F231" i="1" s="1"/>
  <c r="D230" i="1"/>
  <c r="F230" i="1" s="1"/>
  <c r="D229" i="1"/>
  <c r="F229" i="1" s="1"/>
  <c r="D228" i="1"/>
  <c r="F228" i="1" s="1"/>
  <c r="D219" i="1"/>
  <c r="D226" i="1"/>
  <c r="F226" i="1" s="1"/>
  <c r="D225" i="1"/>
  <c r="F225" i="1" s="1"/>
  <c r="D224" i="1"/>
  <c r="F224" i="1" s="1"/>
  <c r="D223" i="1"/>
  <c r="F223" i="1" s="1"/>
  <c r="D222" i="1"/>
  <c r="F222" i="1" s="1"/>
  <c r="D221" i="1"/>
  <c r="F221" i="1" s="1"/>
  <c r="I221" i="1" s="1"/>
  <c r="J221" i="1" s="1"/>
  <c r="D220" i="1"/>
  <c r="F220" i="1" s="1"/>
  <c r="D218" i="1"/>
  <c r="D217" i="1"/>
  <c r="D216" i="1"/>
  <c r="D214" i="1"/>
  <c r="F214" i="1" s="1"/>
  <c r="D213" i="1"/>
  <c r="F213" i="1" s="1"/>
  <c r="D212" i="1"/>
  <c r="F212" i="1" s="1"/>
  <c r="D211" i="1"/>
  <c r="F211" i="1" s="1"/>
  <c r="D210" i="1"/>
  <c r="F210" i="1" s="1"/>
  <c r="D209" i="1"/>
  <c r="F209" i="1" s="1"/>
  <c r="D208" i="1"/>
  <c r="F208" i="1" s="1"/>
  <c r="D206" i="1"/>
  <c r="F206" i="1" s="1"/>
  <c r="D205" i="1"/>
  <c r="F205" i="1" s="1"/>
  <c r="D204" i="1"/>
  <c r="F204" i="1" s="1"/>
  <c r="G204" i="1"/>
  <c r="G191" i="1" l="1"/>
  <c r="G194" i="1"/>
  <c r="G193" i="1"/>
  <c r="E194" i="1"/>
  <c r="G195" i="1"/>
  <c r="G196" i="1"/>
  <c r="E192" i="1"/>
  <c r="E193" i="1"/>
  <c r="C191" i="1"/>
  <c r="C193" i="1"/>
  <c r="C194" i="1"/>
  <c r="C195" i="1"/>
  <c r="C196" i="1"/>
  <c r="C190" i="1"/>
  <c r="C192" i="1"/>
  <c r="E190" i="1"/>
  <c r="E191" i="1"/>
  <c r="F11" i="5"/>
  <c r="G11" i="5" s="1"/>
  <c r="F10" i="5"/>
  <c r="G10" i="5" s="1"/>
  <c r="F9" i="5"/>
  <c r="G9" i="5" s="1"/>
  <c r="F8" i="5"/>
  <c r="G8" i="5" s="1"/>
  <c r="F7" i="5"/>
  <c r="G7" i="5" s="1"/>
  <c r="F6" i="5"/>
  <c r="G6" i="5" s="1"/>
  <c r="F5" i="5"/>
  <c r="G5" i="5" l="1"/>
  <c r="G12" i="5" s="1"/>
  <c r="C197" i="1"/>
  <c r="E197" i="1"/>
  <c r="D55" i="1"/>
  <c r="G623" i="1"/>
  <c r="G612" i="1"/>
  <c r="G600" i="1"/>
  <c r="G578" i="1"/>
  <c r="G539" i="1"/>
  <c r="G525" i="1"/>
  <c r="G512" i="1"/>
  <c r="F342" i="1" l="1"/>
  <c r="F341" i="1"/>
  <c r="F338" i="1"/>
  <c r="F337" i="1"/>
  <c r="G370" i="1"/>
  <c r="G359" i="1"/>
  <c r="G347" i="1"/>
  <c r="G336" i="1"/>
  <c r="G312" i="1"/>
  <c r="G301" i="1"/>
  <c r="G289" i="1"/>
  <c r="G228" i="1"/>
  <c r="F218" i="1"/>
  <c r="G192" i="1" l="1"/>
  <c r="G216" i="1"/>
  <c r="F217" i="1"/>
  <c r="F219" i="1"/>
  <c r="F216" i="1"/>
  <c r="G190" i="1" l="1"/>
  <c r="G197" i="1" s="1"/>
  <c r="E7" i="1"/>
  <c r="E40" i="1" l="1"/>
  <c r="D646" i="1" l="1"/>
  <c r="G46" i="1"/>
  <c r="C46" i="1"/>
  <c r="E41" i="1"/>
  <c r="L33" i="3" l="1"/>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L34" i="3" l="1"/>
  <c r="K34" i="3" s="1"/>
  <c r="E34" i="3"/>
  <c r="I34" i="3"/>
  <c r="H34" i="3" s="1"/>
  <c r="D34" i="3" l="1"/>
  <c r="D36" i="3" s="1"/>
  <c r="E36" i="3"/>
</calcChain>
</file>

<file path=xl/sharedStrings.xml><?xml version="1.0" encoding="utf-8"?>
<sst xmlns="http://schemas.openxmlformats.org/spreadsheetml/2006/main" count="1015" uniqueCount="275">
  <si>
    <t xml:space="preserve">Valuation Report </t>
  </si>
  <si>
    <t>Date:</t>
  </si>
  <si>
    <t>CPC Name:</t>
  </si>
  <si>
    <t>Date Of Property Visit</t>
  </si>
  <si>
    <t>Name of the builder group</t>
  </si>
  <si>
    <t>Name of the builder company</t>
  </si>
  <si>
    <t>Name of the Project</t>
  </si>
  <si>
    <t>Contect Details ( Name &amp; Contect No.)</t>
  </si>
  <si>
    <t>Name / No of the Building</t>
  </si>
  <si>
    <t>Docouments Provided</t>
  </si>
  <si>
    <t>RERA No.</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</si>
  <si>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</si>
  <si>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</si>
  <si>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</si>
  <si>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</si>
  <si>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</si>
  <si>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</si>
  <si>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</si>
  <si>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</si>
  <si>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</si>
  <si>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</si>
  <si>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</si>
  <si>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</si>
  <si>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</si>
  <si>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</si>
  <si>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</si>
  <si>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</si>
  <si>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</si>
  <si>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</si>
  <si>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</si>
  <si>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</si>
  <si>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</si>
  <si>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</si>
  <si>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</si>
  <si>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</si>
  <si>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</si>
  <si>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</si>
  <si>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</si>
  <si>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</si>
  <si>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</si>
  <si>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</si>
  <si>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</si>
  <si>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</si>
  <si>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</si>
  <si>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</si>
  <si>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</si>
  <si>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Commencement Certificate No.</t>
  </si>
  <si>
    <t xml:space="preserve">O. Certificate No.: </t>
  </si>
  <si>
    <t xml:space="preserve">Date of approval: </t>
  </si>
  <si>
    <t>Expected Completion</t>
  </si>
  <si>
    <t>Building wise Construction details</t>
  </si>
  <si>
    <t>Approved no of units</t>
  </si>
  <si>
    <t>Approved no of Floors</t>
  </si>
  <si>
    <t>Type of Work</t>
  </si>
  <si>
    <t>Plinth</t>
  </si>
  <si>
    <t>Violations Observed if any : NA</t>
  </si>
  <si>
    <t>Recommended Rates of the Property :</t>
  </si>
  <si>
    <t xml:space="preserve">Recommended rate of Parking </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</si>
  <si>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</si>
  <si>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</si>
  <si>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</si>
  <si>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</si>
  <si>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</si>
  <si>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</si>
  <si>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</si>
  <si>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</si>
  <si>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</si>
  <si>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</si>
  <si>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</si>
  <si>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Saleable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</si>
  <si>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</si>
  <si>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</si>
  <si>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</si>
  <si>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</si>
  <si>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</si>
  <si>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</si>
  <si>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</si>
  <si>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</si>
  <si>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</si>
  <si>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</si>
  <si>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</si>
  <si>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</si>
  <si>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</si>
  <si>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</si>
  <si>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</si>
  <si>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</si>
  <si>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</si>
  <si>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</si>
  <si>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</si>
  <si>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</si>
  <si>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</si>
  <si>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</si>
  <si>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</si>
  <si>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</si>
  <si>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</si>
  <si>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</si>
  <si>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</si>
  <si>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</si>
  <si>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</si>
  <si>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</si>
  <si>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</si>
  <si>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</si>
  <si>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</si>
  <si>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</si>
  <si>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Basement</t>
  </si>
  <si>
    <t>Podium</t>
  </si>
  <si>
    <t>Ground</t>
  </si>
  <si>
    <t>Locality/Village</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</si>
  <si>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</si>
  <si>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</si>
  <si>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</si>
  <si>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Recommended rate of the flat Per Sq. Ft. ( on Saleable area)</t>
  </si>
  <si>
    <t>Flat/Shop No.</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</si>
  <si>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</si>
  <si>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</si>
  <si>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</si>
  <si>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</si>
  <si>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</si>
  <si>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</si>
  <si>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</si>
  <si>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</si>
  <si>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</si>
  <si>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</si>
  <si>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</si>
  <si>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</si>
  <si>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60 Years After Completion</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</si>
  <si>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</si>
  <si>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</si>
  <si>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</si>
  <si>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</si>
  <si>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</si>
  <si>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</si>
  <si>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</si>
  <si>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Legal Services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</si>
  <si>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</si>
  <si>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</si>
  <si>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</si>
  <si>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</si>
  <si>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</si>
  <si>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</si>
  <si>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</si>
  <si>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</si>
  <si>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in process</t>
  </si>
  <si>
    <t>Plinth completed</t>
  </si>
  <si>
    <t>All work Completed. OC Received.</t>
  </si>
  <si>
    <t>M/s.Runwal Residency Private Limited</t>
  </si>
  <si>
    <t>Sagoan</t>
  </si>
  <si>
    <t>Thane</t>
  </si>
  <si>
    <t>Kalyan</t>
  </si>
  <si>
    <t>4.1Km from Nilaje Railway Station</t>
  </si>
  <si>
    <t>Nilaje</t>
  </si>
  <si>
    <t>Kalyan - Shilphata Road</t>
  </si>
  <si>
    <t>Premiere colony ground</t>
  </si>
  <si>
    <t>Survey No</t>
  </si>
  <si>
    <t>Middle Class</t>
  </si>
  <si>
    <t>Developing</t>
  </si>
  <si>
    <t>Open Plot</t>
  </si>
  <si>
    <t>Building U/C</t>
  </si>
  <si>
    <t xml:space="preserve">Cement, Aggregate, Steel, etc </t>
  </si>
  <si>
    <t>2BHK</t>
  </si>
  <si>
    <t>1BHK</t>
  </si>
  <si>
    <t>Refuge Area</t>
  </si>
  <si>
    <t>Double Height Entrance Lobby</t>
  </si>
  <si>
    <t>Wheather the construction is as per approved Building plan : Under Construction</t>
  </si>
  <si>
    <t>Residential</t>
  </si>
  <si>
    <t>Approved Plans, CC</t>
  </si>
  <si>
    <t>Axis Sanpada</t>
  </si>
  <si>
    <t>Report By :</t>
  </si>
  <si>
    <t>Floor rise rate Per Sq. Ft. (Any Floor)</t>
  </si>
  <si>
    <t>Runwal Gardens Phase 3</t>
  </si>
  <si>
    <t>Building No.24</t>
  </si>
  <si>
    <t>Building No.25</t>
  </si>
  <si>
    <t>Building No.26</t>
  </si>
  <si>
    <t>Building No.27</t>
  </si>
  <si>
    <t>Building No.28</t>
  </si>
  <si>
    <t xml:space="preserve">Ground Floor for Parking </t>
  </si>
  <si>
    <t>8th Floor (Part Refuge Area)</t>
  </si>
  <si>
    <t>14th, 19th &amp; 24th Floor (Part Refuge Area)</t>
  </si>
  <si>
    <t>29th Floor (Part Refuge Area)</t>
  </si>
  <si>
    <t>Ground Floor for Parking</t>
  </si>
  <si>
    <t>Fire Check Floor Between 23rd &amp; 24th Floor</t>
  </si>
  <si>
    <t>3BHK</t>
  </si>
  <si>
    <t>1BHK = 200/- &amp; 2BHK = 250/-
3 BHK = 300/-</t>
  </si>
  <si>
    <t>15/12/2020.</t>
  </si>
  <si>
    <t>Pratiksha</t>
  </si>
  <si>
    <t>Building No.24 to 30</t>
  </si>
  <si>
    <t>Building No.29</t>
  </si>
  <si>
    <t>8th Floor</t>
  </si>
  <si>
    <t>Building No.30</t>
  </si>
  <si>
    <t>Building No.24 to 30 = Stilt + 1st to 23rd Floors + Fire Check Floor + 24th to 32nd Floor</t>
  </si>
  <si>
    <t>Market Research Data</t>
  </si>
  <si>
    <t>Source</t>
  </si>
  <si>
    <t>Distance from proposed property</t>
  </si>
  <si>
    <t>Net Carpet</t>
  </si>
  <si>
    <t>Saleable Area</t>
  </si>
  <si>
    <t>Rate on Saleable</t>
  </si>
  <si>
    <t>Market Value</t>
  </si>
  <si>
    <t>99 Acres</t>
  </si>
  <si>
    <t>Average</t>
  </si>
  <si>
    <t xml:space="preserve">Valuation Adopted </t>
  </si>
  <si>
    <t>housing.</t>
  </si>
  <si>
    <t>1.5BHK</t>
  </si>
  <si>
    <t>Approved Floor plan No.  
(Building No.24 to 28)</t>
  </si>
  <si>
    <t>Approved Floor plan No.  
(Building No.29 &amp; 30)</t>
  </si>
  <si>
    <t>07 Buildings</t>
  </si>
  <si>
    <t>1st Floor</t>
  </si>
  <si>
    <t>Double Height Entrance Lobby Below</t>
  </si>
  <si>
    <t>2nd to 7th, 9th to 13th, 15th to 18th, 20th to 23rd, 25th to 28th, 30th to 32nd Floor</t>
  </si>
  <si>
    <t>SROT/Growth Center/2401/BP/ITP-Usarghar-Gharivali-Sagaon-01/Site-A/Vol.XV/178/2020</t>
  </si>
  <si>
    <t>SROT/Growth Center/2401/BP/ITP-Usarghar-Gharivali-Sagaon-01/Site-A/Vol.XXIII/171/2021</t>
  </si>
  <si>
    <t>Flats - 2285</t>
  </si>
  <si>
    <t>27/07/2021.</t>
  </si>
  <si>
    <t>Asmita</t>
  </si>
  <si>
    <t>abhishek</t>
  </si>
  <si>
    <t>demand rate for 6400</t>
  </si>
  <si>
    <t>Construction details:</t>
  </si>
  <si>
    <t>Slab/Floor</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</si>
  <si>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</si>
  <si>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</si>
  <si>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</si>
  <si>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</si>
  <si>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</si>
  <si>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</si>
  <si>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</si>
  <si>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</si>
  <si>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</si>
  <si>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</si>
  <si>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</si>
  <si>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</si>
  <si>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</si>
  <si>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</si>
  <si>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</si>
  <si>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</si>
  <si>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Building No. 30 = Stilt + 1st to 23rd Floors + Fire Check Floor + 24th to 32nd Floor</t>
  </si>
  <si>
    <t>Building No.26 = Stilt + 1st to 23rd Floors + Fire Check Floor + 24th to 32nd Floor</t>
  </si>
  <si>
    <t>Building No.25 = Stilt + 1st to 23rd Floors + Fire Check Floor + 24th to 32nd Floor</t>
  </si>
  <si>
    <t>Rate has changed from 6700/- to 7400/- as per cosheeet(8flats have been matched)</t>
  </si>
  <si>
    <t>Other Charges has also Changed From 40,000/- to 4,50,000/- &amp;</t>
  </si>
  <si>
    <t>Parking From 3,00,000/- to 3,50,000/-</t>
  </si>
  <si>
    <t>All these Above Changes are done by Ajinkya Sir (on 09/03/2022).</t>
  </si>
  <si>
    <t>Other Charges has also Changed From 40,000/- to 2 &amp; 3BHK = 4,50,000/- &amp; 1BHK = 100000 on 20/06/2022</t>
  </si>
  <si>
    <t>Building No.27 = Stilt + 1st to 23rd Floors + Fire Check Floor + 24th to 32nd Floor</t>
  </si>
  <si>
    <t>Runwal Gardens Phase III</t>
  </si>
  <si>
    <t>500000/-</t>
  </si>
  <si>
    <t>Building No.29 = Stilt + 1st to 23rd Floors + Fire Check Floor + 24th to 32nd Floor</t>
  </si>
  <si>
    <t xml:space="preserve">Building No. 24 to 26 = P51700026228
Building No. 27 &amp; 28 = P51700026927
Building No. 29 &amp; 30 = P51700028344
</t>
  </si>
  <si>
    <t xml:space="preserve">Construction details:
</t>
  </si>
  <si>
    <t>Part II - Flat No.6 to 8 Building No.28 = Stilt + 1st to 23rd Floors + Fire Check Floor + 24th to 32nd Floor</t>
  </si>
  <si>
    <t xml:space="preserve">Average of Part I &amp; Part II Building No.28 </t>
  </si>
  <si>
    <t>Building No.28 = Stilt + 1st to 23rd Floors + Fire Check Floor + 24th to 32nd Floor</t>
  </si>
  <si>
    <t>Latitude &amp; Longitude</t>
  </si>
  <si>
    <t>Location Link</t>
  </si>
  <si>
    <t>https://goo.gl/maps/R9ZfMLvFvpyJyZkL7</t>
  </si>
  <si>
    <t xml:space="preserve">1BHK Other Charges 40K </t>
  </si>
  <si>
    <t xml:space="preserve">Rushikesh </t>
  </si>
  <si>
    <t>Other Charges</t>
  </si>
  <si>
    <t xml:space="preserve">Office No. 1031, Wing J, Akshar Business Park, Plot No. 03 Sector 25, Near APMC Market, Vashi, 
Navi Mumbai, Maharashtra 400703 TEL: 022-46090378/79/80
E mail : vsjcapf@gmail.com. Web site : www.vsjadon.com
</t>
  </si>
  <si>
    <t>Mr. Gangaram Lambore</t>
  </si>
  <si>
    <t>19.1835418,73.0737084</t>
  </si>
  <si>
    <t>Survey 4/1, 4/2, 4/3, 4/4, 4/5, 4/6, 4/9, 4/10, 4/11, 5/1, 5/2, 5/3, 5/4, 5/5, 5/6, 6/1, 6/2, 6/3, 7/1, 7/2A, 7/2B, 7/2C, 7/3A, 7/3B, 8/1, 8/2, 8/3, 8/4, 8/5, 8/6, 8/7, 8/8, 8/9, 9/1, 9/2, 9/3, 9/4, 9/5, 9/6, 9/7, 9/8, 10, 11, 12/1, 12/2, 12/3, 12/4, 12/5, 12/6, 12/7, 12/8, 12/9, 12/10, 12/11, 12/12, 12/13, 12/14, 13, 14/1, 14/2A, 14/2B, 14/3, 14/4, 14/5, 15, 17/1, 17/2, 17/3, 17/4, 17/5, 17/6, 17/7, 17/8, 17/9, 17/10, 17/11, 18, 19, 22, 23/1, 23/2, 23/3, 23/10, 37/1, 37/2B, 37/2C, 37/2D, 37/3, 37/4, 37/21, 38/1, 38/2, 39/1, 39/2, 39/3, 40, 41/1A, 41/1B, 41/2, 41/3, 41/4, 44/1, 44/4,44/5A, 44/5B, 44/6A, 44/6B, 44/7, 44/8, 44/9, 44/10, 44/11, 44/12, 44/13, 44/14, 44/15, 44/16, 44/17, 44/18, 44/19, 49, 50/1, 50/2, 50/3 at Village Gharivali and bearing S. Nos. 44/1, 44/2, 44/3, 44/4, 44/5, 44/6, 44/7, 44/8, 44/9, 44/10, 44/11, 44/12, 45/1, 45/2, 45/3, 45/4, 45/5A, 45/5B, 45/6, 46/1, 46/2A, 46/2B, 46/3, 47, 49, 50, 51(pt), 52/1, 52/2, 53/1A, 53/1B, 53/2A, 53/2B, 53/3A, 53/3B, 94(pt), at Village Usarghar Tal. Kalyan, District-Thane. 421201</t>
  </si>
  <si>
    <t>Survey 4/1, 4/2, 4/3, 4/4, 4/5, 4/6, 4/9, 4/10, 4/11, 5/1, 5/2, 5/3, 5/4, 5/5, 5/6, 6/1, 6/2, 6/3, 7/1, 7/2A, 7/2B, 7/2C, 7/3A, 7/3B, 8/1, 8/2, 8/3, 8/4, 8/5, 8/6, 8/7, 8/8, 8/9, 9/1, 9/2, 9/3, 9/4, 9/5, 9/6, 9/7, 9/8, 10, 11, 12/1, 12/2, 12/3, 12/4, 12/5, 12/6, 12/7, 12/8, 12/9, 12/10, 12/11, 12/12, 12/13, 12/14, 13, 14/1, 14/2A, 14/2B, 14/3, 14/4, 14/5, 15, 17/1, 17/2, 17/3, 17/4, 17/5, 17/6, 17/7, 17/8, 17/9, 17/10, 17/11, 18, 19, 22, 23/1, 23/2, 23/3, 23/10, 37/1, 37/2B, 37/2C, 37/2D, 37/3, 37/4, 37/21, 38/1, 38/2, 39/1, 39/2, 39/3, 40, 41/1A, 41/1B, 41/2, 41/3, 41/4, 44/1, 44/4,44/5A, 44/5B, 44/6A, 44/6B, 44/7, 44/8, 44/9, 44/10, 44/11, 44/12, 44/13, 44/14, 44/15, 44/16, 44/17, 44/18, 44/19, 49, 50/1, 50/2, 50/3 at Village Gharivali and bearing S. Nos. 44/1, 44/2, 44/3, 44/4, 44/5, 44/6, 44/7, 44/8, 44/9, 44/10, 44/11, 44/12, 45/1, 45/2, 45/3, 45/4, 45/5A, 45/5B, 45/6, 46/1, 46/2A, 46/2B, 46/3, 47, 49, 50, 51(pt), 52/1, 52/2, 53/1A, 53/1B, 53/2A, 53/2B, 53/3A, 53/3B, 94(pt), at Village Usarghar Tal. Kalyan, District-Thane.</t>
  </si>
  <si>
    <t>Valid Up to:  Building No.24 to 30 = Stilt + 1st to 32nd Floor</t>
  </si>
  <si>
    <t xml:space="preserve">SROT/Growth Center/2401/BP/ ITPUsarghar-Gharivali-01/Amended CC Phase 8 B.No. 43,44 &amp; 45/Vol46/527/2024
</t>
  </si>
  <si>
    <t>rATE 7900 BHARGAV VERBAL   27/12/2024</t>
  </si>
  <si>
    <t>Building No.24, 25 &amp; 26 = Stilt + 1st to 23rd Floors + Fire Check Floor + 24th to 32nd Floor</t>
  </si>
  <si>
    <t xml:space="preserve">4,00,000/-
</t>
  </si>
  <si>
    <t>Parking From 3,50,000/- to 4,00,000/-</t>
  </si>
  <si>
    <t>rATE 8200 BHARGAV VERBAL   24/03/2025</t>
  </si>
  <si>
    <t>2nd to 7th, 9th to 13th, 15th to 17th, 20th to 23rd, 25th to 28th, 30th to 32nd Floor</t>
  </si>
  <si>
    <t>18th Floor</t>
  </si>
  <si>
    <t>SA changes to 1244 by Smith for case 1808 Building No. 30 on 24/03/2025</t>
  </si>
  <si>
    <t>SROT/Growth Centre/2401/BP/ITP-Usarghar-Gharivali-01/566/2025
Approved upto : Phase 3 = Building No. 24, 25 &amp; 26 = Gr/St + 1st to 32nd Floor</t>
  </si>
  <si>
    <t xml:space="preserve">1. Building No. 24, 25 &amp; 26 = All work Completed. OC Received.
     Building No. 27, 28, 29 &amp; 30 = Construction work was in process at the time of visit. Internal Visit was not allowed.
2. We considered  Saleable area  as per our calculation.
3. We considered Carpet area as per Approved Plan.
4. We considered Gross carpet area = Net carpet + Enclose balcony
5. We have considered rate by verifying it from market inquire.
6. Car parking is subjected to authentic documentation.
7. Constrution details are collected from Miss. Anuja.
8. We update all towers revised Plans (30/04/2021)
9. We update revised approved plans of Tower 29 &amp; 30 (on 29/06/2021).
10.We update revised  CC of Tower 24 &amp; 30 taken from RERA site. (on 07/10/2024).
11. Recommended Rates of the Property have been revised on 27/12/2024 and 24/03/2025.
12. We have updated OC for Building No. 24, 25 &amp; 26 (On 31/05/2025)
</t>
  </si>
  <si>
    <t>Shruti Tathare</t>
  </si>
  <si>
    <t>As per RERA - Phase 3 Bldg no 24-26 = Completed
Phase 3 Bldg No 27-28 = 30/12/2025
Phase 3 Bldg No 29-30 = 30/06/2026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</si>
</sst>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_(* #,##0.00_);_(* \(#,##0.00\);_(* &quot;-&quot;??_);_(@_)"/>
    <numFmt numFmtId="166" formatCode="_(* #,##0_);_(* \(#,##0\);_(* &quot;-&quot;??_);_(@_)"/>
  </numFmts>
  <fonts count="22"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8"/>
      <name val="Calibri"/>
      <family val="2"/>
    </font>
    <font>
      <sz val="11"/>
      <color rgb="FFFF0000"/>
      <name val="Calibri"/>
      <family val="2"/>
      <scheme val="minor"/>
    </font>
    <font>
      <sz val="11"/>
      <color rgb="FFFF0000"/>
      <name val="Calibri"/>
      <family val="2"/>
    </font>
    <font>
      <u/>
      <sz val="11"/>
      <color theme="10"/>
      <name val="Calibri"/>
      <family val="2"/>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s>
  <borders count="3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8">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applyNumberFormat="0" applyFill="0" applyBorder="0" applyAlignment="0" applyProtection="0"/>
  </cellStyleXfs>
  <cellXfs count="261">
    <xf numFmtId="0" fontId="0" fillId="0" borderId="0" xfId="0"/>
    <xf numFmtId="0" fontId="7" fillId="0" borderId="0" xfId="0" applyFont="1" applyAlignment="1">
      <alignment horizontal="center" vertical="center"/>
    </xf>
    <xf numFmtId="0" fontId="7" fillId="0" borderId="0" xfId="1" applyFont="1" applyAlignment="1">
      <alignment horizontal="center" vertical="center"/>
    </xf>
    <xf numFmtId="0" fontId="0" fillId="3" borderId="4" xfId="0" applyFill="1" applyBorder="1"/>
    <xf numFmtId="0" fontId="0" fillId="0" borderId="9" xfId="0" applyBorder="1"/>
    <xf numFmtId="0" fontId="9" fillId="0" borderId="4" xfId="0" applyFont="1" applyBorder="1"/>
    <xf numFmtId="0" fontId="9" fillId="0" borderId="4" xfId="0" applyFont="1" applyBorder="1" applyAlignment="1">
      <alignment horizontal="center"/>
    </xf>
    <xf numFmtId="0" fontId="0" fillId="0" borderId="4" xfId="0" applyBorder="1"/>
    <xf numFmtId="0" fontId="7" fillId="0" borderId="0" xfId="1" applyFont="1"/>
    <xf numFmtId="0" fontId="6" fillId="0" borderId="0" xfId="2" applyFont="1"/>
    <xf numFmtId="0" fontId="7" fillId="0" borderId="0" xfId="0" applyFont="1"/>
    <xf numFmtId="0" fontId="12" fillId="0" borderId="0" xfId="1" applyFont="1"/>
    <xf numFmtId="0" fontId="15" fillId="0" borderId="0" xfId="1" applyFont="1"/>
    <xf numFmtId="0" fontId="16" fillId="0" borderId="0" xfId="1" applyFont="1"/>
    <xf numFmtId="0" fontId="12" fillId="0" borderId="4" xfId="1" applyFont="1" applyBorder="1" applyAlignment="1" applyProtection="1">
      <alignment horizontal="center" vertical="top"/>
      <protection locked="0"/>
    </xf>
    <xf numFmtId="1" fontId="8" fillId="0" borderId="4" xfId="1" applyNumberFormat="1" applyFont="1" applyBorder="1" applyAlignment="1" applyProtection="1">
      <alignment horizontal="center" vertical="top" wrapText="1"/>
      <protection locked="0"/>
    </xf>
    <xf numFmtId="1" fontId="4" fillId="0" borderId="4" xfId="1" applyNumberFormat="1" applyFont="1" applyBorder="1" applyAlignment="1" applyProtection="1">
      <alignment horizontal="center" vertical="top" wrapText="1"/>
      <protection locked="0"/>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0" fontId="7" fillId="0" borderId="0" xfId="1" applyFont="1" applyProtection="1">
      <protection hidden="1"/>
    </xf>
    <xf numFmtId="0" fontId="17" fillId="0" borderId="0" xfId="0" applyFont="1" applyProtection="1">
      <protection hidden="1"/>
    </xf>
    <xf numFmtId="9" fontId="17" fillId="0" borderId="0" xfId="0" applyNumberFormat="1" applyFont="1" applyProtection="1">
      <protection hidden="1"/>
    </xf>
    <xf numFmtId="1" fontId="8" fillId="0" borderId="1" xfId="1" applyNumberFormat="1" applyFont="1" applyBorder="1" applyAlignment="1" applyProtection="1">
      <alignment horizontal="center" vertical="top" wrapText="1"/>
      <protection locked="0"/>
    </xf>
    <xf numFmtId="0" fontId="12" fillId="0" borderId="4" xfId="1" applyFont="1" applyBorder="1" applyAlignment="1" applyProtection="1">
      <alignment horizontal="center" vertical="top" wrapText="1"/>
      <protection locked="0"/>
    </xf>
    <xf numFmtId="0" fontId="12" fillId="0" borderId="4" xfId="1" applyFont="1" applyBorder="1" applyAlignment="1" applyProtection="1">
      <alignment horizontal="center" wrapText="1"/>
      <protection locked="0"/>
    </xf>
    <xf numFmtId="1" fontId="12" fillId="0" borderId="4" xfId="1" applyNumberFormat="1" applyFont="1" applyBorder="1" applyAlignment="1" applyProtection="1">
      <alignment horizontal="center" wrapText="1"/>
      <protection locked="0"/>
    </xf>
    <xf numFmtId="4" fontId="7" fillId="0" borderId="0" xfId="1" applyNumberFormat="1" applyFont="1"/>
    <xf numFmtId="0" fontId="12" fillId="2" borderId="4" xfId="1" applyFont="1" applyFill="1" applyBorder="1" applyAlignment="1" applyProtection="1">
      <alignment horizontal="left" vertical="top"/>
      <protection locked="0"/>
    </xf>
    <xf numFmtId="0" fontId="12" fillId="2" borderId="4" xfId="1" applyFont="1" applyFill="1" applyBorder="1" applyAlignment="1" applyProtection="1">
      <alignment vertical="top"/>
      <protection locked="0"/>
    </xf>
    <xf numFmtId="0" fontId="5" fillId="0" borderId="0" xfId="4"/>
    <xf numFmtId="0" fontId="1" fillId="0" borderId="0" xfId="5"/>
    <xf numFmtId="0" fontId="9" fillId="0" borderId="4" xfId="5" applyFont="1" applyBorder="1" applyAlignment="1">
      <alignment horizontal="center" vertical="top" wrapText="1"/>
    </xf>
    <xf numFmtId="0" fontId="1" fillId="0" borderId="4" xfId="5" applyBorder="1" applyAlignment="1">
      <alignment horizontal="center" vertical="center"/>
    </xf>
    <xf numFmtId="0" fontId="1" fillId="0" borderId="4" xfId="5" applyBorder="1" applyAlignment="1">
      <alignment horizontal="left" vertical="center"/>
    </xf>
    <xf numFmtId="1" fontId="1" fillId="0" borderId="4" xfId="5" applyNumberFormat="1" applyBorder="1" applyAlignment="1">
      <alignment horizontal="center" vertical="center"/>
    </xf>
    <xf numFmtId="166" fontId="1" fillId="0" borderId="4" xfId="6" applyNumberFormat="1" applyFont="1" applyBorder="1" applyAlignment="1">
      <alignment horizontal="right" vertical="center"/>
    </xf>
    <xf numFmtId="0" fontId="9" fillId="0" borderId="4" xfId="5" applyFont="1" applyBorder="1" applyAlignment="1">
      <alignment horizontal="center" vertical="center"/>
    </xf>
    <xf numFmtId="1" fontId="19" fillId="0" borderId="4" xfId="5" applyNumberFormat="1" applyFont="1" applyBorder="1" applyAlignment="1">
      <alignment horizontal="center" vertical="center"/>
    </xf>
    <xf numFmtId="0" fontId="5" fillId="0" borderId="4" xfId="4" applyBorder="1" applyAlignment="1">
      <alignment horizontal="center" vertical="center"/>
    </xf>
    <xf numFmtId="0" fontId="20" fillId="0" borderId="0" xfId="4" applyFont="1"/>
    <xf numFmtId="0" fontId="7" fillId="0" borderId="0" xfId="1" applyFont="1" applyAlignment="1">
      <alignment horizontal="left" vertical="center"/>
    </xf>
    <xf numFmtId="1" fontId="12" fillId="0" borderId="4" xfId="1" applyNumberFormat="1" applyFont="1" applyBorder="1" applyAlignment="1" applyProtection="1">
      <alignment horizontal="center" vertical="center" wrapText="1"/>
      <protection locked="0"/>
    </xf>
    <xf numFmtId="1" fontId="12" fillId="0" borderId="1" xfId="1" applyNumberFormat="1" applyFont="1" applyBorder="1" applyAlignment="1" applyProtection="1">
      <alignment horizontal="center" vertical="center" wrapText="1"/>
      <protection locked="0"/>
    </xf>
    <xf numFmtId="164" fontId="7" fillId="0" borderId="0" xfId="1" applyNumberFormat="1" applyFont="1" applyAlignment="1">
      <alignment horizontal="center" vertical="center"/>
    </xf>
    <xf numFmtId="1" fontId="7" fillId="0" borderId="0" xfId="1" applyNumberFormat="1" applyFont="1" applyAlignment="1">
      <alignment horizontal="center" vertical="center"/>
    </xf>
    <xf numFmtId="9" fontId="12" fillId="2" borderId="4" xfId="1" applyNumberFormat="1" applyFont="1" applyFill="1" applyBorder="1" applyAlignment="1" applyProtection="1">
      <alignment horizontal="center" vertical="center" wrapText="1"/>
      <protection hidden="1"/>
    </xf>
    <xf numFmtId="0" fontId="7" fillId="0" borderId="18" xfId="1" applyFont="1" applyBorder="1" applyProtection="1">
      <protection hidden="1"/>
    </xf>
    <xf numFmtId="0" fontId="7" fillId="0" borderId="19" xfId="1" applyFont="1" applyBorder="1" applyProtection="1">
      <protection hidden="1"/>
    </xf>
    <xf numFmtId="0" fontId="12" fillId="0" borderId="20"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7" fillId="0" borderId="22" xfId="1" applyFont="1" applyBorder="1" applyProtection="1">
      <protection hidden="1"/>
    </xf>
    <xf numFmtId="0" fontId="7" fillId="0" borderId="22" xfId="1" applyFont="1" applyBorder="1"/>
    <xf numFmtId="0" fontId="17" fillId="0" borderId="22" xfId="0" applyFont="1" applyBorder="1" applyProtection="1">
      <protection hidden="1"/>
    </xf>
    <xf numFmtId="1" fontId="0" fillId="0" borderId="22" xfId="0" applyNumberFormat="1" applyBorder="1"/>
    <xf numFmtId="1" fontId="0" fillId="0" borderId="22" xfId="0" applyNumberFormat="1" applyBorder="1" applyAlignment="1">
      <alignment horizontal="right"/>
    </xf>
    <xf numFmtId="0" fontId="17" fillId="0" borderId="26" xfId="0" applyFont="1" applyBorder="1" applyProtection="1">
      <protection hidden="1"/>
    </xf>
    <xf numFmtId="1" fontId="0" fillId="0" borderId="27" xfId="0" applyNumberFormat="1" applyBorder="1"/>
    <xf numFmtId="0" fontId="12" fillId="0" borderId="24" xfId="1" applyFont="1" applyBorder="1" applyAlignment="1" applyProtection="1">
      <alignment horizontal="center" wrapText="1"/>
      <protection locked="0"/>
    </xf>
    <xf numFmtId="9" fontId="12" fillId="2" borderId="24" xfId="1" applyNumberFormat="1" applyFont="1" applyFill="1" applyBorder="1" applyAlignment="1" applyProtection="1">
      <alignment horizontal="center" vertical="center" wrapText="1"/>
      <protection hidden="1"/>
    </xf>
    <xf numFmtId="0" fontId="7" fillId="3" borderId="4" xfId="1" applyFont="1" applyFill="1" applyBorder="1" applyAlignment="1">
      <alignment horizontal="left"/>
    </xf>
    <xf numFmtId="0" fontId="7" fillId="0" borderId="4" xfId="1" applyFont="1" applyBorder="1" applyAlignment="1">
      <alignment horizontal="left"/>
    </xf>
    <xf numFmtId="14" fontId="7" fillId="3" borderId="4" xfId="1" applyNumberFormat="1" applyFont="1" applyFill="1" applyBorder="1" applyAlignment="1">
      <alignment horizontal="left"/>
    </xf>
    <xf numFmtId="1" fontId="7" fillId="0" borderId="4" xfId="1" applyNumberFormat="1" applyFont="1" applyBorder="1" applyAlignment="1" applyProtection="1">
      <alignment horizontal="center" wrapText="1"/>
      <protection locked="0"/>
    </xf>
    <xf numFmtId="1" fontId="12" fillId="0" borderId="1" xfId="1" applyNumberFormat="1" applyFont="1" applyBorder="1" applyAlignment="1" applyProtection="1">
      <alignment horizontal="center" vertical="center" wrapText="1"/>
      <protection locked="0"/>
    </xf>
    <xf numFmtId="1" fontId="12" fillId="0" borderId="4" xfId="1" applyNumberFormat="1" applyFont="1" applyBorder="1" applyAlignment="1" applyProtection="1">
      <alignment horizontal="center" vertical="center" wrapText="1"/>
      <protection locked="0"/>
    </xf>
    <xf numFmtId="0" fontId="12" fillId="0" borderId="4" xfId="1" applyFont="1" applyBorder="1" applyAlignment="1" applyProtection="1">
      <alignment horizontal="center" vertical="top" wrapText="1"/>
      <protection locked="0"/>
    </xf>
    <xf numFmtId="9" fontId="12" fillId="2" borderId="4" xfId="1" applyNumberFormat="1" applyFont="1" applyFill="1" applyBorder="1" applyAlignment="1" applyProtection="1">
      <alignment horizontal="center" vertical="center" wrapText="1"/>
      <protection hidden="1"/>
    </xf>
    <xf numFmtId="0" fontId="12" fillId="0" borderId="4" xfId="1" applyFont="1" applyBorder="1" applyAlignment="1" applyProtection="1">
      <alignment horizontal="center" vertical="top"/>
      <protection locked="0"/>
    </xf>
    <xf numFmtId="0" fontId="8" fillId="2" borderId="4" xfId="1" applyFont="1" applyFill="1" applyBorder="1" applyAlignment="1" applyProtection="1">
      <alignment horizontal="left" vertical="top"/>
      <protection locked="0"/>
    </xf>
    <xf numFmtId="9" fontId="13" fillId="0" borderId="4" xfId="1" applyNumberFormat="1" applyFont="1" applyBorder="1" applyAlignment="1" applyProtection="1">
      <alignment horizontal="center" vertical="center" wrapText="1"/>
      <protection locked="0"/>
    </xf>
    <xf numFmtId="1" fontId="15" fillId="0" borderId="11" xfId="1" applyNumberFormat="1" applyFont="1" applyBorder="1" applyAlignment="1">
      <alignment horizontal="center" vertical="center"/>
    </xf>
    <xf numFmtId="1" fontId="15" fillId="0" borderId="0" xfId="1" applyNumberFormat="1" applyFont="1" applyAlignment="1">
      <alignment horizontal="center" vertical="center"/>
    </xf>
    <xf numFmtId="1" fontId="13" fillId="0" borderId="1" xfId="1" applyNumberFormat="1" applyFont="1" applyBorder="1" applyAlignment="1" applyProtection="1">
      <alignment horizontal="center" vertical="center" wrapText="1"/>
      <protection locked="0"/>
    </xf>
    <xf numFmtId="1" fontId="13" fillId="0" borderId="2" xfId="1" applyNumberFormat="1" applyFont="1" applyBorder="1" applyAlignment="1" applyProtection="1">
      <alignment horizontal="center" vertical="center" wrapText="1"/>
      <protection locked="0"/>
    </xf>
    <xf numFmtId="1" fontId="13" fillId="0" borderId="3" xfId="1" applyNumberFormat="1" applyFont="1" applyBorder="1" applyAlignment="1" applyProtection="1">
      <alignment horizontal="center" vertical="center" wrapText="1"/>
      <protection locked="0"/>
    </xf>
    <xf numFmtId="1" fontId="12" fillId="0" borderId="1" xfId="1" quotePrefix="1" applyNumberFormat="1" applyFont="1" applyBorder="1" applyAlignment="1" applyProtection="1">
      <alignment horizontal="center" vertical="center" wrapText="1"/>
      <protection locked="0"/>
    </xf>
    <xf numFmtId="1" fontId="12" fillId="0" borderId="3" xfId="1" applyNumberFormat="1" applyFont="1" applyBorder="1" applyAlignment="1" applyProtection="1">
      <alignment horizontal="center" vertical="center" wrapText="1"/>
      <protection locked="0"/>
    </xf>
    <xf numFmtId="1" fontId="12" fillId="0" borderId="5" xfId="1" applyNumberFormat="1" applyFont="1" applyBorder="1" applyAlignment="1" applyProtection="1">
      <alignment horizontal="center" vertical="center" wrapText="1"/>
      <protection locked="0"/>
    </xf>
    <xf numFmtId="1" fontId="12" fillId="0" borderId="7" xfId="1" applyNumberFormat="1" applyFont="1" applyBorder="1" applyAlignment="1" applyProtection="1">
      <alignment horizontal="center" vertical="center" wrapText="1"/>
      <protection locked="0"/>
    </xf>
    <xf numFmtId="1" fontId="12" fillId="0" borderId="11" xfId="1" applyNumberFormat="1" applyFont="1" applyBorder="1" applyAlignment="1" applyProtection="1">
      <alignment horizontal="center" vertical="center" wrapText="1"/>
      <protection locked="0"/>
    </xf>
    <xf numFmtId="1" fontId="12" fillId="0" borderId="12" xfId="1" applyNumberFormat="1" applyFont="1" applyBorder="1" applyAlignment="1" applyProtection="1">
      <alignment horizontal="center" vertical="center" wrapText="1"/>
      <protection locked="0"/>
    </xf>
    <xf numFmtId="1" fontId="12" fillId="0" borderId="8" xfId="1" applyNumberFormat="1" applyFont="1" applyBorder="1" applyAlignment="1" applyProtection="1">
      <alignment horizontal="center" vertical="center" wrapText="1"/>
      <protection locked="0"/>
    </xf>
    <xf numFmtId="1" fontId="12" fillId="0" borderId="10" xfId="1" applyNumberFormat="1" applyFont="1" applyBorder="1" applyAlignment="1" applyProtection="1">
      <alignment horizontal="center" vertical="center" wrapText="1"/>
      <protection locked="0"/>
    </xf>
    <xf numFmtId="0" fontId="13" fillId="0" borderId="4" xfId="1" applyFont="1" applyBorder="1" applyAlignment="1" applyProtection="1">
      <alignment horizontal="left" vertical="top" wrapText="1"/>
      <protection locked="0"/>
    </xf>
    <xf numFmtId="0" fontId="13" fillId="0" borderId="4" xfId="1" applyFont="1" applyBorder="1" applyAlignment="1" applyProtection="1">
      <alignment horizontal="left" vertical="top"/>
      <protection locked="0"/>
    </xf>
    <xf numFmtId="0" fontId="13" fillId="0" borderId="4" xfId="1" applyFont="1" applyBorder="1" applyAlignment="1" applyProtection="1">
      <alignment horizontal="center" vertical="center" wrapText="1"/>
      <protection locked="0"/>
    </xf>
    <xf numFmtId="0" fontId="13" fillId="0" borderId="13" xfId="1" applyFont="1" applyBorder="1" applyAlignment="1" applyProtection="1">
      <alignment horizontal="left" vertical="top" wrapText="1"/>
      <protection locked="0"/>
    </xf>
    <xf numFmtId="0" fontId="13" fillId="0" borderId="14" xfId="1" applyFont="1" applyBorder="1" applyAlignment="1" applyProtection="1">
      <alignment horizontal="left" vertical="top" wrapText="1"/>
      <protection locked="0"/>
    </xf>
    <xf numFmtId="0" fontId="13" fillId="0" borderId="15" xfId="1" applyFont="1" applyBorder="1" applyAlignment="1" applyProtection="1">
      <alignment horizontal="left" vertical="top" wrapText="1"/>
      <protection locked="0"/>
    </xf>
    <xf numFmtId="0" fontId="13" fillId="0" borderId="16" xfId="1" applyFont="1" applyBorder="1" applyAlignment="1" applyProtection="1">
      <alignment horizontal="left" vertical="top" wrapText="1"/>
      <protection locked="0"/>
    </xf>
    <xf numFmtId="0" fontId="13" fillId="0" borderId="17" xfId="1" applyFont="1" applyBorder="1" applyAlignment="1" applyProtection="1">
      <alignment horizontal="left" vertical="top" wrapText="1"/>
      <protection locked="0"/>
    </xf>
    <xf numFmtId="0" fontId="13" fillId="0" borderId="20" xfId="1" applyFont="1" applyBorder="1" applyAlignment="1" applyProtection="1">
      <alignment horizontal="left" vertical="top"/>
      <protection locked="0"/>
    </xf>
    <xf numFmtId="0" fontId="13" fillId="0" borderId="21" xfId="1" applyFont="1" applyBorder="1" applyAlignment="1" applyProtection="1">
      <alignment horizontal="left" vertical="top" wrapText="1"/>
      <protection locked="0"/>
    </xf>
    <xf numFmtId="0" fontId="12" fillId="0" borderId="20" xfId="1" applyFont="1" applyBorder="1" applyAlignment="1" applyProtection="1">
      <alignment horizontal="center" vertical="top" wrapText="1"/>
      <protection locked="0"/>
    </xf>
    <xf numFmtId="0" fontId="12" fillId="0" borderId="4" xfId="1" applyFont="1" applyBorder="1" applyAlignment="1" applyProtection="1">
      <alignment horizontal="center" vertical="top" wrapText="1"/>
      <protection locked="0"/>
    </xf>
    <xf numFmtId="0" fontId="12" fillId="0" borderId="21" xfId="1" applyFont="1" applyBorder="1" applyAlignment="1" applyProtection="1">
      <alignment horizontal="center" vertical="top" wrapText="1"/>
      <protection locked="0"/>
    </xf>
    <xf numFmtId="9" fontId="12" fillId="2" borderId="4" xfId="1" applyNumberFormat="1" applyFont="1" applyFill="1" applyBorder="1" applyAlignment="1" applyProtection="1">
      <alignment horizontal="center" vertical="center" wrapText="1"/>
      <protection hidden="1"/>
    </xf>
    <xf numFmtId="0" fontId="12" fillId="0" borderId="4" xfId="1" applyFont="1" applyBorder="1" applyAlignment="1" applyProtection="1">
      <alignment horizontal="center" vertical="top"/>
      <protection locked="0"/>
    </xf>
    <xf numFmtId="9" fontId="12" fillId="2" borderId="24" xfId="1" applyNumberFormat="1" applyFont="1" applyFill="1" applyBorder="1" applyAlignment="1" applyProtection="1">
      <alignment horizontal="center" vertical="center" wrapText="1"/>
      <protection hidden="1"/>
    </xf>
    <xf numFmtId="9" fontId="12" fillId="2" borderId="21" xfId="1" applyNumberFormat="1" applyFont="1" applyFill="1" applyBorder="1" applyAlignment="1" applyProtection="1">
      <alignment horizontal="center" vertical="center" wrapText="1"/>
      <protection hidden="1"/>
    </xf>
    <xf numFmtId="9" fontId="12" fillId="2" borderId="25" xfId="1" applyNumberFormat="1" applyFont="1" applyFill="1" applyBorder="1" applyAlignment="1" applyProtection="1">
      <alignment horizontal="center" vertical="center" wrapText="1"/>
      <protection hidden="1"/>
    </xf>
    <xf numFmtId="0" fontId="12" fillId="0" borderId="20" xfId="1" applyFont="1" applyBorder="1" applyAlignment="1" applyProtection="1">
      <alignment horizontal="center" vertical="top"/>
      <protection locked="0"/>
    </xf>
    <xf numFmtId="0" fontId="12" fillId="0" borderId="23" xfId="1" applyFont="1" applyBorder="1" applyAlignment="1" applyProtection="1">
      <alignment horizontal="center" vertical="top" wrapText="1"/>
      <protection locked="0"/>
    </xf>
    <xf numFmtId="0" fontId="12" fillId="0" borderId="24" xfId="1" applyFont="1" applyBorder="1" applyAlignment="1" applyProtection="1">
      <alignment horizontal="center" vertical="top" wrapText="1"/>
      <protection locked="0"/>
    </xf>
    <xf numFmtId="1" fontId="7" fillId="0" borderId="4" xfId="0" applyNumberFormat="1" applyFont="1" applyBorder="1" applyAlignment="1" applyProtection="1">
      <alignment horizontal="center" vertical="center"/>
      <protection locked="0"/>
    </xf>
    <xf numFmtId="1" fontId="10" fillId="0" borderId="4" xfId="0" applyNumberFormat="1" applyFont="1" applyBorder="1" applyAlignment="1" applyProtection="1">
      <alignment horizontal="center" vertical="center"/>
      <protection locked="0"/>
    </xf>
    <xf numFmtId="1" fontId="8" fillId="0" borderId="4" xfId="0" applyNumberFormat="1" applyFont="1" applyBorder="1" applyAlignment="1" applyProtection="1">
      <alignment horizontal="center" vertical="top" wrapText="1"/>
      <protection locked="0"/>
    </xf>
    <xf numFmtId="0" fontId="10" fillId="0" borderId="4" xfId="0" applyFont="1" applyBorder="1" applyAlignment="1" applyProtection="1">
      <alignment horizontal="center" vertical="center"/>
      <protection locked="0"/>
    </xf>
    <xf numFmtId="0" fontId="10" fillId="0" borderId="4" xfId="0" applyFont="1" applyBorder="1" applyAlignment="1" applyProtection="1">
      <alignment horizontal="center" vertical="top" wrapText="1"/>
      <protection locked="0"/>
    </xf>
    <xf numFmtId="1" fontId="12" fillId="0" borderId="1" xfId="1" applyNumberFormat="1" applyFont="1" applyBorder="1" applyAlignment="1" applyProtection="1">
      <alignment horizontal="center" vertical="center" wrapText="1"/>
      <protection locked="0"/>
    </xf>
    <xf numFmtId="1" fontId="12" fillId="0" borderId="2"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1" fontId="6" fillId="0" borderId="3" xfId="0" applyNumberFormat="1" applyFont="1" applyBorder="1" applyAlignment="1" applyProtection="1">
      <alignment horizontal="center" vertical="center" wrapText="1"/>
      <protection locked="0"/>
    </xf>
    <xf numFmtId="1" fontId="12" fillId="0" borderId="4" xfId="1" applyNumberFormat="1" applyFont="1" applyBorder="1" applyAlignment="1" applyProtection="1">
      <alignment horizontal="center" vertical="center" wrapText="1"/>
      <protection locked="0"/>
    </xf>
    <xf numFmtId="1" fontId="12" fillId="0" borderId="6" xfId="1" applyNumberFormat="1" applyFont="1" applyBorder="1" applyAlignment="1" applyProtection="1">
      <alignment horizontal="center" vertical="center" wrapText="1"/>
      <protection locked="0"/>
    </xf>
    <xf numFmtId="1" fontId="12" fillId="0" borderId="9" xfId="1" applyNumberFormat="1" applyFont="1" applyBorder="1" applyAlignment="1" applyProtection="1">
      <alignment horizontal="center" vertical="center" wrapText="1"/>
      <protection locked="0"/>
    </xf>
    <xf numFmtId="0" fontId="6" fillId="0" borderId="1" xfId="1" applyFont="1" applyBorder="1" applyAlignment="1" applyProtection="1">
      <alignment horizontal="left" vertical="top"/>
      <protection locked="0"/>
    </xf>
    <xf numFmtId="0" fontId="6" fillId="0" borderId="2" xfId="1" applyFont="1" applyBorder="1" applyAlignment="1" applyProtection="1">
      <alignment horizontal="left" vertical="top"/>
      <protection locked="0"/>
    </xf>
    <xf numFmtId="0" fontId="6" fillId="0" borderId="3" xfId="1" applyFont="1" applyBorder="1" applyAlignment="1" applyProtection="1">
      <alignment horizontal="left" vertical="top"/>
      <protection locked="0"/>
    </xf>
    <xf numFmtId="0" fontId="6" fillId="0" borderId="1" xfId="1" applyFont="1" applyBorder="1" applyAlignment="1" applyProtection="1">
      <alignment horizontal="left" vertical="top" wrapText="1"/>
      <protection locked="0"/>
    </xf>
    <xf numFmtId="0" fontId="6" fillId="0" borderId="2" xfId="1" applyFont="1" applyBorder="1" applyAlignment="1" applyProtection="1">
      <alignment horizontal="left" vertical="top" wrapText="1"/>
      <protection locked="0"/>
    </xf>
    <xf numFmtId="0" fontId="6" fillId="0" borderId="3" xfId="1" applyFont="1" applyBorder="1" applyAlignment="1" applyProtection="1">
      <alignment horizontal="left" vertical="top" wrapText="1"/>
      <protection locked="0"/>
    </xf>
    <xf numFmtId="1" fontId="8" fillId="0" borderId="4" xfId="0" applyNumberFormat="1" applyFont="1" applyBorder="1" applyAlignment="1" applyProtection="1">
      <alignment horizontal="left" vertical="top" wrapText="1"/>
      <protection locked="0"/>
    </xf>
    <xf numFmtId="0" fontId="13" fillId="0" borderId="4" xfId="2" applyFont="1" applyBorder="1" applyAlignment="1" applyProtection="1">
      <alignment horizontal="left" vertical="top" wrapText="1"/>
      <protection locked="0"/>
    </xf>
    <xf numFmtId="0" fontId="6" fillId="0" borderId="1" xfId="1" applyFont="1" applyBorder="1" applyAlignment="1" applyProtection="1">
      <alignment vertical="top"/>
      <protection locked="0"/>
    </xf>
    <xf numFmtId="0" fontId="6" fillId="0" borderId="2" xfId="1" applyFont="1" applyBorder="1" applyAlignment="1" applyProtection="1">
      <alignment vertical="top"/>
      <protection locked="0"/>
    </xf>
    <xf numFmtId="0" fontId="6" fillId="0" borderId="3" xfId="1" applyFont="1" applyBorder="1" applyAlignment="1" applyProtection="1">
      <alignment vertical="top"/>
      <protection locked="0"/>
    </xf>
    <xf numFmtId="0" fontId="8" fillId="0" borderId="1" xfId="1" applyFont="1" applyBorder="1" applyAlignment="1" applyProtection="1">
      <alignment horizontal="center" vertical="top"/>
      <protection locked="0"/>
    </xf>
    <xf numFmtId="0" fontId="8" fillId="0" borderId="2" xfId="1" applyFont="1" applyBorder="1" applyAlignment="1" applyProtection="1">
      <alignment horizontal="center" vertical="top"/>
      <protection locked="0"/>
    </xf>
    <xf numFmtId="0" fontId="8" fillId="0" borderId="3" xfId="1" applyFont="1" applyBorder="1" applyAlignment="1" applyProtection="1">
      <alignment horizontal="center" vertical="top"/>
      <protection locked="0"/>
    </xf>
    <xf numFmtId="0" fontId="12" fillId="0" borderId="4" xfId="1" applyFont="1" applyBorder="1" applyAlignment="1" applyProtection="1">
      <alignment horizontal="left" vertical="top"/>
      <protection locked="0"/>
    </xf>
    <xf numFmtId="0" fontId="12" fillId="0" borderId="1" xfId="1" applyFont="1" applyBorder="1" applyAlignment="1" applyProtection="1">
      <alignment horizontal="left" vertical="top" wrapText="1"/>
      <protection locked="0"/>
    </xf>
    <xf numFmtId="0" fontId="12" fillId="0" borderId="3"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6" fillId="0" borderId="4" xfId="1" applyFont="1" applyBorder="1" applyAlignment="1" applyProtection="1">
      <alignment horizontal="left" vertical="top"/>
      <protection locked="0"/>
    </xf>
    <xf numFmtId="0" fontId="6" fillId="0" borderId="5"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2" borderId="4" xfId="1" applyFont="1" applyFill="1" applyBorder="1" applyAlignment="1" applyProtection="1">
      <alignment horizontal="left" vertical="top" wrapText="1"/>
      <protection locked="0"/>
    </xf>
    <xf numFmtId="0" fontId="6" fillId="0" borderId="4" xfId="1" applyFont="1" applyBorder="1" applyAlignment="1" applyProtection="1">
      <alignment horizontal="left" vertical="top" wrapText="1"/>
      <protection locked="0"/>
    </xf>
    <xf numFmtId="0" fontId="7" fillId="0" borderId="2" xfId="1" applyFont="1" applyBorder="1" applyAlignment="1" applyProtection="1">
      <alignment horizontal="left" vertical="top" wrapText="1"/>
      <protection locked="0"/>
    </xf>
    <xf numFmtId="0" fontId="7" fillId="0" borderId="3"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12" fillId="0" borderId="5" xfId="1" applyFont="1" applyBorder="1" applyAlignment="1" applyProtection="1">
      <alignment horizontal="left" vertical="top"/>
      <protection locked="0"/>
    </xf>
    <xf numFmtId="0" fontId="12" fillId="0" borderId="6" xfId="1" applyFont="1" applyBorder="1" applyAlignment="1" applyProtection="1">
      <alignment horizontal="left" vertical="top"/>
      <protection locked="0"/>
    </xf>
    <xf numFmtId="0" fontId="12" fillId="0" borderId="7" xfId="1" applyFont="1" applyBorder="1" applyAlignment="1" applyProtection="1">
      <alignment horizontal="left" vertical="top"/>
      <protection locked="0"/>
    </xf>
    <xf numFmtId="0" fontId="12" fillId="0" borderId="8" xfId="1" applyFont="1" applyBorder="1" applyAlignment="1" applyProtection="1">
      <alignment horizontal="left" vertical="top"/>
      <protection locked="0"/>
    </xf>
    <xf numFmtId="0" fontId="12" fillId="0" borderId="9" xfId="1" applyFont="1" applyBorder="1" applyAlignment="1" applyProtection="1">
      <alignment horizontal="left" vertical="top"/>
      <protection locked="0"/>
    </xf>
    <xf numFmtId="0" fontId="12" fillId="0" borderId="10" xfId="1" applyFont="1" applyBorder="1" applyAlignment="1" applyProtection="1">
      <alignment horizontal="left" vertical="top"/>
      <protection locked="0"/>
    </xf>
    <xf numFmtId="0" fontId="12" fillId="0" borderId="5" xfId="1" applyFont="1" applyBorder="1" applyAlignment="1" applyProtection="1">
      <alignment horizontal="left" vertical="top" wrapText="1"/>
      <protection locked="0"/>
    </xf>
    <xf numFmtId="0" fontId="12" fillId="0" borderId="6" xfId="1" applyFont="1" applyBorder="1" applyAlignment="1" applyProtection="1">
      <alignment horizontal="left" vertical="top" wrapText="1"/>
      <protection locked="0"/>
    </xf>
    <xf numFmtId="0" fontId="12" fillId="0" borderId="7" xfId="1" applyFont="1" applyBorder="1" applyAlignment="1" applyProtection="1">
      <alignment horizontal="left" vertical="top" wrapText="1"/>
      <protection locked="0"/>
    </xf>
    <xf numFmtId="0" fontId="12" fillId="0" borderId="4" xfId="1" applyFont="1" applyBorder="1" applyAlignment="1" applyProtection="1">
      <alignment horizontal="left"/>
      <protection locked="0"/>
    </xf>
    <xf numFmtId="0" fontId="11" fillId="0" borderId="1" xfId="1" applyFont="1" applyBorder="1" applyAlignment="1" applyProtection="1">
      <alignment horizontal="center" vertical="top" wrapText="1"/>
      <protection locked="0"/>
    </xf>
    <xf numFmtId="0" fontId="11" fillId="0" borderId="2" xfId="1" applyFont="1" applyBorder="1" applyAlignment="1" applyProtection="1">
      <alignment horizontal="center" vertical="top" wrapText="1"/>
      <protection locked="0"/>
    </xf>
    <xf numFmtId="0" fontId="11" fillId="0" borderId="3" xfId="1" applyFont="1" applyBorder="1" applyAlignment="1" applyProtection="1">
      <alignment horizontal="center" vertical="top" wrapText="1"/>
      <protection locked="0"/>
    </xf>
    <xf numFmtId="14" fontId="6" fillId="0" borderId="1" xfId="1" applyNumberFormat="1" applyFont="1" applyBorder="1" applyAlignment="1" applyProtection="1">
      <alignment horizontal="left" vertical="top"/>
      <protection locked="0"/>
    </xf>
    <xf numFmtId="14" fontId="6" fillId="0" borderId="2" xfId="1" applyNumberFormat="1" applyFont="1" applyBorder="1" applyAlignment="1" applyProtection="1">
      <alignment horizontal="left" vertical="top"/>
      <protection locked="0"/>
    </xf>
    <xf numFmtId="14" fontId="6" fillId="0" borderId="3" xfId="1" applyNumberFormat="1" applyFont="1" applyBorder="1" applyAlignment="1" applyProtection="1">
      <alignment horizontal="left" vertical="top"/>
      <protection locked="0"/>
    </xf>
    <xf numFmtId="0" fontId="8" fillId="0" borderId="1" xfId="1" applyFont="1" applyBorder="1" applyAlignment="1" applyProtection="1">
      <alignment horizontal="left" vertical="top"/>
      <protection locked="0"/>
    </xf>
    <xf numFmtId="0" fontId="8" fillId="0" borderId="2" xfId="1" applyFont="1" applyBorder="1" applyAlignment="1" applyProtection="1">
      <alignment horizontal="left" vertical="top"/>
      <protection locked="0"/>
    </xf>
    <xf numFmtId="0" fontId="8" fillId="0" borderId="3" xfId="1" applyFont="1" applyBorder="1" applyAlignment="1" applyProtection="1">
      <alignment horizontal="left" vertical="top"/>
      <protection locked="0"/>
    </xf>
    <xf numFmtId="0" fontId="12" fillId="0" borderId="1" xfId="1" applyFont="1" applyBorder="1" applyAlignment="1" applyProtection="1">
      <alignment horizontal="left" vertical="center" wrapText="1"/>
      <protection locked="0"/>
    </xf>
    <xf numFmtId="0" fontId="12" fillId="0" borderId="2" xfId="1" applyFont="1" applyBorder="1" applyAlignment="1" applyProtection="1">
      <alignment horizontal="left" vertical="center" wrapText="1"/>
      <protection locked="0"/>
    </xf>
    <xf numFmtId="0" fontId="12" fillId="0" borderId="3" xfId="1" applyFont="1" applyBorder="1" applyAlignment="1" applyProtection="1">
      <alignment horizontal="left" vertical="center" wrapText="1"/>
      <protection locked="0"/>
    </xf>
    <xf numFmtId="0" fontId="12" fillId="0" borderId="1" xfId="1" applyFont="1" applyBorder="1" applyAlignment="1" applyProtection="1">
      <alignment horizontal="left" vertical="top"/>
      <protection locked="0"/>
    </xf>
    <xf numFmtId="0" fontId="12" fillId="0" borderId="2" xfId="1" applyFont="1" applyBorder="1" applyAlignment="1" applyProtection="1">
      <alignment horizontal="left" vertical="top"/>
      <protection locked="0"/>
    </xf>
    <xf numFmtId="0" fontId="12" fillId="0" borderId="3" xfId="1" applyFont="1" applyBorder="1" applyAlignment="1" applyProtection="1">
      <alignment horizontal="left" vertical="top"/>
      <protection locked="0"/>
    </xf>
    <xf numFmtId="164" fontId="6" fillId="0" borderId="1" xfId="1" applyNumberFormat="1" applyFont="1" applyBorder="1" applyAlignment="1" applyProtection="1">
      <alignment horizontal="left" vertical="top"/>
      <protection locked="0"/>
    </xf>
    <xf numFmtId="164" fontId="6" fillId="0" borderId="2" xfId="1" applyNumberFormat="1" applyFont="1" applyBorder="1" applyAlignment="1" applyProtection="1">
      <alignment horizontal="left" vertical="top"/>
      <protection locked="0"/>
    </xf>
    <xf numFmtId="164" fontId="6" fillId="0" borderId="3" xfId="1" applyNumberFormat="1" applyFont="1" applyBorder="1" applyAlignment="1" applyProtection="1">
      <alignment horizontal="left" vertical="top"/>
      <protection locked="0"/>
    </xf>
    <xf numFmtId="0" fontId="12" fillId="0" borderId="1" xfId="1" applyFont="1" applyBorder="1" applyAlignment="1" applyProtection="1">
      <alignment horizontal="center"/>
      <protection locked="0"/>
    </xf>
    <xf numFmtId="0" fontId="12" fillId="0" borderId="3" xfId="1" applyFont="1" applyBorder="1" applyAlignment="1" applyProtection="1">
      <alignment horizontal="center"/>
      <protection locked="0"/>
    </xf>
    <xf numFmtId="2" fontId="6" fillId="0" borderId="1" xfId="1" applyNumberFormat="1" applyFont="1" applyBorder="1" applyAlignment="1" applyProtection="1">
      <alignment horizontal="left" vertical="top" wrapText="1"/>
      <protection locked="0"/>
    </xf>
    <xf numFmtId="2" fontId="6" fillId="0" borderId="2" xfId="1" applyNumberFormat="1" applyFont="1" applyBorder="1" applyAlignment="1" applyProtection="1">
      <alignment horizontal="left" vertical="top" wrapText="1"/>
      <protection locked="0"/>
    </xf>
    <xf numFmtId="2" fontId="6" fillId="0" borderId="3" xfId="1" applyNumberFormat="1" applyFont="1" applyBorder="1" applyAlignment="1" applyProtection="1">
      <alignment horizontal="left" vertical="top" wrapText="1"/>
      <protection locked="0"/>
    </xf>
    <xf numFmtId="0" fontId="13" fillId="0" borderId="1" xfId="1" applyFont="1" applyBorder="1" applyAlignment="1" applyProtection="1">
      <alignment horizontal="center" vertical="top"/>
      <protection locked="0"/>
    </xf>
    <xf numFmtId="0" fontId="13" fillId="0" borderId="2" xfId="1" applyFont="1" applyBorder="1" applyAlignment="1" applyProtection="1">
      <alignment horizontal="center" vertical="top"/>
      <protection locked="0"/>
    </xf>
    <xf numFmtId="0" fontId="13" fillId="0" borderId="3" xfId="1" applyFont="1" applyBorder="1" applyAlignment="1" applyProtection="1">
      <alignment horizontal="center" vertical="top"/>
      <protection locked="0"/>
    </xf>
    <xf numFmtId="0" fontId="12" fillId="0" borderId="1" xfId="1" applyFont="1" applyBorder="1" applyAlignment="1" applyProtection="1">
      <alignment horizontal="center" vertical="top"/>
      <protection locked="0"/>
    </xf>
    <xf numFmtId="0" fontId="12" fillId="0" borderId="2" xfId="1" applyFont="1" applyBorder="1" applyAlignment="1" applyProtection="1">
      <alignment horizontal="center" vertical="top"/>
      <protection locked="0"/>
    </xf>
    <xf numFmtId="0" fontId="12" fillId="0" borderId="3"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13" fillId="0" borderId="3" xfId="1" applyFont="1" applyBorder="1" applyAlignment="1" applyProtection="1">
      <alignment horizontal="center"/>
      <protection locked="0"/>
    </xf>
    <xf numFmtId="0" fontId="10" fillId="0" borderId="1" xfId="1" applyFont="1" applyBorder="1" applyAlignment="1" applyProtection="1">
      <alignment horizontal="left"/>
      <protection locked="0"/>
    </xf>
    <xf numFmtId="0" fontId="10" fillId="0" borderId="2" xfId="1" applyFont="1" applyBorder="1" applyAlignment="1" applyProtection="1">
      <alignment horizontal="left"/>
      <protection locked="0"/>
    </xf>
    <xf numFmtId="0" fontId="10" fillId="0" borderId="3" xfId="1" applyFont="1" applyBorder="1" applyAlignment="1" applyProtection="1">
      <alignment horizontal="left"/>
      <protection locked="0"/>
    </xf>
    <xf numFmtId="0" fontId="21" fillId="0" borderId="1" xfId="7" applyBorder="1" applyAlignment="1" applyProtection="1">
      <alignment horizontal="left"/>
      <protection locked="0"/>
    </xf>
    <xf numFmtId="0" fontId="7" fillId="0" borderId="2" xfId="1" applyFont="1" applyBorder="1" applyAlignment="1" applyProtection="1">
      <alignment horizontal="left"/>
      <protection locked="0"/>
    </xf>
    <xf numFmtId="0" fontId="7" fillId="0" borderId="3" xfId="1" applyFont="1" applyBorder="1" applyAlignment="1" applyProtection="1">
      <alignment horizontal="left"/>
      <protection locked="0"/>
    </xf>
    <xf numFmtId="0" fontId="13" fillId="0" borderId="4" xfId="1" applyFont="1" applyBorder="1" applyAlignment="1" applyProtection="1">
      <alignment horizontal="center" vertical="top" wrapText="1"/>
      <protection locked="0"/>
    </xf>
    <xf numFmtId="0" fontId="14" fillId="0" borderId="4" xfId="1" applyFont="1" applyBorder="1" applyAlignment="1" applyProtection="1">
      <alignment horizontal="center" vertical="top" wrapText="1"/>
      <protection locked="0"/>
    </xf>
    <xf numFmtId="0" fontId="12" fillId="2" borderId="1" xfId="1" applyFont="1" applyFill="1" applyBorder="1" applyAlignment="1" applyProtection="1">
      <alignment horizontal="left" vertical="top" wrapText="1"/>
      <protection locked="0"/>
    </xf>
    <xf numFmtId="0" fontId="12" fillId="2" borderId="2" xfId="1" applyFont="1" applyFill="1" applyBorder="1" applyAlignment="1" applyProtection="1">
      <alignment horizontal="left" vertical="top" wrapText="1"/>
      <protection locked="0"/>
    </xf>
    <xf numFmtId="0" fontId="12" fillId="2" borderId="3" xfId="1" applyFont="1" applyFill="1" applyBorder="1" applyAlignment="1" applyProtection="1">
      <alignment horizontal="left" vertical="top" wrapText="1"/>
      <protection locked="0"/>
    </xf>
    <xf numFmtId="0" fontId="13" fillId="2" borderId="1" xfId="1" applyFont="1" applyFill="1" applyBorder="1" applyAlignment="1" applyProtection="1">
      <alignment horizontal="left" vertical="top"/>
      <protection locked="0"/>
    </xf>
    <xf numFmtId="0" fontId="13" fillId="2" borderId="2" xfId="1" applyFont="1" applyFill="1" applyBorder="1" applyAlignment="1" applyProtection="1">
      <alignment horizontal="left" vertical="top"/>
      <protection locked="0"/>
    </xf>
    <xf numFmtId="0" fontId="13" fillId="2" borderId="3" xfId="1" applyFont="1" applyFill="1" applyBorder="1" applyAlignment="1" applyProtection="1">
      <alignment horizontal="left" vertical="top"/>
      <protection locked="0"/>
    </xf>
    <xf numFmtId="1" fontId="8" fillId="0" borderId="1" xfId="1" applyNumberFormat="1" applyFont="1" applyBorder="1" applyAlignment="1" applyProtection="1">
      <alignment horizontal="center" vertical="top" wrapText="1"/>
      <protection locked="0"/>
    </xf>
    <xf numFmtId="1" fontId="8" fillId="0" borderId="3" xfId="1" applyNumberFormat="1" applyFont="1" applyBorder="1" applyAlignment="1" applyProtection="1">
      <alignment horizontal="center" vertical="top" wrapText="1"/>
      <protection locked="0"/>
    </xf>
    <xf numFmtId="0" fontId="12" fillId="2" borderId="1" xfId="1" applyFont="1" applyFill="1" applyBorder="1" applyAlignment="1" applyProtection="1">
      <alignment horizontal="left" vertical="top"/>
      <protection locked="0"/>
    </xf>
    <xf numFmtId="0" fontId="12" fillId="2" borderId="2" xfId="1" applyFont="1" applyFill="1" applyBorder="1" applyAlignment="1" applyProtection="1">
      <alignment horizontal="left" vertical="top"/>
      <protection locked="0"/>
    </xf>
    <xf numFmtId="0" fontId="12" fillId="2" borderId="3" xfId="1" applyFont="1" applyFill="1" applyBorder="1" applyAlignment="1" applyProtection="1">
      <alignment horizontal="left" vertical="top"/>
      <protection locked="0"/>
    </xf>
    <xf numFmtId="14" fontId="8" fillId="0" borderId="1" xfId="1" applyNumberFormat="1" applyFont="1" applyBorder="1" applyAlignment="1" applyProtection="1">
      <alignment horizontal="left" vertical="top" wrapText="1"/>
      <protection locked="0"/>
    </xf>
    <xf numFmtId="0" fontId="8" fillId="0" borderId="3" xfId="1" applyFont="1" applyBorder="1" applyAlignment="1" applyProtection="1">
      <alignment horizontal="left" vertical="top" wrapText="1"/>
      <protection locked="0"/>
    </xf>
    <xf numFmtId="0" fontId="12" fillId="0" borderId="8" xfId="1" applyFont="1" applyBorder="1" applyAlignment="1" applyProtection="1">
      <alignment horizontal="left" vertical="top" wrapText="1"/>
      <protection locked="0"/>
    </xf>
    <xf numFmtId="0" fontId="12" fillId="0" borderId="10" xfId="1" applyFont="1" applyBorder="1" applyAlignment="1" applyProtection="1">
      <alignment horizontal="left" vertical="top" wrapText="1"/>
      <protection locked="0"/>
    </xf>
    <xf numFmtId="14" fontId="12" fillId="0" borderId="1" xfId="1" applyNumberFormat="1" applyFont="1" applyBorder="1" applyAlignment="1" applyProtection="1">
      <alignment horizontal="left" vertical="top" wrapText="1"/>
      <protection locked="0"/>
    </xf>
    <xf numFmtId="2" fontId="12" fillId="0" borderId="1" xfId="1" applyNumberFormat="1" applyFont="1" applyBorder="1" applyAlignment="1" applyProtection="1">
      <alignment horizontal="left" vertical="top"/>
      <protection locked="0"/>
    </xf>
    <xf numFmtId="2" fontId="12" fillId="0" borderId="2" xfId="1" applyNumberFormat="1" applyFont="1" applyBorder="1" applyAlignment="1" applyProtection="1">
      <alignment horizontal="left" vertical="top"/>
      <protection locked="0"/>
    </xf>
    <xf numFmtId="2" fontId="12" fillId="0" borderId="3" xfId="1" applyNumberFormat="1" applyFont="1" applyBorder="1" applyAlignment="1" applyProtection="1">
      <alignment horizontal="left" vertical="top"/>
      <protection locked="0"/>
    </xf>
    <xf numFmtId="164" fontId="12" fillId="0" borderId="1" xfId="1" applyNumberFormat="1" applyFont="1" applyBorder="1" applyAlignment="1" applyProtection="1">
      <alignment horizontal="left" vertical="top"/>
      <protection locked="0"/>
    </xf>
    <xf numFmtId="164" fontId="12" fillId="0" borderId="2" xfId="1" applyNumberFormat="1" applyFont="1" applyBorder="1" applyAlignment="1" applyProtection="1">
      <alignment horizontal="left" vertical="top"/>
      <protection locked="0"/>
    </xf>
    <xf numFmtId="164" fontId="12" fillId="0" borderId="3" xfId="1" applyNumberFormat="1" applyFont="1" applyBorder="1" applyAlignment="1" applyProtection="1">
      <alignment horizontal="left" vertical="top"/>
      <protection locked="0"/>
    </xf>
    <xf numFmtId="0" fontId="8" fillId="0" borderId="1" xfId="1" applyFont="1" applyBorder="1" applyAlignment="1" applyProtection="1">
      <alignment horizontal="left" vertical="top" wrapText="1"/>
      <protection locked="0"/>
    </xf>
    <xf numFmtId="0" fontId="8" fillId="2" borderId="1" xfId="1" applyFont="1" applyFill="1" applyBorder="1" applyAlignment="1" applyProtection="1">
      <alignment horizontal="left" vertical="top" wrapText="1"/>
      <protection locked="0"/>
    </xf>
    <xf numFmtId="0" fontId="8" fillId="2" borderId="2" xfId="1" applyFont="1" applyFill="1" applyBorder="1" applyAlignment="1" applyProtection="1">
      <alignment horizontal="left" vertical="top"/>
      <protection locked="0"/>
    </xf>
    <xf numFmtId="0" fontId="8" fillId="2" borderId="3" xfId="1" applyFont="1" applyFill="1" applyBorder="1" applyAlignment="1" applyProtection="1">
      <alignment horizontal="left" vertical="top"/>
      <protection locked="0"/>
    </xf>
    <xf numFmtId="0" fontId="8" fillId="0" borderId="1" xfId="1" applyFont="1" applyBorder="1" applyAlignment="1" applyProtection="1">
      <alignment vertical="top"/>
      <protection locked="0"/>
    </xf>
    <xf numFmtId="0" fontId="8" fillId="0" borderId="2" xfId="1" applyFont="1" applyBorder="1" applyAlignment="1" applyProtection="1">
      <alignment vertical="top"/>
      <protection locked="0"/>
    </xf>
    <xf numFmtId="0" fontId="8" fillId="0" borderId="3" xfId="1" applyFont="1" applyBorder="1" applyAlignment="1" applyProtection="1">
      <alignment vertical="top"/>
      <protection locked="0"/>
    </xf>
    <xf numFmtId="1" fontId="8" fillId="0" borderId="1" xfId="0" applyNumberFormat="1" applyFont="1" applyBorder="1" applyAlignment="1" applyProtection="1">
      <alignment horizontal="center" vertical="center" wrapText="1"/>
      <protection locked="0"/>
    </xf>
    <xf numFmtId="1" fontId="8" fillId="0" borderId="2" xfId="0" applyNumberFormat="1" applyFont="1" applyBorder="1" applyAlignment="1" applyProtection="1">
      <alignment horizontal="center" vertical="center" wrapText="1"/>
      <protection locked="0"/>
    </xf>
    <xf numFmtId="1" fontId="8" fillId="0" borderId="3" xfId="0" applyNumberFormat="1" applyFont="1" applyBorder="1" applyAlignment="1" applyProtection="1">
      <alignment horizontal="center" vertical="center" wrapText="1"/>
      <protection locked="0"/>
    </xf>
    <xf numFmtId="0" fontId="13" fillId="0" borderId="1" xfId="1" applyFont="1" applyBorder="1" applyAlignment="1" applyProtection="1">
      <alignment horizontal="left" vertical="top"/>
      <protection locked="0"/>
    </xf>
    <xf numFmtId="0" fontId="13" fillId="0" borderId="3" xfId="1" applyFont="1" applyBorder="1" applyAlignment="1" applyProtection="1">
      <alignment horizontal="left" vertical="top"/>
      <protection locked="0"/>
    </xf>
    <xf numFmtId="0" fontId="13" fillId="0" borderId="1" xfId="1" applyFont="1" applyBorder="1" applyAlignment="1" applyProtection="1">
      <alignment horizontal="left" vertical="top" wrapText="1"/>
      <protection locked="0"/>
    </xf>
    <xf numFmtId="0" fontId="13" fillId="0" borderId="2" xfId="1" applyFont="1" applyBorder="1" applyAlignment="1" applyProtection="1">
      <alignment horizontal="left" vertical="top" wrapText="1"/>
      <protection locked="0"/>
    </xf>
    <xf numFmtId="0" fontId="13" fillId="0" borderId="3" xfId="1" applyFont="1" applyBorder="1" applyAlignment="1" applyProtection="1">
      <alignment horizontal="left" vertical="top" wrapText="1"/>
      <protection locked="0"/>
    </xf>
    <xf numFmtId="4" fontId="12" fillId="0" borderId="1" xfId="1" applyNumberFormat="1" applyFont="1" applyBorder="1" applyAlignment="1" applyProtection="1">
      <alignment horizontal="left" vertical="top"/>
      <protection locked="0"/>
    </xf>
    <xf numFmtId="1" fontId="8" fillId="0" borderId="1" xfId="0" applyNumberFormat="1" applyFont="1" applyBorder="1" applyAlignment="1" applyProtection="1">
      <alignment horizontal="center" vertical="top" wrapText="1"/>
      <protection locked="0"/>
    </xf>
    <xf numFmtId="1" fontId="8" fillId="0" borderId="3" xfId="0" applyNumberFormat="1" applyFont="1" applyBorder="1" applyAlignment="1" applyProtection="1">
      <alignment horizontal="center" vertical="top" wrapText="1"/>
      <protection locked="0"/>
    </xf>
    <xf numFmtId="0" fontId="7" fillId="3" borderId="4" xfId="1" applyFont="1" applyFill="1" applyBorder="1" applyAlignment="1">
      <alignment horizontal="left"/>
    </xf>
    <xf numFmtId="0" fontId="7" fillId="3" borderId="4" xfId="1" applyFont="1" applyFill="1" applyBorder="1" applyAlignment="1">
      <alignment horizontal="left" vertical="top"/>
    </xf>
    <xf numFmtId="0" fontId="7" fillId="4" borderId="5" xfId="1" applyFont="1" applyFill="1" applyBorder="1" applyAlignment="1">
      <alignment horizontal="left" vertical="top"/>
    </xf>
    <xf numFmtId="0" fontId="7" fillId="4" borderId="6" xfId="1" applyFont="1" applyFill="1" applyBorder="1" applyAlignment="1">
      <alignment horizontal="left" vertical="top"/>
    </xf>
    <xf numFmtId="0" fontId="7" fillId="4" borderId="7" xfId="1" applyFont="1" applyFill="1" applyBorder="1" applyAlignment="1">
      <alignment horizontal="left" vertical="top"/>
    </xf>
    <xf numFmtId="0" fontId="7" fillId="4" borderId="8" xfId="1" applyFont="1" applyFill="1" applyBorder="1" applyAlignment="1">
      <alignment horizontal="left" vertical="top"/>
    </xf>
    <xf numFmtId="0" fontId="7" fillId="4" borderId="9" xfId="1" applyFont="1" applyFill="1" applyBorder="1" applyAlignment="1">
      <alignment horizontal="left" vertical="top"/>
    </xf>
    <xf numFmtId="0" fontId="7" fillId="4" borderId="10" xfId="1" applyFont="1" applyFill="1" applyBorder="1" applyAlignment="1">
      <alignment horizontal="left" vertical="top"/>
    </xf>
    <xf numFmtId="0" fontId="7" fillId="3" borderId="1" xfId="1" applyFont="1" applyFill="1" applyBorder="1" applyAlignment="1">
      <alignment horizontal="left" vertical="top" wrapText="1"/>
    </xf>
    <xf numFmtId="0" fontId="7" fillId="3" borderId="2" xfId="1" applyFont="1" applyFill="1" applyBorder="1" applyAlignment="1">
      <alignment horizontal="left" vertical="top" wrapText="1"/>
    </xf>
    <xf numFmtId="0" fontId="7" fillId="3" borderId="3" xfId="1" applyFont="1" applyFill="1" applyBorder="1" applyAlignment="1">
      <alignment horizontal="left" vertical="top" wrapText="1"/>
    </xf>
    <xf numFmtId="0" fontId="9" fillId="0" borderId="4" xfId="5" applyFont="1" applyBorder="1" applyAlignment="1">
      <alignment horizontal="left"/>
    </xf>
    <xf numFmtId="0" fontId="0" fillId="3" borderId="4" xfId="0" applyFill="1" applyBorder="1" applyAlignment="1">
      <alignment horizontal="center" wrapText="1"/>
    </xf>
    <xf numFmtId="0" fontId="9" fillId="0" borderId="4" xfId="0" applyFont="1" applyBorder="1" applyAlignment="1">
      <alignment horizontal="center"/>
    </xf>
    <xf numFmtId="14" fontId="12" fillId="0" borderId="3" xfId="1" applyNumberFormat="1" applyFont="1" applyBorder="1" applyAlignment="1" applyProtection="1">
      <alignment horizontal="left" vertical="top" wrapText="1"/>
      <protection locked="0"/>
    </xf>
    <xf numFmtId="9" fontId="12" fillId="2" borderId="28" xfId="1" applyNumberFormat="1" applyFont="1" applyFill="1" applyBorder="1" applyAlignment="1" applyProtection="1">
      <alignment horizontal="center" vertical="center" wrapText="1"/>
      <protection hidden="1"/>
    </xf>
    <xf numFmtId="0" fontId="13" fillId="0" borderId="29" xfId="1" applyFont="1" applyBorder="1" applyAlignment="1" applyProtection="1">
      <alignment horizontal="left" vertical="top" wrapText="1"/>
      <protection locked="0"/>
    </xf>
    <xf numFmtId="0" fontId="12" fillId="0" borderId="28" xfId="1" applyFont="1" applyBorder="1" applyAlignment="1" applyProtection="1">
      <alignment horizontal="center" wrapText="1"/>
      <protection locked="0"/>
    </xf>
    <xf numFmtId="9" fontId="12" fillId="2" borderId="28" xfId="1" applyNumberFormat="1" applyFont="1" applyFill="1" applyBorder="1" applyAlignment="1" applyProtection="1">
      <alignment horizontal="center" vertical="center" wrapText="1"/>
      <protection hidden="1"/>
    </xf>
    <xf numFmtId="0" fontId="12" fillId="0" borderId="28" xfId="1" applyFont="1" applyBorder="1" applyAlignment="1" applyProtection="1">
      <alignment horizontal="center" vertical="top" wrapText="1"/>
      <protection locked="0"/>
    </xf>
    <xf numFmtId="0" fontId="13" fillId="0" borderId="32" xfId="1" applyFont="1" applyBorder="1" applyAlignment="1" applyProtection="1">
      <alignment horizontal="center" vertical="center" wrapText="1"/>
      <protection locked="0"/>
    </xf>
    <xf numFmtId="0" fontId="13" fillId="0" borderId="33" xfId="1" applyFont="1" applyBorder="1" applyAlignment="1" applyProtection="1">
      <alignment horizontal="center" vertical="center" wrapText="1"/>
      <protection locked="0"/>
    </xf>
    <xf numFmtId="9" fontId="13" fillId="0" borderId="30" xfId="1" applyNumberFormat="1" applyFont="1" applyBorder="1" applyAlignment="1" applyProtection="1">
      <alignment horizontal="center" vertical="center" wrapText="1"/>
      <protection locked="0"/>
    </xf>
    <xf numFmtId="0" fontId="13" fillId="0" borderId="31" xfId="1" applyFont="1" applyBorder="1" applyAlignment="1" applyProtection="1">
      <alignment horizontal="center" vertical="center" wrapText="1"/>
      <protection locked="0"/>
    </xf>
    <xf numFmtId="9" fontId="13" fillId="2" borderId="30" xfId="1" applyNumberFormat="1" applyFont="1" applyFill="1" applyBorder="1" applyAlignment="1" applyProtection="1">
      <alignment horizontal="center" vertical="center" wrapText="1"/>
      <protection hidden="1"/>
    </xf>
    <xf numFmtId="9" fontId="13" fillId="2" borderId="31" xfId="1" applyNumberFormat="1" applyFont="1" applyFill="1" applyBorder="1" applyAlignment="1" applyProtection="1">
      <alignment horizontal="center" vertical="center" wrapText="1"/>
      <protection hidden="1"/>
    </xf>
  </cellXfs>
  <cellStyles count="8">
    <cellStyle name="Comma 2" xfId="6"/>
    <cellStyle name="Excel Built-in Normal" xfId="2"/>
    <cellStyle name="Excel Built-in Normal 2" xfId="4"/>
    <cellStyle name="Hyperlink" xfId="7" builtinId="8"/>
    <cellStyle name="Normal" xfId="0" builtinId="0"/>
    <cellStyle name="Normal 2" xfId="3"/>
    <cellStyle name="Normal 3" xfId="1"/>
    <cellStyle name="Normal 4"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s>
</file>

<file path=xl/drawings/_rels/drawing2.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6.png"/><Relationship Id="rId1" Type="http://schemas.openxmlformats.org/officeDocument/2006/relationships/image" Target="../media/image15.png"/><Relationship Id="rId4" Type="http://schemas.openxmlformats.org/officeDocument/2006/relationships/image" Target="../media/image18.png"/></Relationships>
</file>

<file path=xl/drawings/_rels/drawing3.xml.rels><?xml version="1.0" encoding="UTF-8" standalone="yes"?>
<Relationships xmlns="http://schemas.openxmlformats.org/package/2006/relationships"><Relationship Id="rId3" Type="http://schemas.openxmlformats.org/officeDocument/2006/relationships/image" Target="../media/image21.jpeg"/><Relationship Id="rId2" Type="http://schemas.openxmlformats.org/officeDocument/2006/relationships/image" Target="../media/image20.jpeg"/><Relationship Id="rId1" Type="http://schemas.openxmlformats.org/officeDocument/2006/relationships/image" Target="../media/image19.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0</xdr:col>
      <xdr:colOff>537882</xdr:colOff>
      <xdr:row>710</xdr:row>
      <xdr:rowOff>4357</xdr:rowOff>
    </xdr:from>
    <xdr:to>
      <xdr:col>7</xdr:col>
      <xdr:colOff>488457</xdr:colOff>
      <xdr:row>728</xdr:row>
      <xdr:rowOff>54333</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537882" y="55415204"/>
          <a:ext cx="5977099" cy="3600000"/>
        </a:xfrm>
        <a:prstGeom prst="rect">
          <a:avLst/>
        </a:prstGeom>
        <a:ln>
          <a:solidFill>
            <a:schemeClr val="tx1"/>
          </a:solidFill>
        </a:ln>
      </xdr:spPr>
    </xdr:pic>
    <xdr:clientData/>
  </xdr:twoCellAnchor>
  <xdr:twoCellAnchor editAs="oneCell">
    <xdr:from>
      <xdr:col>0</xdr:col>
      <xdr:colOff>537882</xdr:colOff>
      <xdr:row>691</xdr:row>
      <xdr:rowOff>17929</xdr:rowOff>
    </xdr:from>
    <xdr:to>
      <xdr:col>7</xdr:col>
      <xdr:colOff>488457</xdr:colOff>
      <xdr:row>709</xdr:row>
      <xdr:rowOff>67906</xdr:rowOff>
    </xdr:to>
    <xdr:pic>
      <xdr:nvPicPr>
        <xdr:cNvPr id="3" name="Picture 2">
          <a:extLst>
            <a:ext uri="{FF2B5EF4-FFF2-40B4-BE49-F238E27FC236}">
              <a16:creationId xmlns:a16="http://schemas.microsoft.com/office/drawing/2014/main" xmlns="" id="{00000000-0008-0000-0000-00000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537882" y="51681529"/>
          <a:ext cx="5977099" cy="3600000"/>
        </a:xfrm>
        <a:prstGeom prst="rect">
          <a:avLst/>
        </a:prstGeom>
        <a:ln>
          <a:solidFill>
            <a:schemeClr val="tx1"/>
          </a:solidFill>
        </a:ln>
      </xdr:spPr>
    </xdr:pic>
    <xdr:clientData/>
  </xdr:twoCellAnchor>
  <xdr:twoCellAnchor>
    <xdr:from>
      <xdr:col>1</xdr:col>
      <xdr:colOff>351595</xdr:colOff>
      <xdr:row>699</xdr:row>
      <xdr:rowOff>7265</xdr:rowOff>
    </xdr:from>
    <xdr:to>
      <xdr:col>3</xdr:col>
      <xdr:colOff>298985</xdr:colOff>
      <xdr:row>700</xdr:row>
      <xdr:rowOff>176572</xdr:rowOff>
    </xdr:to>
    <xdr:sp macro="" textlink="">
      <xdr:nvSpPr>
        <xdr:cNvPr id="16" name="Rectangle 15">
          <a:extLst>
            <a:ext uri="{FF2B5EF4-FFF2-40B4-BE49-F238E27FC236}">
              <a16:creationId xmlns:a16="http://schemas.microsoft.com/office/drawing/2014/main" xmlns="" id="{00000000-0008-0000-0000-000010000000}"/>
            </a:ext>
          </a:extLst>
        </xdr:cNvPr>
        <xdr:cNvSpPr/>
      </xdr:nvSpPr>
      <xdr:spPr>
        <a:xfrm>
          <a:off x="1113595" y="140520065"/>
          <a:ext cx="1585690" cy="3693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FF00"/>
              </a:solidFill>
            </a:rPr>
            <a:t>Building No.30</a:t>
          </a:r>
        </a:p>
      </xdr:txBody>
    </xdr:sp>
    <xdr:clientData/>
  </xdr:twoCellAnchor>
  <xdr:twoCellAnchor>
    <xdr:from>
      <xdr:col>8</xdr:col>
      <xdr:colOff>927792</xdr:colOff>
      <xdr:row>648</xdr:row>
      <xdr:rowOff>67504</xdr:rowOff>
    </xdr:from>
    <xdr:to>
      <xdr:col>9</xdr:col>
      <xdr:colOff>14053</xdr:colOff>
      <xdr:row>650</xdr:row>
      <xdr:rowOff>81168</xdr:rowOff>
    </xdr:to>
    <xdr:sp macro="" textlink="">
      <xdr:nvSpPr>
        <xdr:cNvPr id="26" name="TextBox 1">
          <a:extLst>
            <a:ext uri="{FF2B5EF4-FFF2-40B4-BE49-F238E27FC236}">
              <a16:creationId xmlns:a16="http://schemas.microsoft.com/office/drawing/2014/main" xmlns="" id="{00000000-0008-0000-0000-00001A000000}"/>
            </a:ext>
          </a:extLst>
        </xdr:cNvPr>
        <xdr:cNvSpPr txBox="1"/>
      </xdr:nvSpPr>
      <xdr:spPr>
        <a:xfrm>
          <a:off x="7346814" y="130278395"/>
          <a:ext cx="444609" cy="402947"/>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wrap="square" rtlCol="0" anchor="t">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2000" b="1"/>
            <a:t>24</a:t>
          </a:r>
        </a:p>
      </xdr:txBody>
    </xdr:sp>
    <xdr:clientData/>
  </xdr:twoCellAnchor>
  <xdr:twoCellAnchor>
    <xdr:from>
      <xdr:col>9</xdr:col>
      <xdr:colOff>43102</xdr:colOff>
      <xdr:row>647</xdr:row>
      <xdr:rowOff>168073</xdr:rowOff>
    </xdr:from>
    <xdr:to>
      <xdr:col>9</xdr:col>
      <xdr:colOff>487711</xdr:colOff>
      <xdr:row>649</xdr:row>
      <xdr:rowOff>181738</xdr:rowOff>
    </xdr:to>
    <xdr:sp macro="" textlink="">
      <xdr:nvSpPr>
        <xdr:cNvPr id="27" name="TextBox 34">
          <a:extLst>
            <a:ext uri="{FF2B5EF4-FFF2-40B4-BE49-F238E27FC236}">
              <a16:creationId xmlns:a16="http://schemas.microsoft.com/office/drawing/2014/main" xmlns="" id="{00000000-0008-0000-0000-00001B000000}"/>
            </a:ext>
          </a:extLst>
        </xdr:cNvPr>
        <xdr:cNvSpPr txBox="1"/>
      </xdr:nvSpPr>
      <xdr:spPr>
        <a:xfrm>
          <a:off x="7820472" y="130180182"/>
          <a:ext cx="444609" cy="402947"/>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wrap="square" rtlCol="0" anchor="t">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2000" b="1"/>
            <a:t>25</a:t>
          </a:r>
        </a:p>
      </xdr:txBody>
    </xdr:sp>
    <xdr:clientData/>
  </xdr:twoCellAnchor>
  <xdr:twoCellAnchor>
    <xdr:from>
      <xdr:col>11</xdr:col>
      <xdr:colOff>100433</xdr:colOff>
      <xdr:row>647</xdr:row>
      <xdr:rowOff>168073</xdr:rowOff>
    </xdr:from>
    <xdr:to>
      <xdr:col>11</xdr:col>
      <xdr:colOff>545042</xdr:colOff>
      <xdr:row>649</xdr:row>
      <xdr:rowOff>181738</xdr:rowOff>
    </xdr:to>
    <xdr:sp macro="" textlink="">
      <xdr:nvSpPr>
        <xdr:cNvPr id="28" name="TextBox 35">
          <a:extLst>
            <a:ext uri="{FF2B5EF4-FFF2-40B4-BE49-F238E27FC236}">
              <a16:creationId xmlns:a16="http://schemas.microsoft.com/office/drawing/2014/main" xmlns="" id="{00000000-0008-0000-0000-00001C000000}"/>
            </a:ext>
          </a:extLst>
        </xdr:cNvPr>
        <xdr:cNvSpPr txBox="1"/>
      </xdr:nvSpPr>
      <xdr:spPr>
        <a:xfrm>
          <a:off x="9550890" y="130180182"/>
          <a:ext cx="444609" cy="402947"/>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wrap="square" rtlCol="0" anchor="t">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2000" b="1"/>
            <a:t>26</a:t>
          </a:r>
        </a:p>
      </xdr:txBody>
    </xdr:sp>
    <xdr:clientData/>
  </xdr:twoCellAnchor>
  <xdr:twoCellAnchor>
    <xdr:from>
      <xdr:col>9</xdr:col>
      <xdr:colOff>633945</xdr:colOff>
      <xdr:row>662</xdr:row>
      <xdr:rowOff>4507</xdr:rowOff>
    </xdr:from>
    <xdr:to>
      <xdr:col>10</xdr:col>
      <xdr:colOff>208881</xdr:colOff>
      <xdr:row>664</xdr:row>
      <xdr:rowOff>9889</xdr:rowOff>
    </xdr:to>
    <xdr:sp macro="" textlink="">
      <xdr:nvSpPr>
        <xdr:cNvPr id="29" name="TextBox 36">
          <a:extLst>
            <a:ext uri="{FF2B5EF4-FFF2-40B4-BE49-F238E27FC236}">
              <a16:creationId xmlns:a16="http://schemas.microsoft.com/office/drawing/2014/main" xmlns="" id="{00000000-0008-0000-0000-00001D000000}"/>
            </a:ext>
          </a:extLst>
        </xdr:cNvPr>
        <xdr:cNvSpPr txBox="1"/>
      </xdr:nvSpPr>
      <xdr:spPr>
        <a:xfrm>
          <a:off x="8411315" y="132990072"/>
          <a:ext cx="444609" cy="402947"/>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wrap="square" rtlCol="0" anchor="t">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2000" b="1"/>
            <a:t>27</a:t>
          </a:r>
        </a:p>
      </xdr:txBody>
    </xdr:sp>
    <xdr:clientData/>
  </xdr:twoCellAnchor>
  <xdr:twoCellAnchor>
    <xdr:from>
      <xdr:col>8</xdr:col>
      <xdr:colOff>1356531</xdr:colOff>
      <xdr:row>662</xdr:row>
      <xdr:rowOff>24026</xdr:rowOff>
    </xdr:from>
    <xdr:to>
      <xdr:col>9</xdr:col>
      <xdr:colOff>442792</xdr:colOff>
      <xdr:row>664</xdr:row>
      <xdr:rowOff>29408</xdr:rowOff>
    </xdr:to>
    <xdr:sp macro="" textlink="">
      <xdr:nvSpPr>
        <xdr:cNvPr id="30" name="TextBox 37">
          <a:extLst>
            <a:ext uri="{FF2B5EF4-FFF2-40B4-BE49-F238E27FC236}">
              <a16:creationId xmlns:a16="http://schemas.microsoft.com/office/drawing/2014/main" xmlns="" id="{00000000-0008-0000-0000-00001E000000}"/>
            </a:ext>
          </a:extLst>
        </xdr:cNvPr>
        <xdr:cNvSpPr txBox="1"/>
      </xdr:nvSpPr>
      <xdr:spPr>
        <a:xfrm>
          <a:off x="7775553" y="133009591"/>
          <a:ext cx="444609" cy="402947"/>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wrap="square" rtlCol="0" anchor="t">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2000" b="1"/>
            <a:t>28</a:t>
          </a:r>
        </a:p>
      </xdr:txBody>
    </xdr:sp>
    <xdr:clientData/>
  </xdr:twoCellAnchor>
  <xdr:twoCellAnchor>
    <xdr:from>
      <xdr:col>8</xdr:col>
      <xdr:colOff>605482</xdr:colOff>
      <xdr:row>660</xdr:row>
      <xdr:rowOff>75082</xdr:rowOff>
    </xdr:from>
    <xdr:to>
      <xdr:col>8</xdr:col>
      <xdr:colOff>1050091</xdr:colOff>
      <xdr:row>662</xdr:row>
      <xdr:rowOff>79222</xdr:rowOff>
    </xdr:to>
    <xdr:sp macro="" textlink="">
      <xdr:nvSpPr>
        <xdr:cNvPr id="31" name="TextBox 38">
          <a:extLst>
            <a:ext uri="{FF2B5EF4-FFF2-40B4-BE49-F238E27FC236}">
              <a16:creationId xmlns:a16="http://schemas.microsoft.com/office/drawing/2014/main" xmlns="" id="{00000000-0008-0000-0000-00001F000000}"/>
            </a:ext>
          </a:extLst>
        </xdr:cNvPr>
        <xdr:cNvSpPr txBox="1"/>
      </xdr:nvSpPr>
      <xdr:spPr>
        <a:xfrm>
          <a:off x="7024504" y="132663082"/>
          <a:ext cx="444609" cy="40170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wrap="square" rtlCol="0" anchor="t">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2000" b="1"/>
            <a:t>29</a:t>
          </a:r>
        </a:p>
      </xdr:txBody>
    </xdr:sp>
    <xdr:clientData/>
  </xdr:twoCellAnchor>
  <xdr:twoCellAnchor>
    <xdr:from>
      <xdr:col>10</xdr:col>
      <xdr:colOff>471112</xdr:colOff>
      <xdr:row>661</xdr:row>
      <xdr:rowOff>76530</xdr:rowOff>
    </xdr:from>
    <xdr:to>
      <xdr:col>11</xdr:col>
      <xdr:colOff>109822</xdr:colOff>
      <xdr:row>663</xdr:row>
      <xdr:rowOff>81913</xdr:rowOff>
    </xdr:to>
    <xdr:sp macro="" textlink="">
      <xdr:nvSpPr>
        <xdr:cNvPr id="32" name="TextBox 39">
          <a:extLst>
            <a:ext uri="{FF2B5EF4-FFF2-40B4-BE49-F238E27FC236}">
              <a16:creationId xmlns:a16="http://schemas.microsoft.com/office/drawing/2014/main" xmlns="" id="{00000000-0008-0000-0000-000020000000}"/>
            </a:ext>
          </a:extLst>
        </xdr:cNvPr>
        <xdr:cNvSpPr txBox="1"/>
      </xdr:nvSpPr>
      <xdr:spPr>
        <a:xfrm>
          <a:off x="9118155" y="132863313"/>
          <a:ext cx="442124" cy="402948"/>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wrap="square" rtlCol="0" anchor="t">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2000" b="1"/>
            <a:t>30</a:t>
          </a:r>
        </a:p>
      </xdr:txBody>
    </xdr:sp>
    <xdr:clientData/>
  </xdr:twoCellAnchor>
  <xdr:twoCellAnchor>
    <xdr:from>
      <xdr:col>0</xdr:col>
      <xdr:colOff>133186</xdr:colOff>
      <xdr:row>646</xdr:row>
      <xdr:rowOff>123825</xdr:rowOff>
    </xdr:from>
    <xdr:to>
      <xdr:col>7</xdr:col>
      <xdr:colOff>1209675</xdr:colOff>
      <xdr:row>687</xdr:row>
      <xdr:rowOff>123735</xdr:rowOff>
    </xdr:to>
    <xdr:grpSp>
      <xdr:nvGrpSpPr>
        <xdr:cNvPr id="6" name="Group 5"/>
        <xdr:cNvGrpSpPr/>
      </xdr:nvGrpSpPr>
      <xdr:grpSpPr>
        <a:xfrm>
          <a:off x="133186" y="130540125"/>
          <a:ext cx="6677189" cy="8191410"/>
          <a:chOff x="152236" y="129825750"/>
          <a:chExt cx="6677189" cy="8191410"/>
        </a:xfrm>
      </xdr:grpSpPr>
      <xdr:pic>
        <xdr:nvPicPr>
          <xdr:cNvPr id="47" name="Picture 46" descr="https://vsjcllp.vsjadon.com/upload/insp-239275-846.jp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a:ext>
            </a:extLst>
          </a:blip>
          <a:srcRect/>
          <a:stretch>
            <a:fillRect/>
          </a:stretch>
        </xdr:blipFill>
        <xdr:spPr bwMode="auto">
          <a:xfrm>
            <a:off x="468334" y="129829698"/>
            <a:ext cx="1991737" cy="310085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8" name="Picture 47" descr="https://vsjcllp.vsjadon.com/upload/insp-239275-844.jp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a:ext>
            </a:extLst>
          </a:blip>
          <a:srcRect/>
          <a:stretch>
            <a:fillRect/>
          </a:stretch>
        </xdr:blipFill>
        <xdr:spPr bwMode="auto">
          <a:xfrm>
            <a:off x="2545011" y="129825750"/>
            <a:ext cx="1991737" cy="310085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9" name="Picture 48" descr="https://vsjcllp.vsjadon.com/upload/insp-239275-847.jpg"/>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bwMode="auto">
          <a:xfrm>
            <a:off x="4632391" y="129830044"/>
            <a:ext cx="1991737" cy="310085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0" name="Picture 49" descr="https://vsjcllp.vsjadon.com/upload/insp-243350-846.jp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bwMode="auto">
          <a:xfrm>
            <a:off x="152236" y="133014242"/>
            <a:ext cx="1696282" cy="276706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1" name="Picture 50" descr="https://vsjcllp.vsjadon.com/upload/insp-243350-844.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1920672" y="133017268"/>
            <a:ext cx="1556471" cy="276705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2" name="Picture 51" descr="https://vsjcllp.vsjadon.com/upload/insp-243350-847.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3575116" y="133015034"/>
            <a:ext cx="1556471" cy="276705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3" name="Picture 52" descr="https://vsjcllp.vsjadon.com/upload/insp-243350-848.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5206279" y="133021091"/>
            <a:ext cx="1623146" cy="276705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5" name="Picture 54" descr="https://vsjcllp.vsjadon.com/upload/insp-243350-845.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2752725" y="135851285"/>
            <a:ext cx="162506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6" name="Picture 55" descr="https://vsjcllp.vsjadon.com/upload/insp-243350-843.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1037061" y="135852693"/>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7" name="Picture 56" descr="https://vsjcllp.vsjadon.com/upload/insp-243350-1525.jp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a:ext>
            </a:extLst>
          </a:blip>
          <a:srcRect/>
          <a:stretch>
            <a:fillRect/>
          </a:stretch>
        </xdr:blipFill>
        <xdr:spPr bwMode="auto">
          <a:xfrm>
            <a:off x="4474629" y="135857160"/>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14</xdr:row>
      <xdr:rowOff>2109</xdr:rowOff>
    </xdr:from>
    <xdr:to>
      <xdr:col>6</xdr:col>
      <xdr:colOff>373195</xdr:colOff>
      <xdr:row>32</xdr:row>
      <xdr:rowOff>173109</xdr:rowOff>
    </xdr:to>
    <xdr:pic>
      <xdr:nvPicPr>
        <xdr:cNvPr id="2" name="Picture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600075" y="2669109"/>
          <a:ext cx="6754945" cy="3600000"/>
        </a:xfrm>
        <a:prstGeom prst="rect">
          <a:avLst/>
        </a:prstGeom>
        <a:ln>
          <a:solidFill>
            <a:schemeClr val="tx1"/>
          </a:solidFill>
        </a:ln>
      </xdr:spPr>
    </xdr:pic>
    <xdr:clientData/>
  </xdr:twoCellAnchor>
  <xdr:twoCellAnchor editAs="oneCell">
    <xdr:from>
      <xdr:col>1</xdr:col>
      <xdr:colOff>0</xdr:colOff>
      <xdr:row>33</xdr:row>
      <xdr:rowOff>186490</xdr:rowOff>
    </xdr:from>
    <xdr:to>
      <xdr:col>6</xdr:col>
      <xdr:colOff>354145</xdr:colOff>
      <xdr:row>52</xdr:row>
      <xdr:rowOff>166990</xdr:rowOff>
    </xdr:to>
    <xdr:pic>
      <xdr:nvPicPr>
        <xdr:cNvPr id="3" name="Picture 2">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581025" y="6472990"/>
          <a:ext cx="6754945" cy="3600000"/>
        </a:xfrm>
        <a:prstGeom prst="rect">
          <a:avLst/>
        </a:prstGeom>
        <a:ln>
          <a:solidFill>
            <a:schemeClr val="tx1"/>
          </a:solidFill>
        </a:ln>
      </xdr:spPr>
    </xdr:pic>
    <xdr:clientData/>
  </xdr:twoCellAnchor>
  <xdr:twoCellAnchor editAs="oneCell">
    <xdr:from>
      <xdr:col>6</xdr:col>
      <xdr:colOff>628650</xdr:colOff>
      <xdr:row>14</xdr:row>
      <xdr:rowOff>0</xdr:rowOff>
    </xdr:from>
    <xdr:to>
      <xdr:col>16</xdr:col>
      <xdr:colOff>306520</xdr:colOff>
      <xdr:row>32</xdr:row>
      <xdr:rowOff>171000</xdr:rowOff>
    </xdr:to>
    <xdr:pic>
      <xdr:nvPicPr>
        <xdr:cNvPr id="4" name="Picture 3">
          <a:extLst>
            <a:ext uri="{FF2B5EF4-FFF2-40B4-BE49-F238E27FC236}">
              <a16:creationId xmlns:a16="http://schemas.microsoft.com/office/drawing/2014/main" xmlns="" id="{00000000-0008-0000-0100-000004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7610475" y="2667000"/>
          <a:ext cx="6754945" cy="3600000"/>
        </a:xfrm>
        <a:prstGeom prst="rect">
          <a:avLst/>
        </a:prstGeom>
        <a:ln>
          <a:solidFill>
            <a:schemeClr val="tx1"/>
          </a:solidFill>
        </a:ln>
      </xdr:spPr>
    </xdr:pic>
    <xdr:clientData/>
  </xdr:twoCellAnchor>
  <xdr:twoCellAnchor editAs="oneCell">
    <xdr:from>
      <xdr:col>6</xdr:col>
      <xdr:colOff>698935</xdr:colOff>
      <xdr:row>33</xdr:row>
      <xdr:rowOff>164128</xdr:rowOff>
    </xdr:from>
    <xdr:to>
      <xdr:col>16</xdr:col>
      <xdr:colOff>376805</xdr:colOff>
      <xdr:row>52</xdr:row>
      <xdr:rowOff>144628</xdr:rowOff>
    </xdr:to>
    <xdr:pic>
      <xdr:nvPicPr>
        <xdr:cNvPr id="5" name="Picture 4">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7680760" y="6450628"/>
          <a:ext cx="6754945" cy="3600000"/>
        </a:xfrm>
        <a:prstGeom prst="rect">
          <a:avLst/>
        </a:prstGeom>
        <a:ln>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6</xdr:col>
      <xdr:colOff>469244</xdr:colOff>
      <xdr:row>20</xdr:row>
      <xdr:rowOff>125280</xdr:rowOff>
    </xdr:to>
    <xdr:pic>
      <xdr:nvPicPr>
        <xdr:cNvPr id="2" name="Picture 1">
          <a:extLst>
            <a:ext uri="{FF2B5EF4-FFF2-40B4-BE49-F238E27FC236}">
              <a16:creationId xmlns:a16="http://schemas.microsoft.com/office/drawing/2014/main" xmlns="" id="{00000000-0008-0000-0200-000002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1371600" y="182880"/>
          <a:ext cx="2907644" cy="3600000"/>
        </a:xfrm>
        <a:prstGeom prst="rect">
          <a:avLst/>
        </a:prstGeom>
        <a:ln>
          <a:solidFill>
            <a:schemeClr val="tx1"/>
          </a:solidFill>
        </a:ln>
      </xdr:spPr>
    </xdr:pic>
    <xdr:clientData/>
  </xdr:twoCellAnchor>
  <xdr:twoCellAnchor editAs="oneCell">
    <xdr:from>
      <xdr:col>10</xdr:col>
      <xdr:colOff>339254</xdr:colOff>
      <xdr:row>1</xdr:row>
      <xdr:rowOff>41421</xdr:rowOff>
    </xdr:from>
    <xdr:to>
      <xdr:col>16</xdr:col>
      <xdr:colOff>281654</xdr:colOff>
      <xdr:row>12</xdr:row>
      <xdr:rowOff>54741</xdr:rowOff>
    </xdr:to>
    <xdr:pic>
      <xdr:nvPicPr>
        <xdr:cNvPr id="3" name="Picture 2">
          <a:extLst>
            <a:ext uri="{FF2B5EF4-FFF2-40B4-BE49-F238E27FC236}">
              <a16:creationId xmlns:a16="http://schemas.microsoft.com/office/drawing/2014/main" xmlns="" id="{00000000-0008-0000-0200-00000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rot="16200000">
          <a:off x="7375154" y="-563199"/>
          <a:ext cx="2025000" cy="3600000"/>
        </a:xfrm>
        <a:prstGeom prst="rect">
          <a:avLst/>
        </a:prstGeom>
        <a:ln>
          <a:solidFill>
            <a:schemeClr val="tx1"/>
          </a:solidFill>
        </a:ln>
      </xdr:spPr>
    </xdr:pic>
    <xdr:clientData/>
  </xdr:twoCellAnchor>
  <xdr:twoCellAnchor editAs="oneCell">
    <xdr:from>
      <xdr:col>7</xdr:col>
      <xdr:colOff>5788</xdr:colOff>
      <xdr:row>1</xdr:row>
      <xdr:rowOff>30194</xdr:rowOff>
    </xdr:from>
    <xdr:to>
      <xdr:col>10</xdr:col>
      <xdr:colOff>201988</xdr:colOff>
      <xdr:row>20</xdr:row>
      <xdr:rowOff>155474</xdr:rowOff>
    </xdr:to>
    <xdr:pic>
      <xdr:nvPicPr>
        <xdr:cNvPr id="4" name="Picture 3">
          <a:extLst>
            <a:ext uri="{FF2B5EF4-FFF2-40B4-BE49-F238E27FC236}">
              <a16:creationId xmlns:a16="http://schemas.microsoft.com/office/drawing/2014/main" xmlns="" id="{00000000-0008-0000-0200-000004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4425388" y="213074"/>
          <a:ext cx="2025000" cy="360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R9ZfMLvFvpyJyZkL7"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90"/>
  <sheetViews>
    <sheetView tabSelected="1" view="pageBreakPreview" topLeftCell="A231" zoomScaleNormal="100" zoomScaleSheetLayoutView="100" zoomScalePageLayoutView="85" workbookViewId="0">
      <selection activeCell="M60" sqref="M60"/>
    </sheetView>
  </sheetViews>
  <sheetFormatPr defaultColWidth="9.140625" defaultRowHeight="15.75" x14ac:dyDescent="0.25"/>
  <cols>
    <col min="1" max="1" width="11.42578125" style="19" customWidth="1"/>
    <col min="2" max="2" width="11.85546875" style="19" customWidth="1"/>
    <col min="3" max="3" width="12.7109375" style="19" customWidth="1"/>
    <col min="4" max="4" width="12.85546875" style="19" customWidth="1"/>
    <col min="5" max="7" width="11.7109375" style="19" customWidth="1"/>
    <col min="8" max="8" width="20" style="19" customWidth="1"/>
    <col min="9" max="9" width="20.42578125" style="8" customWidth="1"/>
    <col min="10" max="10" width="13" style="8" bestFit="1" customWidth="1"/>
    <col min="11" max="11" width="12" style="8" bestFit="1" customWidth="1"/>
    <col min="12" max="12" width="9.140625" style="8"/>
    <col min="13" max="13" width="11.28515625" style="8" bestFit="1" customWidth="1"/>
    <col min="14" max="252" width="9.140625" style="8"/>
    <col min="253" max="253" width="8.7109375" style="8" customWidth="1"/>
    <col min="254" max="254" width="9.85546875" style="8" customWidth="1"/>
    <col min="255" max="255" width="14.42578125" style="8" customWidth="1"/>
    <col min="256" max="256" width="7.28515625" style="8" customWidth="1"/>
    <col min="257" max="257" width="5.5703125" style="8" customWidth="1"/>
    <col min="258" max="258" width="9" style="8" customWidth="1"/>
    <col min="259" max="260" width="9.85546875" style="8" customWidth="1"/>
    <col min="261" max="261" width="11.140625" style="8" customWidth="1"/>
    <col min="262" max="262" width="2.85546875" style="8" customWidth="1"/>
    <col min="263" max="263" width="3.5703125" style="8" customWidth="1"/>
    <col min="264" max="508" width="9.140625" style="8"/>
    <col min="509" max="509" width="8.7109375" style="8" customWidth="1"/>
    <col min="510" max="510" width="9.85546875" style="8" customWidth="1"/>
    <col min="511" max="511" width="14.42578125" style="8" customWidth="1"/>
    <col min="512" max="512" width="7.28515625" style="8" customWidth="1"/>
    <col min="513" max="513" width="5.5703125" style="8" customWidth="1"/>
    <col min="514" max="514" width="9" style="8" customWidth="1"/>
    <col min="515" max="516" width="9.85546875" style="8" customWidth="1"/>
    <col min="517" max="517" width="11.140625" style="8" customWidth="1"/>
    <col min="518" max="518" width="2.85546875" style="8" customWidth="1"/>
    <col min="519" max="519" width="3.5703125" style="8" customWidth="1"/>
    <col min="520" max="764" width="9.140625" style="8"/>
    <col min="765" max="765" width="8.7109375" style="8" customWidth="1"/>
    <col min="766" max="766" width="9.85546875" style="8" customWidth="1"/>
    <col min="767" max="767" width="14.42578125" style="8" customWidth="1"/>
    <col min="768" max="768" width="7.28515625" style="8" customWidth="1"/>
    <col min="769" max="769" width="5.5703125" style="8" customWidth="1"/>
    <col min="770" max="770" width="9" style="8" customWidth="1"/>
    <col min="771" max="772" width="9.85546875" style="8" customWidth="1"/>
    <col min="773" max="773" width="11.140625" style="8" customWidth="1"/>
    <col min="774" max="774" width="2.85546875" style="8" customWidth="1"/>
    <col min="775" max="775" width="3.5703125" style="8" customWidth="1"/>
    <col min="776" max="1020" width="9.140625" style="8"/>
    <col min="1021" max="1021" width="8.7109375" style="8" customWidth="1"/>
    <col min="1022" max="1022" width="9.85546875" style="8" customWidth="1"/>
    <col min="1023" max="1023" width="14.42578125" style="8" customWidth="1"/>
    <col min="1024" max="1024" width="7.28515625" style="8" customWidth="1"/>
    <col min="1025" max="1025" width="5.5703125" style="8" customWidth="1"/>
    <col min="1026" max="1026" width="9" style="8" customWidth="1"/>
    <col min="1027" max="1028" width="9.85546875" style="8" customWidth="1"/>
    <col min="1029" max="1029" width="11.140625" style="8" customWidth="1"/>
    <col min="1030" max="1030" width="2.85546875" style="8" customWidth="1"/>
    <col min="1031" max="1031" width="3.5703125" style="8" customWidth="1"/>
    <col min="1032" max="1276" width="9.140625" style="8"/>
    <col min="1277" max="1277" width="8.7109375" style="8" customWidth="1"/>
    <col min="1278" max="1278" width="9.85546875" style="8" customWidth="1"/>
    <col min="1279" max="1279" width="14.42578125" style="8" customWidth="1"/>
    <col min="1280" max="1280" width="7.28515625" style="8" customWidth="1"/>
    <col min="1281" max="1281" width="5.5703125" style="8" customWidth="1"/>
    <col min="1282" max="1282" width="9" style="8" customWidth="1"/>
    <col min="1283" max="1284" width="9.85546875" style="8" customWidth="1"/>
    <col min="1285" max="1285" width="11.140625" style="8" customWidth="1"/>
    <col min="1286" max="1286" width="2.85546875" style="8" customWidth="1"/>
    <col min="1287" max="1287" width="3.5703125" style="8" customWidth="1"/>
    <col min="1288" max="1532" width="9.140625" style="8"/>
    <col min="1533" max="1533" width="8.7109375" style="8" customWidth="1"/>
    <col min="1534" max="1534" width="9.85546875" style="8" customWidth="1"/>
    <col min="1535" max="1535" width="14.42578125" style="8" customWidth="1"/>
    <col min="1536" max="1536" width="7.28515625" style="8" customWidth="1"/>
    <col min="1537" max="1537" width="5.5703125" style="8" customWidth="1"/>
    <col min="1538" max="1538" width="9" style="8" customWidth="1"/>
    <col min="1539" max="1540" width="9.85546875" style="8" customWidth="1"/>
    <col min="1541" max="1541" width="11.140625" style="8" customWidth="1"/>
    <col min="1542" max="1542" width="2.85546875" style="8" customWidth="1"/>
    <col min="1543" max="1543" width="3.5703125" style="8" customWidth="1"/>
    <col min="1544" max="1788" width="9.140625" style="8"/>
    <col min="1789" max="1789" width="8.7109375" style="8" customWidth="1"/>
    <col min="1790" max="1790" width="9.85546875" style="8" customWidth="1"/>
    <col min="1791" max="1791" width="14.42578125" style="8" customWidth="1"/>
    <col min="1792" max="1792" width="7.28515625" style="8" customWidth="1"/>
    <col min="1793" max="1793" width="5.5703125" style="8" customWidth="1"/>
    <col min="1794" max="1794" width="9" style="8" customWidth="1"/>
    <col min="1795" max="1796" width="9.85546875" style="8" customWidth="1"/>
    <col min="1797" max="1797" width="11.140625" style="8" customWidth="1"/>
    <col min="1798" max="1798" width="2.85546875" style="8" customWidth="1"/>
    <col min="1799" max="1799" width="3.5703125" style="8" customWidth="1"/>
    <col min="1800" max="2044" width="9.140625" style="8"/>
    <col min="2045" max="2045" width="8.7109375" style="8" customWidth="1"/>
    <col min="2046" max="2046" width="9.85546875" style="8" customWidth="1"/>
    <col min="2047" max="2047" width="14.42578125" style="8" customWidth="1"/>
    <col min="2048" max="2048" width="7.28515625" style="8" customWidth="1"/>
    <col min="2049" max="2049" width="5.5703125" style="8" customWidth="1"/>
    <col min="2050" max="2050" width="9" style="8" customWidth="1"/>
    <col min="2051" max="2052" width="9.85546875" style="8" customWidth="1"/>
    <col min="2053" max="2053" width="11.140625" style="8" customWidth="1"/>
    <col min="2054" max="2054" width="2.85546875" style="8" customWidth="1"/>
    <col min="2055" max="2055" width="3.5703125" style="8" customWidth="1"/>
    <col min="2056" max="2300" width="9.140625" style="8"/>
    <col min="2301" max="2301" width="8.7109375" style="8" customWidth="1"/>
    <col min="2302" max="2302" width="9.85546875" style="8" customWidth="1"/>
    <col min="2303" max="2303" width="14.42578125" style="8" customWidth="1"/>
    <col min="2304" max="2304" width="7.28515625" style="8" customWidth="1"/>
    <col min="2305" max="2305" width="5.5703125" style="8" customWidth="1"/>
    <col min="2306" max="2306" width="9" style="8" customWidth="1"/>
    <col min="2307" max="2308" width="9.85546875" style="8" customWidth="1"/>
    <col min="2309" max="2309" width="11.140625" style="8" customWidth="1"/>
    <col min="2310" max="2310" width="2.85546875" style="8" customWidth="1"/>
    <col min="2311" max="2311" width="3.5703125" style="8" customWidth="1"/>
    <col min="2312" max="2556" width="9.140625" style="8"/>
    <col min="2557" max="2557" width="8.7109375" style="8" customWidth="1"/>
    <col min="2558" max="2558" width="9.85546875" style="8" customWidth="1"/>
    <col min="2559" max="2559" width="14.42578125" style="8" customWidth="1"/>
    <col min="2560" max="2560" width="7.28515625" style="8" customWidth="1"/>
    <col min="2561" max="2561" width="5.5703125" style="8" customWidth="1"/>
    <col min="2562" max="2562" width="9" style="8" customWidth="1"/>
    <col min="2563" max="2564" width="9.85546875" style="8" customWidth="1"/>
    <col min="2565" max="2565" width="11.140625" style="8" customWidth="1"/>
    <col min="2566" max="2566" width="2.85546875" style="8" customWidth="1"/>
    <col min="2567" max="2567" width="3.5703125" style="8" customWidth="1"/>
    <col min="2568" max="2812" width="9.140625" style="8"/>
    <col min="2813" max="2813" width="8.7109375" style="8" customWidth="1"/>
    <col min="2814" max="2814" width="9.85546875" style="8" customWidth="1"/>
    <col min="2815" max="2815" width="14.42578125" style="8" customWidth="1"/>
    <col min="2816" max="2816" width="7.28515625" style="8" customWidth="1"/>
    <col min="2817" max="2817" width="5.5703125" style="8" customWidth="1"/>
    <col min="2818" max="2818" width="9" style="8" customWidth="1"/>
    <col min="2819" max="2820" width="9.85546875" style="8" customWidth="1"/>
    <col min="2821" max="2821" width="11.140625" style="8" customWidth="1"/>
    <col min="2822" max="2822" width="2.85546875" style="8" customWidth="1"/>
    <col min="2823" max="2823" width="3.5703125" style="8" customWidth="1"/>
    <col min="2824" max="3068" width="9.140625" style="8"/>
    <col min="3069" max="3069" width="8.7109375" style="8" customWidth="1"/>
    <col min="3070" max="3070" width="9.85546875" style="8" customWidth="1"/>
    <col min="3071" max="3071" width="14.42578125" style="8" customWidth="1"/>
    <col min="3072" max="3072" width="7.28515625" style="8" customWidth="1"/>
    <col min="3073" max="3073" width="5.5703125" style="8" customWidth="1"/>
    <col min="3074" max="3074" width="9" style="8" customWidth="1"/>
    <col min="3075" max="3076" width="9.85546875" style="8" customWidth="1"/>
    <col min="3077" max="3077" width="11.140625" style="8" customWidth="1"/>
    <col min="3078" max="3078" width="2.85546875" style="8" customWidth="1"/>
    <col min="3079" max="3079" width="3.5703125" style="8" customWidth="1"/>
    <col min="3080" max="3324" width="9.140625" style="8"/>
    <col min="3325" max="3325" width="8.7109375" style="8" customWidth="1"/>
    <col min="3326" max="3326" width="9.85546875" style="8" customWidth="1"/>
    <col min="3327" max="3327" width="14.42578125" style="8" customWidth="1"/>
    <col min="3328" max="3328" width="7.28515625" style="8" customWidth="1"/>
    <col min="3329" max="3329" width="5.5703125" style="8" customWidth="1"/>
    <col min="3330" max="3330" width="9" style="8" customWidth="1"/>
    <col min="3331" max="3332" width="9.85546875" style="8" customWidth="1"/>
    <col min="3333" max="3333" width="11.140625" style="8" customWidth="1"/>
    <col min="3334" max="3334" width="2.85546875" style="8" customWidth="1"/>
    <col min="3335" max="3335" width="3.5703125" style="8" customWidth="1"/>
    <col min="3336" max="3580" width="9.140625" style="8"/>
    <col min="3581" max="3581" width="8.7109375" style="8" customWidth="1"/>
    <col min="3582" max="3582" width="9.85546875" style="8" customWidth="1"/>
    <col min="3583" max="3583" width="14.42578125" style="8" customWidth="1"/>
    <col min="3584" max="3584" width="7.28515625" style="8" customWidth="1"/>
    <col min="3585" max="3585" width="5.5703125" style="8" customWidth="1"/>
    <col min="3586" max="3586" width="9" style="8" customWidth="1"/>
    <col min="3587" max="3588" width="9.85546875" style="8" customWidth="1"/>
    <col min="3589" max="3589" width="11.140625" style="8" customWidth="1"/>
    <col min="3590" max="3590" width="2.85546875" style="8" customWidth="1"/>
    <col min="3591" max="3591" width="3.5703125" style="8" customWidth="1"/>
    <col min="3592" max="3836" width="9.140625" style="8"/>
    <col min="3837" max="3837" width="8.7109375" style="8" customWidth="1"/>
    <col min="3838" max="3838" width="9.85546875" style="8" customWidth="1"/>
    <col min="3839" max="3839" width="14.42578125" style="8" customWidth="1"/>
    <col min="3840" max="3840" width="7.28515625" style="8" customWidth="1"/>
    <col min="3841" max="3841" width="5.5703125" style="8" customWidth="1"/>
    <col min="3842" max="3842" width="9" style="8" customWidth="1"/>
    <col min="3843" max="3844" width="9.85546875" style="8" customWidth="1"/>
    <col min="3845" max="3845" width="11.140625" style="8" customWidth="1"/>
    <col min="3846" max="3846" width="2.85546875" style="8" customWidth="1"/>
    <col min="3847" max="3847" width="3.5703125" style="8" customWidth="1"/>
    <col min="3848" max="4092" width="9.140625" style="8"/>
    <col min="4093" max="4093" width="8.7109375" style="8" customWidth="1"/>
    <col min="4094" max="4094" width="9.85546875" style="8" customWidth="1"/>
    <col min="4095" max="4095" width="14.42578125" style="8" customWidth="1"/>
    <col min="4096" max="4096" width="7.28515625" style="8" customWidth="1"/>
    <col min="4097" max="4097" width="5.5703125" style="8" customWidth="1"/>
    <col min="4098" max="4098" width="9" style="8" customWidth="1"/>
    <col min="4099" max="4100" width="9.85546875" style="8" customWidth="1"/>
    <col min="4101" max="4101" width="11.140625" style="8" customWidth="1"/>
    <col min="4102" max="4102" width="2.85546875" style="8" customWidth="1"/>
    <col min="4103" max="4103" width="3.5703125" style="8" customWidth="1"/>
    <col min="4104" max="4348" width="9.140625" style="8"/>
    <col min="4349" max="4349" width="8.7109375" style="8" customWidth="1"/>
    <col min="4350" max="4350" width="9.85546875" style="8" customWidth="1"/>
    <col min="4351" max="4351" width="14.42578125" style="8" customWidth="1"/>
    <col min="4352" max="4352" width="7.28515625" style="8" customWidth="1"/>
    <col min="4353" max="4353" width="5.5703125" style="8" customWidth="1"/>
    <col min="4354" max="4354" width="9" style="8" customWidth="1"/>
    <col min="4355" max="4356" width="9.85546875" style="8" customWidth="1"/>
    <col min="4357" max="4357" width="11.140625" style="8" customWidth="1"/>
    <col min="4358" max="4358" width="2.85546875" style="8" customWidth="1"/>
    <col min="4359" max="4359" width="3.5703125" style="8" customWidth="1"/>
    <col min="4360" max="4604" width="9.140625" style="8"/>
    <col min="4605" max="4605" width="8.7109375" style="8" customWidth="1"/>
    <col min="4606" max="4606" width="9.85546875" style="8" customWidth="1"/>
    <col min="4607" max="4607" width="14.42578125" style="8" customWidth="1"/>
    <col min="4608" max="4608" width="7.28515625" style="8" customWidth="1"/>
    <col min="4609" max="4609" width="5.5703125" style="8" customWidth="1"/>
    <col min="4610" max="4610" width="9" style="8" customWidth="1"/>
    <col min="4611" max="4612" width="9.85546875" style="8" customWidth="1"/>
    <col min="4613" max="4613" width="11.140625" style="8" customWidth="1"/>
    <col min="4614" max="4614" width="2.85546875" style="8" customWidth="1"/>
    <col min="4615" max="4615" width="3.5703125" style="8" customWidth="1"/>
    <col min="4616" max="4860" width="9.140625" style="8"/>
    <col min="4861" max="4861" width="8.7109375" style="8" customWidth="1"/>
    <col min="4862" max="4862" width="9.85546875" style="8" customWidth="1"/>
    <col min="4863" max="4863" width="14.42578125" style="8" customWidth="1"/>
    <col min="4864" max="4864" width="7.28515625" style="8" customWidth="1"/>
    <col min="4865" max="4865" width="5.5703125" style="8" customWidth="1"/>
    <col min="4866" max="4866" width="9" style="8" customWidth="1"/>
    <col min="4867" max="4868" width="9.85546875" style="8" customWidth="1"/>
    <col min="4869" max="4869" width="11.140625" style="8" customWidth="1"/>
    <col min="4870" max="4870" width="2.85546875" style="8" customWidth="1"/>
    <col min="4871" max="4871" width="3.5703125" style="8" customWidth="1"/>
    <col min="4872" max="5116" width="9.140625" style="8"/>
    <col min="5117" max="5117" width="8.7109375" style="8" customWidth="1"/>
    <col min="5118" max="5118" width="9.85546875" style="8" customWidth="1"/>
    <col min="5119" max="5119" width="14.42578125" style="8" customWidth="1"/>
    <col min="5120" max="5120" width="7.28515625" style="8" customWidth="1"/>
    <col min="5121" max="5121" width="5.5703125" style="8" customWidth="1"/>
    <col min="5122" max="5122" width="9" style="8" customWidth="1"/>
    <col min="5123" max="5124" width="9.85546875" style="8" customWidth="1"/>
    <col min="5125" max="5125" width="11.140625" style="8" customWidth="1"/>
    <col min="5126" max="5126" width="2.85546875" style="8" customWidth="1"/>
    <col min="5127" max="5127" width="3.5703125" style="8" customWidth="1"/>
    <col min="5128" max="5372" width="9.140625" style="8"/>
    <col min="5373" max="5373" width="8.7109375" style="8" customWidth="1"/>
    <col min="5374" max="5374" width="9.85546875" style="8" customWidth="1"/>
    <col min="5375" max="5375" width="14.42578125" style="8" customWidth="1"/>
    <col min="5376" max="5376" width="7.28515625" style="8" customWidth="1"/>
    <col min="5377" max="5377" width="5.5703125" style="8" customWidth="1"/>
    <col min="5378" max="5378" width="9" style="8" customWidth="1"/>
    <col min="5379" max="5380" width="9.85546875" style="8" customWidth="1"/>
    <col min="5381" max="5381" width="11.140625" style="8" customWidth="1"/>
    <col min="5382" max="5382" width="2.85546875" style="8" customWidth="1"/>
    <col min="5383" max="5383" width="3.5703125" style="8" customWidth="1"/>
    <col min="5384" max="5628" width="9.140625" style="8"/>
    <col min="5629" max="5629" width="8.7109375" style="8" customWidth="1"/>
    <col min="5630" max="5630" width="9.85546875" style="8" customWidth="1"/>
    <col min="5631" max="5631" width="14.42578125" style="8" customWidth="1"/>
    <col min="5632" max="5632" width="7.28515625" style="8" customWidth="1"/>
    <col min="5633" max="5633" width="5.5703125" style="8" customWidth="1"/>
    <col min="5634" max="5634" width="9" style="8" customWidth="1"/>
    <col min="5635" max="5636" width="9.85546875" style="8" customWidth="1"/>
    <col min="5637" max="5637" width="11.140625" style="8" customWidth="1"/>
    <col min="5638" max="5638" width="2.85546875" style="8" customWidth="1"/>
    <col min="5639" max="5639" width="3.5703125" style="8" customWidth="1"/>
    <col min="5640" max="5884" width="9.140625" style="8"/>
    <col min="5885" max="5885" width="8.7109375" style="8" customWidth="1"/>
    <col min="5886" max="5886" width="9.85546875" style="8" customWidth="1"/>
    <col min="5887" max="5887" width="14.42578125" style="8" customWidth="1"/>
    <col min="5888" max="5888" width="7.28515625" style="8" customWidth="1"/>
    <col min="5889" max="5889" width="5.5703125" style="8" customWidth="1"/>
    <col min="5890" max="5890" width="9" style="8" customWidth="1"/>
    <col min="5891" max="5892" width="9.85546875" style="8" customWidth="1"/>
    <col min="5893" max="5893" width="11.140625" style="8" customWidth="1"/>
    <col min="5894" max="5894" width="2.85546875" style="8" customWidth="1"/>
    <col min="5895" max="5895" width="3.5703125" style="8" customWidth="1"/>
    <col min="5896" max="6140" width="9.140625" style="8"/>
    <col min="6141" max="6141" width="8.7109375" style="8" customWidth="1"/>
    <col min="6142" max="6142" width="9.85546875" style="8" customWidth="1"/>
    <col min="6143" max="6143" width="14.42578125" style="8" customWidth="1"/>
    <col min="6144" max="6144" width="7.28515625" style="8" customWidth="1"/>
    <col min="6145" max="6145" width="5.5703125" style="8" customWidth="1"/>
    <col min="6146" max="6146" width="9" style="8" customWidth="1"/>
    <col min="6147" max="6148" width="9.85546875" style="8" customWidth="1"/>
    <col min="6149" max="6149" width="11.140625" style="8" customWidth="1"/>
    <col min="6150" max="6150" width="2.85546875" style="8" customWidth="1"/>
    <col min="6151" max="6151" width="3.5703125" style="8" customWidth="1"/>
    <col min="6152" max="6396" width="9.140625" style="8"/>
    <col min="6397" max="6397" width="8.7109375" style="8" customWidth="1"/>
    <col min="6398" max="6398" width="9.85546875" style="8" customWidth="1"/>
    <col min="6399" max="6399" width="14.42578125" style="8" customWidth="1"/>
    <col min="6400" max="6400" width="7.28515625" style="8" customWidth="1"/>
    <col min="6401" max="6401" width="5.5703125" style="8" customWidth="1"/>
    <col min="6402" max="6402" width="9" style="8" customWidth="1"/>
    <col min="6403" max="6404" width="9.85546875" style="8" customWidth="1"/>
    <col min="6405" max="6405" width="11.140625" style="8" customWidth="1"/>
    <col min="6406" max="6406" width="2.85546875" style="8" customWidth="1"/>
    <col min="6407" max="6407" width="3.5703125" style="8" customWidth="1"/>
    <col min="6408" max="6652" width="9.140625" style="8"/>
    <col min="6653" max="6653" width="8.7109375" style="8" customWidth="1"/>
    <col min="6654" max="6654" width="9.85546875" style="8" customWidth="1"/>
    <col min="6655" max="6655" width="14.42578125" style="8" customWidth="1"/>
    <col min="6656" max="6656" width="7.28515625" style="8" customWidth="1"/>
    <col min="6657" max="6657" width="5.5703125" style="8" customWidth="1"/>
    <col min="6658" max="6658" width="9" style="8" customWidth="1"/>
    <col min="6659" max="6660" width="9.85546875" style="8" customWidth="1"/>
    <col min="6661" max="6661" width="11.140625" style="8" customWidth="1"/>
    <col min="6662" max="6662" width="2.85546875" style="8" customWidth="1"/>
    <col min="6663" max="6663" width="3.5703125" style="8" customWidth="1"/>
    <col min="6664" max="6908" width="9.140625" style="8"/>
    <col min="6909" max="6909" width="8.7109375" style="8" customWidth="1"/>
    <col min="6910" max="6910" width="9.85546875" style="8" customWidth="1"/>
    <col min="6911" max="6911" width="14.42578125" style="8" customWidth="1"/>
    <col min="6912" max="6912" width="7.28515625" style="8" customWidth="1"/>
    <col min="6913" max="6913" width="5.5703125" style="8" customWidth="1"/>
    <col min="6914" max="6914" width="9" style="8" customWidth="1"/>
    <col min="6915" max="6916" width="9.85546875" style="8" customWidth="1"/>
    <col min="6917" max="6917" width="11.140625" style="8" customWidth="1"/>
    <col min="6918" max="6918" width="2.85546875" style="8" customWidth="1"/>
    <col min="6919" max="6919" width="3.5703125" style="8" customWidth="1"/>
    <col min="6920" max="7164" width="9.140625" style="8"/>
    <col min="7165" max="7165" width="8.7109375" style="8" customWidth="1"/>
    <col min="7166" max="7166" width="9.85546875" style="8" customWidth="1"/>
    <col min="7167" max="7167" width="14.42578125" style="8" customWidth="1"/>
    <col min="7168" max="7168" width="7.28515625" style="8" customWidth="1"/>
    <col min="7169" max="7169" width="5.5703125" style="8" customWidth="1"/>
    <col min="7170" max="7170" width="9" style="8" customWidth="1"/>
    <col min="7171" max="7172" width="9.85546875" style="8" customWidth="1"/>
    <col min="7173" max="7173" width="11.140625" style="8" customWidth="1"/>
    <col min="7174" max="7174" width="2.85546875" style="8" customWidth="1"/>
    <col min="7175" max="7175" width="3.5703125" style="8" customWidth="1"/>
    <col min="7176" max="7420" width="9.140625" style="8"/>
    <col min="7421" max="7421" width="8.7109375" style="8" customWidth="1"/>
    <col min="7422" max="7422" width="9.85546875" style="8" customWidth="1"/>
    <col min="7423" max="7423" width="14.42578125" style="8" customWidth="1"/>
    <col min="7424" max="7424" width="7.28515625" style="8" customWidth="1"/>
    <col min="7425" max="7425" width="5.5703125" style="8" customWidth="1"/>
    <col min="7426" max="7426" width="9" style="8" customWidth="1"/>
    <col min="7427" max="7428" width="9.85546875" style="8" customWidth="1"/>
    <col min="7429" max="7429" width="11.140625" style="8" customWidth="1"/>
    <col min="7430" max="7430" width="2.85546875" style="8" customWidth="1"/>
    <col min="7431" max="7431" width="3.5703125" style="8" customWidth="1"/>
    <col min="7432" max="7676" width="9.140625" style="8"/>
    <col min="7677" max="7677" width="8.7109375" style="8" customWidth="1"/>
    <col min="7678" max="7678" width="9.85546875" style="8" customWidth="1"/>
    <col min="7679" max="7679" width="14.42578125" style="8" customWidth="1"/>
    <col min="7680" max="7680" width="7.28515625" style="8" customWidth="1"/>
    <col min="7681" max="7681" width="5.5703125" style="8" customWidth="1"/>
    <col min="7682" max="7682" width="9" style="8" customWidth="1"/>
    <col min="7683" max="7684" width="9.85546875" style="8" customWidth="1"/>
    <col min="7685" max="7685" width="11.140625" style="8" customWidth="1"/>
    <col min="7686" max="7686" width="2.85546875" style="8" customWidth="1"/>
    <col min="7687" max="7687" width="3.5703125" style="8" customWidth="1"/>
    <col min="7688" max="7932" width="9.140625" style="8"/>
    <col min="7933" max="7933" width="8.7109375" style="8" customWidth="1"/>
    <col min="7934" max="7934" width="9.85546875" style="8" customWidth="1"/>
    <col min="7935" max="7935" width="14.42578125" style="8" customWidth="1"/>
    <col min="7936" max="7936" width="7.28515625" style="8" customWidth="1"/>
    <col min="7937" max="7937" width="5.5703125" style="8" customWidth="1"/>
    <col min="7938" max="7938" width="9" style="8" customWidth="1"/>
    <col min="7939" max="7940" width="9.85546875" style="8" customWidth="1"/>
    <col min="7941" max="7941" width="11.140625" style="8" customWidth="1"/>
    <col min="7942" max="7942" width="2.85546875" style="8" customWidth="1"/>
    <col min="7943" max="7943" width="3.5703125" style="8" customWidth="1"/>
    <col min="7944" max="8188" width="9.140625" style="8"/>
    <col min="8189" max="8189" width="8.7109375" style="8" customWidth="1"/>
    <col min="8190" max="8190" width="9.85546875" style="8" customWidth="1"/>
    <col min="8191" max="8191" width="14.42578125" style="8" customWidth="1"/>
    <col min="8192" max="8192" width="7.28515625" style="8" customWidth="1"/>
    <col min="8193" max="8193" width="5.5703125" style="8" customWidth="1"/>
    <col min="8194" max="8194" width="9" style="8" customWidth="1"/>
    <col min="8195" max="8196" width="9.85546875" style="8" customWidth="1"/>
    <col min="8197" max="8197" width="11.140625" style="8" customWidth="1"/>
    <col min="8198" max="8198" width="2.85546875" style="8" customWidth="1"/>
    <col min="8199" max="8199" width="3.5703125" style="8" customWidth="1"/>
    <col min="8200" max="8444" width="9.140625" style="8"/>
    <col min="8445" max="8445" width="8.7109375" style="8" customWidth="1"/>
    <col min="8446" max="8446" width="9.85546875" style="8" customWidth="1"/>
    <col min="8447" max="8447" width="14.42578125" style="8" customWidth="1"/>
    <col min="8448" max="8448" width="7.28515625" style="8" customWidth="1"/>
    <col min="8449" max="8449" width="5.5703125" style="8" customWidth="1"/>
    <col min="8450" max="8450" width="9" style="8" customWidth="1"/>
    <col min="8451" max="8452" width="9.85546875" style="8" customWidth="1"/>
    <col min="8453" max="8453" width="11.140625" style="8" customWidth="1"/>
    <col min="8454" max="8454" width="2.85546875" style="8" customWidth="1"/>
    <col min="8455" max="8455" width="3.5703125" style="8" customWidth="1"/>
    <col min="8456" max="8700" width="9.140625" style="8"/>
    <col min="8701" max="8701" width="8.7109375" style="8" customWidth="1"/>
    <col min="8702" max="8702" width="9.85546875" style="8" customWidth="1"/>
    <col min="8703" max="8703" width="14.42578125" style="8" customWidth="1"/>
    <col min="8704" max="8704" width="7.28515625" style="8" customWidth="1"/>
    <col min="8705" max="8705" width="5.5703125" style="8" customWidth="1"/>
    <col min="8706" max="8706" width="9" style="8" customWidth="1"/>
    <col min="8707" max="8708" width="9.85546875" style="8" customWidth="1"/>
    <col min="8709" max="8709" width="11.140625" style="8" customWidth="1"/>
    <col min="8710" max="8710" width="2.85546875" style="8" customWidth="1"/>
    <col min="8711" max="8711" width="3.5703125" style="8" customWidth="1"/>
    <col min="8712" max="8956" width="9.140625" style="8"/>
    <col min="8957" max="8957" width="8.7109375" style="8" customWidth="1"/>
    <col min="8958" max="8958" width="9.85546875" style="8" customWidth="1"/>
    <col min="8959" max="8959" width="14.42578125" style="8" customWidth="1"/>
    <col min="8960" max="8960" width="7.28515625" style="8" customWidth="1"/>
    <col min="8961" max="8961" width="5.5703125" style="8" customWidth="1"/>
    <col min="8962" max="8962" width="9" style="8" customWidth="1"/>
    <col min="8963" max="8964" width="9.85546875" style="8" customWidth="1"/>
    <col min="8965" max="8965" width="11.140625" style="8" customWidth="1"/>
    <col min="8966" max="8966" width="2.85546875" style="8" customWidth="1"/>
    <col min="8967" max="8967" width="3.5703125" style="8" customWidth="1"/>
    <col min="8968" max="9212" width="9.140625" style="8"/>
    <col min="9213" max="9213" width="8.7109375" style="8" customWidth="1"/>
    <col min="9214" max="9214" width="9.85546875" style="8" customWidth="1"/>
    <col min="9215" max="9215" width="14.42578125" style="8" customWidth="1"/>
    <col min="9216" max="9216" width="7.28515625" style="8" customWidth="1"/>
    <col min="9217" max="9217" width="5.5703125" style="8" customWidth="1"/>
    <col min="9218" max="9218" width="9" style="8" customWidth="1"/>
    <col min="9219" max="9220" width="9.85546875" style="8" customWidth="1"/>
    <col min="9221" max="9221" width="11.140625" style="8" customWidth="1"/>
    <col min="9222" max="9222" width="2.85546875" style="8" customWidth="1"/>
    <col min="9223" max="9223" width="3.5703125" style="8" customWidth="1"/>
    <col min="9224" max="9468" width="9.140625" style="8"/>
    <col min="9469" max="9469" width="8.7109375" style="8" customWidth="1"/>
    <col min="9470" max="9470" width="9.85546875" style="8" customWidth="1"/>
    <col min="9471" max="9471" width="14.42578125" style="8" customWidth="1"/>
    <col min="9472" max="9472" width="7.28515625" style="8" customWidth="1"/>
    <col min="9473" max="9473" width="5.5703125" style="8" customWidth="1"/>
    <col min="9474" max="9474" width="9" style="8" customWidth="1"/>
    <col min="9475" max="9476" width="9.85546875" style="8" customWidth="1"/>
    <col min="9477" max="9477" width="11.140625" style="8" customWidth="1"/>
    <col min="9478" max="9478" width="2.85546875" style="8" customWidth="1"/>
    <col min="9479" max="9479" width="3.5703125" style="8" customWidth="1"/>
    <col min="9480" max="9724" width="9.140625" style="8"/>
    <col min="9725" max="9725" width="8.7109375" style="8" customWidth="1"/>
    <col min="9726" max="9726" width="9.85546875" style="8" customWidth="1"/>
    <col min="9727" max="9727" width="14.42578125" style="8" customWidth="1"/>
    <col min="9728" max="9728" width="7.28515625" style="8" customWidth="1"/>
    <col min="9729" max="9729" width="5.5703125" style="8" customWidth="1"/>
    <col min="9730" max="9730" width="9" style="8" customWidth="1"/>
    <col min="9731" max="9732" width="9.85546875" style="8" customWidth="1"/>
    <col min="9733" max="9733" width="11.140625" style="8" customWidth="1"/>
    <col min="9734" max="9734" width="2.85546875" style="8" customWidth="1"/>
    <col min="9735" max="9735" width="3.5703125" style="8" customWidth="1"/>
    <col min="9736" max="9980" width="9.140625" style="8"/>
    <col min="9981" max="9981" width="8.7109375" style="8" customWidth="1"/>
    <col min="9982" max="9982" width="9.85546875" style="8" customWidth="1"/>
    <col min="9983" max="9983" width="14.42578125" style="8" customWidth="1"/>
    <col min="9984" max="9984" width="7.28515625" style="8" customWidth="1"/>
    <col min="9985" max="9985" width="5.5703125" style="8" customWidth="1"/>
    <col min="9986" max="9986" width="9" style="8" customWidth="1"/>
    <col min="9987" max="9988" width="9.85546875" style="8" customWidth="1"/>
    <col min="9989" max="9989" width="11.140625" style="8" customWidth="1"/>
    <col min="9990" max="9990" width="2.85546875" style="8" customWidth="1"/>
    <col min="9991" max="9991" width="3.5703125" style="8" customWidth="1"/>
    <col min="9992" max="10236" width="9.140625" style="8"/>
    <col min="10237" max="10237" width="8.7109375" style="8" customWidth="1"/>
    <col min="10238" max="10238" width="9.85546875" style="8" customWidth="1"/>
    <col min="10239" max="10239" width="14.42578125" style="8" customWidth="1"/>
    <col min="10240" max="10240" width="7.28515625" style="8" customWidth="1"/>
    <col min="10241" max="10241" width="5.5703125" style="8" customWidth="1"/>
    <col min="10242" max="10242" width="9" style="8" customWidth="1"/>
    <col min="10243" max="10244" width="9.85546875" style="8" customWidth="1"/>
    <col min="10245" max="10245" width="11.140625" style="8" customWidth="1"/>
    <col min="10246" max="10246" width="2.85546875" style="8" customWidth="1"/>
    <col min="10247" max="10247" width="3.5703125" style="8" customWidth="1"/>
    <col min="10248" max="10492" width="9.140625" style="8"/>
    <col min="10493" max="10493" width="8.7109375" style="8" customWidth="1"/>
    <col min="10494" max="10494" width="9.85546875" style="8" customWidth="1"/>
    <col min="10495" max="10495" width="14.42578125" style="8" customWidth="1"/>
    <col min="10496" max="10496" width="7.28515625" style="8" customWidth="1"/>
    <col min="10497" max="10497" width="5.5703125" style="8" customWidth="1"/>
    <col min="10498" max="10498" width="9" style="8" customWidth="1"/>
    <col min="10499" max="10500" width="9.85546875" style="8" customWidth="1"/>
    <col min="10501" max="10501" width="11.140625" style="8" customWidth="1"/>
    <col min="10502" max="10502" width="2.85546875" style="8" customWidth="1"/>
    <col min="10503" max="10503" width="3.5703125" style="8" customWidth="1"/>
    <col min="10504" max="10748" width="9.140625" style="8"/>
    <col min="10749" max="10749" width="8.7109375" style="8" customWidth="1"/>
    <col min="10750" max="10750" width="9.85546875" style="8" customWidth="1"/>
    <col min="10751" max="10751" width="14.42578125" style="8" customWidth="1"/>
    <col min="10752" max="10752" width="7.28515625" style="8" customWidth="1"/>
    <col min="10753" max="10753" width="5.5703125" style="8" customWidth="1"/>
    <col min="10754" max="10754" width="9" style="8" customWidth="1"/>
    <col min="10755" max="10756" width="9.85546875" style="8" customWidth="1"/>
    <col min="10757" max="10757" width="11.140625" style="8" customWidth="1"/>
    <col min="10758" max="10758" width="2.85546875" style="8" customWidth="1"/>
    <col min="10759" max="10759" width="3.5703125" style="8" customWidth="1"/>
    <col min="10760" max="11004" width="9.140625" style="8"/>
    <col min="11005" max="11005" width="8.7109375" style="8" customWidth="1"/>
    <col min="11006" max="11006" width="9.85546875" style="8" customWidth="1"/>
    <col min="11007" max="11007" width="14.42578125" style="8" customWidth="1"/>
    <col min="11008" max="11008" width="7.28515625" style="8" customWidth="1"/>
    <col min="11009" max="11009" width="5.5703125" style="8" customWidth="1"/>
    <col min="11010" max="11010" width="9" style="8" customWidth="1"/>
    <col min="11011" max="11012" width="9.85546875" style="8" customWidth="1"/>
    <col min="11013" max="11013" width="11.140625" style="8" customWidth="1"/>
    <col min="11014" max="11014" width="2.85546875" style="8" customWidth="1"/>
    <col min="11015" max="11015" width="3.5703125" style="8" customWidth="1"/>
    <col min="11016" max="11260" width="9.140625" style="8"/>
    <col min="11261" max="11261" width="8.7109375" style="8" customWidth="1"/>
    <col min="11262" max="11262" width="9.85546875" style="8" customWidth="1"/>
    <col min="11263" max="11263" width="14.42578125" style="8" customWidth="1"/>
    <col min="11264" max="11264" width="7.28515625" style="8" customWidth="1"/>
    <col min="11265" max="11265" width="5.5703125" style="8" customWidth="1"/>
    <col min="11266" max="11266" width="9" style="8" customWidth="1"/>
    <col min="11267" max="11268" width="9.85546875" style="8" customWidth="1"/>
    <col min="11269" max="11269" width="11.140625" style="8" customWidth="1"/>
    <col min="11270" max="11270" width="2.85546875" style="8" customWidth="1"/>
    <col min="11271" max="11271" width="3.5703125" style="8" customWidth="1"/>
    <col min="11272" max="11516" width="9.140625" style="8"/>
    <col min="11517" max="11517" width="8.7109375" style="8" customWidth="1"/>
    <col min="11518" max="11518" width="9.85546875" style="8" customWidth="1"/>
    <col min="11519" max="11519" width="14.42578125" style="8" customWidth="1"/>
    <col min="11520" max="11520" width="7.28515625" style="8" customWidth="1"/>
    <col min="11521" max="11521" width="5.5703125" style="8" customWidth="1"/>
    <col min="11522" max="11522" width="9" style="8" customWidth="1"/>
    <col min="11523" max="11524" width="9.85546875" style="8" customWidth="1"/>
    <col min="11525" max="11525" width="11.140625" style="8" customWidth="1"/>
    <col min="11526" max="11526" width="2.85546875" style="8" customWidth="1"/>
    <col min="11527" max="11527" width="3.5703125" style="8" customWidth="1"/>
    <col min="11528" max="11772" width="9.140625" style="8"/>
    <col min="11773" max="11773" width="8.7109375" style="8" customWidth="1"/>
    <col min="11774" max="11774" width="9.85546875" style="8" customWidth="1"/>
    <col min="11775" max="11775" width="14.42578125" style="8" customWidth="1"/>
    <col min="11776" max="11776" width="7.28515625" style="8" customWidth="1"/>
    <col min="11777" max="11777" width="5.5703125" style="8" customWidth="1"/>
    <col min="11778" max="11778" width="9" style="8" customWidth="1"/>
    <col min="11779" max="11780" width="9.85546875" style="8" customWidth="1"/>
    <col min="11781" max="11781" width="11.140625" style="8" customWidth="1"/>
    <col min="11782" max="11782" width="2.85546875" style="8" customWidth="1"/>
    <col min="11783" max="11783" width="3.5703125" style="8" customWidth="1"/>
    <col min="11784" max="12028" width="9.140625" style="8"/>
    <col min="12029" max="12029" width="8.7109375" style="8" customWidth="1"/>
    <col min="12030" max="12030" width="9.85546875" style="8" customWidth="1"/>
    <col min="12031" max="12031" width="14.42578125" style="8" customWidth="1"/>
    <col min="12032" max="12032" width="7.28515625" style="8" customWidth="1"/>
    <col min="12033" max="12033" width="5.5703125" style="8" customWidth="1"/>
    <col min="12034" max="12034" width="9" style="8" customWidth="1"/>
    <col min="12035" max="12036" width="9.85546875" style="8" customWidth="1"/>
    <col min="12037" max="12037" width="11.140625" style="8" customWidth="1"/>
    <col min="12038" max="12038" width="2.85546875" style="8" customWidth="1"/>
    <col min="12039" max="12039" width="3.5703125" style="8" customWidth="1"/>
    <col min="12040" max="12284" width="9.140625" style="8"/>
    <col min="12285" max="12285" width="8.7109375" style="8" customWidth="1"/>
    <col min="12286" max="12286" width="9.85546875" style="8" customWidth="1"/>
    <col min="12287" max="12287" width="14.42578125" style="8" customWidth="1"/>
    <col min="12288" max="12288" width="7.28515625" style="8" customWidth="1"/>
    <col min="12289" max="12289" width="5.5703125" style="8" customWidth="1"/>
    <col min="12290" max="12290" width="9" style="8" customWidth="1"/>
    <col min="12291" max="12292" width="9.85546875" style="8" customWidth="1"/>
    <col min="12293" max="12293" width="11.140625" style="8" customWidth="1"/>
    <col min="12294" max="12294" width="2.85546875" style="8" customWidth="1"/>
    <col min="12295" max="12295" width="3.5703125" style="8" customWidth="1"/>
    <col min="12296" max="12540" width="9.140625" style="8"/>
    <col min="12541" max="12541" width="8.7109375" style="8" customWidth="1"/>
    <col min="12542" max="12542" width="9.85546875" style="8" customWidth="1"/>
    <col min="12543" max="12543" width="14.42578125" style="8" customWidth="1"/>
    <col min="12544" max="12544" width="7.28515625" style="8" customWidth="1"/>
    <col min="12545" max="12545" width="5.5703125" style="8" customWidth="1"/>
    <col min="12546" max="12546" width="9" style="8" customWidth="1"/>
    <col min="12547" max="12548" width="9.85546875" style="8" customWidth="1"/>
    <col min="12549" max="12549" width="11.140625" style="8" customWidth="1"/>
    <col min="12550" max="12550" width="2.85546875" style="8" customWidth="1"/>
    <col min="12551" max="12551" width="3.5703125" style="8" customWidth="1"/>
    <col min="12552" max="12796" width="9.140625" style="8"/>
    <col min="12797" max="12797" width="8.7109375" style="8" customWidth="1"/>
    <col min="12798" max="12798" width="9.85546875" style="8" customWidth="1"/>
    <col min="12799" max="12799" width="14.42578125" style="8" customWidth="1"/>
    <col min="12800" max="12800" width="7.28515625" style="8" customWidth="1"/>
    <col min="12801" max="12801" width="5.5703125" style="8" customWidth="1"/>
    <col min="12802" max="12802" width="9" style="8" customWidth="1"/>
    <col min="12803" max="12804" width="9.85546875" style="8" customWidth="1"/>
    <col min="12805" max="12805" width="11.140625" style="8" customWidth="1"/>
    <col min="12806" max="12806" width="2.85546875" style="8" customWidth="1"/>
    <col min="12807" max="12807" width="3.5703125" style="8" customWidth="1"/>
    <col min="12808" max="13052" width="9.140625" style="8"/>
    <col min="13053" max="13053" width="8.7109375" style="8" customWidth="1"/>
    <col min="13054" max="13054" width="9.85546875" style="8" customWidth="1"/>
    <col min="13055" max="13055" width="14.42578125" style="8" customWidth="1"/>
    <col min="13056" max="13056" width="7.28515625" style="8" customWidth="1"/>
    <col min="13057" max="13057" width="5.5703125" style="8" customWidth="1"/>
    <col min="13058" max="13058" width="9" style="8" customWidth="1"/>
    <col min="13059" max="13060" width="9.85546875" style="8" customWidth="1"/>
    <col min="13061" max="13061" width="11.140625" style="8" customWidth="1"/>
    <col min="13062" max="13062" width="2.85546875" style="8" customWidth="1"/>
    <col min="13063" max="13063" width="3.5703125" style="8" customWidth="1"/>
    <col min="13064" max="13308" width="9.140625" style="8"/>
    <col min="13309" max="13309" width="8.7109375" style="8" customWidth="1"/>
    <col min="13310" max="13310" width="9.85546875" style="8" customWidth="1"/>
    <col min="13311" max="13311" width="14.42578125" style="8" customWidth="1"/>
    <col min="13312" max="13312" width="7.28515625" style="8" customWidth="1"/>
    <col min="13313" max="13313" width="5.5703125" style="8" customWidth="1"/>
    <col min="13314" max="13314" width="9" style="8" customWidth="1"/>
    <col min="13315" max="13316" width="9.85546875" style="8" customWidth="1"/>
    <col min="13317" max="13317" width="11.140625" style="8" customWidth="1"/>
    <col min="13318" max="13318" width="2.85546875" style="8" customWidth="1"/>
    <col min="13319" max="13319" width="3.5703125" style="8" customWidth="1"/>
    <col min="13320" max="13564" width="9.140625" style="8"/>
    <col min="13565" max="13565" width="8.7109375" style="8" customWidth="1"/>
    <col min="13566" max="13566" width="9.85546875" style="8" customWidth="1"/>
    <col min="13567" max="13567" width="14.42578125" style="8" customWidth="1"/>
    <col min="13568" max="13568" width="7.28515625" style="8" customWidth="1"/>
    <col min="13569" max="13569" width="5.5703125" style="8" customWidth="1"/>
    <col min="13570" max="13570" width="9" style="8" customWidth="1"/>
    <col min="13571" max="13572" width="9.85546875" style="8" customWidth="1"/>
    <col min="13573" max="13573" width="11.140625" style="8" customWidth="1"/>
    <col min="13574" max="13574" width="2.85546875" style="8" customWidth="1"/>
    <col min="13575" max="13575" width="3.5703125" style="8" customWidth="1"/>
    <col min="13576" max="13820" width="9.140625" style="8"/>
    <col min="13821" max="13821" width="8.7109375" style="8" customWidth="1"/>
    <col min="13822" max="13822" width="9.85546875" style="8" customWidth="1"/>
    <col min="13823" max="13823" width="14.42578125" style="8" customWidth="1"/>
    <col min="13824" max="13824" width="7.28515625" style="8" customWidth="1"/>
    <col min="13825" max="13825" width="5.5703125" style="8" customWidth="1"/>
    <col min="13826" max="13826" width="9" style="8" customWidth="1"/>
    <col min="13827" max="13828" width="9.85546875" style="8" customWidth="1"/>
    <col min="13829" max="13829" width="11.140625" style="8" customWidth="1"/>
    <col min="13830" max="13830" width="2.85546875" style="8" customWidth="1"/>
    <col min="13831" max="13831" width="3.5703125" style="8" customWidth="1"/>
    <col min="13832" max="14076" width="9.140625" style="8"/>
    <col min="14077" max="14077" width="8.7109375" style="8" customWidth="1"/>
    <col min="14078" max="14078" width="9.85546875" style="8" customWidth="1"/>
    <col min="14079" max="14079" width="14.42578125" style="8" customWidth="1"/>
    <col min="14080" max="14080" width="7.28515625" style="8" customWidth="1"/>
    <col min="14081" max="14081" width="5.5703125" style="8" customWidth="1"/>
    <col min="14082" max="14082" width="9" style="8" customWidth="1"/>
    <col min="14083" max="14084" width="9.85546875" style="8" customWidth="1"/>
    <col min="14085" max="14085" width="11.140625" style="8" customWidth="1"/>
    <col min="14086" max="14086" width="2.85546875" style="8" customWidth="1"/>
    <col min="14087" max="14087" width="3.5703125" style="8" customWidth="1"/>
    <col min="14088" max="14332" width="9.140625" style="8"/>
    <col min="14333" max="14333" width="8.7109375" style="8" customWidth="1"/>
    <col min="14334" max="14334" width="9.85546875" style="8" customWidth="1"/>
    <col min="14335" max="14335" width="14.42578125" style="8" customWidth="1"/>
    <col min="14336" max="14336" width="7.28515625" style="8" customWidth="1"/>
    <col min="14337" max="14337" width="5.5703125" style="8" customWidth="1"/>
    <col min="14338" max="14338" width="9" style="8" customWidth="1"/>
    <col min="14339" max="14340" width="9.85546875" style="8" customWidth="1"/>
    <col min="14341" max="14341" width="11.140625" style="8" customWidth="1"/>
    <col min="14342" max="14342" width="2.85546875" style="8" customWidth="1"/>
    <col min="14343" max="14343" width="3.5703125" style="8" customWidth="1"/>
    <col min="14344" max="14588" width="9.140625" style="8"/>
    <col min="14589" max="14589" width="8.7109375" style="8" customWidth="1"/>
    <col min="14590" max="14590" width="9.85546875" style="8" customWidth="1"/>
    <col min="14591" max="14591" width="14.42578125" style="8" customWidth="1"/>
    <col min="14592" max="14592" width="7.28515625" style="8" customWidth="1"/>
    <col min="14593" max="14593" width="5.5703125" style="8" customWidth="1"/>
    <col min="14594" max="14594" width="9" style="8" customWidth="1"/>
    <col min="14595" max="14596" width="9.85546875" style="8" customWidth="1"/>
    <col min="14597" max="14597" width="11.140625" style="8" customWidth="1"/>
    <col min="14598" max="14598" width="2.85546875" style="8" customWidth="1"/>
    <col min="14599" max="14599" width="3.5703125" style="8" customWidth="1"/>
    <col min="14600" max="14844" width="9.140625" style="8"/>
    <col min="14845" max="14845" width="8.7109375" style="8" customWidth="1"/>
    <col min="14846" max="14846" width="9.85546875" style="8" customWidth="1"/>
    <col min="14847" max="14847" width="14.42578125" style="8" customWidth="1"/>
    <col min="14848" max="14848" width="7.28515625" style="8" customWidth="1"/>
    <col min="14849" max="14849" width="5.5703125" style="8" customWidth="1"/>
    <col min="14850" max="14850" width="9" style="8" customWidth="1"/>
    <col min="14851" max="14852" width="9.85546875" style="8" customWidth="1"/>
    <col min="14853" max="14853" width="11.140625" style="8" customWidth="1"/>
    <col min="14854" max="14854" width="2.85546875" style="8" customWidth="1"/>
    <col min="14855" max="14855" width="3.5703125" style="8" customWidth="1"/>
    <col min="14856" max="15100" width="9.140625" style="8"/>
    <col min="15101" max="15101" width="8.7109375" style="8" customWidth="1"/>
    <col min="15102" max="15102" width="9.85546875" style="8" customWidth="1"/>
    <col min="15103" max="15103" width="14.42578125" style="8" customWidth="1"/>
    <col min="15104" max="15104" width="7.28515625" style="8" customWidth="1"/>
    <col min="15105" max="15105" width="5.5703125" style="8" customWidth="1"/>
    <col min="15106" max="15106" width="9" style="8" customWidth="1"/>
    <col min="15107" max="15108" width="9.85546875" style="8" customWidth="1"/>
    <col min="15109" max="15109" width="11.140625" style="8" customWidth="1"/>
    <col min="15110" max="15110" width="2.85546875" style="8" customWidth="1"/>
    <col min="15111" max="15111" width="3.5703125" style="8" customWidth="1"/>
    <col min="15112" max="15356" width="9.140625" style="8"/>
    <col min="15357" max="15357" width="8.7109375" style="8" customWidth="1"/>
    <col min="15358" max="15358" width="9.85546875" style="8" customWidth="1"/>
    <col min="15359" max="15359" width="14.42578125" style="8" customWidth="1"/>
    <col min="15360" max="15360" width="7.28515625" style="8" customWidth="1"/>
    <col min="15361" max="15361" width="5.5703125" style="8" customWidth="1"/>
    <col min="15362" max="15362" width="9" style="8" customWidth="1"/>
    <col min="15363" max="15364" width="9.85546875" style="8" customWidth="1"/>
    <col min="15365" max="15365" width="11.140625" style="8" customWidth="1"/>
    <col min="15366" max="15366" width="2.85546875" style="8" customWidth="1"/>
    <col min="15367" max="15367" width="3.5703125" style="8" customWidth="1"/>
    <col min="15368" max="15612" width="9.140625" style="8"/>
    <col min="15613" max="15613" width="8.7109375" style="8" customWidth="1"/>
    <col min="15614" max="15614" width="9.85546875" style="8" customWidth="1"/>
    <col min="15615" max="15615" width="14.42578125" style="8" customWidth="1"/>
    <col min="15616" max="15616" width="7.28515625" style="8" customWidth="1"/>
    <col min="15617" max="15617" width="5.5703125" style="8" customWidth="1"/>
    <col min="15618" max="15618" width="9" style="8" customWidth="1"/>
    <col min="15619" max="15620" width="9.85546875" style="8" customWidth="1"/>
    <col min="15621" max="15621" width="11.140625" style="8" customWidth="1"/>
    <col min="15622" max="15622" width="2.85546875" style="8" customWidth="1"/>
    <col min="15623" max="15623" width="3.5703125" style="8" customWidth="1"/>
    <col min="15624" max="15868" width="9.140625" style="8"/>
    <col min="15869" max="15869" width="8.7109375" style="8" customWidth="1"/>
    <col min="15870" max="15870" width="9.85546875" style="8" customWidth="1"/>
    <col min="15871" max="15871" width="14.42578125" style="8" customWidth="1"/>
    <col min="15872" max="15872" width="7.28515625" style="8" customWidth="1"/>
    <col min="15873" max="15873" width="5.5703125" style="8" customWidth="1"/>
    <col min="15874" max="15874" width="9" style="8" customWidth="1"/>
    <col min="15875" max="15876" width="9.85546875" style="8" customWidth="1"/>
    <col min="15877" max="15877" width="11.140625" style="8" customWidth="1"/>
    <col min="15878" max="15878" width="2.85546875" style="8" customWidth="1"/>
    <col min="15879" max="15879" width="3.5703125" style="8" customWidth="1"/>
    <col min="15880" max="16124" width="9.140625" style="8"/>
    <col min="16125" max="16125" width="8.7109375" style="8" customWidth="1"/>
    <col min="16126" max="16126" width="9.85546875" style="8" customWidth="1"/>
    <col min="16127" max="16127" width="14.42578125" style="8" customWidth="1"/>
    <col min="16128" max="16128" width="7.28515625" style="8" customWidth="1"/>
    <col min="16129" max="16129" width="5.5703125" style="8" customWidth="1"/>
    <col min="16130" max="16130" width="9" style="8" customWidth="1"/>
    <col min="16131" max="16132" width="9.85546875" style="8" customWidth="1"/>
    <col min="16133" max="16133" width="11.140625" style="8" customWidth="1"/>
    <col min="16134" max="16134" width="2.85546875" style="8" customWidth="1"/>
    <col min="16135" max="16135" width="3.5703125" style="8" customWidth="1"/>
    <col min="16136" max="16384" width="9.140625" style="8"/>
  </cols>
  <sheetData>
    <row r="1" spans="1:8" ht="46.5" customHeight="1" x14ac:dyDescent="0.25">
      <c r="A1" s="156" t="s">
        <v>256</v>
      </c>
      <c r="B1" s="157"/>
      <c r="C1" s="157"/>
      <c r="D1" s="157"/>
      <c r="E1" s="157"/>
      <c r="F1" s="157"/>
      <c r="G1" s="157"/>
      <c r="H1" s="158"/>
    </row>
    <row r="2" spans="1:8" ht="16.5" customHeight="1" x14ac:dyDescent="0.25">
      <c r="A2" s="129" t="s">
        <v>0</v>
      </c>
      <c r="B2" s="130"/>
      <c r="C2" s="130"/>
      <c r="D2" s="130"/>
      <c r="E2" s="130"/>
      <c r="F2" s="130"/>
      <c r="G2" s="130"/>
      <c r="H2" s="131"/>
    </row>
    <row r="3" spans="1:8" x14ac:dyDescent="0.25">
      <c r="A3" s="118" t="s">
        <v>1</v>
      </c>
      <c r="B3" s="119"/>
      <c r="C3" s="119"/>
      <c r="D3" s="119"/>
      <c r="E3" s="159" t="str">
        <f ca="1">TEXT(TODAY(),"DD/MM/YYYY")</f>
        <v>16/08/2025</v>
      </c>
      <c r="F3" s="160"/>
      <c r="G3" s="160"/>
      <c r="H3" s="161"/>
    </row>
    <row r="4" spans="1:8" ht="15" customHeight="1" x14ac:dyDescent="0.25">
      <c r="A4" s="118" t="s">
        <v>2</v>
      </c>
      <c r="B4" s="119"/>
      <c r="C4" s="119"/>
      <c r="D4" s="119"/>
      <c r="E4" s="165" t="s">
        <v>166</v>
      </c>
      <c r="F4" s="166"/>
      <c r="G4" s="166"/>
      <c r="H4" s="167"/>
    </row>
    <row r="5" spans="1:8" x14ac:dyDescent="0.25">
      <c r="A5" s="118" t="s">
        <v>3</v>
      </c>
      <c r="B5" s="119"/>
      <c r="C5" s="119"/>
      <c r="D5" s="119"/>
      <c r="E5" s="159">
        <v>45878</v>
      </c>
      <c r="F5" s="160"/>
      <c r="G5" s="160"/>
      <c r="H5" s="161"/>
    </row>
    <row r="6" spans="1:8" ht="16.5" customHeight="1" x14ac:dyDescent="0.25">
      <c r="A6" s="118" t="s">
        <v>4</v>
      </c>
      <c r="B6" s="119"/>
      <c r="C6" s="119"/>
      <c r="D6" s="119"/>
      <c r="E6" s="121" t="s">
        <v>145</v>
      </c>
      <c r="F6" s="122"/>
      <c r="G6" s="122"/>
      <c r="H6" s="123"/>
    </row>
    <row r="7" spans="1:8" ht="15" customHeight="1" x14ac:dyDescent="0.25">
      <c r="A7" s="118" t="s">
        <v>5</v>
      </c>
      <c r="B7" s="119"/>
      <c r="C7" s="119"/>
      <c r="D7" s="119"/>
      <c r="E7" s="121" t="str">
        <f>E6</f>
        <v>M/s.Runwal Residency Private Limited</v>
      </c>
      <c r="F7" s="122"/>
      <c r="G7" s="122"/>
      <c r="H7" s="123"/>
    </row>
    <row r="8" spans="1:8" x14ac:dyDescent="0.25">
      <c r="A8" s="118" t="s">
        <v>6</v>
      </c>
      <c r="B8" s="119"/>
      <c r="C8" s="119"/>
      <c r="D8" s="119"/>
      <c r="E8" s="162" t="s">
        <v>242</v>
      </c>
      <c r="F8" s="163"/>
      <c r="G8" s="163"/>
      <c r="H8" s="164"/>
    </row>
    <row r="9" spans="1:8" x14ac:dyDescent="0.25">
      <c r="A9" s="118" t="s">
        <v>7</v>
      </c>
      <c r="B9" s="119"/>
      <c r="C9" s="119"/>
      <c r="D9" s="119"/>
      <c r="E9" s="118">
        <v>2261162000</v>
      </c>
      <c r="F9" s="119"/>
      <c r="G9" s="119"/>
      <c r="H9" s="120"/>
    </row>
    <row r="10" spans="1:8" x14ac:dyDescent="0.25">
      <c r="A10" s="168" t="s">
        <v>8</v>
      </c>
      <c r="B10" s="169"/>
      <c r="C10" s="169"/>
      <c r="D10" s="169"/>
      <c r="E10" s="168" t="s">
        <v>185</v>
      </c>
      <c r="F10" s="169"/>
      <c r="G10" s="169"/>
      <c r="H10" s="170"/>
    </row>
    <row r="11" spans="1:8" x14ac:dyDescent="0.25">
      <c r="A11" s="118" t="s">
        <v>9</v>
      </c>
      <c r="B11" s="119"/>
      <c r="C11" s="119"/>
      <c r="D11" s="119"/>
      <c r="E11" s="133" t="s">
        <v>165</v>
      </c>
      <c r="F11" s="135"/>
      <c r="G11" s="135"/>
      <c r="H11" s="134"/>
    </row>
    <row r="12" spans="1:8" ht="50.25" customHeight="1" x14ac:dyDescent="0.25">
      <c r="A12" s="118" t="s">
        <v>10</v>
      </c>
      <c r="B12" s="119"/>
      <c r="C12" s="119"/>
      <c r="D12" s="119"/>
      <c r="E12" s="121" t="s">
        <v>245</v>
      </c>
      <c r="F12" s="119"/>
      <c r="G12" s="119"/>
      <c r="H12" s="120"/>
    </row>
    <row r="13" spans="1:8" ht="188.25" customHeight="1" x14ac:dyDescent="0.25">
      <c r="A13" s="121" t="s">
        <v>11</v>
      </c>
      <c r="B13" s="123"/>
      <c r="C13" s="121" t="s">
        <v>259</v>
      </c>
      <c r="D13" s="122"/>
      <c r="E13" s="122"/>
      <c r="F13" s="122"/>
      <c r="G13" s="122"/>
      <c r="H13" s="123"/>
    </row>
    <row r="14" spans="1:8" ht="189.75" customHeight="1" x14ac:dyDescent="0.25">
      <c r="A14" s="133" t="s">
        <v>153</v>
      </c>
      <c r="B14" s="134"/>
      <c r="C14" s="133" t="s">
        <v>260</v>
      </c>
      <c r="D14" s="135"/>
      <c r="E14" s="135"/>
      <c r="F14" s="135"/>
      <c r="G14" s="135"/>
      <c r="H14" s="134"/>
    </row>
    <row r="15" spans="1:8" ht="15.75" customHeight="1" x14ac:dyDescent="0.25">
      <c r="A15" s="121" t="s">
        <v>12</v>
      </c>
      <c r="B15" s="123"/>
      <c r="C15" s="132" t="s">
        <v>151</v>
      </c>
      <c r="D15" s="132"/>
      <c r="E15" s="121" t="s">
        <v>107</v>
      </c>
      <c r="F15" s="123"/>
      <c r="G15" s="133" t="s">
        <v>146</v>
      </c>
      <c r="H15" s="134"/>
    </row>
    <row r="16" spans="1:8" x14ac:dyDescent="0.25">
      <c r="A16" s="136" t="s">
        <v>14</v>
      </c>
      <c r="B16" s="136"/>
      <c r="C16" s="133" t="s">
        <v>150</v>
      </c>
      <c r="D16" s="135"/>
      <c r="E16" s="121" t="s">
        <v>13</v>
      </c>
      <c r="F16" s="123"/>
      <c r="G16" s="155" t="s">
        <v>147</v>
      </c>
      <c r="H16" s="155"/>
    </row>
    <row r="17" spans="1:8" x14ac:dyDescent="0.25">
      <c r="A17" s="136" t="s">
        <v>108</v>
      </c>
      <c r="B17" s="136"/>
      <c r="C17" s="133" t="s">
        <v>148</v>
      </c>
      <c r="D17" s="135"/>
      <c r="E17" s="137" t="s">
        <v>15</v>
      </c>
      <c r="F17" s="138"/>
      <c r="G17" s="133">
        <v>421201</v>
      </c>
      <c r="H17" s="134"/>
    </row>
    <row r="18" spans="1:8" ht="32.25" customHeight="1" x14ac:dyDescent="0.25">
      <c r="A18" s="136" t="s">
        <v>16</v>
      </c>
      <c r="B18" s="136"/>
      <c r="C18" s="139" t="s">
        <v>152</v>
      </c>
      <c r="D18" s="139"/>
      <c r="E18" s="140" t="s">
        <v>17</v>
      </c>
      <c r="F18" s="140"/>
      <c r="G18" s="141" t="s">
        <v>149</v>
      </c>
      <c r="H18" s="142"/>
    </row>
    <row r="19" spans="1:8" ht="15" customHeight="1" x14ac:dyDescent="0.25">
      <c r="A19" s="137" t="s">
        <v>113</v>
      </c>
      <c r="B19" s="143"/>
      <c r="C19" s="143"/>
      <c r="D19" s="143"/>
      <c r="E19" s="146" t="s">
        <v>18</v>
      </c>
      <c r="F19" s="147"/>
      <c r="G19" s="147"/>
      <c r="H19" s="148"/>
    </row>
    <row r="20" spans="1:8" ht="18.75" customHeight="1" x14ac:dyDescent="0.25">
      <c r="A20" s="144"/>
      <c r="B20" s="145"/>
      <c r="C20" s="145"/>
      <c r="D20" s="145"/>
      <c r="E20" s="149"/>
      <c r="F20" s="150"/>
      <c r="G20" s="150"/>
      <c r="H20" s="151"/>
    </row>
    <row r="21" spans="1:8" ht="15" customHeight="1" x14ac:dyDescent="0.25">
      <c r="A21" s="137" t="s">
        <v>19</v>
      </c>
      <c r="B21" s="143"/>
      <c r="C21" s="143"/>
      <c r="D21" s="143"/>
      <c r="E21" s="152" t="s">
        <v>20</v>
      </c>
      <c r="F21" s="153"/>
      <c r="G21" s="153"/>
      <c r="H21" s="154"/>
    </row>
    <row r="22" spans="1:8" ht="15" customHeight="1" x14ac:dyDescent="0.25">
      <c r="A22" s="118" t="s">
        <v>21</v>
      </c>
      <c r="B22" s="119"/>
      <c r="C22" s="119"/>
      <c r="D22" s="119"/>
      <c r="E22" s="133" t="s">
        <v>154</v>
      </c>
      <c r="F22" s="135"/>
      <c r="G22" s="135"/>
      <c r="H22" s="134"/>
    </row>
    <row r="23" spans="1:8" x14ac:dyDescent="0.25">
      <c r="A23" s="118" t="s">
        <v>22</v>
      </c>
      <c r="B23" s="119"/>
      <c r="C23" s="119"/>
      <c r="D23" s="119"/>
      <c r="E23" s="133" t="s">
        <v>23</v>
      </c>
      <c r="F23" s="135"/>
      <c r="G23" s="135"/>
      <c r="H23" s="134"/>
    </row>
    <row r="24" spans="1:8" x14ac:dyDescent="0.25">
      <c r="A24" s="118" t="s">
        <v>24</v>
      </c>
      <c r="B24" s="119"/>
      <c r="C24" s="119"/>
      <c r="D24" s="119"/>
      <c r="E24" s="133" t="s">
        <v>155</v>
      </c>
      <c r="F24" s="135"/>
      <c r="G24" s="135"/>
      <c r="H24" s="134"/>
    </row>
    <row r="25" spans="1:8" x14ac:dyDescent="0.25">
      <c r="A25" s="118" t="s">
        <v>25</v>
      </c>
      <c r="B25" s="119"/>
      <c r="C25" s="119"/>
      <c r="D25" s="119"/>
      <c r="E25" s="133" t="s">
        <v>26</v>
      </c>
      <c r="F25" s="135"/>
      <c r="G25" s="135"/>
      <c r="H25" s="134"/>
    </row>
    <row r="26" spans="1:8" x14ac:dyDescent="0.25">
      <c r="A26" s="118" t="s">
        <v>118</v>
      </c>
      <c r="B26" s="119"/>
      <c r="C26" s="119"/>
      <c r="D26" s="119"/>
      <c r="E26" s="133" t="s">
        <v>119</v>
      </c>
      <c r="F26" s="135"/>
      <c r="G26" s="135"/>
      <c r="H26" s="134"/>
    </row>
    <row r="27" spans="1:8" ht="15" customHeight="1" x14ac:dyDescent="0.25">
      <c r="A27" s="121" t="s">
        <v>35</v>
      </c>
      <c r="B27" s="122"/>
      <c r="C27" s="122"/>
      <c r="D27" s="122"/>
      <c r="E27" s="165" t="s">
        <v>164</v>
      </c>
      <c r="F27" s="166"/>
      <c r="G27" s="166"/>
      <c r="H27" s="167"/>
    </row>
    <row r="28" spans="1:8" x14ac:dyDescent="0.25">
      <c r="A28" s="140" t="s">
        <v>131</v>
      </c>
      <c r="B28" s="140"/>
      <c r="C28" s="140"/>
      <c r="D28" s="140"/>
      <c r="E28" s="121" t="s">
        <v>36</v>
      </c>
      <c r="F28" s="122"/>
      <c r="G28" s="122"/>
      <c r="H28" s="123"/>
    </row>
    <row r="29" spans="1:8" s="12" customFormat="1" x14ac:dyDescent="0.25">
      <c r="A29" s="185" t="s">
        <v>132</v>
      </c>
      <c r="B29" s="186"/>
      <c r="C29" s="179" t="s">
        <v>31</v>
      </c>
      <c r="D29" s="180"/>
      <c r="E29" s="181"/>
      <c r="F29" s="179" t="s">
        <v>33</v>
      </c>
      <c r="G29" s="180"/>
      <c r="H29" s="181"/>
    </row>
    <row r="30" spans="1:8" s="12" customFormat="1" x14ac:dyDescent="0.25">
      <c r="A30" s="174" t="s">
        <v>27</v>
      </c>
      <c r="B30" s="175" t="s">
        <v>32</v>
      </c>
      <c r="C30" s="182" t="s">
        <v>32</v>
      </c>
      <c r="D30" s="183"/>
      <c r="E30" s="184"/>
      <c r="F30" s="182" t="s">
        <v>12</v>
      </c>
      <c r="G30" s="183"/>
      <c r="H30" s="184"/>
    </row>
    <row r="31" spans="1:8" x14ac:dyDescent="0.25">
      <c r="A31" s="174" t="s">
        <v>28</v>
      </c>
      <c r="B31" s="175" t="s">
        <v>32</v>
      </c>
      <c r="C31" s="182" t="s">
        <v>32</v>
      </c>
      <c r="D31" s="183"/>
      <c r="E31" s="184"/>
      <c r="F31" s="182" t="s">
        <v>157</v>
      </c>
      <c r="G31" s="183"/>
      <c r="H31" s="184"/>
    </row>
    <row r="32" spans="1:8" s="12" customFormat="1" x14ac:dyDescent="0.25">
      <c r="A32" s="174" t="s">
        <v>30</v>
      </c>
      <c r="B32" s="175" t="s">
        <v>32</v>
      </c>
      <c r="C32" s="182" t="s">
        <v>32</v>
      </c>
      <c r="D32" s="183"/>
      <c r="E32" s="184"/>
      <c r="F32" s="182" t="s">
        <v>156</v>
      </c>
      <c r="G32" s="183"/>
      <c r="H32" s="184"/>
    </row>
    <row r="33" spans="1:8" x14ac:dyDescent="0.25">
      <c r="A33" s="174" t="s">
        <v>29</v>
      </c>
      <c r="B33" s="175" t="s">
        <v>32</v>
      </c>
      <c r="C33" s="182" t="s">
        <v>32</v>
      </c>
      <c r="D33" s="183"/>
      <c r="E33" s="184"/>
      <c r="F33" s="182" t="s">
        <v>156</v>
      </c>
      <c r="G33" s="183"/>
      <c r="H33" s="184"/>
    </row>
    <row r="34" spans="1:8" x14ac:dyDescent="0.25">
      <c r="A34" s="118" t="s">
        <v>34</v>
      </c>
      <c r="B34" s="119"/>
      <c r="C34" s="119"/>
      <c r="D34" s="119"/>
      <c r="E34" s="119"/>
      <c r="F34" s="119"/>
      <c r="G34" s="119"/>
      <c r="H34" s="120"/>
    </row>
    <row r="35" spans="1:8" ht="15.75" customHeight="1" x14ac:dyDescent="0.25">
      <c r="A35" s="136" t="s">
        <v>250</v>
      </c>
      <c r="B35" s="136"/>
      <c r="C35" s="187" t="s">
        <v>258</v>
      </c>
      <c r="D35" s="188"/>
      <c r="E35" s="188"/>
      <c r="F35" s="188"/>
      <c r="G35" s="188"/>
      <c r="H35" s="189"/>
    </row>
    <row r="36" spans="1:8" ht="15.75" customHeight="1" x14ac:dyDescent="0.25">
      <c r="A36" s="136" t="s">
        <v>251</v>
      </c>
      <c r="B36" s="136"/>
      <c r="C36" s="190" t="s">
        <v>252</v>
      </c>
      <c r="D36" s="191"/>
      <c r="E36" s="191"/>
      <c r="F36" s="191"/>
      <c r="G36" s="191"/>
      <c r="H36" s="192"/>
    </row>
    <row r="37" spans="1:8" x14ac:dyDescent="0.25">
      <c r="A37" s="162" t="s">
        <v>37</v>
      </c>
      <c r="B37" s="163"/>
      <c r="C37" s="163"/>
      <c r="D37" s="163"/>
      <c r="E37" s="163"/>
      <c r="F37" s="163"/>
      <c r="G37" s="163"/>
      <c r="H37" s="164"/>
    </row>
    <row r="38" spans="1:8" x14ac:dyDescent="0.25">
      <c r="A38" s="118" t="s">
        <v>38</v>
      </c>
      <c r="B38" s="119"/>
      <c r="C38" s="119"/>
      <c r="D38" s="119"/>
      <c r="E38" s="176">
        <v>533750</v>
      </c>
      <c r="F38" s="177"/>
      <c r="G38" s="177"/>
      <c r="H38" s="178"/>
    </row>
    <row r="39" spans="1:8" x14ac:dyDescent="0.25">
      <c r="A39" s="118" t="s">
        <v>39</v>
      </c>
      <c r="B39" s="119"/>
      <c r="C39" s="119"/>
      <c r="D39" s="119"/>
      <c r="E39" s="171">
        <v>1</v>
      </c>
      <c r="F39" s="172"/>
      <c r="G39" s="172"/>
      <c r="H39" s="173"/>
    </row>
    <row r="40" spans="1:8" x14ac:dyDescent="0.25">
      <c r="A40" s="118" t="s">
        <v>40</v>
      </c>
      <c r="B40" s="119"/>
      <c r="C40" s="119"/>
      <c r="D40" s="119"/>
      <c r="E40" s="211">
        <f>E42/E38-E39</f>
        <v>0</v>
      </c>
      <c r="F40" s="212"/>
      <c r="G40" s="212"/>
      <c r="H40" s="213"/>
    </row>
    <row r="41" spans="1:8" x14ac:dyDescent="0.25">
      <c r="A41" s="118" t="s">
        <v>41</v>
      </c>
      <c r="B41" s="119"/>
      <c r="C41" s="119"/>
      <c r="D41" s="119"/>
      <c r="E41" s="214">
        <f>E39+E40</f>
        <v>1</v>
      </c>
      <c r="F41" s="215"/>
      <c r="G41" s="215"/>
      <c r="H41" s="216"/>
    </row>
    <row r="42" spans="1:8" x14ac:dyDescent="0.25">
      <c r="A42" s="118" t="s">
        <v>130</v>
      </c>
      <c r="B42" s="119"/>
      <c r="C42" s="119"/>
      <c r="D42" s="119"/>
      <c r="E42" s="211">
        <v>533750</v>
      </c>
      <c r="F42" s="212"/>
      <c r="G42" s="212"/>
      <c r="H42" s="213"/>
    </row>
    <row r="43" spans="1:8" x14ac:dyDescent="0.25">
      <c r="A43" s="168" t="s">
        <v>42</v>
      </c>
      <c r="B43" s="169"/>
      <c r="C43" s="169"/>
      <c r="D43" s="169"/>
      <c r="E43" s="168" t="s">
        <v>204</v>
      </c>
      <c r="F43" s="169"/>
      <c r="G43" s="169"/>
      <c r="H43" s="170"/>
    </row>
    <row r="44" spans="1:8" x14ac:dyDescent="0.25">
      <c r="A44" s="162" t="s">
        <v>43</v>
      </c>
      <c r="B44" s="163"/>
      <c r="C44" s="163"/>
      <c r="D44" s="163"/>
      <c r="E44" s="163"/>
      <c r="F44" s="163"/>
      <c r="G44" s="163"/>
      <c r="H44" s="164"/>
    </row>
    <row r="45" spans="1:8" ht="51" customHeight="1" x14ac:dyDescent="0.25">
      <c r="A45" s="121" t="s">
        <v>44</v>
      </c>
      <c r="B45" s="123"/>
      <c r="C45" s="195" t="s">
        <v>208</v>
      </c>
      <c r="D45" s="196"/>
      <c r="E45" s="197"/>
      <c r="F45" s="29" t="s">
        <v>45</v>
      </c>
      <c r="G45" s="210">
        <v>44118</v>
      </c>
      <c r="H45" s="134"/>
    </row>
    <row r="46" spans="1:8" ht="48" customHeight="1" x14ac:dyDescent="0.25">
      <c r="A46" s="121" t="s">
        <v>202</v>
      </c>
      <c r="B46" s="123"/>
      <c r="C46" s="195" t="str">
        <f>C45</f>
        <v>SROT/Growth Center/2401/BP/ITP-Usarghar-Gharivali-Sagaon-01/Site-A/Vol.XV/178/2020</v>
      </c>
      <c r="D46" s="196"/>
      <c r="E46" s="197"/>
      <c r="F46" s="29" t="s">
        <v>45</v>
      </c>
      <c r="G46" s="210">
        <f>G45</f>
        <v>44118</v>
      </c>
      <c r="H46" s="249"/>
    </row>
    <row r="47" spans="1:8" ht="48" customHeight="1" x14ac:dyDescent="0.25">
      <c r="A47" s="121" t="s">
        <v>203</v>
      </c>
      <c r="B47" s="123"/>
      <c r="C47" s="195" t="s">
        <v>209</v>
      </c>
      <c r="D47" s="196"/>
      <c r="E47" s="197"/>
      <c r="F47" s="29" t="s">
        <v>45</v>
      </c>
      <c r="G47" s="210">
        <v>44238</v>
      </c>
      <c r="H47" s="134"/>
    </row>
    <row r="48" spans="1:8" s="11" customFormat="1" ht="62.25" customHeight="1" x14ac:dyDescent="0.25">
      <c r="A48" s="152" t="s">
        <v>46</v>
      </c>
      <c r="B48" s="154"/>
      <c r="C48" s="195" t="s">
        <v>262</v>
      </c>
      <c r="D48" s="196"/>
      <c r="E48" s="197"/>
      <c r="F48" s="30" t="s">
        <v>45</v>
      </c>
      <c r="G48" s="210">
        <v>45426</v>
      </c>
      <c r="H48" s="134"/>
    </row>
    <row r="49" spans="1:11" s="11" customFormat="1" x14ac:dyDescent="0.25">
      <c r="A49" s="208"/>
      <c r="B49" s="209"/>
      <c r="C49" s="195" t="s">
        <v>261</v>
      </c>
      <c r="D49" s="196"/>
      <c r="E49" s="196"/>
      <c r="F49" s="196"/>
      <c r="G49" s="196"/>
      <c r="H49" s="197"/>
    </row>
    <row r="50" spans="1:11" ht="77.45" customHeight="1" x14ac:dyDescent="0.25">
      <c r="A50" s="217" t="s">
        <v>47</v>
      </c>
      <c r="B50" s="207"/>
      <c r="C50" s="218" t="s">
        <v>271</v>
      </c>
      <c r="D50" s="219"/>
      <c r="E50" s="220" t="s">
        <v>48</v>
      </c>
      <c r="F50" s="70" t="s">
        <v>45</v>
      </c>
      <c r="G50" s="206">
        <v>45804</v>
      </c>
      <c r="H50" s="207"/>
    </row>
    <row r="51" spans="1:11" x14ac:dyDescent="0.25">
      <c r="A51" s="221" t="s">
        <v>50</v>
      </c>
      <c r="B51" s="222"/>
      <c r="C51" s="222"/>
      <c r="D51" s="222"/>
      <c r="E51" s="222"/>
      <c r="F51" s="222"/>
      <c r="G51" s="222"/>
      <c r="H51" s="223"/>
    </row>
    <row r="52" spans="1:11" x14ac:dyDescent="0.25">
      <c r="A52" s="121" t="s">
        <v>129</v>
      </c>
      <c r="B52" s="122"/>
      <c r="C52" s="123"/>
      <c r="D52" s="232">
        <v>79288.94</v>
      </c>
      <c r="E52" s="169"/>
      <c r="F52" s="169"/>
      <c r="G52" s="169"/>
      <c r="H52" s="170"/>
      <c r="I52" s="28"/>
    </row>
    <row r="53" spans="1:11" x14ac:dyDescent="0.25">
      <c r="A53" s="133" t="s">
        <v>51</v>
      </c>
      <c r="B53" s="169"/>
      <c r="C53" s="170"/>
      <c r="D53" s="168" t="s">
        <v>210</v>
      </c>
      <c r="E53" s="169"/>
      <c r="F53" s="169"/>
      <c r="G53" s="169"/>
      <c r="H53" s="170"/>
    </row>
    <row r="54" spans="1:11" ht="30.75" customHeight="1" x14ac:dyDescent="0.25">
      <c r="A54" s="133" t="s">
        <v>52</v>
      </c>
      <c r="B54" s="169"/>
      <c r="C54" s="170"/>
      <c r="D54" s="133" t="s">
        <v>189</v>
      </c>
      <c r="E54" s="135"/>
      <c r="F54" s="135"/>
      <c r="G54" s="135"/>
      <c r="H54" s="134"/>
    </row>
    <row r="55" spans="1:11" ht="32.25" customHeight="1" x14ac:dyDescent="0.25">
      <c r="A55" s="133" t="s">
        <v>127</v>
      </c>
      <c r="B55" s="169"/>
      <c r="C55" s="170"/>
      <c r="D55" s="133" t="str">
        <f>D54</f>
        <v>Building No.24 to 30 = Stilt + 1st to 23rd Floors + Fire Check Floor + 24th to 32nd Floor</v>
      </c>
      <c r="E55" s="135"/>
      <c r="F55" s="135"/>
      <c r="G55" s="135"/>
      <c r="H55" s="134"/>
    </row>
    <row r="56" spans="1:11" ht="51" customHeight="1" x14ac:dyDescent="0.25">
      <c r="A56" s="136" t="s">
        <v>49</v>
      </c>
      <c r="B56" s="136"/>
      <c r="C56" s="136"/>
      <c r="D56" s="121" t="s">
        <v>274</v>
      </c>
      <c r="E56" s="122"/>
      <c r="F56" s="122"/>
      <c r="G56" s="122"/>
      <c r="H56" s="123"/>
    </row>
    <row r="57" spans="1:11" ht="15.75" customHeight="1" x14ac:dyDescent="0.25">
      <c r="A57" s="136" t="s">
        <v>124</v>
      </c>
      <c r="B57" s="136"/>
      <c r="C57" s="136"/>
      <c r="D57" s="121" t="s">
        <v>125</v>
      </c>
      <c r="E57" s="122"/>
      <c r="F57" s="122"/>
      <c r="G57" s="122"/>
      <c r="H57" s="123"/>
    </row>
    <row r="58" spans="1:11" ht="15.75" customHeight="1" x14ac:dyDescent="0.25">
      <c r="A58" s="118" t="s">
        <v>126</v>
      </c>
      <c r="B58" s="119"/>
      <c r="C58" s="119"/>
      <c r="D58" s="121" t="s">
        <v>26</v>
      </c>
      <c r="E58" s="122"/>
      <c r="F58" s="122"/>
      <c r="G58" s="122"/>
      <c r="H58" s="123"/>
      <c r="J58" s="21"/>
      <c r="K58" s="21"/>
    </row>
    <row r="59" spans="1:11" ht="16.5" customHeight="1" thickBot="1" x14ac:dyDescent="0.3">
      <c r="A59" s="118" t="s">
        <v>123</v>
      </c>
      <c r="B59" s="119"/>
      <c r="C59" s="119"/>
      <c r="D59" s="133" t="s">
        <v>158</v>
      </c>
      <c r="E59" s="135"/>
      <c r="F59" s="135"/>
      <c r="G59" s="135"/>
      <c r="H59" s="134"/>
      <c r="J59" s="21"/>
      <c r="K59" s="21"/>
    </row>
    <row r="60" spans="1:11" ht="32.25" customHeight="1" x14ac:dyDescent="0.25">
      <c r="A60" s="88" t="s">
        <v>215</v>
      </c>
      <c r="B60" s="89"/>
      <c r="C60" s="90" t="s">
        <v>264</v>
      </c>
      <c r="D60" s="91"/>
      <c r="E60" s="91"/>
      <c r="F60" s="91"/>
      <c r="G60" s="91"/>
      <c r="H60" s="92"/>
      <c r="I60" s="48" t="str">
        <f ca="1">(IF(E64&gt;99%,"All work completed. Please provide OC.",IF(E64&gt;89.8%,"Plinth, RCC, Brick, Plaster, Flooring, Painting work Completed. Finishing work is in process.",IF(E64&lt;94%,(IF(C64=0,"Work not yet Started.",IF(D64=25%,"Piling work in process",IF(D64=50%,"Excavation work in process",IF(D64=100%,"Excavation work Completed. ","0")))&amp;(IF(C65=0%,"",IF(C65=J66,"Footing work is process",IF(C65=J67,"Footing work Completed",IF(C65=J68,"1st Basement Completed",IF(C65=J69,"1st &amp; 2nd Basement Completed",IF(C65=J70,"1st to 3rd Basement Completed",IF(C65=J71,"1st to 4th Basement Completed",IF(C65=J72,"Plinth work is process",IF(C65=J73,"Plinth work completed","0")))))))))))&amp;(IF(C66=(D61+F61+H61),", RCC Slab",IF(C66&gt;0,", RCC upto "&amp;C66&amp;" Slab",""))&amp;(IF(C67=H61,", Brickwork",IF(C67&gt;0,", Brickwork upto "&amp;C67&amp;" Floor",""))&amp;(IF(C68=H61,", Internal Plaster",IF(C68&gt;0,", Internal Plaster upto "&amp;C68&amp;" Floor",""))&amp;(IF(C69=H61,", External Plaster",IF(C69&gt;0,", External Plaster upto "&amp;C69&amp;" Floor",""))&amp;(IF(C70=H61,", Flooring",IF(C70&gt;0,", Flooring upto "&amp;C70&amp;" Floor",""))&amp;(IF(C71=H61,", Painting",IF(C71&gt;0,", Painting upto "&amp;C71&amp;" Floor",""))&amp;(IF(C72&gt;0,", Finishing upto "&amp;C72&amp;" Floor","")&amp;(IF(C66&gt;0.5," Completed",""))))))))))))))</f>
        <v>All work completed. Please provide OC.</v>
      </c>
      <c r="J60" s="49"/>
      <c r="K60" s="21"/>
    </row>
    <row r="61" spans="1:11" x14ac:dyDescent="0.25">
      <c r="A61" s="50" t="s">
        <v>104</v>
      </c>
      <c r="B61" s="14">
        <v>0</v>
      </c>
      <c r="C61" s="14" t="s">
        <v>106</v>
      </c>
      <c r="D61" s="14">
        <v>1</v>
      </c>
      <c r="E61" s="14" t="s">
        <v>105</v>
      </c>
      <c r="F61" s="14">
        <v>0</v>
      </c>
      <c r="G61" s="14" t="s">
        <v>117</v>
      </c>
      <c r="H61" s="51">
        <f ca="1">--TRIM(RIGHT(SUBSTITUTE(LEFT(C60,_xlfn.AGGREGATE(16,6,FIND({0,1,2,3,4,5,6,7,8,9},C60,ROW(INDIRECT("1:"&amp;LEN(C60)))),1))," ",REPT(" ",LEN(C60))),LEN(C60)))</f>
        <v>32</v>
      </c>
      <c r="I61" s="21"/>
      <c r="J61" s="52"/>
      <c r="K61" s="21"/>
    </row>
    <row r="62" spans="1:11" ht="16.5" thickBot="1" x14ac:dyDescent="0.3">
      <c r="A62" s="93" t="s">
        <v>128</v>
      </c>
      <c r="B62" s="86"/>
      <c r="C62" s="85" t="str">
        <f>I62</f>
        <v>All work Completed. OC Received.</v>
      </c>
      <c r="D62" s="85"/>
      <c r="E62" s="85"/>
      <c r="F62" s="85"/>
      <c r="G62" s="85"/>
      <c r="H62" s="94"/>
      <c r="I62" s="21" t="s">
        <v>144</v>
      </c>
      <c r="J62" s="52"/>
      <c r="K62" s="21"/>
    </row>
    <row r="63" spans="1:11" hidden="1" x14ac:dyDescent="0.25">
      <c r="A63" s="95" t="s">
        <v>53</v>
      </c>
      <c r="B63" s="96"/>
      <c r="C63" s="25" t="s">
        <v>216</v>
      </c>
      <c r="D63" s="25" t="s">
        <v>120</v>
      </c>
      <c r="E63" s="96" t="s">
        <v>122</v>
      </c>
      <c r="F63" s="96"/>
      <c r="G63" s="96" t="s">
        <v>121</v>
      </c>
      <c r="H63" s="97"/>
      <c r="I63" s="22" t="s">
        <v>217</v>
      </c>
      <c r="J63" s="53">
        <f ca="1">H61*25%</f>
        <v>8</v>
      </c>
      <c r="K63" s="21"/>
    </row>
    <row r="64" spans="1:11" hidden="1" x14ac:dyDescent="0.25">
      <c r="A64" s="96" t="s">
        <v>218</v>
      </c>
      <c r="B64" s="96"/>
      <c r="C64" s="26">
        <f ca="1">J65</f>
        <v>32</v>
      </c>
      <c r="D64" s="68">
        <f ca="1">((100/H61)*C64)/100</f>
        <v>1</v>
      </c>
      <c r="E64" s="98">
        <f ca="1">(((C65/H61*10)+(40/(D61+F61+H61)*C66)+(7.5/(H61)*C67)+(7.5/(H61)*C68)+(10/H61*C69)+(10/H61*C70)+(5/H61*C71)+(5/H61*C72)+(5/H61*C73))/100)</f>
        <v>1</v>
      </c>
      <c r="F64" s="98"/>
      <c r="G64" s="98">
        <f ca="1">((((C64/H61)*20)+((C65/H61)*25)+(30/(H61+F61+D61)*C66)+(5/H61*C67)+(5/H61*C68)+(5/H61*C69)+(5/H61*C70)+(0/H61*C71)+(0/H61*C72)+(5/H61*C73))/100)</f>
        <v>1</v>
      </c>
      <c r="H64" s="98"/>
      <c r="I64" s="22" t="s">
        <v>138</v>
      </c>
      <c r="J64" s="54">
        <f ca="1">H61*50%</f>
        <v>16</v>
      </c>
    </row>
    <row r="65" spans="1:11" hidden="1" x14ac:dyDescent="0.25">
      <c r="A65" s="96" t="s">
        <v>54</v>
      </c>
      <c r="B65" s="96"/>
      <c r="C65" s="27">
        <f ca="1">J73</f>
        <v>32</v>
      </c>
      <c r="D65" s="68">
        <f ca="1">((100/H61)*C65)/100</f>
        <v>1</v>
      </c>
      <c r="E65" s="98"/>
      <c r="F65" s="98"/>
      <c r="G65" s="98"/>
      <c r="H65" s="98"/>
      <c r="I65" s="22" t="s">
        <v>139</v>
      </c>
      <c r="J65" s="54">
        <f ca="1">H61</f>
        <v>32</v>
      </c>
      <c r="K65" s="23">
        <v>0.02</v>
      </c>
    </row>
    <row r="66" spans="1:11" hidden="1" x14ac:dyDescent="0.25">
      <c r="A66" s="99" t="s">
        <v>219</v>
      </c>
      <c r="B66" s="99"/>
      <c r="C66" s="27">
        <v>33</v>
      </c>
      <c r="D66" s="68">
        <f ca="1">((100/(D61+F61+H61))*C66)/100</f>
        <v>1</v>
      </c>
      <c r="E66" s="98"/>
      <c r="F66" s="98"/>
      <c r="G66" s="98"/>
      <c r="H66" s="98"/>
      <c r="I66" s="22" t="s">
        <v>140</v>
      </c>
      <c r="J66" s="55">
        <f ca="1">(IF(B61&gt;1,(H61/(B61+2)),H61/4))</f>
        <v>8</v>
      </c>
      <c r="K66" s="23">
        <v>0.04</v>
      </c>
    </row>
    <row r="67" spans="1:11" hidden="1" x14ac:dyDescent="0.25">
      <c r="A67" s="96" t="s">
        <v>220</v>
      </c>
      <c r="B67" s="96" t="s">
        <v>221</v>
      </c>
      <c r="C67" s="27">
        <f>C66-1</f>
        <v>32</v>
      </c>
      <c r="D67" s="68">
        <f ca="1">((100/H61)*C67)/100</f>
        <v>1</v>
      </c>
      <c r="E67" s="98"/>
      <c r="F67" s="98"/>
      <c r="G67" s="98"/>
      <c r="H67" s="98"/>
      <c r="I67" s="22" t="s">
        <v>141</v>
      </c>
      <c r="J67" s="55">
        <f ca="1">(IF(B61&gt;1,(H61/(B61+2)+J66),H61/4+J66))</f>
        <v>16</v>
      </c>
      <c r="K67" s="23">
        <v>0.08</v>
      </c>
    </row>
    <row r="68" spans="1:11" hidden="1" x14ac:dyDescent="0.25">
      <c r="A68" s="96" t="s">
        <v>222</v>
      </c>
      <c r="B68" s="96" t="s">
        <v>221</v>
      </c>
      <c r="C68" s="27">
        <v>32</v>
      </c>
      <c r="D68" s="68">
        <f ca="1">((100/H61)*C68)/100</f>
        <v>1</v>
      </c>
      <c r="E68" s="98"/>
      <c r="F68" s="98"/>
      <c r="G68" s="98"/>
      <c r="H68" s="98"/>
      <c r="I68" s="22" t="s">
        <v>223</v>
      </c>
      <c r="J68" s="55">
        <f>(IF(B61&gt;1,(H61/(B61+2)+J67),0))</f>
        <v>0</v>
      </c>
      <c r="K68" s="23">
        <v>0.15</v>
      </c>
    </row>
    <row r="69" spans="1:11" hidden="1" x14ac:dyDescent="0.25">
      <c r="A69" s="96" t="s">
        <v>224</v>
      </c>
      <c r="B69" s="96" t="s">
        <v>225</v>
      </c>
      <c r="C69" s="27">
        <v>32</v>
      </c>
      <c r="D69" s="68">
        <f ca="1">((100/(H61))*C69)/100</f>
        <v>1</v>
      </c>
      <c r="E69" s="98"/>
      <c r="F69" s="98"/>
      <c r="G69" s="98"/>
      <c r="H69" s="98"/>
      <c r="I69" s="22" t="s">
        <v>226</v>
      </c>
      <c r="J69" s="55">
        <f>(IF(B61&gt;2,(H61/(B61+2)+J68),0))</f>
        <v>0</v>
      </c>
      <c r="K69" s="23">
        <v>0.04</v>
      </c>
    </row>
    <row r="70" spans="1:11" hidden="1" x14ac:dyDescent="0.25">
      <c r="A70" s="96" t="s">
        <v>227</v>
      </c>
      <c r="B70" s="96" t="s">
        <v>227</v>
      </c>
      <c r="C70" s="26">
        <v>32</v>
      </c>
      <c r="D70" s="68">
        <f ca="1">((100/H61)*C70)/100</f>
        <v>1</v>
      </c>
      <c r="E70" s="98"/>
      <c r="F70" s="98"/>
      <c r="G70" s="98"/>
      <c r="H70" s="98"/>
      <c r="I70" s="22" t="s">
        <v>228</v>
      </c>
      <c r="J70" s="56">
        <f>(IF(B61&gt;3,(H61/(B61+2)+J69),0))</f>
        <v>0</v>
      </c>
      <c r="K70" s="23">
        <v>0.08</v>
      </c>
    </row>
    <row r="71" spans="1:11" hidden="1" x14ac:dyDescent="0.25">
      <c r="A71" s="96" t="s">
        <v>229</v>
      </c>
      <c r="B71" s="96"/>
      <c r="C71" s="26">
        <v>32</v>
      </c>
      <c r="D71" s="68">
        <f ca="1">((100/H61)*C71)/100</f>
        <v>1</v>
      </c>
      <c r="E71" s="98"/>
      <c r="F71" s="98"/>
      <c r="G71" s="98"/>
      <c r="H71" s="98"/>
      <c r="I71" s="22" t="s">
        <v>230</v>
      </c>
      <c r="J71" s="55">
        <f>(IF(B61&gt;4,(H61/(B61+2)+J70),0))</f>
        <v>0</v>
      </c>
      <c r="K71" s="23">
        <v>0.15</v>
      </c>
    </row>
    <row r="72" spans="1:11" ht="15" hidden="1" customHeight="1" x14ac:dyDescent="0.25">
      <c r="A72" s="96" t="s">
        <v>231</v>
      </c>
      <c r="B72" s="96" t="s">
        <v>231</v>
      </c>
      <c r="C72" s="26">
        <v>32</v>
      </c>
      <c r="D72" s="68">
        <f ca="1">((100/(H61))*C72)/100</f>
        <v>1</v>
      </c>
      <c r="E72" s="98"/>
      <c r="F72" s="98"/>
      <c r="G72" s="98"/>
      <c r="H72" s="98"/>
      <c r="I72" s="22" t="s">
        <v>142</v>
      </c>
      <c r="J72" s="55">
        <f ca="1">(IF(B61=1,(H61/(B61+3)+J67),IF(B61=0,(H61/4+J67),IF(B61&gt;1,0))))</f>
        <v>24</v>
      </c>
      <c r="K72" s="23">
        <v>0.2</v>
      </c>
    </row>
    <row r="73" spans="1:11" ht="16.5" hidden="1" thickBot="1" x14ac:dyDescent="0.3">
      <c r="A73" s="254" t="s">
        <v>232</v>
      </c>
      <c r="B73" s="254"/>
      <c r="C73" s="252">
        <v>32</v>
      </c>
      <c r="D73" s="253">
        <f ca="1">((100/(H61))*C73)/100</f>
        <v>1</v>
      </c>
      <c r="E73" s="250"/>
      <c r="F73" s="250"/>
      <c r="G73" s="250"/>
      <c r="H73" s="250"/>
      <c r="I73" s="57" t="s">
        <v>143</v>
      </c>
      <c r="J73" s="58">
        <f ca="1">(IF(B61&gt;1.5,(H61/(B61+2)+J67+MAX(0,J68-J67)+MAX(0,J69-J68)+MAX(0,J70-J69)+MAX(0,J71-J70)+MAX(0,J72-J71)),IF(B61=1,(H61/(B61+3)+J72),IF(B61=0,H61/4+J72))))</f>
        <v>32</v>
      </c>
      <c r="K73" s="23">
        <v>0.3</v>
      </c>
    </row>
    <row r="74" spans="1:11" ht="32.25" customHeight="1" thickBot="1" x14ac:dyDescent="0.3">
      <c r="A74" s="255" t="s">
        <v>122</v>
      </c>
      <c r="B74" s="256"/>
      <c r="C74" s="257">
        <f ca="1">E64</f>
        <v>1</v>
      </c>
      <c r="D74" s="258"/>
      <c r="E74" s="259" t="s">
        <v>121</v>
      </c>
      <c r="F74" s="260"/>
      <c r="G74" s="259">
        <f ca="1">G64</f>
        <v>1</v>
      </c>
      <c r="H74" s="260"/>
      <c r="I74" s="57" t="s">
        <v>143</v>
      </c>
      <c r="J74" s="58">
        <f ca="1">(IF(B62&gt;1.5,(H62/(B62+2)+J68+MAX(0,J69-J68)+MAX(0,J70-J69)+MAX(0,J71-J70)+MAX(0,J72-J71)+MAX(0,J73-J72)),IF(B62=1,(H62/(B62+3)+J73),IF(B62=0,H62/4+J73))))</f>
        <v>32</v>
      </c>
      <c r="K74" s="23">
        <v>0.3</v>
      </c>
    </row>
    <row r="75" spans="1:11" hidden="1" x14ac:dyDescent="0.25">
      <c r="A75" s="251" t="s">
        <v>215</v>
      </c>
      <c r="B75" s="251"/>
      <c r="C75" s="251" t="s">
        <v>235</v>
      </c>
      <c r="D75" s="251"/>
      <c r="E75" s="251"/>
      <c r="F75" s="251"/>
      <c r="G75" s="251"/>
      <c r="H75" s="251"/>
      <c r="I75" s="48" t="str">
        <f ca="1">(IF(E79&gt;99%,"All work completed. Please provide OC.",IF(E79&gt;89.8%,"Plinth, RCC, Brick, Plaster, Flooring, Painting work Completed. Finishing work is in process.",IF(E79&lt;94%,(IF(C79=0,"Work not yet Started.",IF(D79=25%,"Piling work in process",IF(D79=50%,"Excavation work in process",IF(D79=100%,"Excavation work Completed. ","0")))&amp;(IF(C80=0%,"",IF(C80=J81,"Footing work is process",IF(C80=J82,"Footing work Completed",IF(C80=J83,"1st Basement Completed",IF(C80=J84,"1st &amp; 2nd Basement Completed",IF(C80=J85,"1st to 3rd Basement Completed",IF(C80=J86,"1st to 4th Basement Completed",IF(C80=J87,"Plinth work is process",IF(C80=J88,"Plinth work completed","0")))))))))))&amp;(IF(C81=(D76+F76+H76),", RCC Slab",IF(C81&gt;0,", RCC upto "&amp;C81&amp;" Slab",""))&amp;(IF(C82=H76,", Brickwork",IF(C82&gt;0,", Brickwork upto "&amp;C82&amp;" Floor",""))&amp;(IF(C83=H76,", Internal Plaster",IF(C83&gt;0,", Internal Plaster upto "&amp;C83&amp;" Floor",""))&amp;(IF(C84=H76,", External Plaster",IF(C84&gt;0,", External Plaster upto "&amp;C84&amp;" Floor",""))&amp;(IF(C85=H76,", Flooring",IF(C85&gt;0,", Flooring upto "&amp;C85&amp;" Floor",""))&amp;(IF(C86=H76,", Painting",IF(C86&gt;0,", Painting upto "&amp;C86&amp;" Floor",""))&amp;(IF(C87&gt;0,", Finishing upto "&amp;C87&amp;" Floor","")&amp;(IF(C81&gt;0.5," Completed",""))))))))))))))</f>
        <v>Plinth, RCC, Brick, Plaster, Flooring, Painting work Completed. Finishing work is in process.</v>
      </c>
      <c r="J75" s="49"/>
      <c r="K75" s="21"/>
    </row>
    <row r="76" spans="1:11" hidden="1" x14ac:dyDescent="0.25">
      <c r="A76" s="69" t="s">
        <v>104</v>
      </c>
      <c r="B76" s="69">
        <v>0</v>
      </c>
      <c r="C76" s="69" t="s">
        <v>106</v>
      </c>
      <c r="D76" s="69">
        <v>1</v>
      </c>
      <c r="E76" s="69" t="s">
        <v>105</v>
      </c>
      <c r="F76" s="69">
        <v>0</v>
      </c>
      <c r="G76" s="69" t="s">
        <v>117</v>
      </c>
      <c r="H76" s="69">
        <f ca="1">--TRIM(RIGHT(SUBSTITUTE(LEFT(C75,_xlfn.AGGREGATE(16,6,FIND({0,1,2,3,4,5,6,7,8,9},C75,ROW(INDIRECT("1:"&amp;LEN(C75)))),1))," ",REPT(" ",LEN(C75))),LEN(C75)))</f>
        <v>32</v>
      </c>
      <c r="I76" s="21"/>
      <c r="J76" s="52"/>
      <c r="K76" s="21"/>
    </row>
    <row r="77" spans="1:11" ht="30" hidden="1" customHeight="1" x14ac:dyDescent="0.25">
      <c r="A77" s="86" t="s">
        <v>128</v>
      </c>
      <c r="B77" s="86"/>
      <c r="C77" s="85" t="str">
        <f ca="1">I75</f>
        <v>Plinth, RCC, Brick, Plaster, Flooring, Painting work Completed. Finishing work is in process.</v>
      </c>
      <c r="D77" s="85"/>
      <c r="E77" s="85"/>
      <c r="F77" s="85"/>
      <c r="G77" s="85"/>
      <c r="H77" s="85"/>
      <c r="I77" s="21" t="s">
        <v>144</v>
      </c>
      <c r="J77" s="52"/>
      <c r="K77" s="21"/>
    </row>
    <row r="78" spans="1:11" hidden="1" x14ac:dyDescent="0.25">
      <c r="A78" s="96" t="s">
        <v>53</v>
      </c>
      <c r="B78" s="96"/>
      <c r="C78" s="67" t="s">
        <v>216</v>
      </c>
      <c r="D78" s="67" t="s">
        <v>120</v>
      </c>
      <c r="E78" s="96" t="s">
        <v>122</v>
      </c>
      <c r="F78" s="96"/>
      <c r="G78" s="96" t="s">
        <v>121</v>
      </c>
      <c r="H78" s="96"/>
      <c r="I78" s="22" t="s">
        <v>217</v>
      </c>
      <c r="J78" s="53">
        <f ca="1">H76*25%</f>
        <v>8</v>
      </c>
      <c r="K78" s="21"/>
    </row>
    <row r="79" spans="1:11" hidden="1" x14ac:dyDescent="0.25">
      <c r="A79" s="96" t="s">
        <v>218</v>
      </c>
      <c r="B79" s="96"/>
      <c r="C79" s="26">
        <f ca="1">J80</f>
        <v>32</v>
      </c>
      <c r="D79" s="68">
        <f ca="1">((100/H76)*C79)/100</f>
        <v>1</v>
      </c>
      <c r="E79" s="98">
        <f ca="1">(((C80/H76*10)+(40/(D76+F76+H76)*C81)+(7.5/(H76)*C82)+(7.5/(H76)*C83)+(10/H76*C84)+(10/H76*C85)+(5/H76*C86)+(5/H76*C87)+(5/H76*C88))/100)</f>
        <v>0.8984375</v>
      </c>
      <c r="F79" s="98"/>
      <c r="G79" s="98">
        <f ca="1">((((C79/H76)*20)+((C80/H76)*25)+(30/(H76+F76+D76)*C81)+(5/H76*C82)+(5/H76*C83)+(5/H76*C84)+(5/H76*C85)+(0/H76*C86)+(0/H76*C87)+(5/H76*C88))/100)</f>
        <v>0.94687500000000002</v>
      </c>
      <c r="H79" s="98"/>
      <c r="I79" s="22" t="s">
        <v>138</v>
      </c>
      <c r="J79" s="54">
        <f ca="1">H76*50%</f>
        <v>16</v>
      </c>
    </row>
    <row r="80" spans="1:11" hidden="1" x14ac:dyDescent="0.25">
      <c r="A80" s="96" t="s">
        <v>54</v>
      </c>
      <c r="B80" s="96"/>
      <c r="C80" s="27">
        <f ca="1">J88</f>
        <v>32</v>
      </c>
      <c r="D80" s="68">
        <f ca="1">((100/H76)*C80)/100</f>
        <v>1</v>
      </c>
      <c r="E80" s="98"/>
      <c r="F80" s="98"/>
      <c r="G80" s="98"/>
      <c r="H80" s="98"/>
      <c r="I80" s="22" t="s">
        <v>139</v>
      </c>
      <c r="J80" s="54">
        <f ca="1">H76</f>
        <v>32</v>
      </c>
      <c r="K80" s="23">
        <v>0.02</v>
      </c>
    </row>
    <row r="81" spans="1:11" hidden="1" x14ac:dyDescent="0.25">
      <c r="A81" s="99" t="s">
        <v>219</v>
      </c>
      <c r="B81" s="99"/>
      <c r="C81" s="27">
        <v>33</v>
      </c>
      <c r="D81" s="68">
        <f ca="1">((100/(D76+F76+H76))*C81)/100</f>
        <v>1</v>
      </c>
      <c r="E81" s="98"/>
      <c r="F81" s="98"/>
      <c r="G81" s="98"/>
      <c r="H81" s="98"/>
      <c r="I81" s="22" t="s">
        <v>140</v>
      </c>
      <c r="J81" s="55">
        <f ca="1">(IF(B76&gt;1,(H76/(B76+2)),H76/4))</f>
        <v>8</v>
      </c>
      <c r="K81" s="23">
        <v>0.04</v>
      </c>
    </row>
    <row r="82" spans="1:11" hidden="1" x14ac:dyDescent="0.25">
      <c r="A82" s="96" t="s">
        <v>220</v>
      </c>
      <c r="B82" s="96" t="s">
        <v>221</v>
      </c>
      <c r="C82" s="27">
        <f>C81-1</f>
        <v>32</v>
      </c>
      <c r="D82" s="68">
        <f ca="1">((100/H76)*C82)/100</f>
        <v>1</v>
      </c>
      <c r="E82" s="98"/>
      <c r="F82" s="98"/>
      <c r="G82" s="98"/>
      <c r="H82" s="98"/>
      <c r="I82" s="22" t="s">
        <v>141</v>
      </c>
      <c r="J82" s="55">
        <f ca="1">(IF(B76&gt;1,(H76/(B76+2)+J81),H76/4+J81))</f>
        <v>16</v>
      </c>
      <c r="K82" s="23">
        <v>0.08</v>
      </c>
    </row>
    <row r="83" spans="1:11" hidden="1" x14ac:dyDescent="0.25">
      <c r="A83" s="96" t="s">
        <v>222</v>
      </c>
      <c r="B83" s="96" t="s">
        <v>221</v>
      </c>
      <c r="C83" s="27">
        <v>32</v>
      </c>
      <c r="D83" s="68">
        <f ca="1">((100/H76)*C83)/100</f>
        <v>1</v>
      </c>
      <c r="E83" s="98"/>
      <c r="F83" s="98"/>
      <c r="G83" s="98"/>
      <c r="H83" s="98"/>
      <c r="I83" s="22" t="s">
        <v>223</v>
      </c>
      <c r="J83" s="55">
        <f>(IF(B76&gt;1,(H76/(B76+2)+J82),0))</f>
        <v>0</v>
      </c>
      <c r="K83" s="23">
        <v>0.15</v>
      </c>
    </row>
    <row r="84" spans="1:11" hidden="1" x14ac:dyDescent="0.25">
      <c r="A84" s="96" t="s">
        <v>224</v>
      </c>
      <c r="B84" s="96" t="s">
        <v>225</v>
      </c>
      <c r="C84" s="27">
        <v>32</v>
      </c>
      <c r="D84" s="68">
        <f ca="1">((100/(H76))*C84)/100</f>
        <v>1</v>
      </c>
      <c r="E84" s="98"/>
      <c r="F84" s="98"/>
      <c r="G84" s="98"/>
      <c r="H84" s="98"/>
      <c r="I84" s="22" t="s">
        <v>226</v>
      </c>
      <c r="J84" s="55">
        <f>(IF(B76&gt;2,(H76/(B76+2)+J83),0))</f>
        <v>0</v>
      </c>
      <c r="K84" s="23">
        <v>0.04</v>
      </c>
    </row>
    <row r="85" spans="1:11" hidden="1" x14ac:dyDescent="0.25">
      <c r="A85" s="96" t="s">
        <v>227</v>
      </c>
      <c r="B85" s="96" t="s">
        <v>227</v>
      </c>
      <c r="C85" s="26">
        <v>30</v>
      </c>
      <c r="D85" s="68">
        <f ca="1">((100/H76)*C85)/100</f>
        <v>0.9375</v>
      </c>
      <c r="E85" s="98"/>
      <c r="F85" s="98"/>
      <c r="G85" s="98"/>
      <c r="H85" s="98"/>
      <c r="I85" s="22" t="s">
        <v>228</v>
      </c>
      <c r="J85" s="56">
        <f>(IF(B76&gt;3,(H76/(B76+2)+J84),0))</f>
        <v>0</v>
      </c>
      <c r="K85" s="23">
        <v>0.08</v>
      </c>
    </row>
    <row r="86" spans="1:11" hidden="1" x14ac:dyDescent="0.25">
      <c r="A86" s="96" t="s">
        <v>229</v>
      </c>
      <c r="B86" s="96"/>
      <c r="C86" s="26">
        <v>30</v>
      </c>
      <c r="D86" s="68">
        <f ca="1">((100/H76)*C86)/100</f>
        <v>0.9375</v>
      </c>
      <c r="E86" s="98"/>
      <c r="F86" s="98"/>
      <c r="G86" s="98"/>
      <c r="H86" s="98"/>
      <c r="I86" s="22" t="s">
        <v>230</v>
      </c>
      <c r="J86" s="55">
        <f>(IF(B76&gt;4,(H76/(B76+2)+J85),0))</f>
        <v>0</v>
      </c>
      <c r="K86" s="23">
        <v>0.15</v>
      </c>
    </row>
    <row r="87" spans="1:11" ht="15" hidden="1" customHeight="1" x14ac:dyDescent="0.25">
      <c r="A87" s="96" t="s">
        <v>231</v>
      </c>
      <c r="B87" s="96" t="s">
        <v>231</v>
      </c>
      <c r="C87" s="26">
        <v>5</v>
      </c>
      <c r="D87" s="68">
        <f ca="1">((100/(H76))*C87)/100</f>
        <v>0.15625</v>
      </c>
      <c r="E87" s="98"/>
      <c r="F87" s="98"/>
      <c r="G87" s="98"/>
      <c r="H87" s="98"/>
      <c r="I87" s="22" t="s">
        <v>142</v>
      </c>
      <c r="J87" s="55">
        <f ca="1">(IF(B76=1,(H76/(B76+3)+J82),IF(B76=0,(H76/4+J82),IF(B76&gt;1,0))))</f>
        <v>24</v>
      </c>
      <c r="K87" s="23">
        <v>0.2</v>
      </c>
    </row>
    <row r="88" spans="1:11" ht="16.5" hidden="1" thickBot="1" x14ac:dyDescent="0.3">
      <c r="A88" s="96" t="s">
        <v>232</v>
      </c>
      <c r="B88" s="96"/>
      <c r="C88" s="26">
        <v>0</v>
      </c>
      <c r="D88" s="68">
        <f ca="1">((100/(H76))*C88)/100</f>
        <v>0</v>
      </c>
      <c r="E88" s="98"/>
      <c r="F88" s="98"/>
      <c r="G88" s="98"/>
      <c r="H88" s="98"/>
      <c r="I88" s="57" t="s">
        <v>143</v>
      </c>
      <c r="J88" s="58">
        <f ca="1">(IF(B76&gt;1.5,(H76/(B76+2)+J82+MAX(0,J83-J82)+MAX(0,J84-J83)+MAX(0,J85-J84)+MAX(0,J86-J85)+MAX(0,J87-J86)),IF(B76=1,(H76/(B76+3)+J87),IF(B76=0,H76/4+J87))))</f>
        <v>32</v>
      </c>
      <c r="K88" s="23">
        <v>0.3</v>
      </c>
    </row>
    <row r="89" spans="1:11" ht="32.25" hidden="1" customHeight="1" x14ac:dyDescent="0.25">
      <c r="A89" s="85" t="s">
        <v>215</v>
      </c>
      <c r="B89" s="85"/>
      <c r="C89" s="85" t="s">
        <v>234</v>
      </c>
      <c r="D89" s="85"/>
      <c r="E89" s="85"/>
      <c r="F89" s="85"/>
      <c r="G89" s="85"/>
      <c r="H89" s="85"/>
      <c r="I89" s="48" t="str">
        <f ca="1">(IF(E93&gt;99%,"All work completed. Please provide OC.",IF(E93&gt;89.8%,"Plinth, RCC, Brick, Plaster, Flooring, Painting work Completed. Finishing work is in process.",IF(E93&lt;94%,(IF(C93=0,"Work not yet Started.",IF(D93=25%,"Piling work in process",IF(D93=50%,"Excavation work in process",IF(D93=100%,"Excavation work Completed. ","0")))&amp;(IF(C94=0%,"",IF(C94=J95,"Footing work is process",IF(C94=J96,"Footing work Completed",IF(C94=J97,"1st Basement Completed",IF(C94=J98,"1st &amp; 2nd Basement Completed",IF(C94=J99,"1st to 3rd Basement Completed",IF(C94=J100,"1st to 4th Basement Completed",IF(C94=J101,"Plinth work is process",IF(C94=J102,"Plinth work completed","0")))))))))))&amp;(IF(C95=(D90+F90+H90),", RCC Slab",IF(C95&gt;0,", RCC upto "&amp;C95&amp;" Slab",""))&amp;(IF(C96=H90,", Brickwork",IF(C96&gt;0,", Brickwork upto "&amp;C96&amp;" Floor",""))&amp;(IF(C97=H90,", Internal Plaster",IF(C97&gt;0,", Internal Plaster upto "&amp;C97&amp;" Floor",""))&amp;(IF(C98=H90,", External Plaster",IF(C98&gt;0,", External Plaster upto "&amp;C98&amp;" Floor",""))&amp;(IF(C99=H90,", Flooring",IF(C99&gt;0,", Flooring upto "&amp;C99&amp;" Floor",""))&amp;(IF(C100=H90,", Painting",IF(C100&gt;0,", Painting upto "&amp;C100&amp;" Floor",""))&amp;(IF(C101&gt;0,", Finishing upto "&amp;C101&amp;" Floor","")&amp;(IF(C95&gt;0.5," Completed",""))))))))))))))</f>
        <v>Excavation work Completed. Plinth work completed, RCC upto 31 Slab, Brickwork upto 30 Floor, Internal Plaster upto 21 Floor, External Plaster upto 19.5 Floor Completed</v>
      </c>
      <c r="J89" s="49"/>
      <c r="K89" s="21"/>
    </row>
    <row r="90" spans="1:11" hidden="1" x14ac:dyDescent="0.25">
      <c r="A90" s="69" t="s">
        <v>104</v>
      </c>
      <c r="B90" s="69">
        <v>0</v>
      </c>
      <c r="C90" s="69" t="s">
        <v>106</v>
      </c>
      <c r="D90" s="69">
        <v>1</v>
      </c>
      <c r="E90" s="69" t="s">
        <v>105</v>
      </c>
      <c r="F90" s="69">
        <v>0</v>
      </c>
      <c r="G90" s="69" t="s">
        <v>117</v>
      </c>
      <c r="H90" s="69">
        <f ca="1">--TRIM(RIGHT(SUBSTITUTE(LEFT(C89,_xlfn.AGGREGATE(16,6,FIND({0,1,2,3,4,5,6,7,8,9},C89,ROW(INDIRECT("1:"&amp;LEN(C89)))),1))," ",REPT(" ",LEN(C89))),LEN(C89)))</f>
        <v>32</v>
      </c>
      <c r="I90" s="21"/>
      <c r="J90" s="52"/>
      <c r="K90" s="21"/>
    </row>
    <row r="91" spans="1:11" ht="48" hidden="1" customHeight="1" x14ac:dyDescent="0.25">
      <c r="A91" s="86" t="s">
        <v>128</v>
      </c>
      <c r="B91" s="86"/>
      <c r="C91" s="85" t="str">
        <f ca="1">I89</f>
        <v>Excavation work Completed. Plinth work completed, RCC upto 31 Slab, Brickwork upto 30 Floor, Internal Plaster upto 21 Floor, External Plaster upto 19.5 Floor Completed</v>
      </c>
      <c r="D91" s="85"/>
      <c r="E91" s="85"/>
      <c r="F91" s="85"/>
      <c r="G91" s="85"/>
      <c r="H91" s="85"/>
      <c r="I91" s="21" t="s">
        <v>144</v>
      </c>
      <c r="J91" s="52"/>
      <c r="K91" s="21"/>
    </row>
    <row r="92" spans="1:11" hidden="1" x14ac:dyDescent="0.25">
      <c r="A92" s="96" t="s">
        <v>53</v>
      </c>
      <c r="B92" s="96"/>
      <c r="C92" s="67" t="s">
        <v>216</v>
      </c>
      <c r="D92" s="67" t="s">
        <v>120</v>
      </c>
      <c r="E92" s="96" t="s">
        <v>122</v>
      </c>
      <c r="F92" s="96"/>
      <c r="G92" s="96" t="s">
        <v>121</v>
      </c>
      <c r="H92" s="96"/>
      <c r="I92" s="22" t="s">
        <v>217</v>
      </c>
      <c r="J92" s="53">
        <f ca="1">H90*25%</f>
        <v>8</v>
      </c>
      <c r="K92" s="21"/>
    </row>
    <row r="93" spans="1:11" hidden="1" x14ac:dyDescent="0.25">
      <c r="A93" s="96" t="s">
        <v>218</v>
      </c>
      <c r="B93" s="96"/>
      <c r="C93" s="26">
        <f ca="1">J94</f>
        <v>32</v>
      </c>
      <c r="D93" s="68">
        <f ca="1">((100/H90)*C93)/100</f>
        <v>1</v>
      </c>
      <c r="E93" s="98">
        <f ca="1">(((C94/H90*10)+(40/(D90+F90+H90)*C95)+(7.5/(H90)*C96)+(7.5/(H90)*C97)+(10/H90*C98)+(10/H90*C99)+(5/H90*C100)+(5/H90*C101)+(5/H90*C102))/100)</f>
        <v>0.65622632575757578</v>
      </c>
      <c r="F93" s="98"/>
      <c r="G93" s="98">
        <f ca="1">((((C93/H90)*20)+((C94/H90)*25)+(30/(H90+F90+D90)*C95)+(5/H90*C96)+(5/H90*C97)+(5/H90*C98)+(5/H90*C99)+(0/H90*C100)+(0/H90*C101)+(5/H90*C102))/100)</f>
        <v>0.84197443181818188</v>
      </c>
      <c r="H93" s="98"/>
      <c r="I93" s="22" t="s">
        <v>138</v>
      </c>
      <c r="J93" s="54">
        <f ca="1">H90*50%</f>
        <v>16</v>
      </c>
    </row>
    <row r="94" spans="1:11" hidden="1" x14ac:dyDescent="0.25">
      <c r="A94" s="96" t="s">
        <v>54</v>
      </c>
      <c r="B94" s="96"/>
      <c r="C94" s="27">
        <f ca="1">J102</f>
        <v>32</v>
      </c>
      <c r="D94" s="68">
        <f ca="1">((100/H90)*C94)/100</f>
        <v>1</v>
      </c>
      <c r="E94" s="98"/>
      <c r="F94" s="98"/>
      <c r="G94" s="98"/>
      <c r="H94" s="98"/>
      <c r="I94" s="22" t="s">
        <v>139</v>
      </c>
      <c r="J94" s="54">
        <f ca="1">H90</f>
        <v>32</v>
      </c>
      <c r="K94" s="23">
        <v>0.02</v>
      </c>
    </row>
    <row r="95" spans="1:11" hidden="1" x14ac:dyDescent="0.25">
      <c r="A95" s="99" t="s">
        <v>219</v>
      </c>
      <c r="B95" s="99"/>
      <c r="C95" s="27">
        <v>31</v>
      </c>
      <c r="D95" s="68">
        <f ca="1">((100/(D90+F90+H90))*C95)/100</f>
        <v>0.93939393939393934</v>
      </c>
      <c r="E95" s="98"/>
      <c r="F95" s="98"/>
      <c r="G95" s="98"/>
      <c r="H95" s="98"/>
      <c r="I95" s="22" t="s">
        <v>140</v>
      </c>
      <c r="J95" s="55">
        <f ca="1">(IF(B90&gt;1,(H90/(B90+2)),H90/4))</f>
        <v>8</v>
      </c>
      <c r="K95" s="23">
        <v>0.04</v>
      </c>
    </row>
    <row r="96" spans="1:11" hidden="1" x14ac:dyDescent="0.25">
      <c r="A96" s="96" t="s">
        <v>220</v>
      </c>
      <c r="B96" s="96" t="s">
        <v>221</v>
      </c>
      <c r="C96" s="27">
        <f>C95-1</f>
        <v>30</v>
      </c>
      <c r="D96" s="68">
        <f ca="1">((100/H90)*C96)/100</f>
        <v>0.9375</v>
      </c>
      <c r="E96" s="98"/>
      <c r="F96" s="98"/>
      <c r="G96" s="98"/>
      <c r="H96" s="98"/>
      <c r="I96" s="22" t="s">
        <v>141</v>
      </c>
      <c r="J96" s="55">
        <f ca="1">(IF(B90&gt;1,(H90/(B90+2)+J95),H90/4+J95))</f>
        <v>16</v>
      </c>
      <c r="K96" s="23">
        <v>0.08</v>
      </c>
    </row>
    <row r="97" spans="1:11" hidden="1" x14ac:dyDescent="0.25">
      <c r="A97" s="96" t="s">
        <v>222</v>
      </c>
      <c r="B97" s="96" t="s">
        <v>221</v>
      </c>
      <c r="C97" s="27">
        <f>C96*0.7</f>
        <v>21</v>
      </c>
      <c r="D97" s="68">
        <f ca="1">((100/H90)*C97)/100</f>
        <v>0.65625</v>
      </c>
      <c r="E97" s="98"/>
      <c r="F97" s="98"/>
      <c r="G97" s="98"/>
      <c r="H97" s="98"/>
      <c r="I97" s="22" t="s">
        <v>223</v>
      </c>
      <c r="J97" s="55">
        <f>(IF(B90&gt;1,(H90/(B90+2)+J96),0))</f>
        <v>0</v>
      </c>
      <c r="K97" s="23">
        <v>0.15</v>
      </c>
    </row>
    <row r="98" spans="1:11" hidden="1" x14ac:dyDescent="0.25">
      <c r="A98" s="96" t="s">
        <v>224</v>
      </c>
      <c r="B98" s="96" t="s">
        <v>225</v>
      </c>
      <c r="C98" s="27">
        <f>C96*0.65</f>
        <v>19.5</v>
      </c>
      <c r="D98" s="68">
        <f ca="1">((100/(H90))*C98)/100</f>
        <v>0.609375</v>
      </c>
      <c r="E98" s="98"/>
      <c r="F98" s="98"/>
      <c r="G98" s="98"/>
      <c r="H98" s="98"/>
      <c r="I98" s="22" t="s">
        <v>226</v>
      </c>
      <c r="J98" s="55">
        <f>(IF(B90&gt;2,(H90/(B90+2)+J97),0))</f>
        <v>0</v>
      </c>
      <c r="K98" s="23">
        <v>0.04</v>
      </c>
    </row>
    <row r="99" spans="1:11" hidden="1" x14ac:dyDescent="0.25">
      <c r="A99" s="96" t="s">
        <v>227</v>
      </c>
      <c r="B99" s="96" t="s">
        <v>227</v>
      </c>
      <c r="C99" s="26">
        <v>0</v>
      </c>
      <c r="D99" s="68">
        <f ca="1">((100/H90)*C99)/100</f>
        <v>0</v>
      </c>
      <c r="E99" s="98"/>
      <c r="F99" s="98"/>
      <c r="G99" s="98"/>
      <c r="H99" s="98"/>
      <c r="I99" s="22" t="s">
        <v>228</v>
      </c>
      <c r="J99" s="56">
        <f>(IF(B90&gt;3,(H90/(B90+2)+J98),0))</f>
        <v>0</v>
      </c>
      <c r="K99" s="23">
        <v>0.08</v>
      </c>
    </row>
    <row r="100" spans="1:11" hidden="1" x14ac:dyDescent="0.25">
      <c r="A100" s="96" t="s">
        <v>229</v>
      </c>
      <c r="B100" s="96"/>
      <c r="C100" s="26">
        <v>0</v>
      </c>
      <c r="D100" s="68">
        <f ca="1">((100/H90)*C100)/100</f>
        <v>0</v>
      </c>
      <c r="E100" s="98"/>
      <c r="F100" s="98"/>
      <c r="G100" s="98"/>
      <c r="H100" s="98"/>
      <c r="I100" s="22" t="s">
        <v>230</v>
      </c>
      <c r="J100" s="55">
        <f>(IF(B90&gt;4,(H90/(B90+2)+J99),0))</f>
        <v>0</v>
      </c>
      <c r="K100" s="23">
        <v>0.15</v>
      </c>
    </row>
    <row r="101" spans="1:11" ht="15" hidden="1" customHeight="1" x14ac:dyDescent="0.25">
      <c r="A101" s="96" t="s">
        <v>231</v>
      </c>
      <c r="B101" s="96" t="s">
        <v>231</v>
      </c>
      <c r="C101" s="26">
        <v>0</v>
      </c>
      <c r="D101" s="68">
        <f ca="1">((100/(H90))*C101)/100</f>
        <v>0</v>
      </c>
      <c r="E101" s="98"/>
      <c r="F101" s="98"/>
      <c r="G101" s="98"/>
      <c r="H101" s="98"/>
      <c r="I101" s="22" t="s">
        <v>142</v>
      </c>
      <c r="J101" s="55">
        <f ca="1">(IF(B90=1,(H90/(B90+3)+J96),IF(B90=0,(H90/4+J96),IF(B90&gt;1,0))))</f>
        <v>24</v>
      </c>
      <c r="K101" s="23">
        <v>0.2</v>
      </c>
    </row>
    <row r="102" spans="1:11" ht="16.5" hidden="1" thickBot="1" x14ac:dyDescent="0.3">
      <c r="A102" s="96" t="s">
        <v>232</v>
      </c>
      <c r="B102" s="96"/>
      <c r="C102" s="26">
        <v>0</v>
      </c>
      <c r="D102" s="68">
        <f ca="1">((100/(H90))*C102)/100</f>
        <v>0</v>
      </c>
      <c r="E102" s="98"/>
      <c r="F102" s="98"/>
      <c r="G102" s="98"/>
      <c r="H102" s="98"/>
      <c r="I102" s="57" t="s">
        <v>143</v>
      </c>
      <c r="J102" s="58">
        <f ca="1">(IF(B90&gt;1.5,(H90/(B90+2)+J96+MAX(0,J97-J96)+MAX(0,J98-J97)+MAX(0,J99-J98)+MAX(0,J100-J99)+MAX(0,J101-J100)),IF(B90=1,(H90/(B90+3)+J101),IF(B90=0,H90/4+J101))))</f>
        <v>32</v>
      </c>
      <c r="K102" s="23">
        <v>0.3</v>
      </c>
    </row>
    <row r="103" spans="1:11" x14ac:dyDescent="0.25">
      <c r="A103" s="85" t="s">
        <v>215</v>
      </c>
      <c r="B103" s="85"/>
      <c r="C103" s="85" t="s">
        <v>241</v>
      </c>
      <c r="D103" s="85"/>
      <c r="E103" s="85"/>
      <c r="F103" s="85"/>
      <c r="G103" s="85"/>
      <c r="H103" s="85"/>
      <c r="I103" s="48" t="str">
        <f ca="1">(IF(E107&gt;99%,"All work completed. Please provide OC.",IF(E107&gt;89.8%,"Plinth, RCC, Brick, Plaster, Flooring, Painting work Completed. Finishing work is in process.",IF(E107&lt;94%,(IF(C107=0,"Work not yet Started.",IF(D107=25%,"Piling work in process",IF(D107=50%,"Excavation work in process",IF(D107=100%,"Excavation work Completed. ","0")))&amp;(IF(C108=0%,"",IF(C108=J109,"Footing work is process",IF(C108=J110,"Footing work Completed",IF(C108=J111,"1st Basement Completed",IF(C108=J112,"1st &amp; 2nd Basement Completed",IF(C108=J113,"1st to 3rd Basement Completed",IF(C108=J114,"1st to 4th Basement Completed",IF(C108=J115,"Plinth work is process",IF(C108=J116,"Plinth work completed","0")))))))))))&amp;(IF(C109=(D104+F104+H104),", RCC Slab",IF(C109&gt;0,", RCC upto "&amp;C109&amp;" Slab",""))&amp;(IF(C110=H104,", Brickwork",IF(C110&gt;0,", Brickwork upto "&amp;C110&amp;" Floor",""))&amp;(IF(C111=H104,", Internal Plaster",IF(C111&gt;0,", Internal Plaster upto "&amp;C111&amp;" Floor",""))&amp;(IF(C112=H104,", External Plaster",IF(C112&gt;0,", External Plaster upto "&amp;C112&amp;" Floor",""))&amp;(IF(C113=H104,", Flooring",IF(C113&gt;0,", Flooring upto "&amp;C113&amp;" Floor",""))&amp;(IF(C114=H104,", Painting",IF(C114&gt;0,", Painting upto "&amp;C114&amp;" Floor",""))&amp;(IF(C115&gt;0,", Finishing upto "&amp;C115&amp;" Floor","")&amp;(IF(C109&gt;0.5," Completed",""))))))))))))))</f>
        <v>Excavation work Completed. Plinth work completed, RCC Slab, Brickwork, Internal Plaster, External Plaster, Flooring upto 27 Floor, Painting upto 23 Floor, Finishing upto 6 Floor Completed</v>
      </c>
      <c r="J103" s="49"/>
      <c r="K103" s="21"/>
    </row>
    <row r="104" spans="1:11" x14ac:dyDescent="0.25">
      <c r="A104" s="69" t="s">
        <v>104</v>
      </c>
      <c r="B104" s="69">
        <v>0</v>
      </c>
      <c r="C104" s="69" t="s">
        <v>106</v>
      </c>
      <c r="D104" s="69">
        <v>1</v>
      </c>
      <c r="E104" s="69" t="s">
        <v>105</v>
      </c>
      <c r="F104" s="69">
        <v>0</v>
      </c>
      <c r="G104" s="69" t="s">
        <v>117</v>
      </c>
      <c r="H104" s="69">
        <f ca="1">--TRIM(RIGHT(SUBSTITUTE(LEFT(C103,_xlfn.AGGREGATE(16,6,FIND({0,1,2,3,4,5,6,7,8,9},C103,ROW(INDIRECT("1:"&amp;LEN(C103)))),1))," ",REPT(" ",LEN(C103))),LEN(C103)))</f>
        <v>32</v>
      </c>
      <c r="I104" s="21"/>
      <c r="J104" s="52"/>
      <c r="K104" s="21"/>
    </row>
    <row r="105" spans="1:11" ht="49.5" customHeight="1" x14ac:dyDescent="0.25">
      <c r="A105" s="86" t="s">
        <v>128</v>
      </c>
      <c r="B105" s="86"/>
      <c r="C105" s="85" t="str">
        <f ca="1">I103</f>
        <v>Excavation work Completed. Plinth work completed, RCC Slab, Brickwork, Internal Plaster, External Plaster, Flooring upto 27 Floor, Painting upto 23 Floor, Finishing upto 6 Floor Completed</v>
      </c>
      <c r="D105" s="85"/>
      <c r="E105" s="85"/>
      <c r="F105" s="85"/>
      <c r="G105" s="85"/>
      <c r="H105" s="85"/>
      <c r="I105" s="21" t="s">
        <v>144</v>
      </c>
      <c r="J105" s="52"/>
      <c r="K105" s="21"/>
    </row>
    <row r="106" spans="1:11" x14ac:dyDescent="0.25">
      <c r="A106" s="96" t="s">
        <v>53</v>
      </c>
      <c r="B106" s="96"/>
      <c r="C106" s="67" t="s">
        <v>216</v>
      </c>
      <c r="D106" s="67" t="s">
        <v>120</v>
      </c>
      <c r="E106" s="96" t="s">
        <v>122</v>
      </c>
      <c r="F106" s="96"/>
      <c r="G106" s="96" t="s">
        <v>121</v>
      </c>
      <c r="H106" s="96"/>
      <c r="I106" s="22" t="s">
        <v>217</v>
      </c>
      <c r="J106" s="53">
        <f ca="1">H104*25%</f>
        <v>8</v>
      </c>
      <c r="K106" s="21"/>
    </row>
    <row r="107" spans="1:11" x14ac:dyDescent="0.25">
      <c r="A107" s="95" t="s">
        <v>218</v>
      </c>
      <c r="B107" s="96"/>
      <c r="C107" s="26">
        <f ca="1">J108</f>
        <v>32</v>
      </c>
      <c r="D107" s="47">
        <f ca="1">((100/H104)*C107)/100</f>
        <v>1</v>
      </c>
      <c r="E107" s="98">
        <f ca="1">(((C108/H104*10)+(40/(D104+F104+H104)*C109)+(7.5/(H104)*C110)+(7.5/(H104)*C111)+(10/H104*C112)+(10/H104*C113)+(5/H104*C114)+(5/H104*C115)+(5/H104*C116))/100)</f>
        <v>0.87968749999999996</v>
      </c>
      <c r="F107" s="98"/>
      <c r="G107" s="98">
        <f ca="1">((((C107/H104)*20)+((C108/H104)*25)+(30/(H104+F104+D104)*C109)+(5/H104*C110)+(5/H104*C111)+(5/H104*C112)+(5/H104*C113)+(0/H104*C114)+(0/H104*C115)+(5/H104*C116))/100)</f>
        <v>0.94218749999999996</v>
      </c>
      <c r="H107" s="101"/>
      <c r="I107" s="22" t="s">
        <v>138</v>
      </c>
      <c r="J107" s="54">
        <f ca="1">H104*50%</f>
        <v>16</v>
      </c>
    </row>
    <row r="108" spans="1:11" x14ac:dyDescent="0.25">
      <c r="A108" s="95" t="s">
        <v>54</v>
      </c>
      <c r="B108" s="96"/>
      <c r="C108" s="27">
        <v>32</v>
      </c>
      <c r="D108" s="47">
        <f ca="1">((100/H104)*C108)/100</f>
        <v>1</v>
      </c>
      <c r="E108" s="98"/>
      <c r="F108" s="98"/>
      <c r="G108" s="98"/>
      <c r="H108" s="101"/>
      <c r="I108" s="22" t="s">
        <v>139</v>
      </c>
      <c r="J108" s="54">
        <f ca="1">H104</f>
        <v>32</v>
      </c>
      <c r="K108" s="23">
        <v>0.02</v>
      </c>
    </row>
    <row r="109" spans="1:11" x14ac:dyDescent="0.25">
      <c r="A109" s="103" t="s">
        <v>219</v>
      </c>
      <c r="B109" s="99"/>
      <c r="C109" s="27">
        <v>33</v>
      </c>
      <c r="D109" s="47">
        <f ca="1">((100/(D104+F104+H104))*C109)/100</f>
        <v>1</v>
      </c>
      <c r="E109" s="98"/>
      <c r="F109" s="98"/>
      <c r="G109" s="98"/>
      <c r="H109" s="101"/>
      <c r="I109" s="22" t="s">
        <v>140</v>
      </c>
      <c r="J109" s="55">
        <f ca="1">(IF(B104&gt;1,(H104/(B104+2)),H104/4))</f>
        <v>8</v>
      </c>
      <c r="K109" s="23">
        <v>0.04</v>
      </c>
    </row>
    <row r="110" spans="1:11" x14ac:dyDescent="0.25">
      <c r="A110" s="95" t="s">
        <v>220</v>
      </c>
      <c r="B110" s="96" t="s">
        <v>221</v>
      </c>
      <c r="C110" s="27">
        <f>C109-1</f>
        <v>32</v>
      </c>
      <c r="D110" s="47">
        <f ca="1">((100/H104)*C110)/100</f>
        <v>1</v>
      </c>
      <c r="E110" s="98"/>
      <c r="F110" s="98"/>
      <c r="G110" s="98"/>
      <c r="H110" s="101"/>
      <c r="I110" s="22" t="s">
        <v>141</v>
      </c>
      <c r="J110" s="55">
        <f ca="1">(IF(B104&gt;1,(H104/(B104+2)+J109),H104/4+J109))</f>
        <v>16</v>
      </c>
      <c r="K110" s="23">
        <v>0.08</v>
      </c>
    </row>
    <row r="111" spans="1:11" x14ac:dyDescent="0.25">
      <c r="A111" s="95" t="s">
        <v>222</v>
      </c>
      <c r="B111" s="96" t="s">
        <v>221</v>
      </c>
      <c r="C111" s="27">
        <v>32</v>
      </c>
      <c r="D111" s="47">
        <f ca="1">((100/H104)*C111)/100</f>
        <v>1</v>
      </c>
      <c r="E111" s="98"/>
      <c r="F111" s="98"/>
      <c r="G111" s="98"/>
      <c r="H111" s="101"/>
      <c r="I111" s="22" t="s">
        <v>223</v>
      </c>
      <c r="J111" s="55">
        <f>(IF(B104&gt;1,(H104/(B104+2)+J110),0))</f>
        <v>0</v>
      </c>
      <c r="K111" s="23">
        <v>0.15</v>
      </c>
    </row>
    <row r="112" spans="1:11" x14ac:dyDescent="0.25">
      <c r="A112" s="95" t="s">
        <v>224</v>
      </c>
      <c r="B112" s="96" t="s">
        <v>225</v>
      </c>
      <c r="C112" s="27">
        <v>32</v>
      </c>
      <c r="D112" s="47">
        <f ca="1">((100/(H104))*C112)/100</f>
        <v>1</v>
      </c>
      <c r="E112" s="98"/>
      <c r="F112" s="98"/>
      <c r="G112" s="98"/>
      <c r="H112" s="101"/>
      <c r="I112" s="22" t="s">
        <v>226</v>
      </c>
      <c r="J112" s="55">
        <f>(IF(B104&gt;2,(H104/(B104+2)+J111),0))</f>
        <v>0</v>
      </c>
      <c r="K112" s="23">
        <v>0.04</v>
      </c>
    </row>
    <row r="113" spans="1:11" x14ac:dyDescent="0.25">
      <c r="A113" s="95" t="s">
        <v>227</v>
      </c>
      <c r="B113" s="96" t="s">
        <v>227</v>
      </c>
      <c r="C113" s="26">
        <v>27</v>
      </c>
      <c r="D113" s="47">
        <f ca="1">((100/H104)*C113)/100</f>
        <v>0.84375</v>
      </c>
      <c r="E113" s="98"/>
      <c r="F113" s="98"/>
      <c r="G113" s="98"/>
      <c r="H113" s="101"/>
      <c r="I113" s="22" t="s">
        <v>228</v>
      </c>
      <c r="J113" s="56">
        <f>(IF(B104&gt;3,(H104/(B104+2)+J112),0))</f>
        <v>0</v>
      </c>
      <c r="K113" s="23">
        <v>0.08</v>
      </c>
    </row>
    <row r="114" spans="1:11" x14ac:dyDescent="0.25">
      <c r="A114" s="95" t="s">
        <v>229</v>
      </c>
      <c r="B114" s="96"/>
      <c r="C114" s="26">
        <v>23</v>
      </c>
      <c r="D114" s="47">
        <f ca="1">((100/H104)*C114)/100</f>
        <v>0.71875</v>
      </c>
      <c r="E114" s="98"/>
      <c r="F114" s="98"/>
      <c r="G114" s="98"/>
      <c r="H114" s="101"/>
      <c r="I114" s="22" t="s">
        <v>230</v>
      </c>
      <c r="J114" s="55">
        <f>(IF(B104&gt;4,(H104/(B104+2)+J113),0))</f>
        <v>0</v>
      </c>
      <c r="K114" s="23">
        <v>0.15</v>
      </c>
    </row>
    <row r="115" spans="1:11" ht="15" customHeight="1" x14ac:dyDescent="0.25">
      <c r="A115" s="95" t="s">
        <v>231</v>
      </c>
      <c r="B115" s="96" t="s">
        <v>231</v>
      </c>
      <c r="C115" s="26">
        <v>6</v>
      </c>
      <c r="D115" s="47">
        <f ca="1">((100/(H104))*C115)/100</f>
        <v>0.1875</v>
      </c>
      <c r="E115" s="98"/>
      <c r="F115" s="98"/>
      <c r="G115" s="98"/>
      <c r="H115" s="101"/>
      <c r="I115" s="22" t="s">
        <v>142</v>
      </c>
      <c r="J115" s="55">
        <f ca="1">(IF(B104=1,(H104/(B104+3)+J110),IF(B104=0,(H104/4+J110),IF(B104&gt;1,0))))</f>
        <v>24</v>
      </c>
      <c r="K115" s="23">
        <v>0.2</v>
      </c>
    </row>
    <row r="116" spans="1:11" ht="16.5" thickBot="1" x14ac:dyDescent="0.3">
      <c r="A116" s="104" t="s">
        <v>232</v>
      </c>
      <c r="B116" s="105"/>
      <c r="C116" s="59">
        <v>0</v>
      </c>
      <c r="D116" s="60">
        <f ca="1">((100/(H104))*C116)/100</f>
        <v>0</v>
      </c>
      <c r="E116" s="100"/>
      <c r="F116" s="100"/>
      <c r="G116" s="100"/>
      <c r="H116" s="102"/>
      <c r="I116" s="57" t="s">
        <v>143</v>
      </c>
      <c r="J116" s="58">
        <f ca="1">(IF(B104&gt;1.5,(H104/(B104+2)+J110+MAX(0,J111-J110)+MAX(0,J112-J111)+MAX(0,J113-J112)+MAX(0,J114-J113)+MAX(0,J115-J114)),IF(B104=1,(H104/(B104+3)+J115),IF(B104=0,H104/4+J115))))</f>
        <v>32</v>
      </c>
      <c r="K116" s="23">
        <v>0.3</v>
      </c>
    </row>
    <row r="117" spans="1:11" x14ac:dyDescent="0.25">
      <c r="A117" s="88" t="s">
        <v>246</v>
      </c>
      <c r="B117" s="89"/>
      <c r="C117" s="90" t="s">
        <v>249</v>
      </c>
      <c r="D117" s="91"/>
      <c r="E117" s="91"/>
      <c r="F117" s="91"/>
      <c r="G117" s="91"/>
      <c r="H117" s="92"/>
      <c r="I117" s="48" t="str">
        <f ca="1">(IF(E121&gt;99%,"All work completed. Please provide OC.",IF(E121&gt;89.8%,"Plinth, RCC, Brick, Plaster, Flooring, Painting work Completed. Finishing work is in process.",IF(E121&lt;94%,(IF(C121=0,"Work not yet Started.",IF(D121=25%,"Piling work in process",IF(D121=50%,"Excavation work in process",IF(D121=100%,"Excavation work Completed. ","0")))&amp;(IF(C122=0%,"",IF(C122=J123,"Footing work is process",IF(C122=J124,"Footing work Completed",IF(C122=J125,"1st Basement Completed",IF(C122=J126,"1st &amp; 2nd Basement Completed",IF(C122=J127,"1st to 3rd Basement Completed",IF(C122=J128,"1st to 4th Basement Completed",IF(C122=J129,"Plinth work is process",IF(C122=J130,"Plinth work completed","0")))))))))))&amp;(IF(C123=(D118+F118+H118),", RCC Slab",IF(C123&gt;0,", RCC upto "&amp;C123&amp;" Slab",""))&amp;(IF(C124=H118,", Brickwork",IF(C124&gt;0,", Brickwork upto "&amp;C124&amp;" Floor",""))&amp;(IF(C125=H118,", Internal Plaster",IF(C125&gt;0,", Internal Plaster upto "&amp;C125&amp;" Floor",""))&amp;(IF(C126=H118,", External Plaster",IF(C126&gt;0,", External Plaster upto "&amp;C126&amp;" Floor",""))&amp;(IF(C127=H118,", Flooring",IF(C127&gt;0,", Flooring upto "&amp;C127&amp;" Floor",""))&amp;(IF(C128=H118,", Painting",IF(C128&gt;0,", Painting upto "&amp;C128&amp;" Floor",""))&amp;(IF(C129&gt;0,", Finishing upto "&amp;C129&amp;" Floor","")&amp;(IF(C123&gt;0.5," Completed",""))))))))))))))</f>
        <v>Excavation work Completed. Plinth work completed, RCC Slab, Brickwork, Internal Plaster upto 27 Floor, External Plaster upto 25 Floor, Flooring upto 14 Floor Completed</v>
      </c>
      <c r="J117" s="49"/>
      <c r="K117" s="21"/>
    </row>
    <row r="118" spans="1:11" x14ac:dyDescent="0.25">
      <c r="A118" s="50" t="s">
        <v>104</v>
      </c>
      <c r="B118" s="14">
        <v>0</v>
      </c>
      <c r="C118" s="14" t="s">
        <v>106</v>
      </c>
      <c r="D118" s="14">
        <v>1</v>
      </c>
      <c r="E118" s="14" t="s">
        <v>105</v>
      </c>
      <c r="F118" s="14">
        <v>0</v>
      </c>
      <c r="G118" s="14" t="s">
        <v>117</v>
      </c>
      <c r="H118" s="51">
        <f ca="1">--TRIM(RIGHT(SUBSTITUTE(LEFT(C117,_xlfn.AGGREGATE(16,6,FIND({0,1,2,3,4,5,6,7,8,9},C117,ROW(INDIRECT("1:"&amp;LEN(C117)))),1))," ",REPT(" ",LEN(C117))),LEN(C117)))</f>
        <v>32</v>
      </c>
      <c r="I118" s="21"/>
      <c r="J118" s="52"/>
      <c r="K118" s="21"/>
    </row>
    <row r="119" spans="1:11" ht="48.75" customHeight="1" x14ac:dyDescent="0.25">
      <c r="A119" s="93" t="s">
        <v>128</v>
      </c>
      <c r="B119" s="86"/>
      <c r="C119" s="85" t="str">
        <f ca="1">I117</f>
        <v>Excavation work Completed. Plinth work completed, RCC Slab, Brickwork, Internal Plaster upto 27 Floor, External Plaster upto 25 Floor, Flooring upto 14 Floor Completed</v>
      </c>
      <c r="D119" s="85"/>
      <c r="E119" s="85"/>
      <c r="F119" s="85"/>
      <c r="G119" s="85"/>
      <c r="H119" s="94"/>
      <c r="I119" s="21" t="s">
        <v>144</v>
      </c>
      <c r="J119" s="52"/>
      <c r="K119" s="21"/>
    </row>
    <row r="120" spans="1:11" x14ac:dyDescent="0.25">
      <c r="A120" s="95" t="s">
        <v>53</v>
      </c>
      <c r="B120" s="96"/>
      <c r="C120" s="25" t="s">
        <v>216</v>
      </c>
      <c r="D120" s="25" t="s">
        <v>120</v>
      </c>
      <c r="E120" s="96" t="s">
        <v>122</v>
      </c>
      <c r="F120" s="96"/>
      <c r="G120" s="96" t="s">
        <v>121</v>
      </c>
      <c r="H120" s="97"/>
      <c r="I120" s="22" t="s">
        <v>217</v>
      </c>
      <c r="J120" s="53">
        <f ca="1">H118*25%</f>
        <v>8</v>
      </c>
      <c r="K120" s="21"/>
    </row>
    <row r="121" spans="1:11" x14ac:dyDescent="0.25">
      <c r="A121" s="96" t="s">
        <v>218</v>
      </c>
      <c r="B121" s="96"/>
      <c r="C121" s="26">
        <f ca="1">J122</f>
        <v>32</v>
      </c>
      <c r="D121" s="68">
        <f ca="1">((100/H118)*C121)/100</f>
        <v>1</v>
      </c>
      <c r="E121" s="98">
        <f ca="1">(((C122/H118*10)+(40/(D118+F118+H118)*C123)+(7.5/(H118)*C124)+(7.5/(H118)*C125)+(10/H118*C126)+(10/H118*C127)+(5/H118*C128)+(5/H118*C129)+(5/H118*C130))/100)</f>
        <v>0.76015624999999998</v>
      </c>
      <c r="F121" s="98"/>
      <c r="G121" s="98">
        <f ca="1">((((C121/H118)*20)+((C122/H118)*25)+(30/(H118+F118+D118)*C123)+(5/H118*C124)+(5/H118*C125)+(5/H118*C126)+(5/H118*C127)+(0/H118*C128)+(0/H118*C129)+(5/H118*C130))/100)</f>
        <v>0.90312499999999996</v>
      </c>
      <c r="H121" s="98"/>
      <c r="I121" s="22" t="s">
        <v>138</v>
      </c>
      <c r="J121" s="54">
        <f ca="1">H118*50%</f>
        <v>16</v>
      </c>
    </row>
    <row r="122" spans="1:11" x14ac:dyDescent="0.25">
      <c r="A122" s="96" t="s">
        <v>54</v>
      </c>
      <c r="B122" s="96"/>
      <c r="C122" s="27">
        <v>32</v>
      </c>
      <c r="D122" s="68">
        <f ca="1">((100/H118)*C122)/100</f>
        <v>1</v>
      </c>
      <c r="E122" s="98"/>
      <c r="F122" s="98"/>
      <c r="G122" s="98"/>
      <c r="H122" s="98"/>
      <c r="I122" s="22" t="s">
        <v>139</v>
      </c>
      <c r="J122" s="54">
        <f ca="1">H118</f>
        <v>32</v>
      </c>
      <c r="K122" s="23">
        <v>0.02</v>
      </c>
    </row>
    <row r="123" spans="1:11" x14ac:dyDescent="0.25">
      <c r="A123" s="99" t="s">
        <v>219</v>
      </c>
      <c r="B123" s="99"/>
      <c r="C123" s="27">
        <v>33</v>
      </c>
      <c r="D123" s="68">
        <f ca="1">((100/(D118+F118+H118))*C123)/100</f>
        <v>1</v>
      </c>
      <c r="E123" s="98"/>
      <c r="F123" s="98"/>
      <c r="G123" s="98"/>
      <c r="H123" s="98"/>
      <c r="I123" s="22" t="s">
        <v>140</v>
      </c>
      <c r="J123" s="55">
        <f ca="1">(IF(B118&gt;1,(H118/(B118+2)),H118/4))</f>
        <v>8</v>
      </c>
      <c r="K123" s="23">
        <v>0.04</v>
      </c>
    </row>
    <row r="124" spans="1:11" x14ac:dyDescent="0.25">
      <c r="A124" s="96" t="s">
        <v>220</v>
      </c>
      <c r="B124" s="96" t="s">
        <v>221</v>
      </c>
      <c r="C124" s="27">
        <f>C123-1</f>
        <v>32</v>
      </c>
      <c r="D124" s="68">
        <f ca="1">((100/H118)*C124)/100</f>
        <v>1</v>
      </c>
      <c r="E124" s="98"/>
      <c r="F124" s="98"/>
      <c r="G124" s="98"/>
      <c r="H124" s="98"/>
      <c r="I124" s="22" t="s">
        <v>141</v>
      </c>
      <c r="J124" s="55">
        <f ca="1">(IF(B118&gt;1,(H118/(B118+2)+J123),H118/4+J123))</f>
        <v>16</v>
      </c>
      <c r="K124" s="23">
        <v>0.08</v>
      </c>
    </row>
    <row r="125" spans="1:11" x14ac:dyDescent="0.25">
      <c r="A125" s="96" t="s">
        <v>222</v>
      </c>
      <c r="B125" s="96" t="s">
        <v>221</v>
      </c>
      <c r="C125" s="27">
        <v>27</v>
      </c>
      <c r="D125" s="68">
        <f ca="1">((100/H118)*C125)/100</f>
        <v>0.84375</v>
      </c>
      <c r="E125" s="98"/>
      <c r="F125" s="98"/>
      <c r="G125" s="98"/>
      <c r="H125" s="98"/>
      <c r="I125" s="22" t="s">
        <v>223</v>
      </c>
      <c r="J125" s="55">
        <f>(IF(B118&gt;1,(H118/(B118+2)+J124),0))</f>
        <v>0</v>
      </c>
      <c r="K125" s="23">
        <v>0.15</v>
      </c>
    </row>
    <row r="126" spans="1:11" x14ac:dyDescent="0.25">
      <c r="A126" s="96" t="s">
        <v>224</v>
      </c>
      <c r="B126" s="96" t="s">
        <v>225</v>
      </c>
      <c r="C126" s="27">
        <v>25</v>
      </c>
      <c r="D126" s="68">
        <f ca="1">((100/(H118))*C126)/100</f>
        <v>0.78125</v>
      </c>
      <c r="E126" s="98"/>
      <c r="F126" s="98"/>
      <c r="G126" s="98"/>
      <c r="H126" s="98"/>
      <c r="I126" s="22" t="s">
        <v>226</v>
      </c>
      <c r="J126" s="55">
        <f>(IF(B118&gt;2,(H118/(B118+2)+J125),0))</f>
        <v>0</v>
      </c>
      <c r="K126" s="23">
        <v>0.04</v>
      </c>
    </row>
    <row r="127" spans="1:11" x14ac:dyDescent="0.25">
      <c r="A127" s="96" t="s">
        <v>227</v>
      </c>
      <c r="B127" s="96" t="s">
        <v>227</v>
      </c>
      <c r="C127" s="26">
        <v>14</v>
      </c>
      <c r="D127" s="68">
        <f ca="1">((100/H118)*C127)/100</f>
        <v>0.4375</v>
      </c>
      <c r="E127" s="98"/>
      <c r="F127" s="98"/>
      <c r="G127" s="98"/>
      <c r="H127" s="98"/>
      <c r="I127" s="22" t="s">
        <v>228</v>
      </c>
      <c r="J127" s="56">
        <f>(IF(B118&gt;3,(H118/(B118+2)+J126),0))</f>
        <v>0</v>
      </c>
      <c r="K127" s="23">
        <v>0.08</v>
      </c>
    </row>
    <row r="128" spans="1:11" x14ac:dyDescent="0.25">
      <c r="A128" s="96" t="s">
        <v>229</v>
      </c>
      <c r="B128" s="96"/>
      <c r="C128" s="26">
        <v>0</v>
      </c>
      <c r="D128" s="68">
        <f ca="1">((100/H118)*C128)/100</f>
        <v>0</v>
      </c>
      <c r="E128" s="98"/>
      <c r="F128" s="98"/>
      <c r="G128" s="98"/>
      <c r="H128" s="98"/>
      <c r="I128" s="22" t="s">
        <v>230</v>
      </c>
      <c r="J128" s="55">
        <f>(IF(B118&gt;4,(H118/(B118+2)+J127),0))</f>
        <v>0</v>
      </c>
      <c r="K128" s="23">
        <v>0.15</v>
      </c>
    </row>
    <row r="129" spans="1:11" ht="15" customHeight="1" x14ac:dyDescent="0.25">
      <c r="A129" s="96" t="s">
        <v>231</v>
      </c>
      <c r="B129" s="96" t="s">
        <v>231</v>
      </c>
      <c r="C129" s="26">
        <v>0</v>
      </c>
      <c r="D129" s="68">
        <f ca="1">((100/(H118))*C129)/100</f>
        <v>0</v>
      </c>
      <c r="E129" s="98"/>
      <c r="F129" s="98"/>
      <c r="G129" s="98"/>
      <c r="H129" s="98"/>
      <c r="I129" s="22" t="s">
        <v>142</v>
      </c>
      <c r="J129" s="55">
        <f ca="1">(IF(B118=1,(H118/(B118+3)+J124),IF(B118=0,(H118/4+J124),IF(B118&gt;1,0))))</f>
        <v>24</v>
      </c>
      <c r="K129" s="23">
        <v>0.2</v>
      </c>
    </row>
    <row r="130" spans="1:11" ht="16.5" thickBot="1" x14ac:dyDescent="0.3">
      <c r="A130" s="96" t="s">
        <v>232</v>
      </c>
      <c r="B130" s="96"/>
      <c r="C130" s="26">
        <v>0</v>
      </c>
      <c r="D130" s="68">
        <f ca="1">((100/(H118))*C130)/100</f>
        <v>0</v>
      </c>
      <c r="E130" s="98"/>
      <c r="F130" s="98"/>
      <c r="G130" s="98"/>
      <c r="H130" s="98"/>
      <c r="I130" s="57" t="s">
        <v>143</v>
      </c>
      <c r="J130" s="58">
        <f ca="1">(IF(B118&gt;1.5,(H118/(B118+2)+J124+MAX(0,J125-J124)+MAX(0,J126-J125)+MAX(0,J127-J126)+MAX(0,J128-J127)+MAX(0,J129-J128)),IF(B118=1,(H118/(B118+3)+J129),IF(B118=0,H118/4+J129))))</f>
        <v>32</v>
      </c>
      <c r="K130" s="23">
        <v>0.3</v>
      </c>
    </row>
    <row r="131" spans="1:11" ht="32.25" hidden="1" customHeight="1" x14ac:dyDescent="0.25">
      <c r="A131" s="85" t="s">
        <v>215</v>
      </c>
      <c r="B131" s="85"/>
      <c r="C131" s="85" t="s">
        <v>247</v>
      </c>
      <c r="D131" s="85"/>
      <c r="E131" s="85"/>
      <c r="F131" s="85"/>
      <c r="G131" s="85"/>
      <c r="H131" s="85"/>
      <c r="I131" s="48" t="str">
        <f ca="1">(IF(E135&gt;99%,"All work completed. Please provide OC.",IF(E135&gt;89.8%,"Plinth, RCC, Brick, Plaster, Flooring, Painting work Completed. Finishing work is in process.",IF(E135&lt;94%,(IF(C135=0,"Work not yet Started.",IF(D135=25%,"Piling work in process",IF(D135=50%,"Excavation work in process",IF(D135=100%,"Excavation work Completed. ","0")))&amp;(IF(C136=0%,"",IF(C136=J137,"Footing work is process",IF(C136=J138,"Footing work Completed",IF(C136=J139,"1st Basement Completed",IF(C136=J140,"1st &amp; 2nd Basement Completed",IF(C136=J141,"1st to 3rd Basement Completed",IF(C136=J142,"1st to 4th Basement Completed",IF(C136=J143,"Plinth work is process",IF(C136=J144,"Plinth work completed","0")))))))))))&amp;(IF(C137=(D132+F132+H132),", RCC Slab",IF(C137&gt;0,", RCC upto "&amp;C137&amp;" Slab",""))&amp;(IF(C138=H132,", Brickwork",IF(C138&gt;0,", Brickwork upto "&amp;C138&amp;" Floor",""))&amp;(IF(C139=H132,", Internal Plaster",IF(C139&gt;0,", Internal Plaster upto "&amp;C139&amp;" Floor",""))&amp;(IF(C140=H132,", External Plaster",IF(C140&gt;0,", External Plaster upto "&amp;C140&amp;" Floor",""))&amp;(IF(C141=H132,", Flooring",IF(C141&gt;0,", Flooring upto "&amp;C141&amp;" Floor",""))&amp;(IF(C142=H132,", Painting",IF(C142&gt;0,", Painting upto "&amp;C142&amp;" Floor",""))&amp;(IF(C143&gt;0,", Finishing upto "&amp;C143&amp;" Floor","")&amp;(IF(C137&gt;0.5," Completed",""))))))))))))))</f>
        <v>Excavation work Completed. Plinth work completed, RCC upto 3 Slab Completed</v>
      </c>
      <c r="J131" s="49"/>
      <c r="K131" s="21"/>
    </row>
    <row r="132" spans="1:11" ht="16.5" hidden="1" thickBot="1" x14ac:dyDescent="0.3">
      <c r="A132" s="69" t="s">
        <v>104</v>
      </c>
      <c r="B132" s="69">
        <v>0</v>
      </c>
      <c r="C132" s="69" t="s">
        <v>106</v>
      </c>
      <c r="D132" s="69">
        <v>1</v>
      </c>
      <c r="E132" s="69" t="s">
        <v>105</v>
      </c>
      <c r="F132" s="69">
        <v>0</v>
      </c>
      <c r="G132" s="69" t="s">
        <v>117</v>
      </c>
      <c r="H132" s="69">
        <f ca="1">--TRIM(RIGHT(SUBSTITUTE(LEFT(C131,_xlfn.AGGREGATE(16,6,FIND({0,1,2,3,4,5,6,7,8,9},C131,ROW(INDIRECT("1:"&amp;LEN(C131)))),1))," ",REPT(" ",LEN(C131))),LEN(C131)))</f>
        <v>32</v>
      </c>
      <c r="I132" s="21"/>
      <c r="J132" s="52"/>
      <c r="K132" s="21"/>
    </row>
    <row r="133" spans="1:11" ht="33" hidden="1" customHeight="1" x14ac:dyDescent="0.25">
      <c r="A133" s="86" t="s">
        <v>128</v>
      </c>
      <c r="B133" s="86"/>
      <c r="C133" s="85" t="str">
        <f ca="1">I131</f>
        <v>Excavation work Completed. Plinth work completed, RCC upto 3 Slab Completed</v>
      </c>
      <c r="D133" s="85"/>
      <c r="E133" s="85"/>
      <c r="F133" s="85"/>
      <c r="G133" s="85"/>
      <c r="H133" s="85"/>
      <c r="I133" s="21" t="s">
        <v>144</v>
      </c>
      <c r="J133" s="52"/>
      <c r="K133" s="21"/>
    </row>
    <row r="134" spans="1:11" ht="16.5" hidden="1" thickBot="1" x14ac:dyDescent="0.3">
      <c r="A134" s="96" t="s">
        <v>53</v>
      </c>
      <c r="B134" s="96"/>
      <c r="C134" s="67" t="s">
        <v>216</v>
      </c>
      <c r="D134" s="67" t="s">
        <v>120</v>
      </c>
      <c r="E134" s="96" t="s">
        <v>122</v>
      </c>
      <c r="F134" s="96"/>
      <c r="G134" s="96" t="s">
        <v>121</v>
      </c>
      <c r="H134" s="96"/>
      <c r="I134" s="22" t="s">
        <v>217</v>
      </c>
      <c r="J134" s="53">
        <f ca="1">H132*25%</f>
        <v>8</v>
      </c>
      <c r="K134" s="21"/>
    </row>
    <row r="135" spans="1:11" ht="16.5" hidden="1" thickBot="1" x14ac:dyDescent="0.3">
      <c r="A135" s="96" t="s">
        <v>218</v>
      </c>
      <c r="B135" s="96"/>
      <c r="C135" s="26">
        <f ca="1">J136</f>
        <v>32</v>
      </c>
      <c r="D135" s="68">
        <f ca="1">((100/H132)*C135)/100</f>
        <v>1</v>
      </c>
      <c r="E135" s="98">
        <f ca="1">(((C136/H132*10)+(40/(D132+F132+H132)*C137)+(7.5/(H132)*C138)+(7.5/(H132)*C139)+(10/H132*C140)+(10/H132*C141)+(5/H132*C142)+(5/H132*C143)+(5/H132*C144))/100)</f>
        <v>0.13636363636363635</v>
      </c>
      <c r="F135" s="98"/>
      <c r="G135" s="98">
        <f ca="1">((((C135/H132)*20)+((C136/H132)*25)+(30/(H132+F132+D132)*C137)+(5/H132*C138)+(5/H132*C139)+(5/H132*C140)+(5/H132*C141)+(0/H132*C142)+(0/H132*C143)+(5/H132*C144))/100)</f>
        <v>0.47727272727272729</v>
      </c>
      <c r="H135" s="98"/>
      <c r="I135" s="22" t="s">
        <v>138</v>
      </c>
      <c r="J135" s="54">
        <f ca="1">H132*50%</f>
        <v>16</v>
      </c>
    </row>
    <row r="136" spans="1:11" ht="16.5" hidden="1" thickBot="1" x14ac:dyDescent="0.3">
      <c r="A136" s="96" t="s">
        <v>54</v>
      </c>
      <c r="B136" s="96"/>
      <c r="C136" s="27">
        <v>32</v>
      </c>
      <c r="D136" s="68">
        <f ca="1">((100/H132)*C136)/100</f>
        <v>1</v>
      </c>
      <c r="E136" s="98"/>
      <c r="F136" s="98"/>
      <c r="G136" s="98"/>
      <c r="H136" s="98"/>
      <c r="I136" s="22" t="s">
        <v>139</v>
      </c>
      <c r="J136" s="54">
        <f ca="1">H132</f>
        <v>32</v>
      </c>
      <c r="K136" s="23">
        <v>0.02</v>
      </c>
    </row>
    <row r="137" spans="1:11" ht="16.5" hidden="1" thickBot="1" x14ac:dyDescent="0.3">
      <c r="A137" s="99" t="s">
        <v>219</v>
      </c>
      <c r="B137" s="99"/>
      <c r="C137" s="27">
        <v>3</v>
      </c>
      <c r="D137" s="68">
        <f ca="1">((100/(D132+F132+H132))*C137)/100</f>
        <v>9.0909090909090898E-2</v>
      </c>
      <c r="E137" s="98"/>
      <c r="F137" s="98"/>
      <c r="G137" s="98"/>
      <c r="H137" s="98"/>
      <c r="I137" s="22" t="s">
        <v>140</v>
      </c>
      <c r="J137" s="55">
        <f ca="1">(IF(B132&gt;1,(H132/(B132+2)),H132/4))</f>
        <v>8</v>
      </c>
      <c r="K137" s="23">
        <v>0.04</v>
      </c>
    </row>
    <row r="138" spans="1:11" ht="16.5" hidden="1" thickBot="1" x14ac:dyDescent="0.3">
      <c r="A138" s="96" t="s">
        <v>220</v>
      </c>
      <c r="B138" s="96" t="s">
        <v>221</v>
      </c>
      <c r="C138" s="26">
        <v>0</v>
      </c>
      <c r="D138" s="68">
        <f ca="1">((100/H132)*C138)/100</f>
        <v>0</v>
      </c>
      <c r="E138" s="98"/>
      <c r="F138" s="98"/>
      <c r="G138" s="98"/>
      <c r="H138" s="98"/>
      <c r="I138" s="22" t="s">
        <v>141</v>
      </c>
      <c r="J138" s="55">
        <f ca="1">(IF(B132&gt;1,(H132/(B132+2)+J137),H132/4+J137))</f>
        <v>16</v>
      </c>
      <c r="K138" s="23">
        <v>0.08</v>
      </c>
    </row>
    <row r="139" spans="1:11" ht="16.5" hidden="1" thickBot="1" x14ac:dyDescent="0.3">
      <c r="A139" s="96" t="s">
        <v>222</v>
      </c>
      <c r="B139" s="96" t="s">
        <v>221</v>
      </c>
      <c r="C139" s="26">
        <v>0</v>
      </c>
      <c r="D139" s="68">
        <f ca="1">((100/H132)*C139)/100</f>
        <v>0</v>
      </c>
      <c r="E139" s="98"/>
      <c r="F139" s="98"/>
      <c r="G139" s="98"/>
      <c r="H139" s="98"/>
      <c r="I139" s="22" t="s">
        <v>223</v>
      </c>
      <c r="J139" s="55">
        <f>(IF(B132&gt;1,(H132/(B132+2)+J138),0))</f>
        <v>0</v>
      </c>
      <c r="K139" s="23">
        <v>0.15</v>
      </c>
    </row>
    <row r="140" spans="1:11" ht="16.5" hidden="1" thickBot="1" x14ac:dyDescent="0.3">
      <c r="A140" s="96" t="s">
        <v>224</v>
      </c>
      <c r="B140" s="96" t="s">
        <v>225</v>
      </c>
      <c r="C140" s="26">
        <v>0</v>
      </c>
      <c r="D140" s="68">
        <f ca="1">((100/(H132))*C140)/100</f>
        <v>0</v>
      </c>
      <c r="E140" s="98"/>
      <c r="F140" s="98"/>
      <c r="G140" s="98"/>
      <c r="H140" s="98"/>
      <c r="I140" s="22" t="s">
        <v>226</v>
      </c>
      <c r="J140" s="55">
        <f>(IF(B132&gt;2,(H132/(B132+2)+J139),0))</f>
        <v>0</v>
      </c>
      <c r="K140" s="23">
        <v>0.04</v>
      </c>
    </row>
    <row r="141" spans="1:11" ht="16.5" hidden="1" thickBot="1" x14ac:dyDescent="0.3">
      <c r="A141" s="96" t="s">
        <v>227</v>
      </c>
      <c r="B141" s="96" t="s">
        <v>227</v>
      </c>
      <c r="C141" s="26">
        <v>0</v>
      </c>
      <c r="D141" s="68">
        <f ca="1">((100/H132)*C141)/100</f>
        <v>0</v>
      </c>
      <c r="E141" s="98"/>
      <c r="F141" s="98"/>
      <c r="G141" s="98"/>
      <c r="H141" s="98"/>
      <c r="I141" s="22" t="s">
        <v>228</v>
      </c>
      <c r="J141" s="56">
        <f>(IF(B132&gt;3,(H132/(B132+2)+J140),0))</f>
        <v>0</v>
      </c>
      <c r="K141" s="23">
        <v>0.08</v>
      </c>
    </row>
    <row r="142" spans="1:11" ht="16.5" hidden="1" thickBot="1" x14ac:dyDescent="0.3">
      <c r="A142" s="96" t="s">
        <v>229</v>
      </c>
      <c r="B142" s="96"/>
      <c r="C142" s="26">
        <v>0</v>
      </c>
      <c r="D142" s="68">
        <f ca="1">((100/H132)*C142)/100</f>
        <v>0</v>
      </c>
      <c r="E142" s="98"/>
      <c r="F142" s="98"/>
      <c r="G142" s="98"/>
      <c r="H142" s="98"/>
      <c r="I142" s="22" t="s">
        <v>230</v>
      </c>
      <c r="J142" s="55">
        <f>(IF(B132&gt;4,(H132/(B132+2)+J141),0))</f>
        <v>0</v>
      </c>
      <c r="K142" s="23">
        <v>0.15</v>
      </c>
    </row>
    <row r="143" spans="1:11" ht="15" hidden="1" customHeight="1" x14ac:dyDescent="0.25">
      <c r="A143" s="96" t="s">
        <v>231</v>
      </c>
      <c r="B143" s="96" t="s">
        <v>231</v>
      </c>
      <c r="C143" s="26">
        <v>0</v>
      </c>
      <c r="D143" s="68">
        <f ca="1">((100/(H132))*C143)/100</f>
        <v>0</v>
      </c>
      <c r="E143" s="98"/>
      <c r="F143" s="98"/>
      <c r="G143" s="98"/>
      <c r="H143" s="98"/>
      <c r="I143" s="22" t="s">
        <v>142</v>
      </c>
      <c r="J143" s="55">
        <f ca="1">(IF(B132=1,(H132/(B132+3)+J138),IF(B132=0,(H132/4+J138),IF(B132&gt;1,0))))</f>
        <v>24</v>
      </c>
      <c r="K143" s="23">
        <v>0.2</v>
      </c>
    </row>
    <row r="144" spans="1:11" ht="16.5" hidden="1" thickBot="1" x14ac:dyDescent="0.3">
      <c r="A144" s="96" t="s">
        <v>232</v>
      </c>
      <c r="B144" s="96"/>
      <c r="C144" s="26">
        <v>0</v>
      </c>
      <c r="D144" s="68">
        <f ca="1">((100/(H132))*C144)/100</f>
        <v>0</v>
      </c>
      <c r="E144" s="98"/>
      <c r="F144" s="98"/>
      <c r="G144" s="98"/>
      <c r="H144" s="98"/>
      <c r="I144" s="57" t="s">
        <v>143</v>
      </c>
      <c r="J144" s="58">
        <f ca="1">(IF(B132&gt;1.5,(H132/(B132+2)+J138+MAX(0,J139-J138)+MAX(0,J140-J139)+MAX(0,J141-J140)+MAX(0,J142-J141)+MAX(0,J143-J142)),IF(B132=1,(H132/(B132+3)+J143),IF(B132=0,H132/4+J143))))</f>
        <v>32</v>
      </c>
      <c r="K144" s="23">
        <v>0.3</v>
      </c>
    </row>
    <row r="145" spans="1:11" ht="33" hidden="1" customHeight="1" thickBot="1" x14ac:dyDescent="0.3">
      <c r="A145" s="85" t="s">
        <v>248</v>
      </c>
      <c r="B145" s="86"/>
      <c r="C145" s="87" t="s">
        <v>122</v>
      </c>
      <c r="D145" s="87"/>
      <c r="E145" s="71">
        <f ca="1">(E121+E135)/2</f>
        <v>0.44825994318181817</v>
      </c>
      <c r="F145" s="87" t="s">
        <v>121</v>
      </c>
      <c r="G145" s="87"/>
      <c r="H145" s="71">
        <f ca="1">(G135+G121)/2</f>
        <v>0.69019886363636362</v>
      </c>
      <c r="I145" s="21" t="s">
        <v>144</v>
      </c>
      <c r="J145" s="52"/>
      <c r="K145" s="21"/>
    </row>
    <row r="146" spans="1:11" x14ac:dyDescent="0.25">
      <c r="A146" s="85" t="s">
        <v>215</v>
      </c>
      <c r="B146" s="85"/>
      <c r="C146" s="85" t="s">
        <v>244</v>
      </c>
      <c r="D146" s="85"/>
      <c r="E146" s="85"/>
      <c r="F146" s="85"/>
      <c r="G146" s="85"/>
      <c r="H146" s="85"/>
      <c r="I146" s="48" t="str">
        <f ca="1">(IF(E150&gt;99%,"All work completed. Please provide OC.",IF(E150&gt;89.8%,"Plinth, RCC, Brick, Plaster, Flooring, Painting work Completed. Finishing work is in process.",IF(E150&lt;94%,(IF(C150=0,"Work not yet Started.",IF(D150=25%,"Piling work in process",IF(D150=50%,"Excavation work in process",IF(D150=100%,"Excavation work Completed. ","0")))&amp;(IF(C151=0%,"",IF(C151=J152,"Footing work is process",IF(C151=J153,"Footing work Completed",IF(C151=J154,"1st Basement Completed",IF(C151=J155,"1st &amp; 2nd Basement Completed",IF(C151=J156,"1st to 3rd Basement Completed",IF(C151=J157,"1st to 4th Basement Completed",IF(C151=J158,"Plinth work is process",IF(C151=J159,"Plinth work completed","0")))))))))))&amp;(IF(C152=(D147+F147+H147),", RCC Slab",IF(C152&gt;0,", RCC upto "&amp;C152&amp;" Slab",""))&amp;(IF(C153=H147,", Brickwork",IF(C153&gt;0,", Brickwork upto "&amp;C153&amp;" Floor",""))&amp;(IF(C154=H147,", Internal Plaster",IF(C154&gt;0,", Internal Plaster upto "&amp;C154&amp;" Floor",""))&amp;(IF(C155=H147,", External Plaster",IF(C155&gt;0,", External Plaster upto "&amp;C155&amp;" Floor",""))&amp;(IF(C156=H147,", Flooring",IF(C156&gt;0,", Flooring upto "&amp;C156&amp;" Floor",""))&amp;(IF(C157=H147,", Painting",IF(C157&gt;0,", Painting upto "&amp;C157&amp;" Floor",""))&amp;(IF(C158&gt;0,", Finishing upto "&amp;C158&amp;" Floor","")&amp;(IF(C152&gt;0.5," Completed",""))))))))))))))</f>
        <v>Excavation work Completed. Plinth work completed, RCC Slab, Brickwork, Internal Plaster, External Plaster upto 30 Floor, Flooring upto 20 Floor, Painting upto 10 Floor Completed</v>
      </c>
      <c r="J146" s="49"/>
      <c r="K146" s="21"/>
    </row>
    <row r="147" spans="1:11" x14ac:dyDescent="0.25">
      <c r="A147" s="69" t="s">
        <v>104</v>
      </c>
      <c r="B147" s="69">
        <v>0</v>
      </c>
      <c r="C147" s="69" t="s">
        <v>106</v>
      </c>
      <c r="D147" s="69">
        <v>1</v>
      </c>
      <c r="E147" s="69" t="s">
        <v>105</v>
      </c>
      <c r="F147" s="69">
        <v>0</v>
      </c>
      <c r="G147" s="69" t="s">
        <v>117</v>
      </c>
      <c r="H147" s="69">
        <f ca="1">--TRIM(RIGHT(SUBSTITUTE(LEFT(C146,_xlfn.AGGREGATE(16,6,FIND({0,1,2,3,4,5,6,7,8,9},C146,ROW(INDIRECT("1:"&amp;LEN(C146)))),1))," ",REPT(" ",LEN(C146))),LEN(C146)))</f>
        <v>32</v>
      </c>
      <c r="I147" s="21"/>
      <c r="J147" s="52"/>
      <c r="K147" s="21"/>
    </row>
    <row r="148" spans="1:11" ht="48" customHeight="1" x14ac:dyDescent="0.25">
      <c r="A148" s="86" t="s">
        <v>128</v>
      </c>
      <c r="B148" s="86"/>
      <c r="C148" s="85" t="str">
        <f ca="1">I146</f>
        <v>Excavation work Completed. Plinth work completed, RCC Slab, Brickwork, Internal Plaster, External Plaster upto 30 Floor, Flooring upto 20 Floor, Painting upto 10 Floor Completed</v>
      </c>
      <c r="D148" s="85"/>
      <c r="E148" s="85"/>
      <c r="F148" s="85"/>
      <c r="G148" s="85"/>
      <c r="H148" s="85"/>
      <c r="I148" s="21" t="s">
        <v>144</v>
      </c>
      <c r="J148" s="52"/>
      <c r="K148" s="21"/>
    </row>
    <row r="149" spans="1:11" x14ac:dyDescent="0.25">
      <c r="A149" s="96" t="s">
        <v>53</v>
      </c>
      <c r="B149" s="96"/>
      <c r="C149" s="67" t="s">
        <v>216</v>
      </c>
      <c r="D149" s="67" t="s">
        <v>120</v>
      </c>
      <c r="E149" s="96" t="s">
        <v>122</v>
      </c>
      <c r="F149" s="96"/>
      <c r="G149" s="96" t="s">
        <v>121</v>
      </c>
      <c r="H149" s="96"/>
      <c r="I149" s="22" t="s">
        <v>217</v>
      </c>
      <c r="J149" s="53">
        <f ca="1">H147*25%</f>
        <v>8</v>
      </c>
      <c r="K149" s="21"/>
    </row>
    <row r="150" spans="1:11" x14ac:dyDescent="0.25">
      <c r="A150" s="96" t="s">
        <v>218</v>
      </c>
      <c r="B150" s="96"/>
      <c r="C150" s="26">
        <f ca="1">J151</f>
        <v>32</v>
      </c>
      <c r="D150" s="68">
        <f ca="1">((100/H147)*C150)/100</f>
        <v>1</v>
      </c>
      <c r="E150" s="98">
        <f ca="1">(((C151/H147*10)+(40/(D147+F147+H147)*C152)+(7.5/(H147)*C153)+(7.5/(H147)*C154)+(10/H147*C155)+(10/H147*C156)+(5/H147*C157)+(5/H147*C158)+(5/H147*C159))/100)</f>
        <v>0.82187500000000002</v>
      </c>
      <c r="F150" s="98"/>
      <c r="G150" s="98">
        <f ca="1">((((C150/H147)*20)+((C151/H147)*25)+(30/(H147+F147+D147)*C152)+(5/H147*C153)+(5/H147*C154)+(5/H147*C155)+(5/H147*C156)+(0/H147*C157)+(0/H147*C158)+(5/H147*C159))/100)</f>
        <v>0.92812499999999998</v>
      </c>
      <c r="H150" s="98"/>
      <c r="I150" s="22" t="s">
        <v>138</v>
      </c>
      <c r="J150" s="54">
        <f ca="1">H147*50%</f>
        <v>16</v>
      </c>
    </row>
    <row r="151" spans="1:11" x14ac:dyDescent="0.25">
      <c r="A151" s="96" t="s">
        <v>54</v>
      </c>
      <c r="B151" s="96"/>
      <c r="C151" s="27">
        <v>32</v>
      </c>
      <c r="D151" s="68">
        <f ca="1">((100/H147)*C151)/100</f>
        <v>1</v>
      </c>
      <c r="E151" s="98"/>
      <c r="F151" s="98"/>
      <c r="G151" s="98"/>
      <c r="H151" s="98"/>
      <c r="I151" s="22" t="s">
        <v>139</v>
      </c>
      <c r="J151" s="54">
        <f ca="1">H147</f>
        <v>32</v>
      </c>
      <c r="K151" s="23">
        <v>0.02</v>
      </c>
    </row>
    <row r="152" spans="1:11" x14ac:dyDescent="0.25">
      <c r="A152" s="99" t="s">
        <v>219</v>
      </c>
      <c r="B152" s="99"/>
      <c r="C152" s="64">
        <v>33</v>
      </c>
      <c r="D152" s="68">
        <f ca="1">((100/(D147+F147+H147))*C152)/100</f>
        <v>1</v>
      </c>
      <c r="E152" s="98"/>
      <c r="F152" s="98"/>
      <c r="G152" s="98"/>
      <c r="H152" s="98"/>
      <c r="I152" s="22" t="s">
        <v>140</v>
      </c>
      <c r="J152" s="55">
        <f ca="1">(IF(B147&gt;1,(H147/(B147+2)),H147/4))</f>
        <v>8</v>
      </c>
      <c r="K152" s="23">
        <v>0.04</v>
      </c>
    </row>
    <row r="153" spans="1:11" x14ac:dyDescent="0.25">
      <c r="A153" s="96" t="s">
        <v>220</v>
      </c>
      <c r="B153" s="96" t="s">
        <v>221</v>
      </c>
      <c r="C153" s="64">
        <v>32</v>
      </c>
      <c r="D153" s="68">
        <f ca="1">((100/H147)*C153)/100</f>
        <v>1</v>
      </c>
      <c r="E153" s="98"/>
      <c r="F153" s="98"/>
      <c r="G153" s="98"/>
      <c r="H153" s="98"/>
      <c r="I153" s="22" t="s">
        <v>141</v>
      </c>
      <c r="J153" s="55">
        <f ca="1">(IF(B147&gt;1,(H147/(B147+2)+J152),H147/4+J152))</f>
        <v>16</v>
      </c>
      <c r="K153" s="23">
        <v>0.08</v>
      </c>
    </row>
    <row r="154" spans="1:11" x14ac:dyDescent="0.25">
      <c r="A154" s="96" t="s">
        <v>222</v>
      </c>
      <c r="B154" s="96" t="s">
        <v>221</v>
      </c>
      <c r="C154" s="64">
        <v>32</v>
      </c>
      <c r="D154" s="68">
        <f ca="1">((100/H147)*C154)/100</f>
        <v>1</v>
      </c>
      <c r="E154" s="98"/>
      <c r="F154" s="98"/>
      <c r="G154" s="98"/>
      <c r="H154" s="98"/>
      <c r="I154" s="22" t="s">
        <v>223</v>
      </c>
      <c r="J154" s="55">
        <f>(IF(B147&gt;1,(H147/(B147+2)+J153),0))</f>
        <v>0</v>
      </c>
      <c r="K154" s="23">
        <v>0.15</v>
      </c>
    </row>
    <row r="155" spans="1:11" x14ac:dyDescent="0.25">
      <c r="A155" s="96" t="s">
        <v>224</v>
      </c>
      <c r="B155" s="96" t="s">
        <v>225</v>
      </c>
      <c r="C155" s="27">
        <v>30</v>
      </c>
      <c r="D155" s="68">
        <f ca="1">((100/(H147))*C155)/100</f>
        <v>0.9375</v>
      </c>
      <c r="E155" s="98"/>
      <c r="F155" s="98"/>
      <c r="G155" s="98"/>
      <c r="H155" s="98"/>
      <c r="I155" s="22" t="s">
        <v>226</v>
      </c>
      <c r="J155" s="55">
        <f>(IF(B147&gt;2,(H147/(B147+2)+J154),0))</f>
        <v>0</v>
      </c>
      <c r="K155" s="23">
        <v>0.04</v>
      </c>
    </row>
    <row r="156" spans="1:11" x14ac:dyDescent="0.25">
      <c r="A156" s="96" t="s">
        <v>227</v>
      </c>
      <c r="B156" s="96" t="s">
        <v>227</v>
      </c>
      <c r="C156" s="26">
        <v>20</v>
      </c>
      <c r="D156" s="68">
        <f ca="1">((100/H147)*C156)/100</f>
        <v>0.625</v>
      </c>
      <c r="E156" s="98"/>
      <c r="F156" s="98"/>
      <c r="G156" s="98"/>
      <c r="H156" s="98"/>
      <c r="I156" s="22" t="s">
        <v>228</v>
      </c>
      <c r="J156" s="56">
        <f>(IF(B147&gt;3,(H147/(B147+2)+J155),0))</f>
        <v>0</v>
      </c>
      <c r="K156" s="23">
        <v>0.08</v>
      </c>
    </row>
    <row r="157" spans="1:11" x14ac:dyDescent="0.25">
      <c r="A157" s="96" t="s">
        <v>229</v>
      </c>
      <c r="B157" s="96"/>
      <c r="C157" s="26">
        <v>10</v>
      </c>
      <c r="D157" s="68">
        <f ca="1">((100/H147)*C157)/100</f>
        <v>0.3125</v>
      </c>
      <c r="E157" s="98"/>
      <c r="F157" s="98"/>
      <c r="G157" s="98"/>
      <c r="H157" s="98"/>
      <c r="I157" s="22" t="s">
        <v>230</v>
      </c>
      <c r="J157" s="55">
        <f>(IF(B147&gt;4,(H147/(B147+2)+J156),0))</f>
        <v>0</v>
      </c>
      <c r="K157" s="23">
        <v>0.15</v>
      </c>
    </row>
    <row r="158" spans="1:11" ht="15" customHeight="1" x14ac:dyDescent="0.25">
      <c r="A158" s="96" t="s">
        <v>231</v>
      </c>
      <c r="B158" s="96" t="s">
        <v>231</v>
      </c>
      <c r="C158" s="26">
        <v>0</v>
      </c>
      <c r="D158" s="68">
        <f ca="1">((100/(H147))*C158)/100</f>
        <v>0</v>
      </c>
      <c r="E158" s="98"/>
      <c r="F158" s="98"/>
      <c r="G158" s="98"/>
      <c r="H158" s="98"/>
      <c r="I158" s="22" t="s">
        <v>142</v>
      </c>
      <c r="J158" s="55">
        <f ca="1">(IF(B147=1,(H147/(B147+3)+J153),IF(B147=0,(H147/4+J153),IF(B147&gt;1,0))))</f>
        <v>24</v>
      </c>
      <c r="K158" s="23">
        <v>0.2</v>
      </c>
    </row>
    <row r="159" spans="1:11" ht="16.5" thickBot="1" x14ac:dyDescent="0.3">
      <c r="A159" s="96" t="s">
        <v>232</v>
      </c>
      <c r="B159" s="96"/>
      <c r="C159" s="26">
        <v>0</v>
      </c>
      <c r="D159" s="68">
        <f ca="1">((100/(H147))*C159)/100</f>
        <v>0</v>
      </c>
      <c r="E159" s="98"/>
      <c r="F159" s="98"/>
      <c r="G159" s="98"/>
      <c r="H159" s="98"/>
      <c r="I159" s="57" t="s">
        <v>143</v>
      </c>
      <c r="J159" s="58">
        <f ca="1">(IF(B147&gt;1.5,(H147/(B147+2)+J153+MAX(0,J154-J153)+MAX(0,J155-J154)+MAX(0,J156-J155)+MAX(0,J157-J156)+MAX(0,J158-J157)),IF(B147=1,(H147/(B147+3)+J158),IF(B147=0,H147/4+J158))))</f>
        <v>32</v>
      </c>
      <c r="K159" s="23">
        <v>0.3</v>
      </c>
    </row>
    <row r="160" spans="1:11" x14ac:dyDescent="0.25">
      <c r="A160" s="85" t="s">
        <v>215</v>
      </c>
      <c r="B160" s="85"/>
      <c r="C160" s="85" t="s">
        <v>233</v>
      </c>
      <c r="D160" s="85"/>
      <c r="E160" s="85"/>
      <c r="F160" s="85"/>
      <c r="G160" s="85"/>
      <c r="H160" s="85"/>
      <c r="I160" s="48" t="str">
        <f ca="1">(IF(E164&gt;99%,"All work completed. Please provide OC.",IF(E164&gt;89.8%,"Plinth, RCC, Brick, Plaster, Flooring, Painting work Completed. Finishing work is in process.",IF(E164&lt;94%,(IF(C164=0,"Work not yet Started.",IF(D164=25%,"Piling work in process",IF(D164=50%,"Excavation work in process",IF(D164=100%,"Excavation work Completed. ","0")))&amp;(IF(C165=0%,"",IF(C165=J166,"Footing work is process",IF(C165=J167,"Footing work Completed",IF(C165=J168,"1st Basement Completed",IF(C165=J169,"1st &amp; 2nd Basement Completed",IF(C165=J170,"1st to 3rd Basement Completed",IF(C165=J171,"1st to 4th Basement Completed",IF(C165=J172,"Plinth work is process",IF(C165=J173,"Plinth work completed","0")))))))))))&amp;(IF(C166=(D161+F161+H161),", RCC Slab",IF(C166&gt;0,", RCC upto "&amp;C166&amp;" Slab",""))&amp;(IF(C167=H161,", Brickwork",IF(C167&gt;0,", Brickwork upto "&amp;C167&amp;" Floor",""))&amp;(IF(C168=H161,", Internal Plaster",IF(C168&gt;0,", Internal Plaster upto "&amp;C168&amp;" Floor",""))&amp;(IF(C169=H161,", External Plaster",IF(C169&gt;0,", External Plaster upto "&amp;C169&amp;" Floor",""))&amp;(IF(C170=H161,", Flooring",IF(C170&gt;0,", Flooring upto "&amp;C170&amp;" Floor",""))&amp;(IF(C171=H161,", Painting",IF(C171&gt;0,", Painting upto "&amp;C171&amp;" Floor",""))&amp;(IF(C172&gt;0,", Finishing upto "&amp;C172&amp;" Floor","")&amp;(IF(C166&gt;0.5," Completed",""))))))))))))))</f>
        <v>Excavation work Completed. Plinth work completed, RCC Slab, Brickwork, Internal Plaster, External Plaster, Flooring upto 26 Floor, Painting upto 23 Floor Completed</v>
      </c>
      <c r="J160" s="49"/>
      <c r="K160" s="21"/>
    </row>
    <row r="161" spans="1:11" x14ac:dyDescent="0.25">
      <c r="A161" s="69" t="s">
        <v>104</v>
      </c>
      <c r="B161" s="69">
        <v>0</v>
      </c>
      <c r="C161" s="69" t="s">
        <v>106</v>
      </c>
      <c r="D161" s="69">
        <v>1</v>
      </c>
      <c r="E161" s="69" t="s">
        <v>105</v>
      </c>
      <c r="F161" s="69">
        <v>0</v>
      </c>
      <c r="G161" s="69" t="s">
        <v>117</v>
      </c>
      <c r="H161" s="69">
        <f ca="1">--TRIM(RIGHT(SUBSTITUTE(LEFT(C160,_xlfn.AGGREGATE(16,6,FIND({0,1,2,3,4,5,6,7,8,9},C160,ROW(INDIRECT("1:"&amp;LEN(C160)))),1))," ",REPT(" ",LEN(C160))),LEN(C160)))</f>
        <v>32</v>
      </c>
      <c r="I161" s="21"/>
      <c r="J161" s="52"/>
      <c r="K161" s="21"/>
    </row>
    <row r="162" spans="1:11" ht="33.6" customHeight="1" x14ac:dyDescent="0.25">
      <c r="A162" s="86" t="s">
        <v>128</v>
      </c>
      <c r="B162" s="86"/>
      <c r="C162" s="85" t="str">
        <f ca="1">I160</f>
        <v>Excavation work Completed. Plinth work completed, RCC Slab, Brickwork, Internal Plaster, External Plaster, Flooring upto 26 Floor, Painting upto 23 Floor Completed</v>
      </c>
      <c r="D162" s="85"/>
      <c r="E162" s="85"/>
      <c r="F162" s="85"/>
      <c r="G162" s="85"/>
      <c r="H162" s="85"/>
      <c r="I162" s="21" t="s">
        <v>144</v>
      </c>
      <c r="J162" s="52"/>
      <c r="K162" s="21"/>
    </row>
    <row r="163" spans="1:11" x14ac:dyDescent="0.25">
      <c r="A163" s="96" t="s">
        <v>53</v>
      </c>
      <c r="B163" s="96"/>
      <c r="C163" s="67" t="s">
        <v>216</v>
      </c>
      <c r="D163" s="67" t="s">
        <v>120</v>
      </c>
      <c r="E163" s="96" t="s">
        <v>122</v>
      </c>
      <c r="F163" s="96"/>
      <c r="G163" s="96" t="s">
        <v>121</v>
      </c>
      <c r="H163" s="96"/>
      <c r="I163" s="22" t="s">
        <v>217</v>
      </c>
      <c r="J163" s="53">
        <f ca="1">H161*25%</f>
        <v>8</v>
      </c>
      <c r="K163" s="21"/>
    </row>
    <row r="164" spans="1:11" x14ac:dyDescent="0.25">
      <c r="A164" s="96" t="s">
        <v>218</v>
      </c>
      <c r="B164" s="96"/>
      <c r="C164" s="26">
        <f ca="1">J165</f>
        <v>32</v>
      </c>
      <c r="D164" s="68">
        <f ca="1">((100/H161)*C164)/100</f>
        <v>1</v>
      </c>
      <c r="E164" s="98">
        <f ca="1">(((C165/H161*10)+(40/(D161+F161+H161)*C166)+(7.5/(H161)*C167)+(7.5/(H161)*C168)+(10/H161*C169)+(10/H161*C170)+(5/H161*C171)+(5/H161*C172)+(5/H161*C173))/100)</f>
        <v>0.8671875</v>
      </c>
      <c r="F164" s="98"/>
      <c r="G164" s="98">
        <f ca="1">((((C164/H161)*20)+((C165/H161)*25)+(30/(H161+F161+D161)*C166)+(5/H161*C167)+(5/H161*C168)+(5/H161*C169)+(5/H161*C170)+(0/H161*C171)+(0/H161*C172)+(5/H161*C173))/100)</f>
        <v>0.94062500000000004</v>
      </c>
      <c r="H164" s="98"/>
      <c r="I164" s="22" t="s">
        <v>138</v>
      </c>
      <c r="J164" s="54">
        <f ca="1">H161*50%</f>
        <v>16</v>
      </c>
    </row>
    <row r="165" spans="1:11" x14ac:dyDescent="0.25">
      <c r="A165" s="96" t="s">
        <v>54</v>
      </c>
      <c r="B165" s="96"/>
      <c r="C165" s="27">
        <v>32</v>
      </c>
      <c r="D165" s="68">
        <f ca="1">((100/H161)*C165)/100</f>
        <v>1</v>
      </c>
      <c r="E165" s="98"/>
      <c r="F165" s="98"/>
      <c r="G165" s="98"/>
      <c r="H165" s="98"/>
      <c r="I165" s="22" t="s">
        <v>139</v>
      </c>
      <c r="J165" s="54">
        <f ca="1">H161</f>
        <v>32</v>
      </c>
      <c r="K165" s="23">
        <v>0.02</v>
      </c>
    </row>
    <row r="166" spans="1:11" x14ac:dyDescent="0.25">
      <c r="A166" s="99" t="s">
        <v>219</v>
      </c>
      <c r="B166" s="99"/>
      <c r="C166" s="27">
        <v>33</v>
      </c>
      <c r="D166" s="68">
        <f ca="1">((100/(D161+F161+H161))*C166)/100</f>
        <v>1</v>
      </c>
      <c r="E166" s="98"/>
      <c r="F166" s="98"/>
      <c r="G166" s="98"/>
      <c r="H166" s="98"/>
      <c r="I166" s="22" t="s">
        <v>140</v>
      </c>
      <c r="J166" s="55">
        <f ca="1">(IF(B161&gt;1,(H161/(B161+2)),H161/4))</f>
        <v>8</v>
      </c>
      <c r="K166" s="23">
        <v>0.04</v>
      </c>
    </row>
    <row r="167" spans="1:11" x14ac:dyDescent="0.25">
      <c r="A167" s="96" t="s">
        <v>220</v>
      </c>
      <c r="B167" s="96" t="s">
        <v>221</v>
      </c>
      <c r="C167" s="27">
        <f>C166-1</f>
        <v>32</v>
      </c>
      <c r="D167" s="68">
        <f ca="1">((100/H161)*C167)/100</f>
        <v>1</v>
      </c>
      <c r="E167" s="98"/>
      <c r="F167" s="98"/>
      <c r="G167" s="98"/>
      <c r="H167" s="98"/>
      <c r="I167" s="22" t="s">
        <v>141</v>
      </c>
      <c r="J167" s="55">
        <f ca="1">(IF(B161&gt;1,(H161/(B161+2)+J166),H161/4+J166))</f>
        <v>16</v>
      </c>
      <c r="K167" s="23">
        <v>0.08</v>
      </c>
    </row>
    <row r="168" spans="1:11" x14ac:dyDescent="0.25">
      <c r="A168" s="96" t="s">
        <v>222</v>
      </c>
      <c r="B168" s="96" t="s">
        <v>221</v>
      </c>
      <c r="C168" s="27">
        <v>32</v>
      </c>
      <c r="D168" s="68">
        <f ca="1">((100/H161)*C168)/100</f>
        <v>1</v>
      </c>
      <c r="E168" s="98"/>
      <c r="F168" s="98"/>
      <c r="G168" s="98"/>
      <c r="H168" s="98"/>
      <c r="I168" s="22" t="s">
        <v>223</v>
      </c>
      <c r="J168" s="55">
        <f>(IF(B161&gt;1,(H161/(B161+2)+J167),0))</f>
        <v>0</v>
      </c>
      <c r="K168" s="23">
        <v>0.15</v>
      </c>
    </row>
    <row r="169" spans="1:11" x14ac:dyDescent="0.25">
      <c r="A169" s="96" t="s">
        <v>224</v>
      </c>
      <c r="B169" s="96" t="s">
        <v>225</v>
      </c>
      <c r="C169" s="27">
        <v>32</v>
      </c>
      <c r="D169" s="68">
        <f ca="1">((100/(H161))*C169)/100</f>
        <v>1</v>
      </c>
      <c r="E169" s="98"/>
      <c r="F169" s="98"/>
      <c r="G169" s="98"/>
      <c r="H169" s="98"/>
      <c r="I169" s="22" t="s">
        <v>226</v>
      </c>
      <c r="J169" s="55">
        <f>(IF(B161&gt;2,(H161/(B161+2)+J168),0))</f>
        <v>0</v>
      </c>
      <c r="K169" s="23">
        <v>0.04</v>
      </c>
    </row>
    <row r="170" spans="1:11" x14ac:dyDescent="0.25">
      <c r="A170" s="96" t="s">
        <v>227</v>
      </c>
      <c r="B170" s="96" t="s">
        <v>227</v>
      </c>
      <c r="C170" s="26">
        <v>26</v>
      </c>
      <c r="D170" s="68">
        <f ca="1">((100/H161)*C170)/100</f>
        <v>0.8125</v>
      </c>
      <c r="E170" s="98"/>
      <c r="F170" s="98"/>
      <c r="G170" s="98"/>
      <c r="H170" s="98"/>
      <c r="I170" s="22" t="s">
        <v>228</v>
      </c>
      <c r="J170" s="56">
        <f>(IF(B161&gt;3,(H161/(B161+2)+J169),0))</f>
        <v>0</v>
      </c>
      <c r="K170" s="23">
        <v>0.08</v>
      </c>
    </row>
    <row r="171" spans="1:11" x14ac:dyDescent="0.25">
      <c r="A171" s="96" t="s">
        <v>229</v>
      </c>
      <c r="B171" s="96"/>
      <c r="C171" s="26">
        <v>23</v>
      </c>
      <c r="D171" s="68">
        <f ca="1">((100/H161)*C171)/100</f>
        <v>0.71875</v>
      </c>
      <c r="E171" s="98"/>
      <c r="F171" s="98"/>
      <c r="G171" s="98"/>
      <c r="H171" s="98"/>
      <c r="I171" s="22" t="s">
        <v>230</v>
      </c>
      <c r="J171" s="55">
        <f>(IF(B161&gt;4,(H161/(B161+2)+J170),0))</f>
        <v>0</v>
      </c>
      <c r="K171" s="23">
        <v>0.15</v>
      </c>
    </row>
    <row r="172" spans="1:11" ht="15" customHeight="1" x14ac:dyDescent="0.25">
      <c r="A172" s="96" t="s">
        <v>231</v>
      </c>
      <c r="B172" s="96" t="s">
        <v>231</v>
      </c>
      <c r="C172" s="26">
        <v>0</v>
      </c>
      <c r="D172" s="68">
        <f ca="1">((100/(H161))*C172)/100</f>
        <v>0</v>
      </c>
      <c r="E172" s="98"/>
      <c r="F172" s="98"/>
      <c r="G172" s="98"/>
      <c r="H172" s="98"/>
      <c r="I172" s="22" t="s">
        <v>142</v>
      </c>
      <c r="J172" s="55">
        <f ca="1">(IF(B161=1,(H161/(B161+3)+J167),IF(B161=0,(H161/4+J167),IF(B161&gt;1,0))))</f>
        <v>24</v>
      </c>
      <c r="K172" s="23">
        <v>0.2</v>
      </c>
    </row>
    <row r="173" spans="1:11" ht="16.5" thickBot="1" x14ac:dyDescent="0.3">
      <c r="A173" s="96" t="s">
        <v>232</v>
      </c>
      <c r="B173" s="96"/>
      <c r="C173" s="26">
        <v>0</v>
      </c>
      <c r="D173" s="68">
        <f ca="1">((100/(H161))*C173)/100</f>
        <v>0</v>
      </c>
      <c r="E173" s="98"/>
      <c r="F173" s="98"/>
      <c r="G173" s="98"/>
      <c r="H173" s="98"/>
      <c r="I173" s="57" t="s">
        <v>143</v>
      </c>
      <c r="J173" s="58">
        <f ca="1">(IF(B161&gt;1.5,(H161/(B161+2)+J167+MAX(0,J168-J167)+MAX(0,J169-J168)+MAX(0,J170-J169)+MAX(0,J171-J170)+MAX(0,J172-J171)),IF(B161=1,(H161/(B161+3)+J172),IF(B161=0,H161/4+J172))))</f>
        <v>32</v>
      </c>
      <c r="K173" s="23">
        <v>0.3</v>
      </c>
    </row>
    <row r="174" spans="1:11" x14ac:dyDescent="0.25">
      <c r="A174" s="149" t="s">
        <v>163</v>
      </c>
      <c r="B174" s="150"/>
      <c r="C174" s="150"/>
      <c r="D174" s="150"/>
      <c r="E174" s="150"/>
      <c r="F174" s="150"/>
      <c r="G174" s="150"/>
      <c r="H174" s="151"/>
    </row>
    <row r="175" spans="1:11" x14ac:dyDescent="0.25">
      <c r="A175" s="118" t="s">
        <v>55</v>
      </c>
      <c r="B175" s="119"/>
      <c r="C175" s="119"/>
      <c r="D175" s="119"/>
      <c r="E175" s="119"/>
      <c r="F175" s="119"/>
      <c r="G175" s="119"/>
      <c r="H175" s="120"/>
      <c r="I175" s="12" t="s">
        <v>267</v>
      </c>
    </row>
    <row r="176" spans="1:11" ht="15" hidden="1" customHeight="1" x14ac:dyDescent="0.25">
      <c r="A176" s="227" t="s">
        <v>109</v>
      </c>
      <c r="B176" s="228"/>
      <c r="C176" s="229" t="s">
        <v>110</v>
      </c>
      <c r="D176" s="230"/>
      <c r="E176" s="230"/>
      <c r="F176" s="230"/>
      <c r="G176" s="230"/>
      <c r="H176" s="231"/>
    </row>
    <row r="177" spans="1:16" x14ac:dyDescent="0.25">
      <c r="A177" s="162" t="s">
        <v>56</v>
      </c>
      <c r="B177" s="163"/>
      <c r="C177" s="163"/>
      <c r="D177" s="163"/>
      <c r="E177" s="163"/>
      <c r="F177" s="163"/>
      <c r="G177" s="163"/>
      <c r="H177" s="164"/>
      <c r="I177" s="12" t="s">
        <v>263</v>
      </c>
    </row>
    <row r="178" spans="1:16" x14ac:dyDescent="0.25">
      <c r="A178" s="118" t="s">
        <v>111</v>
      </c>
      <c r="B178" s="119"/>
      <c r="C178" s="119"/>
      <c r="D178" s="119"/>
      <c r="E178" s="120"/>
      <c r="F178" s="198">
        <v>8200</v>
      </c>
      <c r="G178" s="199"/>
      <c r="H178" s="200"/>
      <c r="I178" s="235" t="s">
        <v>236</v>
      </c>
      <c r="J178" s="235"/>
      <c r="K178" s="235"/>
      <c r="L178" s="235"/>
      <c r="M178" s="235"/>
      <c r="N178" s="235"/>
      <c r="O178" s="235"/>
      <c r="P178" s="235"/>
    </row>
    <row r="179" spans="1:16" s="13" customFormat="1" ht="32.25" hidden="1" customHeight="1" x14ac:dyDescent="0.25">
      <c r="A179" s="118" t="s">
        <v>168</v>
      </c>
      <c r="B179" s="119"/>
      <c r="C179" s="119"/>
      <c r="D179" s="119"/>
      <c r="E179" s="120"/>
      <c r="F179" s="195" t="s">
        <v>182</v>
      </c>
      <c r="G179" s="204"/>
      <c r="H179" s="205"/>
      <c r="I179" s="61"/>
      <c r="J179" s="61"/>
      <c r="K179" s="61"/>
      <c r="L179" s="61"/>
      <c r="M179" s="61"/>
      <c r="N179" s="61"/>
      <c r="O179" s="61"/>
      <c r="P179" s="62"/>
    </row>
    <row r="180" spans="1:16" s="13" customFormat="1" x14ac:dyDescent="0.25">
      <c r="A180" s="121" t="s">
        <v>255</v>
      </c>
      <c r="B180" s="119"/>
      <c r="C180" s="119"/>
      <c r="D180" s="119"/>
      <c r="E180" s="120"/>
      <c r="F180" s="195" t="s">
        <v>243</v>
      </c>
      <c r="G180" s="204"/>
      <c r="H180" s="205"/>
      <c r="I180" s="243" t="s">
        <v>240</v>
      </c>
      <c r="J180" s="244"/>
      <c r="K180" s="244"/>
      <c r="L180" s="244"/>
      <c r="M180" s="245"/>
      <c r="N180" s="61"/>
      <c r="O180" s="61"/>
      <c r="P180" s="62"/>
    </row>
    <row r="181" spans="1:16" s="13" customFormat="1" hidden="1" x14ac:dyDescent="0.25">
      <c r="A181" s="118" t="s">
        <v>133</v>
      </c>
      <c r="B181" s="119"/>
      <c r="C181" s="119"/>
      <c r="D181" s="119"/>
      <c r="E181" s="120"/>
      <c r="F181" s="203" t="s">
        <v>32</v>
      </c>
      <c r="G181" s="204"/>
      <c r="H181" s="205"/>
      <c r="I181" s="61"/>
      <c r="J181" s="61"/>
      <c r="K181" s="61"/>
      <c r="L181" s="61"/>
      <c r="M181" s="61"/>
      <c r="N181" s="61"/>
      <c r="O181" s="61"/>
      <c r="P181" s="62"/>
    </row>
    <row r="182" spans="1:16" s="13" customFormat="1" hidden="1" x14ac:dyDescent="0.25">
      <c r="A182" s="118" t="s">
        <v>134</v>
      </c>
      <c r="B182" s="119"/>
      <c r="C182" s="119"/>
      <c r="D182" s="119"/>
      <c r="E182" s="120"/>
      <c r="F182" s="203" t="s">
        <v>32</v>
      </c>
      <c r="G182" s="204"/>
      <c r="H182" s="205"/>
      <c r="I182" s="61"/>
      <c r="J182" s="61"/>
      <c r="K182" s="61"/>
      <c r="L182" s="61"/>
      <c r="M182" s="61"/>
      <c r="N182" s="61"/>
      <c r="O182" s="61"/>
      <c r="P182" s="62"/>
    </row>
    <row r="183" spans="1:16" s="13" customFormat="1" hidden="1" x14ac:dyDescent="0.25">
      <c r="A183" s="118" t="s">
        <v>135</v>
      </c>
      <c r="B183" s="119"/>
      <c r="C183" s="119"/>
      <c r="D183" s="119"/>
      <c r="E183" s="120"/>
      <c r="F183" s="203" t="s">
        <v>32</v>
      </c>
      <c r="G183" s="204"/>
      <c r="H183" s="205"/>
      <c r="I183" s="61"/>
      <c r="J183" s="61"/>
      <c r="K183" s="61"/>
      <c r="L183" s="61"/>
      <c r="M183" s="61"/>
      <c r="N183" s="61"/>
      <c r="O183" s="61"/>
      <c r="P183" s="62"/>
    </row>
    <row r="184" spans="1:16" s="13" customFormat="1" hidden="1" x14ac:dyDescent="0.25">
      <c r="A184" s="118" t="s">
        <v>136</v>
      </c>
      <c r="B184" s="119"/>
      <c r="C184" s="119"/>
      <c r="D184" s="119"/>
      <c r="E184" s="120"/>
      <c r="F184" s="203" t="s">
        <v>32</v>
      </c>
      <c r="G184" s="204"/>
      <c r="H184" s="205"/>
      <c r="I184" s="236" t="s">
        <v>237</v>
      </c>
      <c r="J184" s="236"/>
      <c r="K184" s="236"/>
      <c r="L184" s="236"/>
      <c r="M184" s="236"/>
      <c r="N184" s="236"/>
      <c r="O184" s="236"/>
      <c r="P184" s="236"/>
    </row>
    <row r="185" spans="1:16" s="13" customFormat="1" ht="15" hidden="1" customHeight="1" x14ac:dyDescent="0.25">
      <c r="A185" s="118" t="s">
        <v>137</v>
      </c>
      <c r="B185" s="119"/>
      <c r="C185" s="119"/>
      <c r="D185" s="119"/>
      <c r="E185" s="120"/>
      <c r="F185" s="203" t="s">
        <v>32</v>
      </c>
      <c r="G185" s="204"/>
      <c r="H185" s="205"/>
      <c r="I185" s="236" t="s">
        <v>238</v>
      </c>
      <c r="J185" s="236"/>
      <c r="K185" s="236"/>
      <c r="L185" s="236"/>
      <c r="M185" s="236"/>
      <c r="N185" s="236"/>
      <c r="O185" s="236"/>
      <c r="P185" s="236"/>
    </row>
    <row r="186" spans="1:16" x14ac:dyDescent="0.25">
      <c r="A186" s="118" t="s">
        <v>57</v>
      </c>
      <c r="B186" s="119"/>
      <c r="C186" s="119"/>
      <c r="D186" s="119"/>
      <c r="E186" s="120"/>
      <c r="F186" s="195" t="s">
        <v>265</v>
      </c>
      <c r="G186" s="196"/>
      <c r="H186" s="197"/>
      <c r="I186" s="236" t="s">
        <v>266</v>
      </c>
      <c r="J186" s="236"/>
      <c r="K186" s="236"/>
      <c r="L186" s="236"/>
      <c r="M186" s="236"/>
      <c r="N186" s="236"/>
      <c r="O186" s="236"/>
      <c r="P186" s="236"/>
    </row>
    <row r="187" spans="1:16" s="9" customFormat="1" x14ac:dyDescent="0.25">
      <c r="A187" s="162" t="s">
        <v>58</v>
      </c>
      <c r="B187" s="163"/>
      <c r="C187" s="163"/>
      <c r="D187" s="163"/>
      <c r="E187" s="164"/>
      <c r="F187" s="198">
        <f>F178*0.8</f>
        <v>6560</v>
      </c>
      <c r="G187" s="199"/>
      <c r="H187" s="200"/>
      <c r="I187" s="237" t="s">
        <v>239</v>
      </c>
      <c r="J187" s="238"/>
      <c r="K187" s="238"/>
      <c r="L187" s="238"/>
      <c r="M187" s="238"/>
      <c r="N187" s="238"/>
      <c r="O187" s="238"/>
      <c r="P187" s="239"/>
    </row>
    <row r="188" spans="1:16" s="1" customFormat="1" x14ac:dyDescent="0.25">
      <c r="A188" s="224" t="s">
        <v>103</v>
      </c>
      <c r="B188" s="225"/>
      <c r="C188" s="225"/>
      <c r="D188" s="225"/>
      <c r="E188" s="225"/>
      <c r="F188" s="225"/>
      <c r="G188" s="225"/>
      <c r="H188" s="226"/>
      <c r="I188" s="240"/>
      <c r="J188" s="241"/>
      <c r="K188" s="241"/>
      <c r="L188" s="241"/>
      <c r="M188" s="241"/>
      <c r="N188" s="241"/>
      <c r="O188" s="241"/>
      <c r="P188" s="242"/>
    </row>
    <row r="189" spans="1:16" s="1" customFormat="1" ht="15.75" customHeight="1" x14ac:dyDescent="0.25">
      <c r="A189" s="233" t="s">
        <v>59</v>
      </c>
      <c r="B189" s="234"/>
      <c r="C189" s="109" t="s">
        <v>115</v>
      </c>
      <c r="D189" s="109"/>
      <c r="E189" s="110" t="s">
        <v>60</v>
      </c>
      <c r="F189" s="110"/>
      <c r="G189" s="108" t="s">
        <v>61</v>
      </c>
      <c r="H189" s="108"/>
      <c r="K189" s="61" t="s">
        <v>253</v>
      </c>
      <c r="L189" s="61" t="s">
        <v>254</v>
      </c>
      <c r="M189" s="63">
        <v>45288</v>
      </c>
      <c r="N189" s="61"/>
      <c r="O189" s="61"/>
      <c r="P189" s="61"/>
    </row>
    <row r="190" spans="1:16" s="1" customFormat="1" x14ac:dyDescent="0.25">
      <c r="A190" s="113" t="s">
        <v>170</v>
      </c>
      <c r="B190" s="114"/>
      <c r="C190" s="106">
        <f>COUNT(D204:D214)+COUNT(D216:D226)*26+COUNT(D228:D238)+COUNT(D241:D251)*3+COUNT(D253:D263)</f>
        <v>346</v>
      </c>
      <c r="D190" s="106"/>
      <c r="E190" s="106">
        <f>SUM(D204:D214)+SUM(D216:D226)*26+SUM(D228:D238)+SUM(D241:D251)*3+SUM(D253:D263)</f>
        <v>176387.73048</v>
      </c>
      <c r="F190" s="106"/>
      <c r="G190" s="106">
        <f>SUM(F204:F214)+SUM(F216:F226)*26+SUM(F228:F238)+SUM(F241:F251)*3+SUM(F253:F263)</f>
        <v>264581.59572000004</v>
      </c>
      <c r="H190" s="106"/>
    </row>
    <row r="191" spans="1:16" s="1" customFormat="1" ht="15.75" customHeight="1" x14ac:dyDescent="0.25">
      <c r="A191" s="113" t="s">
        <v>171</v>
      </c>
      <c r="B191" s="114"/>
      <c r="C191" s="106">
        <f>COUNT(D267:D275)+COUNT(D278:D287)*26+COUNT(D289:D298)+COUNT(D301:D310)*3+COUNT(D312:D321)</f>
        <v>314</v>
      </c>
      <c r="D191" s="106"/>
      <c r="E191" s="106">
        <f>SUM(D267:D275)+SUM(D278:D287)*26+SUM(D289:D298)+SUM(D301:D310)*3+SUM(D312:D321)</f>
        <v>143347.09427999999</v>
      </c>
      <c r="F191" s="106"/>
      <c r="G191" s="106">
        <f>SUM(F267:F275)+SUM(F278:F287)*26+SUM(F289:F298)+SUM(F301:F310)*3+SUM(F312:F321)</f>
        <v>215020.64141999994</v>
      </c>
      <c r="H191" s="106"/>
    </row>
    <row r="192" spans="1:16" s="1" customFormat="1" ht="15.75" customHeight="1" x14ac:dyDescent="0.25">
      <c r="A192" s="113" t="s">
        <v>172</v>
      </c>
      <c r="B192" s="114"/>
      <c r="C192" s="106">
        <f>COUNT(D325:D334)+COUNT(D336:D345)*26+COUNT(D347:D356)+COUNT(D359:D368)*3+COUNT(D370:D379)</f>
        <v>311</v>
      </c>
      <c r="D192" s="106"/>
      <c r="E192" s="106">
        <f>SUM(D325:D334)+SUM(D336:D345)*26+SUM(D347:D356)+SUM(D359:D368)*3+SUM(D370:D379)</f>
        <v>142198.46783999997</v>
      </c>
      <c r="F192" s="106"/>
      <c r="G192" s="106">
        <f>SUM(F325:F334)+SUM(F336:F345)*26+SUM(F347:F356)+SUM(F359:F368)*3+SUM(F370:F379)</f>
        <v>213297.70175999994</v>
      </c>
      <c r="H192" s="106"/>
    </row>
    <row r="193" spans="1:8" s="1" customFormat="1" ht="15.75" customHeight="1" x14ac:dyDescent="0.25">
      <c r="A193" s="113" t="s">
        <v>173</v>
      </c>
      <c r="B193" s="114"/>
      <c r="C193" s="106">
        <f>COUNT(D383:D392)+COUNT(D394:D403)*26+COUNT(D405:D414)+COUNT(D417:D426)*3+COUNT(D428:D437)</f>
        <v>311</v>
      </c>
      <c r="D193" s="106"/>
      <c r="E193" s="106">
        <f>SUM(D383:D392)+SUM(D394:D403)*26+SUM(D405:D414)+SUM(D417:D426)*3+SUM(D428:D437)</f>
        <v>142198.46783999997</v>
      </c>
      <c r="F193" s="106"/>
      <c r="G193" s="106">
        <f>SUM(F383:F392)+SUM(F394:F403)*26+SUM(F405:F414)+SUM(F417:F426)*3+SUM(F428:F437)</f>
        <v>213297.70175999994</v>
      </c>
      <c r="H193" s="106"/>
    </row>
    <row r="194" spans="1:8" s="1" customFormat="1" ht="15.75" customHeight="1" x14ac:dyDescent="0.25">
      <c r="A194" s="113" t="s">
        <v>174</v>
      </c>
      <c r="B194" s="114"/>
      <c r="C194" s="106">
        <f>COUNT(D441:D449)+COUNT(D452:D461)*26+COUNT(D463:D472)+COUNT(D475:D484)*3+COUNT(D486:D495)</f>
        <v>314</v>
      </c>
      <c r="D194" s="106"/>
      <c r="E194" s="106">
        <f>SUM(D441:D449)+SUM(D452:D461)*26+SUM(D463:D472)+SUM(D475:D484)*3+SUM(D486:D495)</f>
        <v>143347.09427999999</v>
      </c>
      <c r="F194" s="106"/>
      <c r="G194" s="106">
        <f>SUM(F441:F449)+SUM(F452:F461)*26+SUM(F463:F472)+SUM(F475:F484)*3+SUM(F486:F495)</f>
        <v>215020.64141999994</v>
      </c>
      <c r="H194" s="106"/>
    </row>
    <row r="195" spans="1:8" s="1" customFormat="1" ht="15.75" customHeight="1" x14ac:dyDescent="0.25">
      <c r="A195" s="113" t="s">
        <v>186</v>
      </c>
      <c r="B195" s="114"/>
      <c r="C195" s="106">
        <f>COUNT(D499:D509)+COUNT(D512:D523)*26+COUNT(D525:D536)+COUNT(D539:D550)*3+COUNT(D552:D563)</f>
        <v>376</v>
      </c>
      <c r="D195" s="106"/>
      <c r="E195" s="106">
        <f>SUM(D499:D509)+SUM(D512:D523)*26+SUM(D525:D536)+SUM(D539:D550)*3+SUM(D552:D563)</f>
        <v>150857.67528</v>
      </c>
      <c r="F195" s="106"/>
      <c r="G195" s="106">
        <f>SUM(F499:F509)+SUM(F512:F523)*26+SUM(F525:F536)+SUM(F539:F550)*3+SUM(F552:F563)</f>
        <v>226286.51292000001</v>
      </c>
      <c r="H195" s="106"/>
    </row>
    <row r="196" spans="1:8" s="1" customFormat="1" ht="15.75" customHeight="1" x14ac:dyDescent="0.25">
      <c r="A196" s="113" t="s">
        <v>188</v>
      </c>
      <c r="B196" s="114"/>
      <c r="C196" s="106">
        <f>COUNT(D567:D576)+COUNT(D578:D587)*26+COUNT(D600:D609)+COUNT(D612:D621)*3+COUNT(D623:D632)</f>
        <v>313</v>
      </c>
      <c r="D196" s="106"/>
      <c r="E196" s="106">
        <f>SUM(D567:D576)+SUM(D578:D587)*26+SUM(D600:D609)+SUM(D612:D621)*3+SUM(D623:D632)</f>
        <v>144271.18368000002</v>
      </c>
      <c r="F196" s="106"/>
      <c r="G196" s="106">
        <f>SUM(F567:F576)+SUM(F578:F587)*26+SUM(F600:F609)+SUM(F612:F621)*3+SUM(F623:F632)</f>
        <v>216406.77552000002</v>
      </c>
      <c r="H196" s="106"/>
    </row>
    <row r="197" spans="1:8" s="1" customFormat="1" x14ac:dyDescent="0.25">
      <c r="A197" s="224" t="s">
        <v>63</v>
      </c>
      <c r="B197" s="226"/>
      <c r="C197" s="107">
        <f>SUM(C190:D196)</f>
        <v>2285</v>
      </c>
      <c r="D197" s="107"/>
      <c r="E197" s="107">
        <f>SUM(E190:F196)</f>
        <v>1042607.7136799998</v>
      </c>
      <c r="F197" s="107"/>
      <c r="G197" s="108">
        <f>SUM(G190:H196)</f>
        <v>1563911.5705200001</v>
      </c>
      <c r="H197" s="108"/>
    </row>
    <row r="198" spans="1:8" s="9" customFormat="1" x14ac:dyDescent="0.25">
      <c r="A198" s="129" t="s">
        <v>64</v>
      </c>
      <c r="B198" s="130"/>
      <c r="C198" s="130"/>
      <c r="D198" s="130"/>
      <c r="E198" s="130"/>
      <c r="F198" s="130"/>
      <c r="G198" s="130"/>
      <c r="H198" s="131"/>
    </row>
    <row r="199" spans="1:8" x14ac:dyDescent="0.25">
      <c r="A199" s="129" t="s">
        <v>65</v>
      </c>
      <c r="B199" s="130"/>
      <c r="C199" s="130"/>
      <c r="D199" s="130"/>
      <c r="E199" s="130"/>
      <c r="F199" s="130"/>
      <c r="G199" s="130"/>
      <c r="H199" s="131"/>
    </row>
    <row r="200" spans="1:8" ht="47.25" customHeight="1" x14ac:dyDescent="0.25">
      <c r="A200" s="201" t="s">
        <v>112</v>
      </c>
      <c r="B200" s="202"/>
      <c r="C200" s="15" t="s">
        <v>66</v>
      </c>
      <c r="D200" s="24" t="s">
        <v>67</v>
      </c>
      <c r="E200" s="16" t="s">
        <v>68</v>
      </c>
      <c r="F200" s="15" t="s">
        <v>69</v>
      </c>
      <c r="G200" s="201" t="s">
        <v>70</v>
      </c>
      <c r="H200" s="202"/>
    </row>
    <row r="201" spans="1:8" s="2" customFormat="1" x14ac:dyDescent="0.25">
      <c r="A201" s="74" t="s">
        <v>170</v>
      </c>
      <c r="B201" s="75"/>
      <c r="C201" s="75"/>
      <c r="D201" s="75"/>
      <c r="E201" s="75"/>
      <c r="F201" s="75"/>
      <c r="G201" s="75"/>
      <c r="H201" s="76"/>
    </row>
    <row r="202" spans="1:8" s="2" customFormat="1" x14ac:dyDescent="0.25">
      <c r="A202" s="74" t="s">
        <v>175</v>
      </c>
      <c r="B202" s="75"/>
      <c r="C202" s="75"/>
      <c r="D202" s="75"/>
      <c r="E202" s="75"/>
      <c r="F202" s="75"/>
      <c r="G202" s="75"/>
      <c r="H202" s="76"/>
    </row>
    <row r="203" spans="1:8" s="2" customFormat="1" x14ac:dyDescent="0.25">
      <c r="A203" s="74" t="s">
        <v>205</v>
      </c>
      <c r="B203" s="75"/>
      <c r="C203" s="75"/>
      <c r="D203" s="75"/>
      <c r="E203" s="75"/>
      <c r="F203" s="75"/>
      <c r="G203" s="75"/>
      <c r="H203" s="76"/>
    </row>
    <row r="204" spans="1:8" s="2" customFormat="1" ht="15.75" customHeight="1" x14ac:dyDescent="0.25">
      <c r="A204" s="77">
        <v>1</v>
      </c>
      <c r="B204" s="78"/>
      <c r="C204" s="43" t="s">
        <v>160</v>
      </c>
      <c r="D204" s="44">
        <f>39.23*10.764</f>
        <v>422.27171999999996</v>
      </c>
      <c r="E204" s="43">
        <v>0</v>
      </c>
      <c r="F204" s="43">
        <f>D204*1.5+E204</f>
        <v>633.40757999999994</v>
      </c>
      <c r="G204" s="79" t="str">
        <f>A203</f>
        <v>1st Floor</v>
      </c>
      <c r="H204" s="80"/>
    </row>
    <row r="205" spans="1:8" s="2" customFormat="1" x14ac:dyDescent="0.25">
      <c r="A205" s="77">
        <v>2</v>
      </c>
      <c r="B205" s="78"/>
      <c r="C205" s="43" t="s">
        <v>159</v>
      </c>
      <c r="D205" s="44">
        <f>51.77*10.764</f>
        <v>557.25228000000004</v>
      </c>
      <c r="E205" s="43">
        <v>0</v>
      </c>
      <c r="F205" s="43">
        <f>D205*1.5+E205</f>
        <v>835.87842000000001</v>
      </c>
      <c r="G205" s="81"/>
      <c r="H205" s="82"/>
    </row>
    <row r="206" spans="1:8" s="2" customFormat="1" ht="15.75" customHeight="1" x14ac:dyDescent="0.25">
      <c r="A206" s="77">
        <v>3</v>
      </c>
      <c r="B206" s="78"/>
      <c r="C206" s="43" t="s">
        <v>159</v>
      </c>
      <c r="D206" s="44">
        <f>60.5*10.764</f>
        <v>651.22199999999998</v>
      </c>
      <c r="E206" s="44">
        <v>0</v>
      </c>
      <c r="F206" s="43">
        <f>D206*1.5+E206</f>
        <v>976.83299999999997</v>
      </c>
      <c r="G206" s="81"/>
      <c r="H206" s="82"/>
    </row>
    <row r="207" spans="1:8" s="2" customFormat="1" x14ac:dyDescent="0.25">
      <c r="A207" s="77">
        <v>4</v>
      </c>
      <c r="B207" s="78"/>
      <c r="C207" s="111" t="s">
        <v>206</v>
      </c>
      <c r="D207" s="112"/>
      <c r="E207" s="112"/>
      <c r="F207" s="78"/>
      <c r="G207" s="81"/>
      <c r="H207" s="82"/>
    </row>
    <row r="208" spans="1:8" s="2" customFormat="1" x14ac:dyDescent="0.25">
      <c r="A208" s="77">
        <v>5</v>
      </c>
      <c r="B208" s="78"/>
      <c r="C208" s="43" t="s">
        <v>160</v>
      </c>
      <c r="D208" s="44">
        <f>42.89*10.764</f>
        <v>461.66795999999999</v>
      </c>
      <c r="E208" s="43">
        <v>0</v>
      </c>
      <c r="F208" s="43">
        <f t="shared" ref="F208:F214" si="0">D208*1.5+E208</f>
        <v>692.50193999999999</v>
      </c>
      <c r="G208" s="81"/>
      <c r="H208" s="82"/>
    </row>
    <row r="209" spans="1:10" s="2" customFormat="1" x14ac:dyDescent="0.25">
      <c r="A209" s="77">
        <v>6</v>
      </c>
      <c r="B209" s="78"/>
      <c r="C209" s="43" t="s">
        <v>160</v>
      </c>
      <c r="D209" s="44">
        <f>39.02*10.764</f>
        <v>420.01128</v>
      </c>
      <c r="E209" s="43">
        <v>0</v>
      </c>
      <c r="F209" s="43">
        <f t="shared" si="0"/>
        <v>630.01692000000003</v>
      </c>
      <c r="G209" s="81"/>
      <c r="H209" s="82"/>
    </row>
    <row r="210" spans="1:10" s="2" customFormat="1" x14ac:dyDescent="0.25">
      <c r="A210" s="77">
        <v>7</v>
      </c>
      <c r="B210" s="78"/>
      <c r="C210" s="43" t="s">
        <v>159</v>
      </c>
      <c r="D210" s="44">
        <f>48.92*10.764</f>
        <v>526.57488000000001</v>
      </c>
      <c r="E210" s="43">
        <v>0</v>
      </c>
      <c r="F210" s="43">
        <f t="shared" si="0"/>
        <v>789.86231999999995</v>
      </c>
      <c r="G210" s="81"/>
      <c r="H210" s="82"/>
    </row>
    <row r="211" spans="1:10" s="2" customFormat="1" x14ac:dyDescent="0.25">
      <c r="A211" s="77">
        <v>8</v>
      </c>
      <c r="B211" s="78"/>
      <c r="C211" s="43" t="s">
        <v>159</v>
      </c>
      <c r="D211" s="44">
        <f>48.92*10.764</f>
        <v>526.57488000000001</v>
      </c>
      <c r="E211" s="43">
        <v>0</v>
      </c>
      <c r="F211" s="43">
        <f t="shared" si="0"/>
        <v>789.86231999999995</v>
      </c>
      <c r="G211" s="81"/>
      <c r="H211" s="82"/>
    </row>
    <row r="212" spans="1:10" s="2" customFormat="1" ht="15.75" customHeight="1" x14ac:dyDescent="0.25">
      <c r="A212" s="77">
        <v>9</v>
      </c>
      <c r="B212" s="78"/>
      <c r="C212" s="43" t="s">
        <v>159</v>
      </c>
      <c r="D212" s="44">
        <f>46.05*10.764</f>
        <v>495.68219999999997</v>
      </c>
      <c r="E212" s="43">
        <v>0</v>
      </c>
      <c r="F212" s="43">
        <f t="shared" si="0"/>
        <v>743.52329999999995</v>
      </c>
      <c r="G212" s="81"/>
      <c r="H212" s="82"/>
    </row>
    <row r="213" spans="1:10" s="2" customFormat="1" x14ac:dyDescent="0.25">
      <c r="A213" s="77">
        <v>10</v>
      </c>
      <c r="B213" s="78"/>
      <c r="C213" s="43" t="s">
        <v>181</v>
      </c>
      <c r="D213" s="44">
        <f>64.01*10.764</f>
        <v>689.00364000000002</v>
      </c>
      <c r="E213" s="43">
        <v>0</v>
      </c>
      <c r="F213" s="43">
        <f t="shared" si="0"/>
        <v>1033.5054600000001</v>
      </c>
      <c r="G213" s="81"/>
      <c r="H213" s="82"/>
    </row>
    <row r="214" spans="1:10" s="2" customFormat="1" x14ac:dyDescent="0.25">
      <c r="A214" s="77">
        <v>11</v>
      </c>
      <c r="B214" s="78"/>
      <c r="C214" s="43" t="s">
        <v>160</v>
      </c>
      <c r="D214" s="44">
        <f>39.23*10.764</f>
        <v>422.27171999999996</v>
      </c>
      <c r="E214" s="43">
        <v>0</v>
      </c>
      <c r="F214" s="43">
        <f t="shared" si="0"/>
        <v>633.40757999999994</v>
      </c>
      <c r="G214" s="83"/>
      <c r="H214" s="84"/>
    </row>
    <row r="215" spans="1:10" s="2" customFormat="1" x14ac:dyDescent="0.25">
      <c r="A215" s="74" t="s">
        <v>207</v>
      </c>
      <c r="B215" s="75"/>
      <c r="C215" s="75"/>
      <c r="D215" s="75"/>
      <c r="E215" s="75"/>
      <c r="F215" s="75"/>
      <c r="G215" s="75"/>
      <c r="H215" s="76"/>
    </row>
    <row r="216" spans="1:10" s="2" customFormat="1" ht="15.75" customHeight="1" x14ac:dyDescent="0.25">
      <c r="A216" s="77">
        <v>1</v>
      </c>
      <c r="B216" s="78"/>
      <c r="C216" s="43" t="s">
        <v>160</v>
      </c>
      <c r="D216" s="44">
        <f>39.23*10.764</f>
        <v>422.27171999999996</v>
      </c>
      <c r="E216" s="43">
        <v>0</v>
      </c>
      <c r="F216" s="43">
        <f t="shared" ref="F216:F226" si="1">D216*1.5+E216</f>
        <v>633.40757999999994</v>
      </c>
      <c r="G216" s="79" t="str">
        <f>A215</f>
        <v>2nd to 7th, 9th to 13th, 15th to 18th, 20th to 23rd, 25th to 28th, 30th to 32nd Floor</v>
      </c>
      <c r="H216" s="80"/>
    </row>
    <row r="217" spans="1:10" s="2" customFormat="1" x14ac:dyDescent="0.25">
      <c r="A217" s="77">
        <v>2</v>
      </c>
      <c r="B217" s="78"/>
      <c r="C217" s="43" t="s">
        <v>159</v>
      </c>
      <c r="D217" s="44">
        <f>51.77*10.764</f>
        <v>557.25228000000004</v>
      </c>
      <c r="E217" s="43">
        <v>0</v>
      </c>
      <c r="F217" s="43">
        <f t="shared" si="1"/>
        <v>835.87842000000001</v>
      </c>
      <c r="G217" s="81"/>
      <c r="H217" s="82"/>
    </row>
    <row r="218" spans="1:10" s="2" customFormat="1" ht="15.75" customHeight="1" x14ac:dyDescent="0.25">
      <c r="A218" s="77">
        <v>3</v>
      </c>
      <c r="B218" s="78"/>
      <c r="C218" s="43" t="s">
        <v>159</v>
      </c>
      <c r="D218" s="44">
        <f>60.5*10.764</f>
        <v>651.22199999999998</v>
      </c>
      <c r="E218" s="44">
        <v>0</v>
      </c>
      <c r="F218" s="43">
        <f t="shared" si="1"/>
        <v>976.83299999999997</v>
      </c>
      <c r="G218" s="81"/>
      <c r="H218" s="82"/>
    </row>
    <row r="219" spans="1:10" s="2" customFormat="1" x14ac:dyDescent="0.25">
      <c r="A219" s="77">
        <v>4</v>
      </c>
      <c r="B219" s="78"/>
      <c r="C219" s="43" t="s">
        <v>160</v>
      </c>
      <c r="D219" s="44">
        <f>42.89*10.764</f>
        <v>461.66795999999999</v>
      </c>
      <c r="E219" s="43">
        <v>0</v>
      </c>
      <c r="F219" s="43">
        <f t="shared" si="1"/>
        <v>692.50193999999999</v>
      </c>
      <c r="G219" s="81"/>
      <c r="H219" s="82"/>
    </row>
    <row r="220" spans="1:10" s="2" customFormat="1" x14ac:dyDescent="0.25">
      <c r="A220" s="77">
        <v>5</v>
      </c>
      <c r="B220" s="78"/>
      <c r="C220" s="43" t="s">
        <v>160</v>
      </c>
      <c r="D220" s="44">
        <f>42.89*10.764</f>
        <v>461.66795999999999</v>
      </c>
      <c r="E220" s="43">
        <v>0</v>
      </c>
      <c r="F220" s="43">
        <f t="shared" si="1"/>
        <v>692.50193999999999</v>
      </c>
      <c r="G220" s="81"/>
      <c r="H220" s="82"/>
    </row>
    <row r="221" spans="1:10" s="2" customFormat="1" x14ac:dyDescent="0.25">
      <c r="A221" s="77">
        <v>6</v>
      </c>
      <c r="B221" s="78"/>
      <c r="C221" s="43" t="s">
        <v>160</v>
      </c>
      <c r="D221" s="44">
        <f>39.02*10.764</f>
        <v>420.01128</v>
      </c>
      <c r="E221" s="43">
        <v>0</v>
      </c>
      <c r="F221" s="43">
        <f t="shared" si="1"/>
        <v>630.01692000000003</v>
      </c>
      <c r="G221" s="81"/>
      <c r="H221" s="82"/>
      <c r="I221" s="45">
        <f>3955000/F221</f>
        <v>6277.6091791312519</v>
      </c>
      <c r="J221" s="45">
        <f>I221-200</f>
        <v>6077.6091791312519</v>
      </c>
    </row>
    <row r="222" spans="1:10" s="2" customFormat="1" x14ac:dyDescent="0.25">
      <c r="A222" s="77">
        <v>7</v>
      </c>
      <c r="B222" s="78"/>
      <c r="C222" s="43" t="s">
        <v>159</v>
      </c>
      <c r="D222" s="44">
        <f>48.92*10.764</f>
        <v>526.57488000000001</v>
      </c>
      <c r="E222" s="43">
        <v>0</v>
      </c>
      <c r="F222" s="43">
        <f t="shared" si="1"/>
        <v>789.86231999999995</v>
      </c>
      <c r="G222" s="81"/>
      <c r="H222" s="82"/>
    </row>
    <row r="223" spans="1:10" s="2" customFormat="1" x14ac:dyDescent="0.25">
      <c r="A223" s="77">
        <v>8</v>
      </c>
      <c r="B223" s="78"/>
      <c r="C223" s="43" t="s">
        <v>159</v>
      </c>
      <c r="D223" s="44">
        <f>48.92*10.764</f>
        <v>526.57488000000001</v>
      </c>
      <c r="E223" s="43">
        <v>0</v>
      </c>
      <c r="F223" s="43">
        <f t="shared" si="1"/>
        <v>789.86231999999995</v>
      </c>
      <c r="G223" s="81"/>
      <c r="H223" s="82"/>
    </row>
    <row r="224" spans="1:10" s="2" customFormat="1" ht="15.75" customHeight="1" x14ac:dyDescent="0.25">
      <c r="A224" s="77">
        <v>9</v>
      </c>
      <c r="B224" s="78"/>
      <c r="C224" s="43" t="s">
        <v>159</v>
      </c>
      <c r="D224" s="44">
        <f>46.05*10.764</f>
        <v>495.68219999999997</v>
      </c>
      <c r="E224" s="43">
        <v>0</v>
      </c>
      <c r="F224" s="43">
        <f t="shared" si="1"/>
        <v>743.52329999999995</v>
      </c>
      <c r="G224" s="81"/>
      <c r="H224" s="82"/>
    </row>
    <row r="225" spans="1:9" s="2" customFormat="1" x14ac:dyDescent="0.25">
      <c r="A225" s="77">
        <v>10</v>
      </c>
      <c r="B225" s="78"/>
      <c r="C225" s="43" t="s">
        <v>181</v>
      </c>
      <c r="D225" s="44">
        <f>64.01*10.764</f>
        <v>689.00364000000002</v>
      </c>
      <c r="E225" s="43">
        <v>0</v>
      </c>
      <c r="F225" s="43">
        <f t="shared" si="1"/>
        <v>1033.5054600000001</v>
      </c>
      <c r="G225" s="81"/>
      <c r="H225" s="82"/>
    </row>
    <row r="226" spans="1:9" s="2" customFormat="1" x14ac:dyDescent="0.25">
      <c r="A226" s="77">
        <v>11</v>
      </c>
      <c r="B226" s="78"/>
      <c r="C226" s="43" t="s">
        <v>160</v>
      </c>
      <c r="D226" s="44">
        <f>39.23*10.764</f>
        <v>422.27171999999996</v>
      </c>
      <c r="E226" s="43">
        <v>0</v>
      </c>
      <c r="F226" s="43">
        <f t="shared" si="1"/>
        <v>633.40757999999994</v>
      </c>
      <c r="G226" s="83"/>
      <c r="H226" s="84"/>
    </row>
    <row r="227" spans="1:9" s="2" customFormat="1" x14ac:dyDescent="0.25">
      <c r="A227" s="74" t="s">
        <v>176</v>
      </c>
      <c r="B227" s="75"/>
      <c r="C227" s="75"/>
      <c r="D227" s="75"/>
      <c r="E227" s="75"/>
      <c r="F227" s="75"/>
      <c r="G227" s="75"/>
      <c r="H227" s="76"/>
    </row>
    <row r="228" spans="1:9" s="2" customFormat="1" ht="15.75" customHeight="1" x14ac:dyDescent="0.25">
      <c r="A228" s="77">
        <v>1</v>
      </c>
      <c r="B228" s="78"/>
      <c r="C228" s="43" t="s">
        <v>160</v>
      </c>
      <c r="D228" s="44">
        <f>39.23*10.764</f>
        <v>422.27171999999996</v>
      </c>
      <c r="E228" s="43">
        <v>0</v>
      </c>
      <c r="F228" s="43">
        <f t="shared" ref="F228:F236" si="2">D228*1.5+E228</f>
        <v>633.40757999999994</v>
      </c>
      <c r="G228" s="79" t="str">
        <f>A227</f>
        <v>8th Floor (Part Refuge Area)</v>
      </c>
      <c r="H228" s="80"/>
    </row>
    <row r="229" spans="1:9" s="2" customFormat="1" x14ac:dyDescent="0.25">
      <c r="A229" s="77">
        <v>2</v>
      </c>
      <c r="B229" s="78"/>
      <c r="C229" s="43" t="s">
        <v>159</v>
      </c>
      <c r="D229" s="44">
        <f>51.77*10.764</f>
        <v>557.25228000000004</v>
      </c>
      <c r="E229" s="43">
        <v>0</v>
      </c>
      <c r="F229" s="43">
        <f t="shared" si="2"/>
        <v>835.87842000000001</v>
      </c>
      <c r="G229" s="81"/>
      <c r="H229" s="82"/>
    </row>
    <row r="230" spans="1:9" s="2" customFormat="1" ht="15.75" customHeight="1" x14ac:dyDescent="0.25">
      <c r="A230" s="77">
        <v>3</v>
      </c>
      <c r="B230" s="78"/>
      <c r="C230" s="43" t="s">
        <v>159</v>
      </c>
      <c r="D230" s="44">
        <f>60.5*10.764</f>
        <v>651.22199999999998</v>
      </c>
      <c r="E230" s="44">
        <v>0</v>
      </c>
      <c r="F230" s="43">
        <f t="shared" si="2"/>
        <v>976.83299999999997</v>
      </c>
      <c r="G230" s="81"/>
      <c r="H230" s="82"/>
    </row>
    <row r="231" spans="1:9" s="2" customFormat="1" x14ac:dyDescent="0.25">
      <c r="A231" s="77">
        <v>4</v>
      </c>
      <c r="B231" s="78"/>
      <c r="C231" s="43" t="s">
        <v>160</v>
      </c>
      <c r="D231" s="44">
        <f>42.89*10.764</f>
        <v>461.66795999999999</v>
      </c>
      <c r="E231" s="43">
        <v>0</v>
      </c>
      <c r="F231" s="43">
        <f t="shared" si="2"/>
        <v>692.50193999999999</v>
      </c>
      <c r="G231" s="81"/>
      <c r="H231" s="82"/>
    </row>
    <row r="232" spans="1:9" s="2" customFormat="1" x14ac:dyDescent="0.25">
      <c r="A232" s="77">
        <v>5</v>
      </c>
      <c r="B232" s="78"/>
      <c r="C232" s="43" t="s">
        <v>160</v>
      </c>
      <c r="D232" s="44">
        <f>42.89*10.764</f>
        <v>461.66795999999999</v>
      </c>
      <c r="E232" s="43">
        <v>0</v>
      </c>
      <c r="F232" s="43">
        <f t="shared" si="2"/>
        <v>692.50193999999999</v>
      </c>
      <c r="G232" s="81"/>
      <c r="H232" s="82"/>
    </row>
    <row r="233" spans="1:9" s="2" customFormat="1" x14ac:dyDescent="0.25">
      <c r="A233" s="77">
        <v>6</v>
      </c>
      <c r="B233" s="78"/>
      <c r="C233" s="43" t="s">
        <v>160</v>
      </c>
      <c r="D233" s="44">
        <f>39.02*10.764</f>
        <v>420.01128</v>
      </c>
      <c r="E233" s="43">
        <v>0</v>
      </c>
      <c r="F233" s="43">
        <f t="shared" si="2"/>
        <v>630.01692000000003</v>
      </c>
      <c r="G233" s="81"/>
      <c r="H233" s="82"/>
    </row>
    <row r="234" spans="1:9" s="2" customFormat="1" x14ac:dyDescent="0.25">
      <c r="A234" s="77">
        <v>7</v>
      </c>
      <c r="B234" s="78"/>
      <c r="C234" s="43" t="s">
        <v>159</v>
      </c>
      <c r="D234" s="44">
        <f>48.92*10.764</f>
        <v>526.57488000000001</v>
      </c>
      <c r="E234" s="43">
        <v>0</v>
      </c>
      <c r="F234" s="43">
        <f t="shared" si="2"/>
        <v>789.86231999999995</v>
      </c>
      <c r="G234" s="81"/>
      <c r="H234" s="82"/>
    </row>
    <row r="235" spans="1:9" s="2" customFormat="1" x14ac:dyDescent="0.25">
      <c r="A235" s="77">
        <v>8</v>
      </c>
      <c r="B235" s="78"/>
      <c r="C235" s="43" t="s">
        <v>159</v>
      </c>
      <c r="D235" s="44">
        <f>48.92*10.764</f>
        <v>526.57488000000001</v>
      </c>
      <c r="E235" s="43">
        <v>0</v>
      </c>
      <c r="F235" s="43">
        <f t="shared" si="2"/>
        <v>789.86231999999995</v>
      </c>
      <c r="G235" s="81"/>
      <c r="H235" s="82"/>
    </row>
    <row r="236" spans="1:9" s="2" customFormat="1" ht="15.75" customHeight="1" x14ac:dyDescent="0.25">
      <c r="A236" s="77">
        <v>9</v>
      </c>
      <c r="B236" s="78"/>
      <c r="C236" s="43" t="s">
        <v>159</v>
      </c>
      <c r="D236" s="44">
        <f>46.05*10.764</f>
        <v>495.68219999999997</v>
      </c>
      <c r="E236" s="43">
        <v>0</v>
      </c>
      <c r="F236" s="43">
        <f t="shared" si="2"/>
        <v>743.52329999999995</v>
      </c>
      <c r="G236" s="81"/>
      <c r="H236" s="82"/>
    </row>
    <row r="237" spans="1:9" s="2" customFormat="1" x14ac:dyDescent="0.25">
      <c r="A237" s="77">
        <v>10</v>
      </c>
      <c r="B237" s="78"/>
      <c r="C237" s="111" t="s">
        <v>161</v>
      </c>
      <c r="D237" s="112"/>
      <c r="E237" s="112"/>
      <c r="F237" s="78"/>
      <c r="G237" s="81"/>
      <c r="H237" s="82"/>
      <c r="I237" s="42"/>
    </row>
    <row r="238" spans="1:9" s="2" customFormat="1" x14ac:dyDescent="0.25">
      <c r="A238" s="77">
        <v>11</v>
      </c>
      <c r="B238" s="78"/>
      <c r="C238" s="43" t="s">
        <v>160</v>
      </c>
      <c r="D238" s="44">
        <f>39.23*10.764</f>
        <v>422.27171999999996</v>
      </c>
      <c r="E238" s="43">
        <v>0</v>
      </c>
      <c r="F238" s="43">
        <f>D238*1.5+E238</f>
        <v>633.40757999999994</v>
      </c>
      <c r="G238" s="83"/>
      <c r="H238" s="84"/>
    </row>
    <row r="239" spans="1:9" s="2" customFormat="1" x14ac:dyDescent="0.25">
      <c r="A239" s="74" t="s">
        <v>180</v>
      </c>
      <c r="B239" s="75"/>
      <c r="C239" s="75"/>
      <c r="D239" s="75"/>
      <c r="E239" s="75"/>
      <c r="F239" s="75"/>
      <c r="G239" s="75"/>
      <c r="H239" s="76"/>
    </row>
    <row r="240" spans="1:9" s="2" customFormat="1" x14ac:dyDescent="0.25">
      <c r="A240" s="74" t="s">
        <v>177</v>
      </c>
      <c r="B240" s="75"/>
      <c r="C240" s="75"/>
      <c r="D240" s="75"/>
      <c r="E240" s="75"/>
      <c r="F240" s="75"/>
      <c r="G240" s="75"/>
      <c r="H240" s="76"/>
    </row>
    <row r="241" spans="1:9" s="2" customFormat="1" ht="15.75" customHeight="1" x14ac:dyDescent="0.25">
      <c r="A241" s="77">
        <v>1</v>
      </c>
      <c r="B241" s="78"/>
      <c r="C241" s="43" t="s">
        <v>160</v>
      </c>
      <c r="D241" s="44">
        <f>39.23*10.764</f>
        <v>422.27171999999996</v>
      </c>
      <c r="E241" s="43">
        <v>0</v>
      </c>
      <c r="F241" s="43">
        <f t="shared" ref="F241:F249" si="3">D241*1.5+E241</f>
        <v>633.40757999999994</v>
      </c>
      <c r="G241" s="79" t="str">
        <f>A240</f>
        <v>14th, 19th &amp; 24th Floor (Part Refuge Area)</v>
      </c>
      <c r="H241" s="80"/>
    </row>
    <row r="242" spans="1:9" s="2" customFormat="1" x14ac:dyDescent="0.25">
      <c r="A242" s="77">
        <v>2</v>
      </c>
      <c r="B242" s="78"/>
      <c r="C242" s="43" t="s">
        <v>159</v>
      </c>
      <c r="D242" s="44">
        <f>51.77*10.764</f>
        <v>557.25228000000004</v>
      </c>
      <c r="E242" s="43">
        <v>0</v>
      </c>
      <c r="F242" s="43">
        <f t="shared" si="3"/>
        <v>835.87842000000001</v>
      </c>
      <c r="G242" s="81"/>
      <c r="H242" s="82"/>
    </row>
    <row r="243" spans="1:9" s="2" customFormat="1" ht="15.75" customHeight="1" x14ac:dyDescent="0.25">
      <c r="A243" s="77">
        <v>3</v>
      </c>
      <c r="B243" s="78"/>
      <c r="C243" s="43" t="s">
        <v>159</v>
      </c>
      <c r="D243" s="44">
        <f>60.5*10.764</f>
        <v>651.22199999999998</v>
      </c>
      <c r="E243" s="44">
        <v>0</v>
      </c>
      <c r="F243" s="43">
        <f t="shared" si="3"/>
        <v>976.83299999999997</v>
      </c>
      <c r="G243" s="81"/>
      <c r="H243" s="82"/>
    </row>
    <row r="244" spans="1:9" s="2" customFormat="1" x14ac:dyDescent="0.25">
      <c r="A244" s="77">
        <v>4</v>
      </c>
      <c r="B244" s="78"/>
      <c r="C244" s="43" t="s">
        <v>160</v>
      </c>
      <c r="D244" s="44">
        <f>42.89*10.764</f>
        <v>461.66795999999999</v>
      </c>
      <c r="E244" s="43">
        <v>0</v>
      </c>
      <c r="F244" s="43">
        <f t="shared" si="3"/>
        <v>692.50193999999999</v>
      </c>
      <c r="G244" s="81"/>
      <c r="H244" s="82"/>
    </row>
    <row r="245" spans="1:9" s="2" customFormat="1" x14ac:dyDescent="0.25">
      <c r="A245" s="77">
        <v>5</v>
      </c>
      <c r="B245" s="78"/>
      <c r="C245" s="43" t="s">
        <v>160</v>
      </c>
      <c r="D245" s="44">
        <f>42.89*10.764</f>
        <v>461.66795999999999</v>
      </c>
      <c r="E245" s="43">
        <v>0</v>
      </c>
      <c r="F245" s="43">
        <f t="shared" si="3"/>
        <v>692.50193999999999</v>
      </c>
      <c r="G245" s="81"/>
      <c r="H245" s="82"/>
    </row>
    <row r="246" spans="1:9" s="2" customFormat="1" x14ac:dyDescent="0.25">
      <c r="A246" s="77">
        <v>6</v>
      </c>
      <c r="B246" s="78"/>
      <c r="C246" s="43" t="s">
        <v>160</v>
      </c>
      <c r="D246" s="44">
        <f>39.02*10.764</f>
        <v>420.01128</v>
      </c>
      <c r="E246" s="43">
        <v>0</v>
      </c>
      <c r="F246" s="43">
        <f t="shared" si="3"/>
        <v>630.01692000000003</v>
      </c>
      <c r="G246" s="81"/>
      <c r="H246" s="82"/>
    </row>
    <row r="247" spans="1:9" s="2" customFormat="1" x14ac:dyDescent="0.25">
      <c r="A247" s="77">
        <v>7</v>
      </c>
      <c r="B247" s="78"/>
      <c r="C247" s="43" t="s">
        <v>159</v>
      </c>
      <c r="D247" s="44">
        <f>48.92*10.764</f>
        <v>526.57488000000001</v>
      </c>
      <c r="E247" s="43">
        <v>0</v>
      </c>
      <c r="F247" s="43">
        <f t="shared" si="3"/>
        <v>789.86231999999995</v>
      </c>
      <c r="G247" s="81"/>
      <c r="H247" s="82"/>
    </row>
    <row r="248" spans="1:9" s="2" customFormat="1" x14ac:dyDescent="0.25">
      <c r="A248" s="77">
        <v>8</v>
      </c>
      <c r="B248" s="78"/>
      <c r="C248" s="43" t="s">
        <v>159</v>
      </c>
      <c r="D248" s="44">
        <f>48.92*10.764</f>
        <v>526.57488000000001</v>
      </c>
      <c r="E248" s="43">
        <v>0</v>
      </c>
      <c r="F248" s="43">
        <f t="shared" si="3"/>
        <v>789.86231999999995</v>
      </c>
      <c r="G248" s="81"/>
      <c r="H248" s="82"/>
    </row>
    <row r="249" spans="1:9" s="2" customFormat="1" ht="15.75" customHeight="1" x14ac:dyDescent="0.25">
      <c r="A249" s="77">
        <v>9</v>
      </c>
      <c r="B249" s="78"/>
      <c r="C249" s="43" t="s">
        <v>159</v>
      </c>
      <c r="D249" s="44">
        <f>46.05*10.764</f>
        <v>495.68219999999997</v>
      </c>
      <c r="E249" s="43">
        <v>0</v>
      </c>
      <c r="F249" s="43">
        <f t="shared" si="3"/>
        <v>743.52329999999995</v>
      </c>
      <c r="G249" s="81"/>
      <c r="H249" s="82"/>
    </row>
    <row r="250" spans="1:9" s="2" customFormat="1" x14ac:dyDescent="0.25">
      <c r="A250" s="77">
        <v>10</v>
      </c>
      <c r="B250" s="78"/>
      <c r="C250" s="111" t="s">
        <v>161</v>
      </c>
      <c r="D250" s="112"/>
      <c r="E250" s="112"/>
      <c r="F250" s="78"/>
      <c r="G250" s="81"/>
      <c r="H250" s="82"/>
      <c r="I250" s="42"/>
    </row>
    <row r="251" spans="1:9" s="2" customFormat="1" x14ac:dyDescent="0.25">
      <c r="A251" s="77">
        <v>11</v>
      </c>
      <c r="B251" s="78"/>
      <c r="C251" s="43" t="s">
        <v>160</v>
      </c>
      <c r="D251" s="44">
        <f>39.23*10.764</f>
        <v>422.27171999999996</v>
      </c>
      <c r="E251" s="43">
        <v>0</v>
      </c>
      <c r="F251" s="43">
        <f>D251*1.5+E251</f>
        <v>633.40757999999994</v>
      </c>
      <c r="G251" s="83"/>
      <c r="H251" s="84"/>
    </row>
    <row r="252" spans="1:9" s="2" customFormat="1" x14ac:dyDescent="0.25">
      <c r="A252" s="74" t="s">
        <v>178</v>
      </c>
      <c r="B252" s="75"/>
      <c r="C252" s="75"/>
      <c r="D252" s="75"/>
      <c r="E252" s="75"/>
      <c r="F252" s="75"/>
      <c r="G252" s="75"/>
      <c r="H252" s="76"/>
    </row>
    <row r="253" spans="1:9" s="2" customFormat="1" ht="15.75" customHeight="1" x14ac:dyDescent="0.25">
      <c r="A253" s="77">
        <v>1</v>
      </c>
      <c r="B253" s="78"/>
      <c r="C253" s="43" t="s">
        <v>160</v>
      </c>
      <c r="D253" s="44">
        <f>39.23*10.764</f>
        <v>422.27171999999996</v>
      </c>
      <c r="E253" s="43">
        <v>0</v>
      </c>
      <c r="F253" s="43">
        <f t="shared" ref="F253:F261" si="4">D253*1.5+E253</f>
        <v>633.40757999999994</v>
      </c>
      <c r="G253" s="79" t="str">
        <f>A252</f>
        <v>29th Floor (Part Refuge Area)</v>
      </c>
      <c r="H253" s="80"/>
    </row>
    <row r="254" spans="1:9" s="2" customFormat="1" x14ac:dyDescent="0.25">
      <c r="A254" s="77">
        <v>2</v>
      </c>
      <c r="B254" s="78"/>
      <c r="C254" s="43" t="s">
        <v>159</v>
      </c>
      <c r="D254" s="44">
        <f>51.77*10.764</f>
        <v>557.25228000000004</v>
      </c>
      <c r="E254" s="43">
        <v>0</v>
      </c>
      <c r="F254" s="43">
        <f t="shared" si="4"/>
        <v>835.87842000000001</v>
      </c>
      <c r="G254" s="81"/>
      <c r="H254" s="82"/>
    </row>
    <row r="255" spans="1:9" s="2" customFormat="1" ht="15.75" customHeight="1" x14ac:dyDescent="0.25">
      <c r="A255" s="77">
        <v>3</v>
      </c>
      <c r="B255" s="78"/>
      <c r="C255" s="43" t="s">
        <v>159</v>
      </c>
      <c r="D255" s="44">
        <f>60.5*10.764</f>
        <v>651.22199999999998</v>
      </c>
      <c r="E255" s="44">
        <v>0</v>
      </c>
      <c r="F255" s="43">
        <f t="shared" si="4"/>
        <v>976.83299999999997</v>
      </c>
      <c r="G255" s="81"/>
      <c r="H255" s="82"/>
    </row>
    <row r="256" spans="1:9" s="2" customFormat="1" x14ac:dyDescent="0.25">
      <c r="A256" s="77">
        <v>4</v>
      </c>
      <c r="B256" s="78"/>
      <c r="C256" s="43" t="s">
        <v>160</v>
      </c>
      <c r="D256" s="44">
        <f>42.89*10.764</f>
        <v>461.66795999999999</v>
      </c>
      <c r="E256" s="43">
        <v>0</v>
      </c>
      <c r="F256" s="43">
        <f t="shared" si="4"/>
        <v>692.50193999999999</v>
      </c>
      <c r="G256" s="81"/>
      <c r="H256" s="82"/>
    </row>
    <row r="257" spans="1:9" s="2" customFormat="1" x14ac:dyDescent="0.25">
      <c r="A257" s="77">
        <v>5</v>
      </c>
      <c r="B257" s="78"/>
      <c r="C257" s="43" t="s">
        <v>160</v>
      </c>
      <c r="D257" s="44">
        <f>42.89*10.764</f>
        <v>461.66795999999999</v>
      </c>
      <c r="E257" s="43">
        <v>0</v>
      </c>
      <c r="F257" s="43">
        <f t="shared" si="4"/>
        <v>692.50193999999999</v>
      </c>
      <c r="G257" s="81"/>
      <c r="H257" s="82"/>
    </row>
    <row r="258" spans="1:9" s="2" customFormat="1" x14ac:dyDescent="0.25">
      <c r="A258" s="77">
        <v>6</v>
      </c>
      <c r="B258" s="78"/>
      <c r="C258" s="43" t="s">
        <v>160</v>
      </c>
      <c r="D258" s="44">
        <f>39.02*10.764</f>
        <v>420.01128</v>
      </c>
      <c r="E258" s="43">
        <v>0</v>
      </c>
      <c r="F258" s="43">
        <f t="shared" si="4"/>
        <v>630.01692000000003</v>
      </c>
      <c r="G258" s="81"/>
      <c r="H258" s="82"/>
    </row>
    <row r="259" spans="1:9" s="2" customFormat="1" x14ac:dyDescent="0.25">
      <c r="A259" s="77">
        <v>7</v>
      </c>
      <c r="B259" s="78"/>
      <c r="C259" s="43" t="s">
        <v>159</v>
      </c>
      <c r="D259" s="44">
        <f>48.92*10.764</f>
        <v>526.57488000000001</v>
      </c>
      <c r="E259" s="43">
        <v>0</v>
      </c>
      <c r="F259" s="43">
        <f t="shared" si="4"/>
        <v>789.86231999999995</v>
      </c>
      <c r="G259" s="81"/>
      <c r="H259" s="82"/>
    </row>
    <row r="260" spans="1:9" s="2" customFormat="1" x14ac:dyDescent="0.25">
      <c r="A260" s="77">
        <v>8</v>
      </c>
      <c r="B260" s="78"/>
      <c r="C260" s="43" t="s">
        <v>159</v>
      </c>
      <c r="D260" s="44">
        <f>48.92*10.764</f>
        <v>526.57488000000001</v>
      </c>
      <c r="E260" s="43">
        <v>0</v>
      </c>
      <c r="F260" s="43">
        <f t="shared" si="4"/>
        <v>789.86231999999995</v>
      </c>
      <c r="G260" s="81"/>
      <c r="H260" s="82"/>
    </row>
    <row r="261" spans="1:9" s="2" customFormat="1" ht="15.75" customHeight="1" x14ac:dyDescent="0.25">
      <c r="A261" s="77">
        <v>9</v>
      </c>
      <c r="B261" s="78"/>
      <c r="C261" s="43" t="s">
        <v>159</v>
      </c>
      <c r="D261" s="44">
        <f>46.05*10.764</f>
        <v>495.68219999999997</v>
      </c>
      <c r="E261" s="43">
        <v>0</v>
      </c>
      <c r="F261" s="43">
        <f t="shared" si="4"/>
        <v>743.52329999999995</v>
      </c>
      <c r="G261" s="81"/>
      <c r="H261" s="82"/>
    </row>
    <row r="262" spans="1:9" s="2" customFormat="1" x14ac:dyDescent="0.25">
      <c r="A262" s="77">
        <v>10</v>
      </c>
      <c r="B262" s="78"/>
      <c r="C262" s="111" t="s">
        <v>161</v>
      </c>
      <c r="D262" s="112"/>
      <c r="E262" s="112"/>
      <c r="F262" s="78"/>
      <c r="G262" s="81"/>
      <c r="H262" s="82"/>
      <c r="I262" s="42"/>
    </row>
    <row r="263" spans="1:9" s="2" customFormat="1" x14ac:dyDescent="0.25">
      <c r="A263" s="77">
        <v>11</v>
      </c>
      <c r="B263" s="78"/>
      <c r="C263" s="43" t="s">
        <v>160</v>
      </c>
      <c r="D263" s="44">
        <f>39.23*10.764</f>
        <v>422.27171999999996</v>
      </c>
      <c r="E263" s="43">
        <v>0</v>
      </c>
      <c r="F263" s="43">
        <f>D263*1.5+E263</f>
        <v>633.40757999999994</v>
      </c>
      <c r="G263" s="83"/>
      <c r="H263" s="84"/>
    </row>
    <row r="264" spans="1:9" s="2" customFormat="1" x14ac:dyDescent="0.25">
      <c r="A264" s="74" t="s">
        <v>171</v>
      </c>
      <c r="B264" s="75"/>
      <c r="C264" s="75"/>
      <c r="D264" s="75"/>
      <c r="E264" s="75"/>
      <c r="F264" s="75"/>
      <c r="G264" s="75"/>
      <c r="H264" s="76"/>
    </row>
    <row r="265" spans="1:9" s="2" customFormat="1" ht="15.75" customHeight="1" x14ac:dyDescent="0.25">
      <c r="A265" s="74" t="s">
        <v>179</v>
      </c>
      <c r="B265" s="75"/>
      <c r="C265" s="75"/>
      <c r="D265" s="75"/>
      <c r="E265" s="75"/>
      <c r="F265" s="75"/>
      <c r="G265" s="75"/>
      <c r="H265" s="76"/>
    </row>
    <row r="266" spans="1:9" s="2" customFormat="1" ht="15.75" customHeight="1" x14ac:dyDescent="0.25">
      <c r="A266" s="74" t="s">
        <v>205</v>
      </c>
      <c r="B266" s="75"/>
      <c r="C266" s="75"/>
      <c r="D266" s="75"/>
      <c r="E266" s="75"/>
      <c r="F266" s="75"/>
      <c r="G266" s="75"/>
      <c r="H266" s="76"/>
    </row>
    <row r="267" spans="1:9" s="2" customFormat="1" ht="15.75" customHeight="1" x14ac:dyDescent="0.25">
      <c r="A267" s="77">
        <v>1</v>
      </c>
      <c r="B267" s="78"/>
      <c r="C267" s="43" t="s">
        <v>160</v>
      </c>
      <c r="D267" s="44">
        <f>41.89*10.764</f>
        <v>450.90395999999998</v>
      </c>
      <c r="E267" s="43">
        <v>0</v>
      </c>
      <c r="F267" s="43">
        <f t="shared" ref="F267:F275" si="5">D267*1.5+E267</f>
        <v>676.35593999999992</v>
      </c>
      <c r="G267" s="79" t="str">
        <f>A266</f>
        <v>1st Floor</v>
      </c>
      <c r="H267" s="80"/>
    </row>
    <row r="268" spans="1:9" s="2" customFormat="1" x14ac:dyDescent="0.25">
      <c r="A268" s="77">
        <v>2</v>
      </c>
      <c r="B268" s="78"/>
      <c r="C268" s="43" t="s">
        <v>160</v>
      </c>
      <c r="D268" s="44">
        <f>30.98*10.764</f>
        <v>333.46871999999996</v>
      </c>
      <c r="E268" s="43">
        <v>0</v>
      </c>
      <c r="F268" s="43">
        <f t="shared" si="5"/>
        <v>500.20307999999994</v>
      </c>
      <c r="G268" s="81"/>
      <c r="H268" s="82"/>
    </row>
    <row r="269" spans="1:9" s="2" customFormat="1" ht="15.75" customHeight="1" x14ac:dyDescent="0.25">
      <c r="A269" s="77">
        <v>3</v>
      </c>
      <c r="B269" s="78"/>
      <c r="C269" s="43" t="s">
        <v>160</v>
      </c>
      <c r="D269" s="44">
        <f>30.98*10.764</f>
        <v>333.46871999999996</v>
      </c>
      <c r="E269" s="44">
        <v>0</v>
      </c>
      <c r="F269" s="43">
        <f t="shared" si="5"/>
        <v>500.20307999999994</v>
      </c>
      <c r="G269" s="81"/>
      <c r="H269" s="82"/>
    </row>
    <row r="270" spans="1:9" s="2" customFormat="1" x14ac:dyDescent="0.25">
      <c r="A270" s="77">
        <v>4</v>
      </c>
      <c r="B270" s="78"/>
      <c r="C270" s="43" t="s">
        <v>159</v>
      </c>
      <c r="D270" s="44">
        <f>44.89*10.764</f>
        <v>483.19595999999996</v>
      </c>
      <c r="E270" s="43">
        <v>0</v>
      </c>
      <c r="F270" s="43">
        <f t="shared" si="5"/>
        <v>724.79393999999991</v>
      </c>
      <c r="G270" s="81"/>
      <c r="H270" s="82"/>
    </row>
    <row r="271" spans="1:9" s="2" customFormat="1" x14ac:dyDescent="0.25">
      <c r="A271" s="77">
        <v>5</v>
      </c>
      <c r="B271" s="78"/>
      <c r="C271" s="43" t="s">
        <v>159</v>
      </c>
      <c r="D271" s="44">
        <f>51.86*10.764</f>
        <v>558.22104000000002</v>
      </c>
      <c r="E271" s="43">
        <v>0</v>
      </c>
      <c r="F271" s="43">
        <f t="shared" si="5"/>
        <v>837.33156000000008</v>
      </c>
      <c r="G271" s="81"/>
      <c r="H271" s="82"/>
    </row>
    <row r="272" spans="1:9" s="2" customFormat="1" ht="15.75" customHeight="1" x14ac:dyDescent="0.25">
      <c r="A272" s="77">
        <v>6</v>
      </c>
      <c r="B272" s="78"/>
      <c r="C272" s="43" t="s">
        <v>160</v>
      </c>
      <c r="D272" s="44">
        <f>42.89*10.764</f>
        <v>461.66795999999999</v>
      </c>
      <c r="E272" s="43">
        <v>0</v>
      </c>
      <c r="F272" s="43">
        <f t="shared" si="5"/>
        <v>692.50193999999999</v>
      </c>
      <c r="G272" s="81"/>
      <c r="H272" s="82"/>
    </row>
    <row r="273" spans="1:10" s="2" customFormat="1" x14ac:dyDescent="0.25">
      <c r="A273" s="77">
        <v>7</v>
      </c>
      <c r="B273" s="78"/>
      <c r="C273" s="43" t="s">
        <v>160</v>
      </c>
      <c r="D273" s="44">
        <f>42.89*10.764</f>
        <v>461.66795999999999</v>
      </c>
      <c r="E273" s="43">
        <v>0</v>
      </c>
      <c r="F273" s="43">
        <f t="shared" si="5"/>
        <v>692.50193999999999</v>
      </c>
      <c r="G273" s="81"/>
      <c r="H273" s="82"/>
    </row>
    <row r="274" spans="1:10" s="2" customFormat="1" x14ac:dyDescent="0.25">
      <c r="A274" s="77">
        <v>8</v>
      </c>
      <c r="B274" s="78"/>
      <c r="C274" s="43" t="s">
        <v>159</v>
      </c>
      <c r="D274" s="44">
        <f>49.07*10.764</f>
        <v>528.18948</v>
      </c>
      <c r="E274" s="43">
        <v>0</v>
      </c>
      <c r="F274" s="43">
        <f t="shared" si="5"/>
        <v>792.28422</v>
      </c>
      <c r="G274" s="81"/>
      <c r="H274" s="82"/>
    </row>
    <row r="275" spans="1:10" s="2" customFormat="1" ht="15.75" customHeight="1" x14ac:dyDescent="0.25">
      <c r="A275" s="77">
        <v>9</v>
      </c>
      <c r="B275" s="78"/>
      <c r="C275" s="43" t="s">
        <v>159</v>
      </c>
      <c r="D275" s="44">
        <f>49.07*10.764</f>
        <v>528.18948</v>
      </c>
      <c r="E275" s="43">
        <v>0</v>
      </c>
      <c r="F275" s="43">
        <f t="shared" si="5"/>
        <v>792.28422</v>
      </c>
      <c r="G275" s="81"/>
      <c r="H275" s="82"/>
    </row>
    <row r="276" spans="1:10" s="2" customFormat="1" x14ac:dyDescent="0.25">
      <c r="A276" s="77">
        <v>10</v>
      </c>
      <c r="B276" s="78"/>
      <c r="C276" s="111" t="s">
        <v>206</v>
      </c>
      <c r="D276" s="112"/>
      <c r="E276" s="112"/>
      <c r="F276" s="78"/>
      <c r="G276" s="81"/>
      <c r="H276" s="82"/>
    </row>
    <row r="277" spans="1:10" s="2" customFormat="1" ht="15.75" customHeight="1" x14ac:dyDescent="0.25">
      <c r="A277" s="74" t="s">
        <v>207</v>
      </c>
      <c r="B277" s="75"/>
      <c r="C277" s="75"/>
      <c r="D277" s="75"/>
      <c r="E277" s="75"/>
      <c r="F277" s="75"/>
      <c r="G277" s="75"/>
      <c r="H277" s="76"/>
    </row>
    <row r="278" spans="1:10" s="2" customFormat="1" ht="15.75" customHeight="1" x14ac:dyDescent="0.25">
      <c r="A278" s="77">
        <v>1</v>
      </c>
      <c r="B278" s="78"/>
      <c r="C278" s="43" t="s">
        <v>160</v>
      </c>
      <c r="D278" s="44">
        <f>41.89*10.764</f>
        <v>450.90395999999998</v>
      </c>
      <c r="E278" s="43">
        <v>0</v>
      </c>
      <c r="F278" s="43">
        <f t="shared" ref="F278:F287" si="6">D278*1.5+E278</f>
        <v>676.35593999999992</v>
      </c>
      <c r="G278" s="79" t="str">
        <f>A277</f>
        <v>2nd to 7th, 9th to 13th, 15th to 18th, 20th to 23rd, 25th to 28th, 30th to 32nd Floor</v>
      </c>
      <c r="H278" s="80"/>
      <c r="I278" s="46">
        <f>4750000/F278</f>
        <v>7022.9293765055136</v>
      </c>
      <c r="J278" s="46">
        <f>I278-200</f>
        <v>6822.9293765055136</v>
      </c>
    </row>
    <row r="279" spans="1:10" s="2" customFormat="1" x14ac:dyDescent="0.25">
      <c r="A279" s="77">
        <v>2</v>
      </c>
      <c r="B279" s="78"/>
      <c r="C279" s="43" t="s">
        <v>160</v>
      </c>
      <c r="D279" s="44">
        <f>30.98*10.764</f>
        <v>333.46871999999996</v>
      </c>
      <c r="E279" s="43">
        <v>0</v>
      </c>
      <c r="F279" s="43">
        <f t="shared" si="6"/>
        <v>500.20307999999994</v>
      </c>
      <c r="G279" s="81"/>
      <c r="H279" s="82"/>
    </row>
    <row r="280" spans="1:10" s="2" customFormat="1" ht="15.75" customHeight="1" x14ac:dyDescent="0.25">
      <c r="A280" s="77">
        <v>3</v>
      </c>
      <c r="B280" s="78"/>
      <c r="C280" s="43" t="s">
        <v>160</v>
      </c>
      <c r="D280" s="44">
        <f>30.98*10.764</f>
        <v>333.46871999999996</v>
      </c>
      <c r="E280" s="44">
        <v>0</v>
      </c>
      <c r="F280" s="43">
        <f t="shared" si="6"/>
        <v>500.20307999999994</v>
      </c>
      <c r="G280" s="81"/>
      <c r="H280" s="82"/>
    </row>
    <row r="281" spans="1:10" s="2" customFormat="1" x14ac:dyDescent="0.25">
      <c r="A281" s="77">
        <v>4</v>
      </c>
      <c r="B281" s="78"/>
      <c r="C281" s="43" t="s">
        <v>159</v>
      </c>
      <c r="D281" s="44">
        <f>44.89*10.764</f>
        <v>483.19595999999996</v>
      </c>
      <c r="E281" s="43">
        <v>0</v>
      </c>
      <c r="F281" s="43">
        <f t="shared" si="6"/>
        <v>724.79393999999991</v>
      </c>
      <c r="G281" s="81"/>
      <c r="H281" s="82"/>
    </row>
    <row r="282" spans="1:10" s="2" customFormat="1" x14ac:dyDescent="0.25">
      <c r="A282" s="77">
        <v>5</v>
      </c>
      <c r="B282" s="78"/>
      <c r="C282" s="43" t="s">
        <v>159</v>
      </c>
      <c r="D282" s="44">
        <f>51.86*10.764</f>
        <v>558.22104000000002</v>
      </c>
      <c r="E282" s="43">
        <v>0</v>
      </c>
      <c r="F282" s="43">
        <f t="shared" si="6"/>
        <v>837.33156000000008</v>
      </c>
      <c r="G282" s="81"/>
      <c r="H282" s="82"/>
    </row>
    <row r="283" spans="1:10" s="2" customFormat="1" x14ac:dyDescent="0.25">
      <c r="A283" s="77">
        <v>6</v>
      </c>
      <c r="B283" s="78"/>
      <c r="C283" s="43" t="s">
        <v>160</v>
      </c>
      <c r="D283" s="44">
        <f>42.89*10.764</f>
        <v>461.66795999999999</v>
      </c>
      <c r="E283" s="43">
        <v>0</v>
      </c>
      <c r="F283" s="43">
        <f t="shared" si="6"/>
        <v>692.50193999999999</v>
      </c>
      <c r="G283" s="81"/>
      <c r="H283" s="82"/>
    </row>
    <row r="284" spans="1:10" s="2" customFormat="1" x14ac:dyDescent="0.25">
      <c r="A284" s="77">
        <v>7</v>
      </c>
      <c r="B284" s="78"/>
      <c r="C284" s="43" t="s">
        <v>160</v>
      </c>
      <c r="D284" s="44">
        <f>42.89*10.764</f>
        <v>461.66795999999999</v>
      </c>
      <c r="E284" s="43">
        <v>0</v>
      </c>
      <c r="F284" s="43">
        <f t="shared" si="6"/>
        <v>692.50193999999999</v>
      </c>
      <c r="G284" s="81"/>
      <c r="H284" s="82"/>
    </row>
    <row r="285" spans="1:10" s="2" customFormat="1" x14ac:dyDescent="0.25">
      <c r="A285" s="77">
        <v>8</v>
      </c>
      <c r="B285" s="78"/>
      <c r="C285" s="43" t="s">
        <v>159</v>
      </c>
      <c r="D285" s="44">
        <f>49.07*10.764</f>
        <v>528.18948</v>
      </c>
      <c r="E285" s="43">
        <v>0</v>
      </c>
      <c r="F285" s="43">
        <f t="shared" si="6"/>
        <v>792.28422</v>
      </c>
      <c r="G285" s="81"/>
      <c r="H285" s="82"/>
    </row>
    <row r="286" spans="1:10" s="2" customFormat="1" ht="15.75" customHeight="1" x14ac:dyDescent="0.25">
      <c r="A286" s="77">
        <v>9</v>
      </c>
      <c r="B286" s="78"/>
      <c r="C286" s="43" t="s">
        <v>159</v>
      </c>
      <c r="D286" s="44">
        <f>49.07*10.764</f>
        <v>528.18948</v>
      </c>
      <c r="E286" s="43">
        <v>0</v>
      </c>
      <c r="F286" s="43">
        <f t="shared" si="6"/>
        <v>792.28422</v>
      </c>
      <c r="G286" s="81"/>
      <c r="H286" s="82"/>
    </row>
    <row r="287" spans="1:10" s="2" customFormat="1" x14ac:dyDescent="0.25">
      <c r="A287" s="77">
        <v>10</v>
      </c>
      <c r="B287" s="78"/>
      <c r="C287" s="43" t="s">
        <v>160</v>
      </c>
      <c r="D287" s="44">
        <f>41.03*10.764</f>
        <v>441.64691999999997</v>
      </c>
      <c r="E287" s="43">
        <v>0</v>
      </c>
      <c r="F287" s="43">
        <f t="shared" si="6"/>
        <v>662.47037999999998</v>
      </c>
      <c r="G287" s="81"/>
      <c r="H287" s="82"/>
    </row>
    <row r="288" spans="1:10" s="2" customFormat="1" ht="15.75" customHeight="1" x14ac:dyDescent="0.25">
      <c r="A288" s="74" t="s">
        <v>176</v>
      </c>
      <c r="B288" s="75"/>
      <c r="C288" s="75"/>
      <c r="D288" s="75"/>
      <c r="E288" s="75"/>
      <c r="F288" s="75"/>
      <c r="G288" s="75"/>
      <c r="H288" s="76"/>
    </row>
    <row r="289" spans="1:8" s="2" customFormat="1" ht="15.75" customHeight="1" x14ac:dyDescent="0.25">
      <c r="A289" s="77">
        <v>1</v>
      </c>
      <c r="B289" s="78"/>
      <c r="C289" s="43" t="s">
        <v>160</v>
      </c>
      <c r="D289" s="44">
        <f>41.89*10.764</f>
        <v>450.90395999999998</v>
      </c>
      <c r="E289" s="43">
        <v>0</v>
      </c>
      <c r="F289" s="43">
        <f>D289*1.5+E289</f>
        <v>676.35593999999992</v>
      </c>
      <c r="G289" s="115" t="str">
        <f>A288</f>
        <v>8th Floor (Part Refuge Area)</v>
      </c>
      <c r="H289" s="115"/>
    </row>
    <row r="290" spans="1:8" s="2" customFormat="1" x14ac:dyDescent="0.25">
      <c r="A290" s="77">
        <v>2</v>
      </c>
      <c r="B290" s="78"/>
      <c r="C290" s="43" t="s">
        <v>160</v>
      </c>
      <c r="D290" s="44">
        <f>30.98*10.764</f>
        <v>333.46871999999996</v>
      </c>
      <c r="E290" s="43">
        <v>0</v>
      </c>
      <c r="F290" s="43">
        <f>D290*1.5+E290</f>
        <v>500.20307999999994</v>
      </c>
      <c r="G290" s="115"/>
      <c r="H290" s="115"/>
    </row>
    <row r="291" spans="1:8" s="2" customFormat="1" ht="15.75" customHeight="1" x14ac:dyDescent="0.25">
      <c r="A291" s="77">
        <v>3</v>
      </c>
      <c r="B291" s="78"/>
      <c r="C291" s="43" t="s">
        <v>160</v>
      </c>
      <c r="D291" s="44">
        <f>30.98*10.764</f>
        <v>333.46871999999996</v>
      </c>
      <c r="E291" s="44">
        <v>0</v>
      </c>
      <c r="F291" s="43">
        <f>D291*1.5+E291</f>
        <v>500.20307999999994</v>
      </c>
      <c r="G291" s="115"/>
      <c r="H291" s="115"/>
    </row>
    <row r="292" spans="1:8" s="2" customFormat="1" x14ac:dyDescent="0.25">
      <c r="A292" s="77">
        <v>4</v>
      </c>
      <c r="B292" s="78"/>
      <c r="C292" s="43" t="s">
        <v>159</v>
      </c>
      <c r="D292" s="44">
        <f>44.89*10.764</f>
        <v>483.19595999999996</v>
      </c>
      <c r="E292" s="43">
        <v>0</v>
      </c>
      <c r="F292" s="43">
        <f>D292*1.5+E292</f>
        <v>724.79393999999991</v>
      </c>
      <c r="G292" s="115"/>
      <c r="H292" s="115"/>
    </row>
    <row r="293" spans="1:8" s="2" customFormat="1" x14ac:dyDescent="0.25">
      <c r="A293" s="77">
        <v>5</v>
      </c>
      <c r="B293" s="78"/>
      <c r="C293" s="111" t="s">
        <v>161</v>
      </c>
      <c r="D293" s="112"/>
      <c r="E293" s="112"/>
      <c r="F293" s="78"/>
      <c r="G293" s="115"/>
      <c r="H293" s="115"/>
    </row>
    <row r="294" spans="1:8" s="2" customFormat="1" x14ac:dyDescent="0.25">
      <c r="A294" s="77">
        <v>6</v>
      </c>
      <c r="B294" s="78"/>
      <c r="C294" s="43" t="s">
        <v>160</v>
      </c>
      <c r="D294" s="44">
        <f>42.89*10.764</f>
        <v>461.66795999999999</v>
      </c>
      <c r="E294" s="43">
        <v>0</v>
      </c>
      <c r="F294" s="43">
        <f>D294*1.5+E294</f>
        <v>692.50193999999999</v>
      </c>
      <c r="G294" s="115"/>
      <c r="H294" s="115"/>
    </row>
    <row r="295" spans="1:8" s="2" customFormat="1" x14ac:dyDescent="0.25">
      <c r="A295" s="77">
        <v>7</v>
      </c>
      <c r="B295" s="78"/>
      <c r="C295" s="43" t="s">
        <v>160</v>
      </c>
      <c r="D295" s="44">
        <f>42.89*10.764</f>
        <v>461.66795999999999</v>
      </c>
      <c r="E295" s="43">
        <v>0</v>
      </c>
      <c r="F295" s="43">
        <f>D295*1.5+E295</f>
        <v>692.50193999999999</v>
      </c>
      <c r="G295" s="115"/>
      <c r="H295" s="115"/>
    </row>
    <row r="296" spans="1:8" s="2" customFormat="1" x14ac:dyDescent="0.25">
      <c r="A296" s="77">
        <v>8</v>
      </c>
      <c r="B296" s="78"/>
      <c r="C296" s="43" t="s">
        <v>159</v>
      </c>
      <c r="D296" s="44">
        <f>49.07*10.764</f>
        <v>528.18948</v>
      </c>
      <c r="E296" s="43">
        <v>0</v>
      </c>
      <c r="F296" s="43">
        <f>D296*1.5+E296</f>
        <v>792.28422</v>
      </c>
      <c r="G296" s="115"/>
      <c r="H296" s="115"/>
    </row>
    <row r="297" spans="1:8" s="2" customFormat="1" ht="15.75" customHeight="1" x14ac:dyDescent="0.25">
      <c r="A297" s="77">
        <v>9</v>
      </c>
      <c r="B297" s="78"/>
      <c r="C297" s="43" t="s">
        <v>159</v>
      </c>
      <c r="D297" s="44">
        <f>49.07*10.764</f>
        <v>528.18948</v>
      </c>
      <c r="E297" s="43">
        <v>0</v>
      </c>
      <c r="F297" s="43">
        <f>D297*1.5+E297</f>
        <v>792.28422</v>
      </c>
      <c r="G297" s="115"/>
      <c r="H297" s="115"/>
    </row>
    <row r="298" spans="1:8" s="2" customFormat="1" x14ac:dyDescent="0.25">
      <c r="A298" s="77">
        <v>10</v>
      </c>
      <c r="B298" s="78"/>
      <c r="C298" s="43" t="s">
        <v>160</v>
      </c>
      <c r="D298" s="44">
        <f>41.03*10.764</f>
        <v>441.64691999999997</v>
      </c>
      <c r="E298" s="43">
        <v>0</v>
      </c>
      <c r="F298" s="43">
        <f>D298*1.5+E298</f>
        <v>662.47037999999998</v>
      </c>
      <c r="G298" s="115"/>
      <c r="H298" s="115"/>
    </row>
    <row r="299" spans="1:8" s="2" customFormat="1" x14ac:dyDescent="0.25">
      <c r="A299" s="74" t="s">
        <v>180</v>
      </c>
      <c r="B299" s="75"/>
      <c r="C299" s="75"/>
      <c r="D299" s="75"/>
      <c r="E299" s="75"/>
      <c r="F299" s="75"/>
      <c r="G299" s="75"/>
      <c r="H299" s="76"/>
    </row>
    <row r="300" spans="1:8" s="2" customFormat="1" ht="15.75" customHeight="1" x14ac:dyDescent="0.25">
      <c r="A300" s="74" t="s">
        <v>177</v>
      </c>
      <c r="B300" s="75"/>
      <c r="C300" s="75"/>
      <c r="D300" s="75"/>
      <c r="E300" s="75"/>
      <c r="F300" s="75"/>
      <c r="G300" s="75"/>
      <c r="H300" s="76"/>
    </row>
    <row r="301" spans="1:8" s="2" customFormat="1" ht="15.75" customHeight="1" x14ac:dyDescent="0.25">
      <c r="A301" s="77">
        <v>1</v>
      </c>
      <c r="B301" s="78"/>
      <c r="C301" s="43" t="s">
        <v>160</v>
      </c>
      <c r="D301" s="44">
        <f>41.89*10.764</f>
        <v>450.90395999999998</v>
      </c>
      <c r="E301" s="43">
        <v>0</v>
      </c>
      <c r="F301" s="43">
        <f>D301*1.5+E301</f>
        <v>676.35593999999992</v>
      </c>
      <c r="G301" s="79" t="str">
        <f>A300</f>
        <v>14th, 19th &amp; 24th Floor (Part Refuge Area)</v>
      </c>
      <c r="H301" s="80"/>
    </row>
    <row r="302" spans="1:8" s="2" customFormat="1" x14ac:dyDescent="0.25">
      <c r="A302" s="77">
        <v>2</v>
      </c>
      <c r="B302" s="78"/>
      <c r="C302" s="43" t="s">
        <v>160</v>
      </c>
      <c r="D302" s="44">
        <f>30.98*10.764</f>
        <v>333.46871999999996</v>
      </c>
      <c r="E302" s="43">
        <v>0</v>
      </c>
      <c r="F302" s="43">
        <f>D302*1.5+E302</f>
        <v>500.20307999999994</v>
      </c>
      <c r="G302" s="81"/>
      <c r="H302" s="82"/>
    </row>
    <row r="303" spans="1:8" s="2" customFormat="1" ht="15.75" customHeight="1" x14ac:dyDescent="0.25">
      <c r="A303" s="77">
        <v>3</v>
      </c>
      <c r="B303" s="78"/>
      <c r="C303" s="43" t="s">
        <v>160</v>
      </c>
      <c r="D303" s="44">
        <f>30.98*10.764</f>
        <v>333.46871999999996</v>
      </c>
      <c r="E303" s="44">
        <v>0</v>
      </c>
      <c r="F303" s="43">
        <f>D303*1.5+E303</f>
        <v>500.20307999999994</v>
      </c>
      <c r="G303" s="81"/>
      <c r="H303" s="82"/>
    </row>
    <row r="304" spans="1:8" s="2" customFormat="1" x14ac:dyDescent="0.25">
      <c r="A304" s="77">
        <v>4</v>
      </c>
      <c r="B304" s="78"/>
      <c r="C304" s="43" t="s">
        <v>159</v>
      </c>
      <c r="D304" s="44">
        <f>44.89*10.764</f>
        <v>483.19595999999996</v>
      </c>
      <c r="E304" s="43">
        <v>0</v>
      </c>
      <c r="F304" s="43">
        <f>D304*1.5+E304</f>
        <v>724.79393999999991</v>
      </c>
      <c r="G304" s="81"/>
      <c r="H304" s="82"/>
    </row>
    <row r="305" spans="1:8" s="2" customFormat="1" x14ac:dyDescent="0.25">
      <c r="A305" s="77">
        <v>5</v>
      </c>
      <c r="B305" s="78"/>
      <c r="C305" s="111" t="s">
        <v>161</v>
      </c>
      <c r="D305" s="112"/>
      <c r="E305" s="112"/>
      <c r="F305" s="78"/>
      <c r="G305" s="81"/>
      <c r="H305" s="82"/>
    </row>
    <row r="306" spans="1:8" s="2" customFormat="1" x14ac:dyDescent="0.25">
      <c r="A306" s="77">
        <v>6</v>
      </c>
      <c r="B306" s="78"/>
      <c r="C306" s="43" t="s">
        <v>160</v>
      </c>
      <c r="D306" s="44">
        <f>42.89*10.764</f>
        <v>461.66795999999999</v>
      </c>
      <c r="E306" s="43">
        <v>0</v>
      </c>
      <c r="F306" s="43">
        <f>D306*1.5+E306</f>
        <v>692.50193999999999</v>
      </c>
      <c r="G306" s="81"/>
      <c r="H306" s="82"/>
    </row>
    <row r="307" spans="1:8" s="2" customFormat="1" x14ac:dyDescent="0.25">
      <c r="A307" s="77">
        <v>7</v>
      </c>
      <c r="B307" s="78"/>
      <c r="C307" s="43" t="s">
        <v>160</v>
      </c>
      <c r="D307" s="44">
        <f>42.89*10.764</f>
        <v>461.66795999999999</v>
      </c>
      <c r="E307" s="43">
        <v>0</v>
      </c>
      <c r="F307" s="43">
        <f>D307*1.5+E307</f>
        <v>692.50193999999999</v>
      </c>
      <c r="G307" s="81"/>
      <c r="H307" s="82"/>
    </row>
    <row r="308" spans="1:8" s="2" customFormat="1" x14ac:dyDescent="0.25">
      <c r="A308" s="77">
        <v>8</v>
      </c>
      <c r="B308" s="78"/>
      <c r="C308" s="43" t="s">
        <v>159</v>
      </c>
      <c r="D308" s="44">
        <f>49.07*10.764</f>
        <v>528.18948</v>
      </c>
      <c r="E308" s="43">
        <v>0</v>
      </c>
      <c r="F308" s="43">
        <f>D308*1.5+E308</f>
        <v>792.28422</v>
      </c>
      <c r="G308" s="81"/>
      <c r="H308" s="82"/>
    </row>
    <row r="309" spans="1:8" s="2" customFormat="1" ht="15.75" customHeight="1" x14ac:dyDescent="0.25">
      <c r="A309" s="77">
        <v>9</v>
      </c>
      <c r="B309" s="78"/>
      <c r="C309" s="43" t="s">
        <v>159</v>
      </c>
      <c r="D309" s="44">
        <f>49.07*10.764</f>
        <v>528.18948</v>
      </c>
      <c r="E309" s="43">
        <v>0</v>
      </c>
      <c r="F309" s="43">
        <f>D309*1.5+E309</f>
        <v>792.28422</v>
      </c>
      <c r="G309" s="81"/>
      <c r="H309" s="82"/>
    </row>
    <row r="310" spans="1:8" s="2" customFormat="1" x14ac:dyDescent="0.25">
      <c r="A310" s="77">
        <v>10</v>
      </c>
      <c r="B310" s="78"/>
      <c r="C310" s="43" t="s">
        <v>160</v>
      </c>
      <c r="D310" s="44">
        <f>41.03*10.764</f>
        <v>441.64691999999997</v>
      </c>
      <c r="E310" s="43">
        <v>0</v>
      </c>
      <c r="F310" s="43">
        <f>D310*1.5+E310</f>
        <v>662.47037999999998</v>
      </c>
      <c r="G310" s="81"/>
      <c r="H310" s="82"/>
    </row>
    <row r="311" spans="1:8" s="2" customFormat="1" ht="15.75" customHeight="1" x14ac:dyDescent="0.25">
      <c r="A311" s="74" t="s">
        <v>178</v>
      </c>
      <c r="B311" s="75"/>
      <c r="C311" s="75"/>
      <c r="D311" s="75"/>
      <c r="E311" s="75"/>
      <c r="F311" s="75"/>
      <c r="G311" s="75"/>
      <c r="H311" s="76"/>
    </row>
    <row r="312" spans="1:8" s="2" customFormat="1" ht="15.75" customHeight="1" x14ac:dyDescent="0.25">
      <c r="A312" s="77">
        <v>1</v>
      </c>
      <c r="B312" s="78"/>
      <c r="C312" s="43" t="s">
        <v>160</v>
      </c>
      <c r="D312" s="44">
        <f>41.89*10.764</f>
        <v>450.90395999999998</v>
      </c>
      <c r="E312" s="43">
        <v>0</v>
      </c>
      <c r="F312" s="43">
        <f>D312*1.5+E312</f>
        <v>676.35593999999992</v>
      </c>
      <c r="G312" s="79" t="str">
        <f>A311</f>
        <v>29th Floor (Part Refuge Area)</v>
      </c>
      <c r="H312" s="80"/>
    </row>
    <row r="313" spans="1:8" s="2" customFormat="1" x14ac:dyDescent="0.25">
      <c r="A313" s="77">
        <v>2</v>
      </c>
      <c r="B313" s="78"/>
      <c r="C313" s="43" t="s">
        <v>160</v>
      </c>
      <c r="D313" s="44">
        <f>30.98*10.764</f>
        <v>333.46871999999996</v>
      </c>
      <c r="E313" s="43">
        <v>0</v>
      </c>
      <c r="F313" s="43">
        <f>D313*1.5+E313</f>
        <v>500.20307999999994</v>
      </c>
      <c r="G313" s="81"/>
      <c r="H313" s="82"/>
    </row>
    <row r="314" spans="1:8" s="2" customFormat="1" ht="15.75" customHeight="1" x14ac:dyDescent="0.25">
      <c r="A314" s="77">
        <v>3</v>
      </c>
      <c r="B314" s="78"/>
      <c r="C314" s="43" t="s">
        <v>160</v>
      </c>
      <c r="D314" s="44">
        <f>30.98*10.764</f>
        <v>333.46871999999996</v>
      </c>
      <c r="E314" s="44">
        <v>0</v>
      </c>
      <c r="F314" s="43">
        <f>D314*1.5+E314</f>
        <v>500.20307999999994</v>
      </c>
      <c r="G314" s="81"/>
      <c r="H314" s="82"/>
    </row>
    <row r="315" spans="1:8" s="2" customFormat="1" x14ac:dyDescent="0.25">
      <c r="A315" s="77">
        <v>4</v>
      </c>
      <c r="B315" s="78"/>
      <c r="C315" s="43" t="s">
        <v>159</v>
      </c>
      <c r="D315" s="44">
        <f>44.89*10.764</f>
        <v>483.19595999999996</v>
      </c>
      <c r="E315" s="43">
        <v>0</v>
      </c>
      <c r="F315" s="43">
        <f>D315*1.5+E315</f>
        <v>724.79393999999991</v>
      </c>
      <c r="G315" s="81"/>
      <c r="H315" s="82"/>
    </row>
    <row r="316" spans="1:8" s="2" customFormat="1" x14ac:dyDescent="0.25">
      <c r="A316" s="77">
        <v>5</v>
      </c>
      <c r="B316" s="78"/>
      <c r="C316" s="111" t="s">
        <v>161</v>
      </c>
      <c r="D316" s="112"/>
      <c r="E316" s="112"/>
      <c r="F316" s="78"/>
      <c r="G316" s="81"/>
      <c r="H316" s="82"/>
    </row>
    <row r="317" spans="1:8" s="2" customFormat="1" x14ac:dyDescent="0.25">
      <c r="A317" s="77">
        <v>6</v>
      </c>
      <c r="B317" s="78"/>
      <c r="C317" s="43" t="s">
        <v>160</v>
      </c>
      <c r="D317" s="44">
        <f>42.89*10.764</f>
        <v>461.66795999999999</v>
      </c>
      <c r="E317" s="43">
        <v>0</v>
      </c>
      <c r="F317" s="43">
        <f>D317*1.5+E317</f>
        <v>692.50193999999999</v>
      </c>
      <c r="G317" s="81"/>
      <c r="H317" s="82"/>
    </row>
    <row r="318" spans="1:8" s="2" customFormat="1" x14ac:dyDescent="0.25">
      <c r="A318" s="77">
        <v>7</v>
      </c>
      <c r="B318" s="78"/>
      <c r="C318" s="43" t="s">
        <v>160</v>
      </c>
      <c r="D318" s="44">
        <f>42.89*10.764</f>
        <v>461.66795999999999</v>
      </c>
      <c r="E318" s="43">
        <v>0</v>
      </c>
      <c r="F318" s="43">
        <f>D318*1.5+E318</f>
        <v>692.50193999999999</v>
      </c>
      <c r="G318" s="81"/>
      <c r="H318" s="82"/>
    </row>
    <row r="319" spans="1:8" s="2" customFormat="1" x14ac:dyDescent="0.25">
      <c r="A319" s="77">
        <v>8</v>
      </c>
      <c r="B319" s="78"/>
      <c r="C319" s="43" t="s">
        <v>159</v>
      </c>
      <c r="D319" s="44">
        <f>49.07*10.764</f>
        <v>528.18948</v>
      </c>
      <c r="E319" s="43">
        <v>0</v>
      </c>
      <c r="F319" s="43">
        <f>D319*1.5+E319</f>
        <v>792.28422</v>
      </c>
      <c r="G319" s="81"/>
      <c r="H319" s="82"/>
    </row>
    <row r="320" spans="1:8" s="2" customFormat="1" ht="15.75" customHeight="1" x14ac:dyDescent="0.25">
      <c r="A320" s="77">
        <v>9</v>
      </c>
      <c r="B320" s="78"/>
      <c r="C320" s="43" t="s">
        <v>159</v>
      </c>
      <c r="D320" s="44">
        <f>49.07*10.764</f>
        <v>528.18948</v>
      </c>
      <c r="E320" s="43">
        <v>0</v>
      </c>
      <c r="F320" s="43">
        <f>D320*1.5+E320</f>
        <v>792.28422</v>
      </c>
      <c r="G320" s="81"/>
      <c r="H320" s="82"/>
    </row>
    <row r="321" spans="1:8" s="2" customFormat="1" x14ac:dyDescent="0.25">
      <c r="A321" s="77">
        <v>10</v>
      </c>
      <c r="B321" s="78"/>
      <c r="C321" s="43" t="s">
        <v>160</v>
      </c>
      <c r="D321" s="44">
        <f>41.03*10.764</f>
        <v>441.64691999999997</v>
      </c>
      <c r="E321" s="43">
        <v>0</v>
      </c>
      <c r="F321" s="43">
        <f>D321*1.5+E321</f>
        <v>662.47037999999998</v>
      </c>
      <c r="G321" s="81"/>
      <c r="H321" s="82"/>
    </row>
    <row r="322" spans="1:8" s="2" customFormat="1" x14ac:dyDescent="0.25">
      <c r="A322" s="74" t="s">
        <v>172</v>
      </c>
      <c r="B322" s="75"/>
      <c r="C322" s="75"/>
      <c r="D322" s="75"/>
      <c r="E322" s="75"/>
      <c r="F322" s="75"/>
      <c r="G322" s="75"/>
      <c r="H322" s="76"/>
    </row>
    <row r="323" spans="1:8" s="2" customFormat="1" ht="15.75" customHeight="1" x14ac:dyDescent="0.25">
      <c r="A323" s="74" t="s">
        <v>179</v>
      </c>
      <c r="B323" s="75"/>
      <c r="C323" s="75"/>
      <c r="D323" s="75"/>
      <c r="E323" s="75"/>
      <c r="F323" s="75"/>
      <c r="G323" s="75"/>
      <c r="H323" s="76"/>
    </row>
    <row r="324" spans="1:8" s="2" customFormat="1" ht="15.75" customHeight="1" x14ac:dyDescent="0.25">
      <c r="A324" s="74" t="s">
        <v>205</v>
      </c>
      <c r="B324" s="75"/>
      <c r="C324" s="75"/>
      <c r="D324" s="75"/>
      <c r="E324" s="75"/>
      <c r="F324" s="75"/>
      <c r="G324" s="75"/>
      <c r="H324" s="76"/>
    </row>
    <row r="325" spans="1:8" s="2" customFormat="1" ht="15.75" customHeight="1" x14ac:dyDescent="0.25">
      <c r="A325" s="77">
        <v>1</v>
      </c>
      <c r="B325" s="78"/>
      <c r="C325" s="43" t="s">
        <v>160</v>
      </c>
      <c r="D325" s="44">
        <f>41.89*10.764</f>
        <v>450.90395999999998</v>
      </c>
      <c r="E325" s="43">
        <v>0</v>
      </c>
      <c r="F325" s="43">
        <f>D325*1.5+E325</f>
        <v>676.35593999999992</v>
      </c>
      <c r="G325" s="79" t="str">
        <f>A324</f>
        <v>1st Floor</v>
      </c>
      <c r="H325" s="80"/>
    </row>
    <row r="326" spans="1:8" s="2" customFormat="1" x14ac:dyDescent="0.25">
      <c r="A326" s="77">
        <v>2</v>
      </c>
      <c r="B326" s="78"/>
      <c r="C326" s="79" t="s">
        <v>206</v>
      </c>
      <c r="D326" s="116"/>
      <c r="E326" s="116"/>
      <c r="F326" s="80"/>
      <c r="G326" s="81"/>
      <c r="H326" s="82"/>
    </row>
    <row r="327" spans="1:8" s="2" customFormat="1" ht="15.75" customHeight="1" x14ac:dyDescent="0.25">
      <c r="A327" s="77">
        <v>3</v>
      </c>
      <c r="B327" s="78"/>
      <c r="C327" s="83"/>
      <c r="D327" s="117"/>
      <c r="E327" s="117"/>
      <c r="F327" s="84"/>
      <c r="G327" s="81"/>
      <c r="H327" s="82"/>
    </row>
    <row r="328" spans="1:8" s="2" customFormat="1" x14ac:dyDescent="0.25">
      <c r="A328" s="77">
        <v>4</v>
      </c>
      <c r="B328" s="78"/>
      <c r="C328" s="43" t="s">
        <v>159</v>
      </c>
      <c r="D328" s="44">
        <f>44.89*10.764</f>
        <v>483.19595999999996</v>
      </c>
      <c r="E328" s="43">
        <v>0</v>
      </c>
      <c r="F328" s="43">
        <f>D328*1.5+E328</f>
        <v>724.79393999999991</v>
      </c>
      <c r="G328" s="81"/>
      <c r="H328" s="82"/>
    </row>
    <row r="329" spans="1:8" s="2" customFormat="1" x14ac:dyDescent="0.25">
      <c r="A329" s="77">
        <v>5</v>
      </c>
      <c r="B329" s="78"/>
      <c r="C329" s="43" t="s">
        <v>159</v>
      </c>
      <c r="D329" s="44">
        <f>51.86*10.764</f>
        <v>558.22104000000002</v>
      </c>
      <c r="E329" s="43">
        <v>0</v>
      </c>
      <c r="F329" s="43">
        <f>D329*1.5+E329</f>
        <v>837.33156000000008</v>
      </c>
      <c r="G329" s="81"/>
      <c r="H329" s="82"/>
    </row>
    <row r="330" spans="1:8" s="2" customFormat="1" x14ac:dyDescent="0.25">
      <c r="A330" s="77">
        <v>6</v>
      </c>
      <c r="B330" s="78"/>
      <c r="C330" s="79" t="s">
        <v>206</v>
      </c>
      <c r="D330" s="116"/>
      <c r="E330" s="116"/>
      <c r="F330" s="80"/>
      <c r="G330" s="81"/>
      <c r="H330" s="82"/>
    </row>
    <row r="331" spans="1:8" s="2" customFormat="1" x14ac:dyDescent="0.25">
      <c r="A331" s="77">
        <v>7</v>
      </c>
      <c r="B331" s="78"/>
      <c r="C331" s="83"/>
      <c r="D331" s="117"/>
      <c r="E331" s="117"/>
      <c r="F331" s="84"/>
      <c r="G331" s="81"/>
      <c r="H331" s="82"/>
    </row>
    <row r="332" spans="1:8" s="2" customFormat="1" x14ac:dyDescent="0.25">
      <c r="A332" s="77">
        <v>8</v>
      </c>
      <c r="B332" s="78"/>
      <c r="C332" s="43" t="s">
        <v>159</v>
      </c>
      <c r="D332" s="44">
        <f>49.07*10.764</f>
        <v>528.18948</v>
      </c>
      <c r="E332" s="43">
        <v>0</v>
      </c>
      <c r="F332" s="43">
        <f>D332*1.5+E332</f>
        <v>792.28422</v>
      </c>
      <c r="G332" s="81"/>
      <c r="H332" s="82"/>
    </row>
    <row r="333" spans="1:8" s="2" customFormat="1" ht="15.75" customHeight="1" x14ac:dyDescent="0.25">
      <c r="A333" s="77">
        <v>9</v>
      </c>
      <c r="B333" s="78"/>
      <c r="C333" s="43" t="s">
        <v>159</v>
      </c>
      <c r="D333" s="44">
        <f>49.07*10.764</f>
        <v>528.18948</v>
      </c>
      <c r="E333" s="43">
        <v>0</v>
      </c>
      <c r="F333" s="43">
        <f>D333*1.5+E333</f>
        <v>792.28422</v>
      </c>
      <c r="G333" s="81"/>
      <c r="H333" s="82"/>
    </row>
    <row r="334" spans="1:8" s="2" customFormat="1" ht="15.75" customHeight="1" x14ac:dyDescent="0.25">
      <c r="A334" s="77">
        <v>10</v>
      </c>
      <c r="B334" s="78"/>
      <c r="C334" s="43" t="s">
        <v>160</v>
      </c>
      <c r="D334" s="44">
        <f>41.03*10.764</f>
        <v>441.64691999999997</v>
      </c>
      <c r="E334" s="43">
        <v>0</v>
      </c>
      <c r="F334" s="43">
        <f>D334*1.5+E334</f>
        <v>662.47037999999998</v>
      </c>
      <c r="G334" s="81"/>
      <c r="H334" s="82"/>
    </row>
    <row r="335" spans="1:8" s="2" customFormat="1" ht="15.75" customHeight="1" x14ac:dyDescent="0.25">
      <c r="A335" s="74" t="s">
        <v>207</v>
      </c>
      <c r="B335" s="75"/>
      <c r="C335" s="75"/>
      <c r="D335" s="75"/>
      <c r="E335" s="75"/>
      <c r="F335" s="75"/>
      <c r="G335" s="75"/>
      <c r="H335" s="76"/>
    </row>
    <row r="336" spans="1:8" s="2" customFormat="1" ht="15.75" customHeight="1" x14ac:dyDescent="0.25">
      <c r="A336" s="77">
        <v>1</v>
      </c>
      <c r="B336" s="78"/>
      <c r="C336" s="43" t="s">
        <v>160</v>
      </c>
      <c r="D336" s="44">
        <f>41.89*10.764</f>
        <v>450.90395999999998</v>
      </c>
      <c r="E336" s="43">
        <v>0</v>
      </c>
      <c r="F336" s="43">
        <f t="shared" ref="F336:F345" si="7">D336*1.5+E336</f>
        <v>676.35593999999992</v>
      </c>
      <c r="G336" s="79" t="str">
        <f>A335</f>
        <v>2nd to 7th, 9th to 13th, 15th to 18th, 20th to 23rd, 25th to 28th, 30th to 32nd Floor</v>
      </c>
      <c r="H336" s="80"/>
    </row>
    <row r="337" spans="1:8" s="2" customFormat="1" x14ac:dyDescent="0.25">
      <c r="A337" s="77">
        <v>2</v>
      </c>
      <c r="B337" s="78"/>
      <c r="C337" s="43" t="s">
        <v>160</v>
      </c>
      <c r="D337" s="44">
        <f>30.98*10.764</f>
        <v>333.46871999999996</v>
      </c>
      <c r="E337" s="43">
        <v>0</v>
      </c>
      <c r="F337" s="43">
        <f t="shared" si="7"/>
        <v>500.20307999999994</v>
      </c>
      <c r="G337" s="81"/>
      <c r="H337" s="82"/>
    </row>
    <row r="338" spans="1:8" s="2" customFormat="1" ht="15.75" customHeight="1" x14ac:dyDescent="0.25">
      <c r="A338" s="77">
        <v>3</v>
      </c>
      <c r="B338" s="78"/>
      <c r="C338" s="43" t="s">
        <v>160</v>
      </c>
      <c r="D338" s="44">
        <f>30.98*10.764</f>
        <v>333.46871999999996</v>
      </c>
      <c r="E338" s="44">
        <v>0</v>
      </c>
      <c r="F338" s="43">
        <f t="shared" si="7"/>
        <v>500.20307999999994</v>
      </c>
      <c r="G338" s="81"/>
      <c r="H338" s="82"/>
    </row>
    <row r="339" spans="1:8" s="2" customFormat="1" x14ac:dyDescent="0.25">
      <c r="A339" s="77">
        <v>4</v>
      </c>
      <c r="B339" s="78"/>
      <c r="C339" s="43" t="s">
        <v>159</v>
      </c>
      <c r="D339" s="44">
        <f>44.89*10.764</f>
        <v>483.19595999999996</v>
      </c>
      <c r="E339" s="43">
        <v>0</v>
      </c>
      <c r="F339" s="43">
        <f t="shared" si="7"/>
        <v>724.79393999999991</v>
      </c>
      <c r="G339" s="81"/>
      <c r="H339" s="82"/>
    </row>
    <row r="340" spans="1:8" s="2" customFormat="1" x14ac:dyDescent="0.25">
      <c r="A340" s="77">
        <v>5</v>
      </c>
      <c r="B340" s="78"/>
      <c r="C340" s="43" t="s">
        <v>159</v>
      </c>
      <c r="D340" s="44">
        <f>51.86*10.764</f>
        <v>558.22104000000002</v>
      </c>
      <c r="E340" s="43">
        <v>0</v>
      </c>
      <c r="F340" s="43">
        <f t="shared" si="7"/>
        <v>837.33156000000008</v>
      </c>
      <c r="G340" s="81"/>
      <c r="H340" s="82"/>
    </row>
    <row r="341" spans="1:8" s="2" customFormat="1" x14ac:dyDescent="0.25">
      <c r="A341" s="77">
        <v>6</v>
      </c>
      <c r="B341" s="78"/>
      <c r="C341" s="43" t="s">
        <v>160</v>
      </c>
      <c r="D341" s="44">
        <f>42.89*10.764</f>
        <v>461.66795999999999</v>
      </c>
      <c r="E341" s="43">
        <v>0</v>
      </c>
      <c r="F341" s="43">
        <f t="shared" si="7"/>
        <v>692.50193999999999</v>
      </c>
      <c r="G341" s="81"/>
      <c r="H341" s="82"/>
    </row>
    <row r="342" spans="1:8" s="2" customFormat="1" x14ac:dyDescent="0.25">
      <c r="A342" s="77">
        <v>7</v>
      </c>
      <c r="B342" s="78"/>
      <c r="C342" s="43" t="s">
        <v>160</v>
      </c>
      <c r="D342" s="44">
        <f>42.89*10.764</f>
        <v>461.66795999999999</v>
      </c>
      <c r="E342" s="43">
        <v>0</v>
      </c>
      <c r="F342" s="43">
        <f t="shared" si="7"/>
        <v>692.50193999999999</v>
      </c>
      <c r="G342" s="81"/>
      <c r="H342" s="82"/>
    </row>
    <row r="343" spans="1:8" s="2" customFormat="1" x14ac:dyDescent="0.25">
      <c r="A343" s="77">
        <v>8</v>
      </c>
      <c r="B343" s="78"/>
      <c r="C343" s="43" t="s">
        <v>159</v>
      </c>
      <c r="D343" s="44">
        <f>49.07*10.764</f>
        <v>528.18948</v>
      </c>
      <c r="E343" s="43">
        <v>0</v>
      </c>
      <c r="F343" s="43">
        <f t="shared" si="7"/>
        <v>792.28422</v>
      </c>
      <c r="G343" s="81"/>
      <c r="H343" s="82"/>
    </row>
    <row r="344" spans="1:8" s="2" customFormat="1" ht="15.75" customHeight="1" x14ac:dyDescent="0.25">
      <c r="A344" s="77">
        <v>9</v>
      </c>
      <c r="B344" s="78"/>
      <c r="C344" s="43" t="s">
        <v>159</v>
      </c>
      <c r="D344" s="44">
        <f>49.07*10.764</f>
        <v>528.18948</v>
      </c>
      <c r="E344" s="43">
        <v>0</v>
      </c>
      <c r="F344" s="43">
        <f t="shared" si="7"/>
        <v>792.28422</v>
      </c>
      <c r="G344" s="81"/>
      <c r="H344" s="82"/>
    </row>
    <row r="345" spans="1:8" s="2" customFormat="1" ht="15.75" customHeight="1" x14ac:dyDescent="0.25">
      <c r="A345" s="77">
        <v>10</v>
      </c>
      <c r="B345" s="78"/>
      <c r="C345" s="43" t="s">
        <v>160</v>
      </c>
      <c r="D345" s="44">
        <f>41.03*10.764</f>
        <v>441.64691999999997</v>
      </c>
      <c r="E345" s="43">
        <v>0</v>
      </c>
      <c r="F345" s="43">
        <f t="shared" si="7"/>
        <v>662.47037999999998</v>
      </c>
      <c r="G345" s="81"/>
      <c r="H345" s="82"/>
    </row>
    <row r="346" spans="1:8" s="2" customFormat="1" ht="15.75" customHeight="1" x14ac:dyDescent="0.25">
      <c r="A346" s="74" t="s">
        <v>176</v>
      </c>
      <c r="B346" s="75"/>
      <c r="C346" s="75"/>
      <c r="D346" s="75"/>
      <c r="E346" s="75"/>
      <c r="F346" s="75"/>
      <c r="G346" s="75"/>
      <c r="H346" s="76"/>
    </row>
    <row r="347" spans="1:8" s="2" customFormat="1" ht="15.75" customHeight="1" x14ac:dyDescent="0.25">
      <c r="A347" s="77">
        <v>1</v>
      </c>
      <c r="B347" s="78"/>
      <c r="C347" s="43" t="s">
        <v>160</v>
      </c>
      <c r="D347" s="44">
        <f>41.89*10.764</f>
        <v>450.90395999999998</v>
      </c>
      <c r="E347" s="43">
        <v>0</v>
      </c>
      <c r="F347" s="43">
        <f>D347*1.5+E347</f>
        <v>676.35593999999992</v>
      </c>
      <c r="G347" s="79" t="str">
        <f>A346</f>
        <v>8th Floor (Part Refuge Area)</v>
      </c>
      <c r="H347" s="80"/>
    </row>
    <row r="348" spans="1:8" s="2" customFormat="1" x14ac:dyDescent="0.25">
      <c r="A348" s="77">
        <v>2</v>
      </c>
      <c r="B348" s="78"/>
      <c r="C348" s="43" t="s">
        <v>160</v>
      </c>
      <c r="D348" s="44">
        <f>30.98*10.764</f>
        <v>333.46871999999996</v>
      </c>
      <c r="E348" s="43">
        <v>0</v>
      </c>
      <c r="F348" s="43">
        <f>D348*1.5+E348</f>
        <v>500.20307999999994</v>
      </c>
      <c r="G348" s="81"/>
      <c r="H348" s="82"/>
    </row>
    <row r="349" spans="1:8" s="2" customFormat="1" ht="15.75" customHeight="1" x14ac:dyDescent="0.25">
      <c r="A349" s="77">
        <v>3</v>
      </c>
      <c r="B349" s="78"/>
      <c r="C349" s="43" t="s">
        <v>160</v>
      </c>
      <c r="D349" s="44">
        <f>30.98*10.764</f>
        <v>333.46871999999996</v>
      </c>
      <c r="E349" s="44">
        <v>0</v>
      </c>
      <c r="F349" s="43">
        <f>D349*1.5+E349</f>
        <v>500.20307999999994</v>
      </c>
      <c r="G349" s="81"/>
      <c r="H349" s="82"/>
    </row>
    <row r="350" spans="1:8" s="2" customFormat="1" x14ac:dyDescent="0.25">
      <c r="A350" s="77">
        <v>4</v>
      </c>
      <c r="B350" s="78"/>
      <c r="C350" s="43" t="s">
        <v>159</v>
      </c>
      <c r="D350" s="44">
        <f>44.89*10.764</f>
        <v>483.19595999999996</v>
      </c>
      <c r="E350" s="43">
        <v>0</v>
      </c>
      <c r="F350" s="43">
        <f>D350*1.5+E350</f>
        <v>724.79393999999991</v>
      </c>
      <c r="G350" s="81"/>
      <c r="H350" s="82"/>
    </row>
    <row r="351" spans="1:8" s="2" customFormat="1" x14ac:dyDescent="0.25">
      <c r="A351" s="77">
        <v>5</v>
      </c>
      <c r="B351" s="78"/>
      <c r="C351" s="111" t="s">
        <v>161</v>
      </c>
      <c r="D351" s="112"/>
      <c r="E351" s="112"/>
      <c r="F351" s="78"/>
      <c r="G351" s="81"/>
      <c r="H351" s="82"/>
    </row>
    <row r="352" spans="1:8" s="2" customFormat="1" x14ac:dyDescent="0.25">
      <c r="A352" s="77">
        <v>6</v>
      </c>
      <c r="B352" s="78"/>
      <c r="C352" s="43" t="s">
        <v>160</v>
      </c>
      <c r="D352" s="44">
        <f>42.89*10.764</f>
        <v>461.66795999999999</v>
      </c>
      <c r="E352" s="43">
        <v>0</v>
      </c>
      <c r="F352" s="43">
        <f>D352*1.5+E352</f>
        <v>692.50193999999999</v>
      </c>
      <c r="G352" s="81"/>
      <c r="H352" s="82"/>
    </row>
    <row r="353" spans="1:8" s="2" customFormat="1" x14ac:dyDescent="0.25">
      <c r="A353" s="77">
        <v>7</v>
      </c>
      <c r="B353" s="78"/>
      <c r="C353" s="43" t="s">
        <v>160</v>
      </c>
      <c r="D353" s="44">
        <f>42.89*10.764</f>
        <v>461.66795999999999</v>
      </c>
      <c r="E353" s="43">
        <v>0</v>
      </c>
      <c r="F353" s="43">
        <f>D353*1.5+E353</f>
        <v>692.50193999999999</v>
      </c>
      <c r="G353" s="81"/>
      <c r="H353" s="82"/>
    </row>
    <row r="354" spans="1:8" s="2" customFormat="1" x14ac:dyDescent="0.25">
      <c r="A354" s="77">
        <v>8</v>
      </c>
      <c r="B354" s="78"/>
      <c r="C354" s="43" t="s">
        <v>159</v>
      </c>
      <c r="D354" s="44">
        <f>49.07*10.764</f>
        <v>528.18948</v>
      </c>
      <c r="E354" s="43">
        <v>0</v>
      </c>
      <c r="F354" s="43">
        <f>D354*1.5+E354</f>
        <v>792.28422</v>
      </c>
      <c r="G354" s="81"/>
      <c r="H354" s="82"/>
    </row>
    <row r="355" spans="1:8" s="2" customFormat="1" ht="15.75" customHeight="1" x14ac:dyDescent="0.25">
      <c r="A355" s="77">
        <v>9</v>
      </c>
      <c r="B355" s="78"/>
      <c r="C355" s="43" t="s">
        <v>159</v>
      </c>
      <c r="D355" s="44">
        <f>49.07*10.764</f>
        <v>528.18948</v>
      </c>
      <c r="E355" s="43">
        <v>0</v>
      </c>
      <c r="F355" s="43">
        <f>D355*1.5+E355</f>
        <v>792.28422</v>
      </c>
      <c r="G355" s="81"/>
      <c r="H355" s="82"/>
    </row>
    <row r="356" spans="1:8" s="2" customFormat="1" ht="15.75" customHeight="1" x14ac:dyDescent="0.25">
      <c r="A356" s="77">
        <v>10</v>
      </c>
      <c r="B356" s="78"/>
      <c r="C356" s="43" t="s">
        <v>160</v>
      </c>
      <c r="D356" s="44">
        <f>41.03*10.764</f>
        <v>441.64691999999997</v>
      </c>
      <c r="E356" s="43">
        <v>0</v>
      </c>
      <c r="F356" s="43">
        <f>D356*1.5+E356</f>
        <v>662.47037999999998</v>
      </c>
      <c r="G356" s="81"/>
      <c r="H356" s="82"/>
    </row>
    <row r="357" spans="1:8" s="2" customFormat="1" x14ac:dyDescent="0.25">
      <c r="A357" s="74" t="s">
        <v>180</v>
      </c>
      <c r="B357" s="75"/>
      <c r="C357" s="75"/>
      <c r="D357" s="75"/>
      <c r="E357" s="75"/>
      <c r="F357" s="75"/>
      <c r="G357" s="75"/>
      <c r="H357" s="76"/>
    </row>
    <row r="358" spans="1:8" s="2" customFormat="1" ht="15.75" customHeight="1" x14ac:dyDescent="0.25">
      <c r="A358" s="74" t="s">
        <v>177</v>
      </c>
      <c r="B358" s="75"/>
      <c r="C358" s="75"/>
      <c r="D358" s="75"/>
      <c r="E358" s="75"/>
      <c r="F358" s="75"/>
      <c r="G358" s="75"/>
      <c r="H358" s="76"/>
    </row>
    <row r="359" spans="1:8" s="2" customFormat="1" ht="15.75" customHeight="1" x14ac:dyDescent="0.25">
      <c r="A359" s="77">
        <v>1</v>
      </c>
      <c r="B359" s="78"/>
      <c r="C359" s="43" t="s">
        <v>160</v>
      </c>
      <c r="D359" s="44">
        <f>41.89*10.764</f>
        <v>450.90395999999998</v>
      </c>
      <c r="E359" s="43">
        <v>0</v>
      </c>
      <c r="F359" s="43">
        <f>D359*1.5+E359</f>
        <v>676.35593999999992</v>
      </c>
      <c r="G359" s="79" t="str">
        <f>A358</f>
        <v>14th, 19th &amp; 24th Floor (Part Refuge Area)</v>
      </c>
      <c r="H359" s="80"/>
    </row>
    <row r="360" spans="1:8" s="2" customFormat="1" x14ac:dyDescent="0.25">
      <c r="A360" s="77">
        <v>2</v>
      </c>
      <c r="B360" s="78"/>
      <c r="C360" s="43" t="s">
        <v>160</v>
      </c>
      <c r="D360" s="44">
        <f>30.98*10.764</f>
        <v>333.46871999999996</v>
      </c>
      <c r="E360" s="43">
        <v>0</v>
      </c>
      <c r="F360" s="43">
        <f>D360*1.5+E360</f>
        <v>500.20307999999994</v>
      </c>
      <c r="G360" s="81"/>
      <c r="H360" s="82"/>
    </row>
    <row r="361" spans="1:8" s="2" customFormat="1" ht="15.75" customHeight="1" x14ac:dyDescent="0.25">
      <c r="A361" s="77">
        <v>3</v>
      </c>
      <c r="B361" s="78"/>
      <c r="C361" s="43" t="s">
        <v>160</v>
      </c>
      <c r="D361" s="44">
        <f>30.98*10.764</f>
        <v>333.46871999999996</v>
      </c>
      <c r="E361" s="44">
        <v>0</v>
      </c>
      <c r="F361" s="43">
        <f>D361*1.5+E361</f>
        <v>500.20307999999994</v>
      </c>
      <c r="G361" s="81"/>
      <c r="H361" s="82"/>
    </row>
    <row r="362" spans="1:8" s="2" customFormat="1" x14ac:dyDescent="0.25">
      <c r="A362" s="77">
        <v>4</v>
      </c>
      <c r="B362" s="78"/>
      <c r="C362" s="43" t="s">
        <v>159</v>
      </c>
      <c r="D362" s="44">
        <f>44.89*10.764</f>
        <v>483.19595999999996</v>
      </c>
      <c r="E362" s="43">
        <v>0</v>
      </c>
      <c r="F362" s="43">
        <f>D362*1.5+E362</f>
        <v>724.79393999999991</v>
      </c>
      <c r="G362" s="81"/>
      <c r="H362" s="82"/>
    </row>
    <row r="363" spans="1:8" s="2" customFormat="1" x14ac:dyDescent="0.25">
      <c r="A363" s="77">
        <v>5</v>
      </c>
      <c r="B363" s="78"/>
      <c r="C363" s="111" t="s">
        <v>161</v>
      </c>
      <c r="D363" s="112"/>
      <c r="E363" s="112"/>
      <c r="F363" s="78"/>
      <c r="G363" s="81"/>
      <c r="H363" s="82"/>
    </row>
    <row r="364" spans="1:8" s="2" customFormat="1" x14ac:dyDescent="0.25">
      <c r="A364" s="77">
        <v>6</v>
      </c>
      <c r="B364" s="78"/>
      <c r="C364" s="43" t="s">
        <v>160</v>
      </c>
      <c r="D364" s="44">
        <f>42.89*10.764</f>
        <v>461.66795999999999</v>
      </c>
      <c r="E364" s="43">
        <v>0</v>
      </c>
      <c r="F364" s="43">
        <f>D364*1.5+E364</f>
        <v>692.50193999999999</v>
      </c>
      <c r="G364" s="81"/>
      <c r="H364" s="82"/>
    </row>
    <row r="365" spans="1:8" s="2" customFormat="1" x14ac:dyDescent="0.25">
      <c r="A365" s="77">
        <v>7</v>
      </c>
      <c r="B365" s="78"/>
      <c r="C365" s="43" t="s">
        <v>160</v>
      </c>
      <c r="D365" s="44">
        <f>42.89*10.764</f>
        <v>461.66795999999999</v>
      </c>
      <c r="E365" s="43">
        <v>0</v>
      </c>
      <c r="F365" s="43">
        <f>D365*1.5+E365</f>
        <v>692.50193999999999</v>
      </c>
      <c r="G365" s="81"/>
      <c r="H365" s="82"/>
    </row>
    <row r="366" spans="1:8" s="2" customFormat="1" x14ac:dyDescent="0.25">
      <c r="A366" s="77">
        <v>8</v>
      </c>
      <c r="B366" s="78"/>
      <c r="C366" s="43" t="s">
        <v>159</v>
      </c>
      <c r="D366" s="44">
        <f>49.07*10.764</f>
        <v>528.18948</v>
      </c>
      <c r="E366" s="43">
        <v>0</v>
      </c>
      <c r="F366" s="43">
        <f>D366*1.5+E366</f>
        <v>792.28422</v>
      </c>
      <c r="G366" s="81"/>
      <c r="H366" s="82"/>
    </row>
    <row r="367" spans="1:8" s="2" customFormat="1" ht="15.75" customHeight="1" x14ac:dyDescent="0.25">
      <c r="A367" s="77">
        <v>9</v>
      </c>
      <c r="B367" s="78"/>
      <c r="C367" s="43" t="s">
        <v>159</v>
      </c>
      <c r="D367" s="44">
        <f>49.07*10.764</f>
        <v>528.18948</v>
      </c>
      <c r="E367" s="43">
        <v>0</v>
      </c>
      <c r="F367" s="43">
        <f>D367*1.5+E367</f>
        <v>792.28422</v>
      </c>
      <c r="G367" s="81"/>
      <c r="H367" s="82"/>
    </row>
    <row r="368" spans="1:8" s="2" customFormat="1" ht="15.75" customHeight="1" x14ac:dyDescent="0.25">
      <c r="A368" s="77">
        <v>10</v>
      </c>
      <c r="B368" s="78"/>
      <c r="C368" s="43" t="s">
        <v>160</v>
      </c>
      <c r="D368" s="44">
        <f>41.03*10.764</f>
        <v>441.64691999999997</v>
      </c>
      <c r="E368" s="43">
        <v>0</v>
      </c>
      <c r="F368" s="43">
        <f>D368*1.5+E368</f>
        <v>662.47037999999998</v>
      </c>
      <c r="G368" s="81"/>
      <c r="H368" s="82"/>
    </row>
    <row r="369" spans="1:8" s="2" customFormat="1" ht="15.75" customHeight="1" x14ac:dyDescent="0.25">
      <c r="A369" s="74" t="s">
        <v>178</v>
      </c>
      <c r="B369" s="75"/>
      <c r="C369" s="75"/>
      <c r="D369" s="75"/>
      <c r="E369" s="75"/>
      <c r="F369" s="75"/>
      <c r="G369" s="75"/>
      <c r="H369" s="76"/>
    </row>
    <row r="370" spans="1:8" s="2" customFormat="1" ht="15.75" customHeight="1" x14ac:dyDescent="0.25">
      <c r="A370" s="77">
        <v>1</v>
      </c>
      <c r="B370" s="78"/>
      <c r="C370" s="43" t="s">
        <v>160</v>
      </c>
      <c r="D370" s="44">
        <f>41.89*10.764</f>
        <v>450.90395999999998</v>
      </c>
      <c r="E370" s="43">
        <v>0</v>
      </c>
      <c r="F370" s="43">
        <f>D370*1.5+E370</f>
        <v>676.35593999999992</v>
      </c>
      <c r="G370" s="79" t="str">
        <f>A369</f>
        <v>29th Floor (Part Refuge Area)</v>
      </c>
      <c r="H370" s="80"/>
    </row>
    <row r="371" spans="1:8" s="2" customFormat="1" x14ac:dyDescent="0.25">
      <c r="A371" s="77">
        <v>2</v>
      </c>
      <c r="B371" s="78"/>
      <c r="C371" s="43" t="s">
        <v>160</v>
      </c>
      <c r="D371" s="44">
        <f>30.98*10.764</f>
        <v>333.46871999999996</v>
      </c>
      <c r="E371" s="43">
        <v>0</v>
      </c>
      <c r="F371" s="43">
        <f>D371*1.5+E371</f>
        <v>500.20307999999994</v>
      </c>
      <c r="G371" s="81"/>
      <c r="H371" s="82"/>
    </row>
    <row r="372" spans="1:8" s="2" customFormat="1" ht="15.75" customHeight="1" x14ac:dyDescent="0.25">
      <c r="A372" s="77">
        <v>3</v>
      </c>
      <c r="B372" s="78"/>
      <c r="C372" s="43" t="s">
        <v>160</v>
      </c>
      <c r="D372" s="44">
        <f>30.98*10.764</f>
        <v>333.46871999999996</v>
      </c>
      <c r="E372" s="44">
        <v>0</v>
      </c>
      <c r="F372" s="43">
        <f>D372*1.5+E372</f>
        <v>500.20307999999994</v>
      </c>
      <c r="G372" s="81"/>
      <c r="H372" s="82"/>
    </row>
    <row r="373" spans="1:8" s="2" customFormat="1" x14ac:dyDescent="0.25">
      <c r="A373" s="77">
        <v>4</v>
      </c>
      <c r="B373" s="78"/>
      <c r="C373" s="43" t="s">
        <v>159</v>
      </c>
      <c r="D373" s="44">
        <f>44.89*10.764</f>
        <v>483.19595999999996</v>
      </c>
      <c r="E373" s="43">
        <v>0</v>
      </c>
      <c r="F373" s="43">
        <f>D373*1.5+E373</f>
        <v>724.79393999999991</v>
      </c>
      <c r="G373" s="81"/>
      <c r="H373" s="82"/>
    </row>
    <row r="374" spans="1:8" s="2" customFormat="1" x14ac:dyDescent="0.25">
      <c r="A374" s="77">
        <v>5</v>
      </c>
      <c r="B374" s="78"/>
      <c r="C374" s="111" t="s">
        <v>161</v>
      </c>
      <c r="D374" s="112"/>
      <c r="E374" s="112"/>
      <c r="F374" s="78"/>
      <c r="G374" s="81"/>
      <c r="H374" s="82"/>
    </row>
    <row r="375" spans="1:8" s="2" customFormat="1" x14ac:dyDescent="0.25">
      <c r="A375" s="77">
        <v>6</v>
      </c>
      <c r="B375" s="78"/>
      <c r="C375" s="43" t="s">
        <v>160</v>
      </c>
      <c r="D375" s="44">
        <f>42.89*10.764</f>
        <v>461.66795999999999</v>
      </c>
      <c r="E375" s="43">
        <v>0</v>
      </c>
      <c r="F375" s="43">
        <f>D375*1.5+E375</f>
        <v>692.50193999999999</v>
      </c>
      <c r="G375" s="81"/>
      <c r="H375" s="82"/>
    </row>
    <row r="376" spans="1:8" s="2" customFormat="1" x14ac:dyDescent="0.25">
      <c r="A376" s="77">
        <v>7</v>
      </c>
      <c r="B376" s="78"/>
      <c r="C376" s="43" t="s">
        <v>160</v>
      </c>
      <c r="D376" s="44">
        <f>42.89*10.764</f>
        <v>461.66795999999999</v>
      </c>
      <c r="E376" s="43">
        <v>0</v>
      </c>
      <c r="F376" s="43">
        <f>D376*1.5+E376</f>
        <v>692.50193999999999</v>
      </c>
      <c r="G376" s="81"/>
      <c r="H376" s="82"/>
    </row>
    <row r="377" spans="1:8" s="2" customFormat="1" x14ac:dyDescent="0.25">
      <c r="A377" s="77">
        <v>8</v>
      </c>
      <c r="B377" s="78"/>
      <c r="C377" s="43" t="s">
        <v>159</v>
      </c>
      <c r="D377" s="44">
        <f>49.07*10.764</f>
        <v>528.18948</v>
      </c>
      <c r="E377" s="43">
        <v>0</v>
      </c>
      <c r="F377" s="43">
        <f>D377*1.5+E377</f>
        <v>792.28422</v>
      </c>
      <c r="G377" s="81"/>
      <c r="H377" s="82"/>
    </row>
    <row r="378" spans="1:8" s="2" customFormat="1" ht="15.75" customHeight="1" x14ac:dyDescent="0.25">
      <c r="A378" s="77">
        <v>9</v>
      </c>
      <c r="B378" s="78"/>
      <c r="C378" s="43" t="s">
        <v>159</v>
      </c>
      <c r="D378" s="44">
        <f>49.07*10.764</f>
        <v>528.18948</v>
      </c>
      <c r="E378" s="43">
        <v>0</v>
      </c>
      <c r="F378" s="43">
        <f>D378*1.5+E378</f>
        <v>792.28422</v>
      </c>
      <c r="G378" s="81"/>
      <c r="H378" s="82"/>
    </row>
    <row r="379" spans="1:8" s="2" customFormat="1" ht="15.75" customHeight="1" x14ac:dyDescent="0.25">
      <c r="A379" s="77">
        <v>10</v>
      </c>
      <c r="B379" s="78"/>
      <c r="C379" s="43" t="s">
        <v>160</v>
      </c>
      <c r="D379" s="44">
        <f>41.03*10.764</f>
        <v>441.64691999999997</v>
      </c>
      <c r="E379" s="43">
        <v>0</v>
      </c>
      <c r="F379" s="43">
        <f>D379*1.5+E379</f>
        <v>662.47037999999998</v>
      </c>
      <c r="G379" s="81"/>
      <c r="H379" s="82"/>
    </row>
    <row r="380" spans="1:8" s="2" customFormat="1" x14ac:dyDescent="0.25">
      <c r="A380" s="74" t="s">
        <v>173</v>
      </c>
      <c r="B380" s="75"/>
      <c r="C380" s="75"/>
      <c r="D380" s="75"/>
      <c r="E380" s="75"/>
      <c r="F380" s="75"/>
      <c r="G380" s="75"/>
      <c r="H380" s="76"/>
    </row>
    <row r="381" spans="1:8" s="2" customFormat="1" ht="15.75" customHeight="1" x14ac:dyDescent="0.25">
      <c r="A381" s="74" t="s">
        <v>179</v>
      </c>
      <c r="B381" s="75"/>
      <c r="C381" s="75"/>
      <c r="D381" s="75"/>
      <c r="E381" s="75"/>
      <c r="F381" s="75"/>
      <c r="G381" s="75"/>
      <c r="H381" s="76"/>
    </row>
    <row r="382" spans="1:8" s="2" customFormat="1" ht="15.75" customHeight="1" x14ac:dyDescent="0.25">
      <c r="A382" s="74" t="s">
        <v>205</v>
      </c>
      <c r="B382" s="75"/>
      <c r="C382" s="75"/>
      <c r="D382" s="75"/>
      <c r="E382" s="75"/>
      <c r="F382" s="75"/>
      <c r="G382" s="75"/>
      <c r="H382" s="76"/>
    </row>
    <row r="383" spans="1:8" s="2" customFormat="1" ht="15.75" customHeight="1" x14ac:dyDescent="0.25">
      <c r="A383" s="77">
        <v>1</v>
      </c>
      <c r="B383" s="78"/>
      <c r="C383" s="43" t="s">
        <v>160</v>
      </c>
      <c r="D383" s="44">
        <f>41.89*10.764</f>
        <v>450.90395999999998</v>
      </c>
      <c r="E383" s="43">
        <v>0</v>
      </c>
      <c r="F383" s="43">
        <f>D383*1.5+E383</f>
        <v>676.35593999999992</v>
      </c>
      <c r="G383" s="79" t="str">
        <f>A382</f>
        <v>1st Floor</v>
      </c>
      <c r="H383" s="80"/>
    </row>
    <row r="384" spans="1:8" s="2" customFormat="1" x14ac:dyDescent="0.25">
      <c r="A384" s="77">
        <v>2</v>
      </c>
      <c r="B384" s="78"/>
      <c r="C384" s="79" t="s">
        <v>206</v>
      </c>
      <c r="D384" s="116"/>
      <c r="E384" s="116"/>
      <c r="F384" s="80"/>
      <c r="G384" s="81"/>
      <c r="H384" s="82"/>
    </row>
    <row r="385" spans="1:10" s="2" customFormat="1" ht="15.75" customHeight="1" x14ac:dyDescent="0.25">
      <c r="A385" s="77">
        <v>3</v>
      </c>
      <c r="B385" s="78"/>
      <c r="C385" s="83"/>
      <c r="D385" s="117"/>
      <c r="E385" s="117"/>
      <c r="F385" s="84"/>
      <c r="G385" s="81"/>
      <c r="H385" s="82"/>
    </row>
    <row r="386" spans="1:10" s="2" customFormat="1" x14ac:dyDescent="0.25">
      <c r="A386" s="77">
        <v>4</v>
      </c>
      <c r="B386" s="78"/>
      <c r="C386" s="43" t="s">
        <v>159</v>
      </c>
      <c r="D386" s="44">
        <f>44.89*10.764</f>
        <v>483.19595999999996</v>
      </c>
      <c r="E386" s="43">
        <v>0</v>
      </c>
      <c r="F386" s="43">
        <f>D386*1.5+E386</f>
        <v>724.79393999999991</v>
      </c>
      <c r="G386" s="81"/>
      <c r="H386" s="82"/>
    </row>
    <row r="387" spans="1:10" s="2" customFormat="1" x14ac:dyDescent="0.25">
      <c r="A387" s="77">
        <v>5</v>
      </c>
      <c r="B387" s="78"/>
      <c r="C387" s="43" t="s">
        <v>159</v>
      </c>
      <c r="D387" s="44">
        <f>51.86*10.764</f>
        <v>558.22104000000002</v>
      </c>
      <c r="E387" s="43">
        <v>0</v>
      </c>
      <c r="F387" s="43">
        <f>D387*1.5+E387</f>
        <v>837.33156000000008</v>
      </c>
      <c r="G387" s="81"/>
      <c r="H387" s="82"/>
    </row>
    <row r="388" spans="1:10" s="2" customFormat="1" x14ac:dyDescent="0.25">
      <c r="A388" s="77">
        <v>6</v>
      </c>
      <c r="B388" s="78"/>
      <c r="C388" s="79" t="s">
        <v>206</v>
      </c>
      <c r="D388" s="116"/>
      <c r="E388" s="116"/>
      <c r="F388" s="80"/>
      <c r="G388" s="81"/>
      <c r="H388" s="82"/>
    </row>
    <row r="389" spans="1:10" s="2" customFormat="1" x14ac:dyDescent="0.25">
      <c r="A389" s="77">
        <v>7</v>
      </c>
      <c r="B389" s="78"/>
      <c r="C389" s="83"/>
      <c r="D389" s="117"/>
      <c r="E389" s="117"/>
      <c r="F389" s="84"/>
      <c r="G389" s="81"/>
      <c r="H389" s="82"/>
    </row>
    <row r="390" spans="1:10" s="2" customFormat="1" x14ac:dyDescent="0.25">
      <c r="A390" s="77">
        <v>8</v>
      </c>
      <c r="B390" s="78"/>
      <c r="C390" s="43" t="s">
        <v>159</v>
      </c>
      <c r="D390" s="44">
        <f>49.07*10.764</f>
        <v>528.18948</v>
      </c>
      <c r="E390" s="43">
        <v>0</v>
      </c>
      <c r="F390" s="43">
        <f>D390*1.5+E390</f>
        <v>792.28422</v>
      </c>
      <c r="G390" s="81"/>
      <c r="H390" s="82"/>
    </row>
    <row r="391" spans="1:10" s="2" customFormat="1" ht="15.75" customHeight="1" x14ac:dyDescent="0.25">
      <c r="A391" s="77">
        <v>9</v>
      </c>
      <c r="B391" s="78"/>
      <c r="C391" s="43" t="s">
        <v>159</v>
      </c>
      <c r="D391" s="44">
        <f>49.07*10.764</f>
        <v>528.18948</v>
      </c>
      <c r="E391" s="43">
        <v>0</v>
      </c>
      <c r="F391" s="43">
        <f>D391*1.5+E391</f>
        <v>792.28422</v>
      </c>
      <c r="G391" s="81"/>
      <c r="H391" s="82"/>
    </row>
    <row r="392" spans="1:10" s="2" customFormat="1" ht="15.75" customHeight="1" x14ac:dyDescent="0.25">
      <c r="A392" s="77">
        <v>10</v>
      </c>
      <c r="B392" s="78"/>
      <c r="C392" s="43" t="s">
        <v>160</v>
      </c>
      <c r="D392" s="44">
        <f>41.03*10.764</f>
        <v>441.64691999999997</v>
      </c>
      <c r="E392" s="43">
        <v>0</v>
      </c>
      <c r="F392" s="43">
        <f>D392*1.5+E392</f>
        <v>662.47037999999998</v>
      </c>
      <c r="G392" s="81"/>
      <c r="H392" s="82"/>
    </row>
    <row r="393" spans="1:10" s="2" customFormat="1" ht="15.75" customHeight="1" x14ac:dyDescent="0.25">
      <c r="A393" s="74" t="s">
        <v>207</v>
      </c>
      <c r="B393" s="75"/>
      <c r="C393" s="75"/>
      <c r="D393" s="75"/>
      <c r="E393" s="75"/>
      <c r="F393" s="75"/>
      <c r="G393" s="75"/>
      <c r="H393" s="76"/>
    </row>
    <row r="394" spans="1:10" s="2" customFormat="1" ht="15.75" customHeight="1" x14ac:dyDescent="0.25">
      <c r="A394" s="77">
        <v>1</v>
      </c>
      <c r="B394" s="78"/>
      <c r="C394" s="43" t="s">
        <v>160</v>
      </c>
      <c r="D394" s="44">
        <f>41.89*10.764</f>
        <v>450.90395999999998</v>
      </c>
      <c r="E394" s="43">
        <v>0</v>
      </c>
      <c r="F394" s="43">
        <f t="shared" ref="F394:F403" si="8">D394*1.5+E394</f>
        <v>676.35593999999992</v>
      </c>
      <c r="G394" s="79" t="str">
        <f>A393</f>
        <v>2nd to 7th, 9th to 13th, 15th to 18th, 20th to 23rd, 25th to 28th, 30th to 32nd Floor</v>
      </c>
      <c r="H394" s="80"/>
    </row>
    <row r="395" spans="1:10" s="2" customFormat="1" x14ac:dyDescent="0.25">
      <c r="A395" s="77">
        <v>2</v>
      </c>
      <c r="B395" s="78"/>
      <c r="C395" s="43" t="s">
        <v>160</v>
      </c>
      <c r="D395" s="44">
        <f>30.98*10.764</f>
        <v>333.46871999999996</v>
      </c>
      <c r="E395" s="43">
        <v>0</v>
      </c>
      <c r="F395" s="43">
        <f t="shared" si="8"/>
        <v>500.20307999999994</v>
      </c>
      <c r="G395" s="81"/>
      <c r="H395" s="82"/>
      <c r="I395" s="2">
        <f>3107500/F395</f>
        <v>6212.4767404471004</v>
      </c>
      <c r="J395" s="2">
        <f>I395-200</f>
        <v>6012.4767404471004</v>
      </c>
    </row>
    <row r="396" spans="1:10" s="2" customFormat="1" ht="15.75" customHeight="1" x14ac:dyDescent="0.25">
      <c r="A396" s="77">
        <v>3</v>
      </c>
      <c r="B396" s="78"/>
      <c r="C396" s="43" t="s">
        <v>160</v>
      </c>
      <c r="D396" s="44">
        <f>30.98*10.764</f>
        <v>333.46871999999996</v>
      </c>
      <c r="E396" s="44">
        <v>0</v>
      </c>
      <c r="F396" s="43">
        <f t="shared" si="8"/>
        <v>500.20307999999994</v>
      </c>
      <c r="G396" s="81"/>
      <c r="H396" s="82"/>
    </row>
    <row r="397" spans="1:10" s="2" customFormat="1" x14ac:dyDescent="0.25">
      <c r="A397" s="77">
        <v>4</v>
      </c>
      <c r="B397" s="78"/>
      <c r="C397" s="43" t="s">
        <v>159</v>
      </c>
      <c r="D397" s="44">
        <f>44.89*10.764</f>
        <v>483.19595999999996</v>
      </c>
      <c r="E397" s="43">
        <v>0</v>
      </c>
      <c r="F397" s="43">
        <f t="shared" si="8"/>
        <v>724.79393999999991</v>
      </c>
      <c r="G397" s="81"/>
      <c r="H397" s="82"/>
    </row>
    <row r="398" spans="1:10" s="2" customFormat="1" x14ac:dyDescent="0.25">
      <c r="A398" s="77">
        <v>5</v>
      </c>
      <c r="B398" s="78"/>
      <c r="C398" s="43" t="s">
        <v>159</v>
      </c>
      <c r="D398" s="44">
        <f>51.86*10.764</f>
        <v>558.22104000000002</v>
      </c>
      <c r="E398" s="43">
        <v>0</v>
      </c>
      <c r="F398" s="43">
        <f t="shared" si="8"/>
        <v>837.33156000000008</v>
      </c>
      <c r="G398" s="81"/>
      <c r="H398" s="82"/>
    </row>
    <row r="399" spans="1:10" s="2" customFormat="1" x14ac:dyDescent="0.25">
      <c r="A399" s="77">
        <v>6</v>
      </c>
      <c r="B399" s="78"/>
      <c r="C399" s="43" t="s">
        <v>160</v>
      </c>
      <c r="D399" s="44">
        <f>42.89*10.764</f>
        <v>461.66795999999999</v>
      </c>
      <c r="E399" s="43">
        <v>0</v>
      </c>
      <c r="F399" s="43">
        <f t="shared" si="8"/>
        <v>692.50193999999999</v>
      </c>
      <c r="G399" s="81"/>
      <c r="H399" s="82"/>
    </row>
    <row r="400" spans="1:10" s="2" customFormat="1" x14ac:dyDescent="0.25">
      <c r="A400" s="77">
        <v>7</v>
      </c>
      <c r="B400" s="78"/>
      <c r="C400" s="43" t="s">
        <v>160</v>
      </c>
      <c r="D400" s="44">
        <f>42.89*10.764</f>
        <v>461.66795999999999</v>
      </c>
      <c r="E400" s="43">
        <v>0</v>
      </c>
      <c r="F400" s="43">
        <f t="shared" si="8"/>
        <v>692.50193999999999</v>
      </c>
      <c r="G400" s="81"/>
      <c r="H400" s="82"/>
    </row>
    <row r="401" spans="1:8" s="2" customFormat="1" x14ac:dyDescent="0.25">
      <c r="A401" s="77">
        <v>8</v>
      </c>
      <c r="B401" s="78"/>
      <c r="C401" s="43" t="s">
        <v>159</v>
      </c>
      <c r="D401" s="44">
        <f>49.07*10.764</f>
        <v>528.18948</v>
      </c>
      <c r="E401" s="43">
        <v>0</v>
      </c>
      <c r="F401" s="43">
        <f t="shared" si="8"/>
        <v>792.28422</v>
      </c>
      <c r="G401" s="81"/>
      <c r="H401" s="82"/>
    </row>
    <row r="402" spans="1:8" s="2" customFormat="1" ht="15.75" customHeight="1" x14ac:dyDescent="0.25">
      <c r="A402" s="77">
        <v>9</v>
      </c>
      <c r="B402" s="78"/>
      <c r="C402" s="43" t="s">
        <v>159</v>
      </c>
      <c r="D402" s="44">
        <f>49.07*10.764</f>
        <v>528.18948</v>
      </c>
      <c r="E402" s="43">
        <v>0</v>
      </c>
      <c r="F402" s="43">
        <f t="shared" si="8"/>
        <v>792.28422</v>
      </c>
      <c r="G402" s="81"/>
      <c r="H402" s="82"/>
    </row>
    <row r="403" spans="1:8" s="2" customFormat="1" ht="15.75" customHeight="1" x14ac:dyDescent="0.25">
      <c r="A403" s="77">
        <v>10</v>
      </c>
      <c r="B403" s="78"/>
      <c r="C403" s="43" t="s">
        <v>160</v>
      </c>
      <c r="D403" s="44">
        <f>41.03*10.764</f>
        <v>441.64691999999997</v>
      </c>
      <c r="E403" s="43">
        <v>0</v>
      </c>
      <c r="F403" s="43">
        <f t="shared" si="8"/>
        <v>662.47037999999998</v>
      </c>
      <c r="G403" s="81"/>
      <c r="H403" s="82"/>
    </row>
    <row r="404" spans="1:8" s="2" customFormat="1" ht="15.75" customHeight="1" x14ac:dyDescent="0.25">
      <c r="A404" s="74" t="s">
        <v>176</v>
      </c>
      <c r="B404" s="75"/>
      <c r="C404" s="75"/>
      <c r="D404" s="75"/>
      <c r="E404" s="75"/>
      <c r="F404" s="75"/>
      <c r="G404" s="75"/>
      <c r="H404" s="76"/>
    </row>
    <row r="405" spans="1:8" s="2" customFormat="1" ht="15.75" customHeight="1" x14ac:dyDescent="0.25">
      <c r="A405" s="77">
        <v>1</v>
      </c>
      <c r="B405" s="78"/>
      <c r="C405" s="43" t="s">
        <v>160</v>
      </c>
      <c r="D405" s="44">
        <f>41.89*10.764</f>
        <v>450.90395999999998</v>
      </c>
      <c r="E405" s="43">
        <v>0</v>
      </c>
      <c r="F405" s="43">
        <f>D405*1.5+E405</f>
        <v>676.35593999999992</v>
      </c>
      <c r="G405" s="79" t="str">
        <f>A404</f>
        <v>8th Floor (Part Refuge Area)</v>
      </c>
      <c r="H405" s="80"/>
    </row>
    <row r="406" spans="1:8" s="2" customFormat="1" x14ac:dyDescent="0.25">
      <c r="A406" s="77">
        <v>2</v>
      </c>
      <c r="B406" s="78"/>
      <c r="C406" s="43" t="s">
        <v>160</v>
      </c>
      <c r="D406" s="44">
        <f>30.98*10.764</f>
        <v>333.46871999999996</v>
      </c>
      <c r="E406" s="43">
        <v>0</v>
      </c>
      <c r="F406" s="43">
        <f>D406*1.5+E406</f>
        <v>500.20307999999994</v>
      </c>
      <c r="G406" s="81"/>
      <c r="H406" s="82"/>
    </row>
    <row r="407" spans="1:8" s="2" customFormat="1" ht="15.75" customHeight="1" x14ac:dyDescent="0.25">
      <c r="A407" s="77">
        <v>3</v>
      </c>
      <c r="B407" s="78"/>
      <c r="C407" s="43" t="s">
        <v>160</v>
      </c>
      <c r="D407" s="44">
        <f>30.98*10.764</f>
        <v>333.46871999999996</v>
      </c>
      <c r="E407" s="44">
        <v>0</v>
      </c>
      <c r="F407" s="43">
        <f>D407*1.5+E407</f>
        <v>500.20307999999994</v>
      </c>
      <c r="G407" s="81"/>
      <c r="H407" s="82"/>
    </row>
    <row r="408" spans="1:8" s="2" customFormat="1" x14ac:dyDescent="0.25">
      <c r="A408" s="77">
        <v>4</v>
      </c>
      <c r="B408" s="78"/>
      <c r="C408" s="43" t="s">
        <v>159</v>
      </c>
      <c r="D408" s="44">
        <f>44.89*10.764</f>
        <v>483.19595999999996</v>
      </c>
      <c r="E408" s="43">
        <v>0</v>
      </c>
      <c r="F408" s="43">
        <f>D408*1.5+E408</f>
        <v>724.79393999999991</v>
      </c>
      <c r="G408" s="81"/>
      <c r="H408" s="82"/>
    </row>
    <row r="409" spans="1:8" s="2" customFormat="1" x14ac:dyDescent="0.25">
      <c r="A409" s="77">
        <v>5</v>
      </c>
      <c r="B409" s="78"/>
      <c r="C409" s="111" t="s">
        <v>161</v>
      </c>
      <c r="D409" s="112"/>
      <c r="E409" s="112"/>
      <c r="F409" s="78"/>
      <c r="G409" s="81"/>
      <c r="H409" s="82"/>
    </row>
    <row r="410" spans="1:8" s="2" customFormat="1" x14ac:dyDescent="0.25">
      <c r="A410" s="77">
        <v>6</v>
      </c>
      <c r="B410" s="78"/>
      <c r="C410" s="43" t="s">
        <v>160</v>
      </c>
      <c r="D410" s="44">
        <f>42.89*10.764</f>
        <v>461.66795999999999</v>
      </c>
      <c r="E410" s="43">
        <v>0</v>
      </c>
      <c r="F410" s="43">
        <f>D410*1.5+E410</f>
        <v>692.50193999999999</v>
      </c>
      <c r="G410" s="81"/>
      <c r="H410" s="82"/>
    </row>
    <row r="411" spans="1:8" s="2" customFormat="1" x14ac:dyDescent="0.25">
      <c r="A411" s="77">
        <v>7</v>
      </c>
      <c r="B411" s="78"/>
      <c r="C411" s="43" t="s">
        <v>160</v>
      </c>
      <c r="D411" s="44">
        <f>42.89*10.764</f>
        <v>461.66795999999999</v>
      </c>
      <c r="E411" s="43">
        <v>0</v>
      </c>
      <c r="F411" s="43">
        <f>D411*1.5+E411</f>
        <v>692.50193999999999</v>
      </c>
      <c r="G411" s="81"/>
      <c r="H411" s="82"/>
    </row>
    <row r="412" spans="1:8" s="2" customFormat="1" x14ac:dyDescent="0.25">
      <c r="A412" s="77">
        <v>8</v>
      </c>
      <c r="B412" s="78"/>
      <c r="C412" s="43" t="s">
        <v>159</v>
      </c>
      <c r="D412" s="44">
        <f>49.07*10.764</f>
        <v>528.18948</v>
      </c>
      <c r="E412" s="43">
        <v>0</v>
      </c>
      <c r="F412" s="43">
        <f>D412*1.5+E412</f>
        <v>792.28422</v>
      </c>
      <c r="G412" s="81"/>
      <c r="H412" s="82"/>
    </row>
    <row r="413" spans="1:8" s="2" customFormat="1" ht="15.75" customHeight="1" x14ac:dyDescent="0.25">
      <c r="A413" s="77">
        <v>9</v>
      </c>
      <c r="B413" s="78"/>
      <c r="C413" s="43" t="s">
        <v>159</v>
      </c>
      <c r="D413" s="44">
        <f>49.07*10.764</f>
        <v>528.18948</v>
      </c>
      <c r="E413" s="43">
        <v>0</v>
      </c>
      <c r="F413" s="43">
        <f>D413*1.5+E413</f>
        <v>792.28422</v>
      </c>
      <c r="G413" s="81"/>
      <c r="H413" s="82"/>
    </row>
    <row r="414" spans="1:8" s="2" customFormat="1" ht="15.75" customHeight="1" x14ac:dyDescent="0.25">
      <c r="A414" s="77">
        <v>10</v>
      </c>
      <c r="B414" s="78"/>
      <c r="C414" s="43" t="s">
        <v>160</v>
      </c>
      <c r="D414" s="44">
        <f>41.03*10.764</f>
        <v>441.64691999999997</v>
      </c>
      <c r="E414" s="43">
        <v>0</v>
      </c>
      <c r="F414" s="43">
        <f>D414*1.5+E414</f>
        <v>662.47037999999998</v>
      </c>
      <c r="G414" s="81"/>
      <c r="H414" s="82"/>
    </row>
    <row r="415" spans="1:8" s="2" customFormat="1" ht="15.75" customHeight="1" x14ac:dyDescent="0.25">
      <c r="A415" s="74" t="s">
        <v>180</v>
      </c>
      <c r="B415" s="75"/>
      <c r="C415" s="75"/>
      <c r="D415" s="75"/>
      <c r="E415" s="75"/>
      <c r="F415" s="75"/>
      <c r="G415" s="75"/>
      <c r="H415" s="76"/>
    </row>
    <row r="416" spans="1:8" s="2" customFormat="1" ht="15.75" customHeight="1" x14ac:dyDescent="0.25">
      <c r="A416" s="74" t="s">
        <v>177</v>
      </c>
      <c r="B416" s="75"/>
      <c r="C416" s="75"/>
      <c r="D416" s="75"/>
      <c r="E416" s="75"/>
      <c r="F416" s="75"/>
      <c r="G416" s="75"/>
      <c r="H416" s="76"/>
    </row>
    <row r="417" spans="1:8" s="2" customFormat="1" ht="15.75" customHeight="1" x14ac:dyDescent="0.25">
      <c r="A417" s="77">
        <v>1</v>
      </c>
      <c r="B417" s="78"/>
      <c r="C417" s="43" t="s">
        <v>160</v>
      </c>
      <c r="D417" s="44">
        <f>41.89*10.764</f>
        <v>450.90395999999998</v>
      </c>
      <c r="E417" s="43">
        <v>0</v>
      </c>
      <c r="F417" s="43">
        <f>D417*1.5+E417</f>
        <v>676.35593999999992</v>
      </c>
      <c r="G417" s="79" t="str">
        <f>A416</f>
        <v>14th, 19th &amp; 24th Floor (Part Refuge Area)</v>
      </c>
      <c r="H417" s="80"/>
    </row>
    <row r="418" spans="1:8" s="2" customFormat="1" x14ac:dyDescent="0.25">
      <c r="A418" s="77">
        <v>2</v>
      </c>
      <c r="B418" s="78"/>
      <c r="C418" s="43" t="s">
        <v>160</v>
      </c>
      <c r="D418" s="44">
        <f>30.98*10.764</f>
        <v>333.46871999999996</v>
      </c>
      <c r="E418" s="43">
        <v>0</v>
      </c>
      <c r="F418" s="43">
        <f>D418*1.5+E418</f>
        <v>500.20307999999994</v>
      </c>
      <c r="G418" s="81"/>
      <c r="H418" s="82"/>
    </row>
    <row r="419" spans="1:8" s="2" customFormat="1" ht="15.75" customHeight="1" x14ac:dyDescent="0.25">
      <c r="A419" s="77">
        <v>3</v>
      </c>
      <c r="B419" s="78"/>
      <c r="C419" s="43" t="s">
        <v>160</v>
      </c>
      <c r="D419" s="44">
        <f>30.98*10.764</f>
        <v>333.46871999999996</v>
      </c>
      <c r="E419" s="44">
        <v>0</v>
      </c>
      <c r="F419" s="43">
        <f>D419*1.5+E419</f>
        <v>500.20307999999994</v>
      </c>
      <c r="G419" s="81"/>
      <c r="H419" s="82"/>
    </row>
    <row r="420" spans="1:8" s="2" customFormat="1" x14ac:dyDescent="0.25">
      <c r="A420" s="77">
        <v>4</v>
      </c>
      <c r="B420" s="78"/>
      <c r="C420" s="43" t="s">
        <v>159</v>
      </c>
      <c r="D420" s="44">
        <f>44.89*10.764</f>
        <v>483.19595999999996</v>
      </c>
      <c r="E420" s="43">
        <v>0</v>
      </c>
      <c r="F420" s="43">
        <f>D420*1.5+E420</f>
        <v>724.79393999999991</v>
      </c>
      <c r="G420" s="81"/>
      <c r="H420" s="82"/>
    </row>
    <row r="421" spans="1:8" s="2" customFormat="1" x14ac:dyDescent="0.25">
      <c r="A421" s="77">
        <v>5</v>
      </c>
      <c r="B421" s="78"/>
      <c r="C421" s="111" t="s">
        <v>161</v>
      </c>
      <c r="D421" s="112"/>
      <c r="E421" s="112"/>
      <c r="F421" s="78"/>
      <c r="G421" s="81"/>
      <c r="H421" s="82"/>
    </row>
    <row r="422" spans="1:8" s="2" customFormat="1" x14ac:dyDescent="0.25">
      <c r="A422" s="77">
        <v>6</v>
      </c>
      <c r="B422" s="78"/>
      <c r="C422" s="43" t="s">
        <v>160</v>
      </c>
      <c r="D422" s="44">
        <f>42.89*10.764</f>
        <v>461.66795999999999</v>
      </c>
      <c r="E422" s="43">
        <v>0</v>
      </c>
      <c r="F422" s="43">
        <f>D422*1.5+E422</f>
        <v>692.50193999999999</v>
      </c>
      <c r="G422" s="81"/>
      <c r="H422" s="82"/>
    </row>
    <row r="423" spans="1:8" s="2" customFormat="1" x14ac:dyDescent="0.25">
      <c r="A423" s="77">
        <v>7</v>
      </c>
      <c r="B423" s="78"/>
      <c r="C423" s="43" t="s">
        <v>160</v>
      </c>
      <c r="D423" s="44">
        <f>42.89*10.764</f>
        <v>461.66795999999999</v>
      </c>
      <c r="E423" s="43">
        <v>0</v>
      </c>
      <c r="F423" s="43">
        <f>D423*1.5+E423</f>
        <v>692.50193999999999</v>
      </c>
      <c r="G423" s="81"/>
      <c r="H423" s="82"/>
    </row>
    <row r="424" spans="1:8" s="2" customFormat="1" x14ac:dyDescent="0.25">
      <c r="A424" s="77">
        <v>8</v>
      </c>
      <c r="B424" s="78"/>
      <c r="C424" s="43" t="s">
        <v>159</v>
      </c>
      <c r="D424" s="44">
        <f>49.07*10.764</f>
        <v>528.18948</v>
      </c>
      <c r="E424" s="43">
        <v>0</v>
      </c>
      <c r="F424" s="43">
        <f>D424*1.5+E424</f>
        <v>792.28422</v>
      </c>
      <c r="G424" s="81"/>
      <c r="H424" s="82"/>
    </row>
    <row r="425" spans="1:8" s="2" customFormat="1" ht="15.75" customHeight="1" x14ac:dyDescent="0.25">
      <c r="A425" s="77">
        <v>9</v>
      </c>
      <c r="B425" s="78"/>
      <c r="C425" s="43" t="s">
        <v>159</v>
      </c>
      <c r="D425" s="44">
        <f>49.07*10.764</f>
        <v>528.18948</v>
      </c>
      <c r="E425" s="43">
        <v>0</v>
      </c>
      <c r="F425" s="43">
        <f>D425*1.5+E425</f>
        <v>792.28422</v>
      </c>
      <c r="G425" s="81"/>
      <c r="H425" s="82"/>
    </row>
    <row r="426" spans="1:8" s="2" customFormat="1" ht="15.75" customHeight="1" x14ac:dyDescent="0.25">
      <c r="A426" s="77">
        <v>10</v>
      </c>
      <c r="B426" s="78"/>
      <c r="C426" s="43" t="s">
        <v>160</v>
      </c>
      <c r="D426" s="44">
        <f>41.03*10.764</f>
        <v>441.64691999999997</v>
      </c>
      <c r="E426" s="43">
        <v>0</v>
      </c>
      <c r="F426" s="43">
        <f>D426*1.5+E426</f>
        <v>662.47037999999998</v>
      </c>
      <c r="G426" s="81"/>
      <c r="H426" s="82"/>
    </row>
    <row r="427" spans="1:8" s="2" customFormat="1" ht="15.75" customHeight="1" x14ac:dyDescent="0.25">
      <c r="A427" s="74" t="s">
        <v>178</v>
      </c>
      <c r="B427" s="75"/>
      <c r="C427" s="75"/>
      <c r="D427" s="75"/>
      <c r="E427" s="75"/>
      <c r="F427" s="75"/>
      <c r="G427" s="75"/>
      <c r="H427" s="76"/>
    </row>
    <row r="428" spans="1:8" s="2" customFormat="1" ht="15.75" customHeight="1" x14ac:dyDescent="0.25">
      <c r="A428" s="77">
        <v>1</v>
      </c>
      <c r="B428" s="78"/>
      <c r="C428" s="43" t="s">
        <v>160</v>
      </c>
      <c r="D428" s="44">
        <f>41.89*10.764</f>
        <v>450.90395999999998</v>
      </c>
      <c r="E428" s="43">
        <v>0</v>
      </c>
      <c r="F428" s="43">
        <f>D428*1.5+E428</f>
        <v>676.35593999999992</v>
      </c>
      <c r="G428" s="79" t="str">
        <f>A427</f>
        <v>29th Floor (Part Refuge Area)</v>
      </c>
      <c r="H428" s="80"/>
    </row>
    <row r="429" spans="1:8" s="2" customFormat="1" x14ac:dyDescent="0.25">
      <c r="A429" s="77">
        <v>2</v>
      </c>
      <c r="B429" s="78"/>
      <c r="C429" s="43" t="s">
        <v>160</v>
      </c>
      <c r="D429" s="44">
        <f>30.98*10.764</f>
        <v>333.46871999999996</v>
      </c>
      <c r="E429" s="43">
        <v>0</v>
      </c>
      <c r="F429" s="43">
        <f>D429*1.5+E429</f>
        <v>500.20307999999994</v>
      </c>
      <c r="G429" s="81"/>
      <c r="H429" s="82"/>
    </row>
    <row r="430" spans="1:8" s="2" customFormat="1" ht="15.75" customHeight="1" x14ac:dyDescent="0.25">
      <c r="A430" s="77">
        <v>3</v>
      </c>
      <c r="B430" s="78"/>
      <c r="C430" s="43" t="s">
        <v>160</v>
      </c>
      <c r="D430" s="44">
        <f>30.98*10.764</f>
        <v>333.46871999999996</v>
      </c>
      <c r="E430" s="44">
        <v>0</v>
      </c>
      <c r="F430" s="43">
        <f>D430*1.5+E430</f>
        <v>500.20307999999994</v>
      </c>
      <c r="G430" s="81"/>
      <c r="H430" s="82"/>
    </row>
    <row r="431" spans="1:8" s="2" customFormat="1" x14ac:dyDescent="0.25">
      <c r="A431" s="77">
        <v>4</v>
      </c>
      <c r="B431" s="78"/>
      <c r="C431" s="43" t="s">
        <v>159</v>
      </c>
      <c r="D431" s="44">
        <f>44.89*10.764</f>
        <v>483.19595999999996</v>
      </c>
      <c r="E431" s="43">
        <v>0</v>
      </c>
      <c r="F431" s="43">
        <f>D431*1.5+E431</f>
        <v>724.79393999999991</v>
      </c>
      <c r="G431" s="81"/>
      <c r="H431" s="82"/>
    </row>
    <row r="432" spans="1:8" s="2" customFormat="1" x14ac:dyDescent="0.25">
      <c r="A432" s="77">
        <v>5</v>
      </c>
      <c r="B432" s="78"/>
      <c r="C432" s="111" t="s">
        <v>161</v>
      </c>
      <c r="D432" s="112"/>
      <c r="E432" s="112"/>
      <c r="F432" s="78"/>
      <c r="G432" s="81"/>
      <c r="H432" s="82"/>
    </row>
    <row r="433" spans="1:8" s="2" customFormat="1" x14ac:dyDescent="0.25">
      <c r="A433" s="77">
        <v>6</v>
      </c>
      <c r="B433" s="78"/>
      <c r="C433" s="43" t="s">
        <v>160</v>
      </c>
      <c r="D433" s="44">
        <f>42.89*10.764</f>
        <v>461.66795999999999</v>
      </c>
      <c r="E433" s="43">
        <v>0</v>
      </c>
      <c r="F433" s="43">
        <f>D433*1.5+E433</f>
        <v>692.50193999999999</v>
      </c>
      <c r="G433" s="81"/>
      <c r="H433" s="82"/>
    </row>
    <row r="434" spans="1:8" s="2" customFormat="1" x14ac:dyDescent="0.25">
      <c r="A434" s="77">
        <v>7</v>
      </c>
      <c r="B434" s="78"/>
      <c r="C434" s="43" t="s">
        <v>160</v>
      </c>
      <c r="D434" s="44">
        <f>42.89*10.764</f>
        <v>461.66795999999999</v>
      </c>
      <c r="E434" s="43">
        <v>0</v>
      </c>
      <c r="F434" s="43">
        <f>D434*1.5+E434</f>
        <v>692.50193999999999</v>
      </c>
      <c r="G434" s="81"/>
      <c r="H434" s="82"/>
    </row>
    <row r="435" spans="1:8" s="2" customFormat="1" x14ac:dyDescent="0.25">
      <c r="A435" s="77">
        <v>8</v>
      </c>
      <c r="B435" s="78"/>
      <c r="C435" s="43" t="s">
        <v>159</v>
      </c>
      <c r="D435" s="44">
        <f>49.07*10.764</f>
        <v>528.18948</v>
      </c>
      <c r="E435" s="43">
        <v>0</v>
      </c>
      <c r="F435" s="43">
        <f>D435*1.5+E435</f>
        <v>792.28422</v>
      </c>
      <c r="G435" s="81"/>
      <c r="H435" s="82"/>
    </row>
    <row r="436" spans="1:8" s="2" customFormat="1" ht="15.75" customHeight="1" x14ac:dyDescent="0.25">
      <c r="A436" s="77">
        <v>9</v>
      </c>
      <c r="B436" s="78"/>
      <c r="C436" s="43" t="s">
        <v>159</v>
      </c>
      <c r="D436" s="44">
        <f>49.07*10.764</f>
        <v>528.18948</v>
      </c>
      <c r="E436" s="43">
        <v>0</v>
      </c>
      <c r="F436" s="43">
        <f>D436*1.5+E436</f>
        <v>792.28422</v>
      </c>
      <c r="G436" s="81"/>
      <c r="H436" s="82"/>
    </row>
    <row r="437" spans="1:8" s="2" customFormat="1" ht="15.75" customHeight="1" x14ac:dyDescent="0.25">
      <c r="A437" s="77">
        <v>10</v>
      </c>
      <c r="B437" s="78"/>
      <c r="C437" s="43" t="s">
        <v>160</v>
      </c>
      <c r="D437" s="44">
        <f>41.03*10.764</f>
        <v>441.64691999999997</v>
      </c>
      <c r="E437" s="43">
        <v>0</v>
      </c>
      <c r="F437" s="43">
        <f>D437*1.5+E437</f>
        <v>662.47037999999998</v>
      </c>
      <c r="G437" s="81"/>
      <c r="H437" s="82"/>
    </row>
    <row r="438" spans="1:8" s="2" customFormat="1" x14ac:dyDescent="0.25">
      <c r="A438" s="74" t="s">
        <v>174</v>
      </c>
      <c r="B438" s="75"/>
      <c r="C438" s="75"/>
      <c r="D438" s="75"/>
      <c r="E438" s="75"/>
      <c r="F438" s="75"/>
      <c r="G438" s="75"/>
      <c r="H438" s="76"/>
    </row>
    <row r="439" spans="1:8" s="2" customFormat="1" x14ac:dyDescent="0.25">
      <c r="A439" s="74" t="s">
        <v>179</v>
      </c>
      <c r="B439" s="75"/>
      <c r="C439" s="75"/>
      <c r="D439" s="75"/>
      <c r="E439" s="75"/>
      <c r="F439" s="75"/>
      <c r="G439" s="75"/>
      <c r="H439" s="76"/>
    </row>
    <row r="440" spans="1:8" s="2" customFormat="1" ht="15.75" customHeight="1" x14ac:dyDescent="0.25">
      <c r="A440" s="74" t="s">
        <v>205</v>
      </c>
      <c r="B440" s="75"/>
      <c r="C440" s="75"/>
      <c r="D440" s="75"/>
      <c r="E440" s="75"/>
      <c r="F440" s="75"/>
      <c r="G440" s="75"/>
      <c r="H440" s="76"/>
    </row>
    <row r="441" spans="1:8" s="2" customFormat="1" ht="15.75" customHeight="1" x14ac:dyDescent="0.25">
      <c r="A441" s="77">
        <v>1</v>
      </c>
      <c r="B441" s="78"/>
      <c r="C441" s="43" t="s">
        <v>160</v>
      </c>
      <c r="D441" s="44">
        <f>41.89*10.764</f>
        <v>450.90395999999998</v>
      </c>
      <c r="E441" s="43">
        <v>0</v>
      </c>
      <c r="F441" s="43">
        <f t="shared" ref="F441:F449" si="9">D441*1.5+E441</f>
        <v>676.35593999999992</v>
      </c>
      <c r="G441" s="79" t="str">
        <f>A440</f>
        <v>1st Floor</v>
      </c>
      <c r="H441" s="80"/>
    </row>
    <row r="442" spans="1:8" s="2" customFormat="1" x14ac:dyDescent="0.25">
      <c r="A442" s="77">
        <v>2</v>
      </c>
      <c r="B442" s="78"/>
      <c r="C442" s="43" t="s">
        <v>160</v>
      </c>
      <c r="D442" s="44">
        <f>30.98*10.764</f>
        <v>333.46871999999996</v>
      </c>
      <c r="E442" s="43">
        <v>0</v>
      </c>
      <c r="F442" s="43">
        <f t="shared" si="9"/>
        <v>500.20307999999994</v>
      </c>
      <c r="G442" s="81"/>
      <c r="H442" s="82"/>
    </row>
    <row r="443" spans="1:8" s="2" customFormat="1" ht="15.75" customHeight="1" x14ac:dyDescent="0.25">
      <c r="A443" s="77">
        <v>3</v>
      </c>
      <c r="B443" s="78"/>
      <c r="C443" s="43" t="s">
        <v>160</v>
      </c>
      <c r="D443" s="44">
        <f>30.98*10.764</f>
        <v>333.46871999999996</v>
      </c>
      <c r="E443" s="44">
        <v>0</v>
      </c>
      <c r="F443" s="43">
        <f t="shared" si="9"/>
        <v>500.20307999999994</v>
      </c>
      <c r="G443" s="81"/>
      <c r="H443" s="82"/>
    </row>
    <row r="444" spans="1:8" s="2" customFormat="1" x14ac:dyDescent="0.25">
      <c r="A444" s="77">
        <v>4</v>
      </c>
      <c r="B444" s="78"/>
      <c r="C444" s="43" t="s">
        <v>159</v>
      </c>
      <c r="D444" s="44">
        <f>44.89*10.764</f>
        <v>483.19595999999996</v>
      </c>
      <c r="E444" s="43">
        <v>0</v>
      </c>
      <c r="F444" s="43">
        <f t="shared" si="9"/>
        <v>724.79393999999991</v>
      </c>
      <c r="G444" s="81"/>
      <c r="H444" s="82"/>
    </row>
    <row r="445" spans="1:8" s="2" customFormat="1" x14ac:dyDescent="0.25">
      <c r="A445" s="77">
        <v>5</v>
      </c>
      <c r="B445" s="78"/>
      <c r="C445" s="43" t="s">
        <v>159</v>
      </c>
      <c r="D445" s="44">
        <f>51.86*10.764</f>
        <v>558.22104000000002</v>
      </c>
      <c r="E445" s="43">
        <v>0</v>
      </c>
      <c r="F445" s="43">
        <f t="shared" si="9"/>
        <v>837.33156000000008</v>
      </c>
      <c r="G445" s="81"/>
      <c r="H445" s="82"/>
    </row>
    <row r="446" spans="1:8" s="2" customFormat="1" ht="15.75" customHeight="1" x14ac:dyDescent="0.25">
      <c r="A446" s="77">
        <v>6</v>
      </c>
      <c r="B446" s="78"/>
      <c r="C446" s="43" t="s">
        <v>160</v>
      </c>
      <c r="D446" s="44">
        <f>42.89*10.764</f>
        <v>461.66795999999999</v>
      </c>
      <c r="E446" s="43">
        <v>0</v>
      </c>
      <c r="F446" s="43">
        <f t="shared" si="9"/>
        <v>692.50193999999999</v>
      </c>
      <c r="G446" s="81"/>
      <c r="H446" s="82"/>
    </row>
    <row r="447" spans="1:8" s="2" customFormat="1" x14ac:dyDescent="0.25">
      <c r="A447" s="77">
        <v>7</v>
      </c>
      <c r="B447" s="78"/>
      <c r="C447" s="43" t="s">
        <v>160</v>
      </c>
      <c r="D447" s="44">
        <f>42.89*10.764</f>
        <v>461.66795999999999</v>
      </c>
      <c r="E447" s="43">
        <v>0</v>
      </c>
      <c r="F447" s="43">
        <f t="shared" si="9"/>
        <v>692.50193999999999</v>
      </c>
      <c r="G447" s="81"/>
      <c r="H447" s="82"/>
    </row>
    <row r="448" spans="1:8" s="2" customFormat="1" x14ac:dyDescent="0.25">
      <c r="A448" s="77">
        <v>8</v>
      </c>
      <c r="B448" s="78"/>
      <c r="C448" s="43" t="s">
        <v>159</v>
      </c>
      <c r="D448" s="44">
        <f>49.07*10.764</f>
        <v>528.18948</v>
      </c>
      <c r="E448" s="43">
        <v>0</v>
      </c>
      <c r="F448" s="43">
        <f t="shared" si="9"/>
        <v>792.28422</v>
      </c>
      <c r="G448" s="81"/>
      <c r="H448" s="82"/>
    </row>
    <row r="449" spans="1:8" s="2" customFormat="1" ht="15.75" customHeight="1" x14ac:dyDescent="0.25">
      <c r="A449" s="77">
        <v>9</v>
      </c>
      <c r="B449" s="78"/>
      <c r="C449" s="43" t="s">
        <v>159</v>
      </c>
      <c r="D449" s="44">
        <f>49.07*10.764</f>
        <v>528.18948</v>
      </c>
      <c r="E449" s="43">
        <v>0</v>
      </c>
      <c r="F449" s="43">
        <f t="shared" si="9"/>
        <v>792.28422</v>
      </c>
      <c r="G449" s="81"/>
      <c r="H449" s="82"/>
    </row>
    <row r="450" spans="1:8" s="2" customFormat="1" x14ac:dyDescent="0.25">
      <c r="A450" s="77">
        <v>10</v>
      </c>
      <c r="B450" s="78"/>
      <c r="C450" s="111" t="s">
        <v>206</v>
      </c>
      <c r="D450" s="112"/>
      <c r="E450" s="112"/>
      <c r="F450" s="78"/>
      <c r="G450" s="81"/>
      <c r="H450" s="82"/>
    </row>
    <row r="451" spans="1:8" s="2" customFormat="1" ht="15.75" customHeight="1" x14ac:dyDescent="0.25">
      <c r="A451" s="74" t="s">
        <v>207</v>
      </c>
      <c r="B451" s="75"/>
      <c r="C451" s="75"/>
      <c r="D451" s="75"/>
      <c r="E451" s="75"/>
      <c r="F451" s="75"/>
      <c r="G451" s="75"/>
      <c r="H451" s="76"/>
    </row>
    <row r="452" spans="1:8" s="2" customFormat="1" ht="15.75" customHeight="1" x14ac:dyDescent="0.25">
      <c r="A452" s="77">
        <v>1</v>
      </c>
      <c r="B452" s="78"/>
      <c r="C452" s="43" t="s">
        <v>160</v>
      </c>
      <c r="D452" s="44">
        <f>41.89*10.764</f>
        <v>450.90395999999998</v>
      </c>
      <c r="E452" s="43">
        <v>0</v>
      </c>
      <c r="F452" s="43">
        <f t="shared" ref="F452:F461" si="10">D452*1.5+E452</f>
        <v>676.35593999999992</v>
      </c>
      <c r="G452" s="79" t="str">
        <f>A451</f>
        <v>2nd to 7th, 9th to 13th, 15th to 18th, 20th to 23rd, 25th to 28th, 30th to 32nd Floor</v>
      </c>
      <c r="H452" s="80"/>
    </row>
    <row r="453" spans="1:8" s="2" customFormat="1" x14ac:dyDescent="0.25">
      <c r="A453" s="77">
        <v>2</v>
      </c>
      <c r="B453" s="78"/>
      <c r="C453" s="43" t="s">
        <v>160</v>
      </c>
      <c r="D453" s="44">
        <f>30.98*10.764</f>
        <v>333.46871999999996</v>
      </c>
      <c r="E453" s="43">
        <v>0</v>
      </c>
      <c r="F453" s="43">
        <f t="shared" si="10"/>
        <v>500.20307999999994</v>
      </c>
      <c r="G453" s="81"/>
      <c r="H453" s="82"/>
    </row>
    <row r="454" spans="1:8" s="2" customFormat="1" ht="15.75" customHeight="1" x14ac:dyDescent="0.25">
      <c r="A454" s="77">
        <v>3</v>
      </c>
      <c r="B454" s="78"/>
      <c r="C454" s="43" t="s">
        <v>160</v>
      </c>
      <c r="D454" s="44">
        <f>30.98*10.764</f>
        <v>333.46871999999996</v>
      </c>
      <c r="E454" s="44">
        <v>0</v>
      </c>
      <c r="F454" s="43">
        <f t="shared" si="10"/>
        <v>500.20307999999994</v>
      </c>
      <c r="G454" s="81"/>
      <c r="H454" s="82"/>
    </row>
    <row r="455" spans="1:8" s="2" customFormat="1" x14ac:dyDescent="0.25">
      <c r="A455" s="77">
        <v>4</v>
      </c>
      <c r="B455" s="78"/>
      <c r="C455" s="43" t="s">
        <v>159</v>
      </c>
      <c r="D455" s="44">
        <f>44.89*10.764</f>
        <v>483.19595999999996</v>
      </c>
      <c r="E455" s="43">
        <v>0</v>
      </c>
      <c r="F455" s="43">
        <f t="shared" si="10"/>
        <v>724.79393999999991</v>
      </c>
      <c r="G455" s="81"/>
      <c r="H455" s="82"/>
    </row>
    <row r="456" spans="1:8" s="2" customFormat="1" x14ac:dyDescent="0.25">
      <c r="A456" s="77">
        <v>5</v>
      </c>
      <c r="B456" s="78"/>
      <c r="C456" s="43" t="s">
        <v>159</v>
      </c>
      <c r="D456" s="44">
        <f>51.86*10.764</f>
        <v>558.22104000000002</v>
      </c>
      <c r="E456" s="43">
        <v>0</v>
      </c>
      <c r="F456" s="43">
        <f t="shared" si="10"/>
        <v>837.33156000000008</v>
      </c>
      <c r="G456" s="81"/>
      <c r="H456" s="82"/>
    </row>
    <row r="457" spans="1:8" s="2" customFormat="1" x14ac:dyDescent="0.25">
      <c r="A457" s="77">
        <v>6</v>
      </c>
      <c r="B457" s="78"/>
      <c r="C457" s="43" t="s">
        <v>160</v>
      </c>
      <c r="D457" s="44">
        <f>42.89*10.764</f>
        <v>461.66795999999999</v>
      </c>
      <c r="E457" s="43">
        <v>0</v>
      </c>
      <c r="F457" s="43">
        <f t="shared" si="10"/>
        <v>692.50193999999999</v>
      </c>
      <c r="G457" s="81"/>
      <c r="H457" s="82"/>
    </row>
    <row r="458" spans="1:8" s="2" customFormat="1" x14ac:dyDescent="0.25">
      <c r="A458" s="77">
        <v>7</v>
      </c>
      <c r="B458" s="78"/>
      <c r="C458" s="43" t="s">
        <v>160</v>
      </c>
      <c r="D458" s="44">
        <f>42.89*10.764</f>
        <v>461.66795999999999</v>
      </c>
      <c r="E458" s="43">
        <v>0</v>
      </c>
      <c r="F458" s="43">
        <f t="shared" si="10"/>
        <v>692.50193999999999</v>
      </c>
      <c r="G458" s="81"/>
      <c r="H458" s="82"/>
    </row>
    <row r="459" spans="1:8" s="2" customFormat="1" x14ac:dyDescent="0.25">
      <c r="A459" s="77">
        <v>8</v>
      </c>
      <c r="B459" s="78"/>
      <c r="C459" s="43" t="s">
        <v>159</v>
      </c>
      <c r="D459" s="44">
        <f>49.07*10.764</f>
        <v>528.18948</v>
      </c>
      <c r="E459" s="43">
        <v>0</v>
      </c>
      <c r="F459" s="43">
        <f t="shared" si="10"/>
        <v>792.28422</v>
      </c>
      <c r="G459" s="81"/>
      <c r="H459" s="82"/>
    </row>
    <row r="460" spans="1:8" s="2" customFormat="1" ht="15.75" customHeight="1" x14ac:dyDescent="0.25">
      <c r="A460" s="77">
        <v>9</v>
      </c>
      <c r="B460" s="78"/>
      <c r="C460" s="43" t="s">
        <v>159</v>
      </c>
      <c r="D460" s="44">
        <f>49.07*10.764</f>
        <v>528.18948</v>
      </c>
      <c r="E460" s="43">
        <v>0</v>
      </c>
      <c r="F460" s="43">
        <f t="shared" si="10"/>
        <v>792.28422</v>
      </c>
      <c r="G460" s="81"/>
      <c r="H460" s="82"/>
    </row>
    <row r="461" spans="1:8" s="2" customFormat="1" x14ac:dyDescent="0.25">
      <c r="A461" s="77">
        <v>10</v>
      </c>
      <c r="B461" s="78"/>
      <c r="C461" s="43" t="s">
        <v>160</v>
      </c>
      <c r="D461" s="44">
        <f>41.03*10.764</f>
        <v>441.64691999999997</v>
      </c>
      <c r="E461" s="43">
        <v>0</v>
      </c>
      <c r="F461" s="43">
        <f t="shared" si="10"/>
        <v>662.47037999999998</v>
      </c>
      <c r="G461" s="81"/>
      <c r="H461" s="82"/>
    </row>
    <row r="462" spans="1:8" s="2" customFormat="1" ht="15.75" customHeight="1" x14ac:dyDescent="0.25">
      <c r="A462" s="74" t="s">
        <v>176</v>
      </c>
      <c r="B462" s="75"/>
      <c r="C462" s="75"/>
      <c r="D462" s="75"/>
      <c r="E462" s="75"/>
      <c r="F462" s="75"/>
      <c r="G462" s="75"/>
      <c r="H462" s="76"/>
    </row>
    <row r="463" spans="1:8" s="2" customFormat="1" ht="15.75" customHeight="1" x14ac:dyDescent="0.25">
      <c r="A463" s="77">
        <v>1</v>
      </c>
      <c r="B463" s="78"/>
      <c r="C463" s="43" t="s">
        <v>160</v>
      </c>
      <c r="D463" s="44">
        <f>41.89*10.764</f>
        <v>450.90395999999998</v>
      </c>
      <c r="E463" s="43">
        <v>0</v>
      </c>
      <c r="F463" s="43">
        <f>D463*1.5+E463</f>
        <v>676.35593999999992</v>
      </c>
      <c r="G463" s="79" t="str">
        <f>A462</f>
        <v>8th Floor (Part Refuge Area)</v>
      </c>
      <c r="H463" s="80"/>
    </row>
    <row r="464" spans="1:8" s="2" customFormat="1" x14ac:dyDescent="0.25">
      <c r="A464" s="77">
        <v>2</v>
      </c>
      <c r="B464" s="78"/>
      <c r="C464" s="43" t="s">
        <v>160</v>
      </c>
      <c r="D464" s="44">
        <f>30.98*10.764</f>
        <v>333.46871999999996</v>
      </c>
      <c r="E464" s="43">
        <v>0</v>
      </c>
      <c r="F464" s="43">
        <f>D464*1.5+E464</f>
        <v>500.20307999999994</v>
      </c>
      <c r="G464" s="81"/>
      <c r="H464" s="82"/>
    </row>
    <row r="465" spans="1:8" s="2" customFormat="1" ht="15.75" customHeight="1" x14ac:dyDescent="0.25">
      <c r="A465" s="77">
        <v>3</v>
      </c>
      <c r="B465" s="78"/>
      <c r="C465" s="43" t="s">
        <v>160</v>
      </c>
      <c r="D465" s="44">
        <f>30.98*10.764</f>
        <v>333.46871999999996</v>
      </c>
      <c r="E465" s="44">
        <v>0</v>
      </c>
      <c r="F465" s="43">
        <f>D465*1.5+E465</f>
        <v>500.20307999999994</v>
      </c>
      <c r="G465" s="81"/>
      <c r="H465" s="82"/>
    </row>
    <row r="466" spans="1:8" s="2" customFormat="1" x14ac:dyDescent="0.25">
      <c r="A466" s="77">
        <v>4</v>
      </c>
      <c r="B466" s="78"/>
      <c r="C466" s="43" t="s">
        <v>159</v>
      </c>
      <c r="D466" s="44">
        <f>44.89*10.764</f>
        <v>483.19595999999996</v>
      </c>
      <c r="E466" s="43">
        <v>0</v>
      </c>
      <c r="F466" s="43">
        <f>D466*1.5+E466</f>
        <v>724.79393999999991</v>
      </c>
      <c r="G466" s="81"/>
      <c r="H466" s="82"/>
    </row>
    <row r="467" spans="1:8" s="2" customFormat="1" x14ac:dyDescent="0.25">
      <c r="A467" s="77">
        <v>5</v>
      </c>
      <c r="B467" s="78"/>
      <c r="C467" s="111" t="s">
        <v>161</v>
      </c>
      <c r="D467" s="112"/>
      <c r="E467" s="112"/>
      <c r="F467" s="78"/>
      <c r="G467" s="81"/>
      <c r="H467" s="82"/>
    </row>
    <row r="468" spans="1:8" s="2" customFormat="1" x14ac:dyDescent="0.25">
      <c r="A468" s="77">
        <v>6</v>
      </c>
      <c r="B468" s="78"/>
      <c r="C468" s="43" t="s">
        <v>160</v>
      </c>
      <c r="D468" s="44">
        <f>42.89*10.764</f>
        <v>461.66795999999999</v>
      </c>
      <c r="E468" s="43">
        <v>0</v>
      </c>
      <c r="F468" s="43">
        <f>D468*1.5+E468</f>
        <v>692.50193999999999</v>
      </c>
      <c r="G468" s="81"/>
      <c r="H468" s="82"/>
    </row>
    <row r="469" spans="1:8" s="2" customFormat="1" x14ac:dyDescent="0.25">
      <c r="A469" s="77">
        <v>7</v>
      </c>
      <c r="B469" s="78"/>
      <c r="C469" s="43" t="s">
        <v>160</v>
      </c>
      <c r="D469" s="44">
        <f>42.89*10.764</f>
        <v>461.66795999999999</v>
      </c>
      <c r="E469" s="43">
        <v>0</v>
      </c>
      <c r="F469" s="43">
        <f>D469*1.5+E469</f>
        <v>692.50193999999999</v>
      </c>
      <c r="G469" s="81"/>
      <c r="H469" s="82"/>
    </row>
    <row r="470" spans="1:8" s="2" customFormat="1" x14ac:dyDescent="0.25">
      <c r="A470" s="77">
        <v>8</v>
      </c>
      <c r="B470" s="78"/>
      <c r="C470" s="43" t="s">
        <v>159</v>
      </c>
      <c r="D470" s="44">
        <f>49.07*10.764</f>
        <v>528.18948</v>
      </c>
      <c r="E470" s="43">
        <v>0</v>
      </c>
      <c r="F470" s="43">
        <f>D470*1.5+E470</f>
        <v>792.28422</v>
      </c>
      <c r="G470" s="81"/>
      <c r="H470" s="82"/>
    </row>
    <row r="471" spans="1:8" s="2" customFormat="1" ht="15.75" customHeight="1" x14ac:dyDescent="0.25">
      <c r="A471" s="77">
        <v>9</v>
      </c>
      <c r="B471" s="78"/>
      <c r="C471" s="43" t="s">
        <v>159</v>
      </c>
      <c r="D471" s="44">
        <f>49.07*10.764</f>
        <v>528.18948</v>
      </c>
      <c r="E471" s="43">
        <v>0</v>
      </c>
      <c r="F471" s="43">
        <f>D471*1.5+E471</f>
        <v>792.28422</v>
      </c>
      <c r="G471" s="81"/>
      <c r="H471" s="82"/>
    </row>
    <row r="472" spans="1:8" s="2" customFormat="1" x14ac:dyDescent="0.25">
      <c r="A472" s="77">
        <v>10</v>
      </c>
      <c r="B472" s="78"/>
      <c r="C472" s="43" t="s">
        <v>160</v>
      </c>
      <c r="D472" s="44">
        <f>41.03*10.764</f>
        <v>441.64691999999997</v>
      </c>
      <c r="E472" s="43">
        <v>0</v>
      </c>
      <c r="F472" s="43">
        <f>D472*1.5+E472</f>
        <v>662.47037999999998</v>
      </c>
      <c r="G472" s="81"/>
      <c r="H472" s="82"/>
    </row>
    <row r="473" spans="1:8" s="2" customFormat="1" ht="15.75" customHeight="1" x14ac:dyDescent="0.25">
      <c r="A473" s="74" t="s">
        <v>180</v>
      </c>
      <c r="B473" s="75"/>
      <c r="C473" s="75"/>
      <c r="D473" s="75"/>
      <c r="E473" s="75"/>
      <c r="F473" s="75"/>
      <c r="G473" s="75"/>
      <c r="H473" s="76"/>
    </row>
    <row r="474" spans="1:8" s="2" customFormat="1" ht="15.75" customHeight="1" x14ac:dyDescent="0.25">
      <c r="A474" s="74" t="s">
        <v>177</v>
      </c>
      <c r="B474" s="75"/>
      <c r="C474" s="75"/>
      <c r="D474" s="75"/>
      <c r="E474" s="75"/>
      <c r="F474" s="75"/>
      <c r="G474" s="75"/>
      <c r="H474" s="76"/>
    </row>
    <row r="475" spans="1:8" s="2" customFormat="1" ht="15.75" customHeight="1" x14ac:dyDescent="0.25">
      <c r="A475" s="77">
        <v>1</v>
      </c>
      <c r="B475" s="78"/>
      <c r="C475" s="43" t="s">
        <v>160</v>
      </c>
      <c r="D475" s="44">
        <f>41.89*10.764</f>
        <v>450.90395999999998</v>
      </c>
      <c r="E475" s="43">
        <v>0</v>
      </c>
      <c r="F475" s="43">
        <f>D475*1.5+E475</f>
        <v>676.35593999999992</v>
      </c>
      <c r="G475" s="79" t="str">
        <f>A474</f>
        <v>14th, 19th &amp; 24th Floor (Part Refuge Area)</v>
      </c>
      <c r="H475" s="80"/>
    </row>
    <row r="476" spans="1:8" s="2" customFormat="1" x14ac:dyDescent="0.25">
      <c r="A476" s="77">
        <v>2</v>
      </c>
      <c r="B476" s="78"/>
      <c r="C476" s="43" t="s">
        <v>160</v>
      </c>
      <c r="D476" s="44">
        <f>30.98*10.764</f>
        <v>333.46871999999996</v>
      </c>
      <c r="E476" s="43">
        <v>0</v>
      </c>
      <c r="F476" s="43">
        <f>D476*1.5+E476</f>
        <v>500.20307999999994</v>
      </c>
      <c r="G476" s="81"/>
      <c r="H476" s="82"/>
    </row>
    <row r="477" spans="1:8" s="2" customFormat="1" ht="15.75" customHeight="1" x14ac:dyDescent="0.25">
      <c r="A477" s="77">
        <v>3</v>
      </c>
      <c r="B477" s="78"/>
      <c r="C477" s="43" t="s">
        <v>160</v>
      </c>
      <c r="D477" s="44">
        <f>30.98*10.764</f>
        <v>333.46871999999996</v>
      </c>
      <c r="E477" s="44">
        <v>0</v>
      </c>
      <c r="F477" s="43">
        <f>D477*1.5+E477</f>
        <v>500.20307999999994</v>
      </c>
      <c r="G477" s="81"/>
      <c r="H477" s="82"/>
    </row>
    <row r="478" spans="1:8" s="2" customFormat="1" x14ac:dyDescent="0.25">
      <c r="A478" s="77">
        <v>4</v>
      </c>
      <c r="B478" s="78"/>
      <c r="C478" s="43" t="s">
        <v>159</v>
      </c>
      <c r="D478" s="44">
        <f>44.89*10.764</f>
        <v>483.19595999999996</v>
      </c>
      <c r="E478" s="43">
        <v>0</v>
      </c>
      <c r="F478" s="43">
        <f>D478*1.5+E478</f>
        <v>724.79393999999991</v>
      </c>
      <c r="G478" s="81"/>
      <c r="H478" s="82"/>
    </row>
    <row r="479" spans="1:8" s="2" customFormat="1" x14ac:dyDescent="0.25">
      <c r="A479" s="77">
        <v>5</v>
      </c>
      <c r="B479" s="78"/>
      <c r="C479" s="111" t="s">
        <v>161</v>
      </c>
      <c r="D479" s="112"/>
      <c r="E479" s="112"/>
      <c r="F479" s="78"/>
      <c r="G479" s="81"/>
      <c r="H479" s="82"/>
    </row>
    <row r="480" spans="1:8" s="2" customFormat="1" x14ac:dyDescent="0.25">
      <c r="A480" s="77">
        <v>6</v>
      </c>
      <c r="B480" s="78"/>
      <c r="C480" s="43" t="s">
        <v>160</v>
      </c>
      <c r="D480" s="44">
        <f>42.89*10.764</f>
        <v>461.66795999999999</v>
      </c>
      <c r="E480" s="43">
        <v>0</v>
      </c>
      <c r="F480" s="43">
        <f>D480*1.5+E480</f>
        <v>692.50193999999999</v>
      </c>
      <c r="G480" s="81"/>
      <c r="H480" s="82"/>
    </row>
    <row r="481" spans="1:8" s="2" customFormat="1" x14ac:dyDescent="0.25">
      <c r="A481" s="77">
        <v>7</v>
      </c>
      <c r="B481" s="78"/>
      <c r="C481" s="43" t="s">
        <v>160</v>
      </c>
      <c r="D481" s="44">
        <f>42.89*10.764</f>
        <v>461.66795999999999</v>
      </c>
      <c r="E481" s="43">
        <v>0</v>
      </c>
      <c r="F481" s="43">
        <f>D481*1.5+E481</f>
        <v>692.50193999999999</v>
      </c>
      <c r="G481" s="81"/>
      <c r="H481" s="82"/>
    </row>
    <row r="482" spans="1:8" s="2" customFormat="1" x14ac:dyDescent="0.25">
      <c r="A482" s="77">
        <v>8</v>
      </c>
      <c r="B482" s="78"/>
      <c r="C482" s="43" t="s">
        <v>159</v>
      </c>
      <c r="D482" s="44">
        <f>49.07*10.764</f>
        <v>528.18948</v>
      </c>
      <c r="E482" s="43">
        <v>0</v>
      </c>
      <c r="F482" s="43">
        <f>D482*1.5+E482</f>
        <v>792.28422</v>
      </c>
      <c r="G482" s="81"/>
      <c r="H482" s="82"/>
    </row>
    <row r="483" spans="1:8" s="2" customFormat="1" ht="15.75" customHeight="1" x14ac:dyDescent="0.25">
      <c r="A483" s="77">
        <v>9</v>
      </c>
      <c r="B483" s="78"/>
      <c r="C483" s="43" t="s">
        <v>159</v>
      </c>
      <c r="D483" s="44">
        <f>49.07*10.764</f>
        <v>528.18948</v>
      </c>
      <c r="E483" s="43">
        <v>0</v>
      </c>
      <c r="F483" s="43">
        <f>D483*1.5+E483</f>
        <v>792.28422</v>
      </c>
      <c r="G483" s="81"/>
      <c r="H483" s="82"/>
    </row>
    <row r="484" spans="1:8" s="2" customFormat="1" x14ac:dyDescent="0.25">
      <c r="A484" s="77">
        <v>10</v>
      </c>
      <c r="B484" s="78"/>
      <c r="C484" s="43" t="s">
        <v>160</v>
      </c>
      <c r="D484" s="44">
        <f>41.03*10.764</f>
        <v>441.64691999999997</v>
      </c>
      <c r="E484" s="43">
        <v>0</v>
      </c>
      <c r="F484" s="43">
        <f>D484*1.5+E484</f>
        <v>662.47037999999998</v>
      </c>
      <c r="G484" s="81"/>
      <c r="H484" s="82"/>
    </row>
    <row r="485" spans="1:8" s="2" customFormat="1" ht="15.75" customHeight="1" x14ac:dyDescent="0.25">
      <c r="A485" s="74" t="s">
        <v>178</v>
      </c>
      <c r="B485" s="75"/>
      <c r="C485" s="75"/>
      <c r="D485" s="75"/>
      <c r="E485" s="75"/>
      <c r="F485" s="75"/>
      <c r="G485" s="75"/>
      <c r="H485" s="76"/>
    </row>
    <row r="486" spans="1:8" s="2" customFormat="1" ht="15.75" customHeight="1" x14ac:dyDescent="0.25">
      <c r="A486" s="77">
        <v>1</v>
      </c>
      <c r="B486" s="78"/>
      <c r="C486" s="43" t="s">
        <v>160</v>
      </c>
      <c r="D486" s="44">
        <f>41.89*10.764</f>
        <v>450.90395999999998</v>
      </c>
      <c r="E486" s="43">
        <v>0</v>
      </c>
      <c r="F486" s="43">
        <f>D486*1.5+E486</f>
        <v>676.35593999999992</v>
      </c>
      <c r="G486" s="79" t="str">
        <f>A485</f>
        <v>29th Floor (Part Refuge Area)</v>
      </c>
      <c r="H486" s="80"/>
    </row>
    <row r="487" spans="1:8" s="2" customFormat="1" x14ac:dyDescent="0.25">
      <c r="A487" s="77">
        <v>2</v>
      </c>
      <c r="B487" s="78"/>
      <c r="C487" s="43" t="s">
        <v>160</v>
      </c>
      <c r="D487" s="44">
        <f>30.98*10.764</f>
        <v>333.46871999999996</v>
      </c>
      <c r="E487" s="43">
        <v>0</v>
      </c>
      <c r="F487" s="43">
        <f>D487*1.5+E487</f>
        <v>500.20307999999994</v>
      </c>
      <c r="G487" s="81"/>
      <c r="H487" s="82"/>
    </row>
    <row r="488" spans="1:8" s="2" customFormat="1" ht="15.75" customHeight="1" x14ac:dyDescent="0.25">
      <c r="A488" s="77">
        <v>3</v>
      </c>
      <c r="B488" s="78"/>
      <c r="C488" s="43" t="s">
        <v>160</v>
      </c>
      <c r="D488" s="44">
        <f>30.98*10.764</f>
        <v>333.46871999999996</v>
      </c>
      <c r="E488" s="44">
        <v>0</v>
      </c>
      <c r="F488" s="43">
        <f>D488*1.5+E488</f>
        <v>500.20307999999994</v>
      </c>
      <c r="G488" s="81"/>
      <c r="H488" s="82"/>
    </row>
    <row r="489" spans="1:8" s="2" customFormat="1" x14ac:dyDescent="0.25">
      <c r="A489" s="77">
        <v>4</v>
      </c>
      <c r="B489" s="78"/>
      <c r="C489" s="43" t="s">
        <v>159</v>
      </c>
      <c r="D489" s="44">
        <f>44.89*10.764</f>
        <v>483.19595999999996</v>
      </c>
      <c r="E489" s="43">
        <v>0</v>
      </c>
      <c r="F489" s="43">
        <f>D489*1.5+E489</f>
        <v>724.79393999999991</v>
      </c>
      <c r="G489" s="81"/>
      <c r="H489" s="82"/>
    </row>
    <row r="490" spans="1:8" s="2" customFormat="1" x14ac:dyDescent="0.25">
      <c r="A490" s="77">
        <v>5</v>
      </c>
      <c r="B490" s="78"/>
      <c r="C490" s="111" t="s">
        <v>161</v>
      </c>
      <c r="D490" s="112"/>
      <c r="E490" s="112"/>
      <c r="F490" s="78"/>
      <c r="G490" s="81"/>
      <c r="H490" s="82"/>
    </row>
    <row r="491" spans="1:8" s="2" customFormat="1" x14ac:dyDescent="0.25">
      <c r="A491" s="77">
        <v>6</v>
      </c>
      <c r="B491" s="78"/>
      <c r="C491" s="43" t="s">
        <v>160</v>
      </c>
      <c r="D491" s="44">
        <f>42.89*10.764</f>
        <v>461.66795999999999</v>
      </c>
      <c r="E491" s="43">
        <v>0</v>
      </c>
      <c r="F491" s="43">
        <f>D491*1.5+E491</f>
        <v>692.50193999999999</v>
      </c>
      <c r="G491" s="81"/>
      <c r="H491" s="82"/>
    </row>
    <row r="492" spans="1:8" s="2" customFormat="1" x14ac:dyDescent="0.25">
      <c r="A492" s="77">
        <v>7</v>
      </c>
      <c r="B492" s="78"/>
      <c r="C492" s="43" t="s">
        <v>160</v>
      </c>
      <c r="D492" s="44">
        <f>42.89*10.764</f>
        <v>461.66795999999999</v>
      </c>
      <c r="E492" s="43">
        <v>0</v>
      </c>
      <c r="F492" s="43">
        <f>D492*1.5+E492</f>
        <v>692.50193999999999</v>
      </c>
      <c r="G492" s="81"/>
      <c r="H492" s="82"/>
    </row>
    <row r="493" spans="1:8" s="2" customFormat="1" x14ac:dyDescent="0.25">
      <c r="A493" s="77">
        <v>8</v>
      </c>
      <c r="B493" s="78"/>
      <c r="C493" s="43" t="s">
        <v>159</v>
      </c>
      <c r="D493" s="44">
        <f>49.07*10.764</f>
        <v>528.18948</v>
      </c>
      <c r="E493" s="43">
        <v>0</v>
      </c>
      <c r="F493" s="43">
        <f>D493*1.5+E493</f>
        <v>792.28422</v>
      </c>
      <c r="G493" s="81"/>
      <c r="H493" s="82"/>
    </row>
    <row r="494" spans="1:8" s="2" customFormat="1" ht="15.75" customHeight="1" x14ac:dyDescent="0.25">
      <c r="A494" s="77">
        <v>9</v>
      </c>
      <c r="B494" s="78"/>
      <c r="C494" s="43" t="s">
        <v>159</v>
      </c>
      <c r="D494" s="44">
        <f>49.07*10.764</f>
        <v>528.18948</v>
      </c>
      <c r="E494" s="43">
        <v>0</v>
      </c>
      <c r="F494" s="43">
        <f>D494*1.5+E494</f>
        <v>792.28422</v>
      </c>
      <c r="G494" s="81"/>
      <c r="H494" s="82"/>
    </row>
    <row r="495" spans="1:8" s="2" customFormat="1" x14ac:dyDescent="0.25">
      <c r="A495" s="77">
        <v>10</v>
      </c>
      <c r="B495" s="78"/>
      <c r="C495" s="43" t="s">
        <v>160</v>
      </c>
      <c r="D495" s="44">
        <f>41.03*10.764</f>
        <v>441.64691999999997</v>
      </c>
      <c r="E495" s="43">
        <v>0</v>
      </c>
      <c r="F495" s="43">
        <f>D495*1.5+E495</f>
        <v>662.47037999999998</v>
      </c>
      <c r="G495" s="81"/>
      <c r="H495" s="82"/>
    </row>
    <row r="496" spans="1:8" s="2" customFormat="1" x14ac:dyDescent="0.25">
      <c r="A496" s="74" t="s">
        <v>186</v>
      </c>
      <c r="B496" s="75"/>
      <c r="C496" s="75"/>
      <c r="D496" s="75"/>
      <c r="E496" s="75"/>
      <c r="F496" s="75"/>
      <c r="G496" s="75"/>
      <c r="H496" s="76"/>
    </row>
    <row r="497" spans="1:8" s="2" customFormat="1" x14ac:dyDescent="0.25">
      <c r="A497" s="74" t="s">
        <v>179</v>
      </c>
      <c r="B497" s="75"/>
      <c r="C497" s="75"/>
      <c r="D497" s="75"/>
      <c r="E497" s="75"/>
      <c r="F497" s="75"/>
      <c r="G497" s="75"/>
      <c r="H497" s="76"/>
    </row>
    <row r="498" spans="1:8" s="2" customFormat="1" ht="15.75" customHeight="1" x14ac:dyDescent="0.25">
      <c r="A498" s="74" t="s">
        <v>205</v>
      </c>
      <c r="B498" s="75"/>
      <c r="C498" s="75"/>
      <c r="D498" s="75"/>
      <c r="E498" s="75"/>
      <c r="F498" s="75"/>
      <c r="G498" s="75"/>
      <c r="H498" s="76"/>
    </row>
    <row r="499" spans="1:8" s="2" customFormat="1" ht="15.75" customHeight="1" x14ac:dyDescent="0.25">
      <c r="A499" s="77">
        <v>1</v>
      </c>
      <c r="B499" s="78"/>
      <c r="C499" s="43" t="s">
        <v>160</v>
      </c>
      <c r="D499" s="44">
        <f>30.94*10.764</f>
        <v>333.03816</v>
      </c>
      <c r="E499" s="43">
        <v>0</v>
      </c>
      <c r="F499" s="43">
        <f t="shared" ref="F499:F509" si="11">D499*1.5+E499</f>
        <v>499.55723999999998</v>
      </c>
      <c r="G499" s="79" t="str">
        <f>A498</f>
        <v>1st Floor</v>
      </c>
      <c r="H499" s="80"/>
    </row>
    <row r="500" spans="1:8" s="2" customFormat="1" x14ac:dyDescent="0.25">
      <c r="A500" s="77">
        <v>2</v>
      </c>
      <c r="B500" s="78"/>
      <c r="C500" s="43" t="s">
        <v>160</v>
      </c>
      <c r="D500" s="44">
        <f>30.94*10.764</f>
        <v>333.03816</v>
      </c>
      <c r="E500" s="43">
        <v>0</v>
      </c>
      <c r="F500" s="43">
        <f t="shared" si="11"/>
        <v>499.55723999999998</v>
      </c>
      <c r="G500" s="81"/>
      <c r="H500" s="82"/>
    </row>
    <row r="501" spans="1:8" s="2" customFormat="1" ht="15.75" customHeight="1" x14ac:dyDescent="0.25">
      <c r="A501" s="77">
        <v>3</v>
      </c>
      <c r="B501" s="78"/>
      <c r="C501" s="111" t="s">
        <v>162</v>
      </c>
      <c r="D501" s="112"/>
      <c r="E501" s="112"/>
      <c r="F501" s="78"/>
      <c r="G501" s="81"/>
      <c r="H501" s="82"/>
    </row>
    <row r="502" spans="1:8" s="2" customFormat="1" x14ac:dyDescent="0.25">
      <c r="A502" s="77">
        <v>4</v>
      </c>
      <c r="B502" s="78"/>
      <c r="C502" s="111" t="s">
        <v>162</v>
      </c>
      <c r="D502" s="112"/>
      <c r="E502" s="112"/>
      <c r="F502" s="78"/>
      <c r="G502" s="81"/>
      <c r="H502" s="82"/>
    </row>
    <row r="503" spans="1:8" s="2" customFormat="1" x14ac:dyDescent="0.25">
      <c r="A503" s="77">
        <v>5</v>
      </c>
      <c r="B503" s="78"/>
      <c r="C503" s="43" t="s">
        <v>160</v>
      </c>
      <c r="D503" s="44">
        <f>30.94*10.764</f>
        <v>333.03816</v>
      </c>
      <c r="E503" s="43">
        <v>0</v>
      </c>
      <c r="F503" s="43">
        <f t="shared" si="11"/>
        <v>499.55723999999998</v>
      </c>
      <c r="G503" s="81"/>
      <c r="H503" s="82"/>
    </row>
    <row r="504" spans="1:8" s="2" customFormat="1" x14ac:dyDescent="0.25">
      <c r="A504" s="77">
        <v>6</v>
      </c>
      <c r="B504" s="78"/>
      <c r="C504" s="43" t="s">
        <v>160</v>
      </c>
      <c r="D504" s="44">
        <f>40.85*10.764</f>
        <v>439.70940000000002</v>
      </c>
      <c r="E504" s="43">
        <v>0</v>
      </c>
      <c r="F504" s="43">
        <f t="shared" si="11"/>
        <v>659.56410000000005</v>
      </c>
      <c r="G504" s="81"/>
      <c r="H504" s="82"/>
    </row>
    <row r="505" spans="1:8" s="2" customFormat="1" x14ac:dyDescent="0.25">
      <c r="A505" s="77">
        <v>7</v>
      </c>
      <c r="B505" s="78"/>
      <c r="C505" s="43" t="s">
        <v>159</v>
      </c>
      <c r="D505" s="44">
        <f>51.84*10.764</f>
        <v>558.00576000000001</v>
      </c>
      <c r="E505" s="43">
        <v>0</v>
      </c>
      <c r="F505" s="43">
        <f t="shared" si="11"/>
        <v>837.00864000000001</v>
      </c>
      <c r="G505" s="81"/>
      <c r="H505" s="82"/>
    </row>
    <row r="506" spans="1:8" s="2" customFormat="1" x14ac:dyDescent="0.25">
      <c r="A506" s="77">
        <v>8</v>
      </c>
      <c r="B506" s="78"/>
      <c r="C506" s="43" t="s">
        <v>160</v>
      </c>
      <c r="D506" s="44">
        <f>31.22*10.764</f>
        <v>336.05207999999999</v>
      </c>
      <c r="E506" s="43">
        <v>0</v>
      </c>
      <c r="F506" s="43">
        <f t="shared" ref="F506:F507" si="12">D506*1.5+E506</f>
        <v>504.07812000000001</v>
      </c>
      <c r="G506" s="81"/>
      <c r="H506" s="82"/>
    </row>
    <row r="507" spans="1:8" s="2" customFormat="1" ht="15.75" customHeight="1" x14ac:dyDescent="0.25">
      <c r="A507" s="77">
        <v>9</v>
      </c>
      <c r="B507" s="78"/>
      <c r="C507" s="43" t="s">
        <v>160</v>
      </c>
      <c r="D507" s="44">
        <f>31.22*10.764</f>
        <v>336.05207999999999</v>
      </c>
      <c r="E507" s="43">
        <v>0</v>
      </c>
      <c r="F507" s="43">
        <f t="shared" si="12"/>
        <v>504.07812000000001</v>
      </c>
      <c r="G507" s="81"/>
      <c r="H507" s="82"/>
    </row>
    <row r="508" spans="1:8" s="2" customFormat="1" x14ac:dyDescent="0.25">
      <c r="A508" s="77">
        <v>10</v>
      </c>
      <c r="B508" s="78"/>
      <c r="C508" s="43" t="s">
        <v>159</v>
      </c>
      <c r="D508" s="44">
        <f>49.14*10.764</f>
        <v>528.94295999999997</v>
      </c>
      <c r="E508" s="43">
        <v>0</v>
      </c>
      <c r="F508" s="43">
        <f t="shared" si="11"/>
        <v>793.41444000000001</v>
      </c>
      <c r="G508" s="81"/>
      <c r="H508" s="82"/>
    </row>
    <row r="509" spans="1:8" s="2" customFormat="1" ht="15.75" customHeight="1" x14ac:dyDescent="0.25">
      <c r="A509" s="77">
        <v>11</v>
      </c>
      <c r="B509" s="78"/>
      <c r="C509" s="43" t="s">
        <v>159</v>
      </c>
      <c r="D509" s="44">
        <f>49.14*10.764</f>
        <v>528.94295999999997</v>
      </c>
      <c r="E509" s="43">
        <v>0</v>
      </c>
      <c r="F509" s="43">
        <f t="shared" si="11"/>
        <v>793.41444000000001</v>
      </c>
      <c r="G509" s="81"/>
      <c r="H509" s="82"/>
    </row>
    <row r="510" spans="1:8" s="2" customFormat="1" x14ac:dyDescent="0.25">
      <c r="A510" s="77">
        <v>12</v>
      </c>
      <c r="B510" s="78"/>
      <c r="C510" s="111" t="s">
        <v>162</v>
      </c>
      <c r="D510" s="112"/>
      <c r="E510" s="112"/>
      <c r="F510" s="78"/>
      <c r="G510" s="81"/>
      <c r="H510" s="82"/>
    </row>
    <row r="511" spans="1:8" s="2" customFormat="1" ht="15.75" customHeight="1" x14ac:dyDescent="0.25">
      <c r="A511" s="74" t="s">
        <v>207</v>
      </c>
      <c r="B511" s="75"/>
      <c r="C511" s="75"/>
      <c r="D511" s="75"/>
      <c r="E511" s="75"/>
      <c r="F511" s="75"/>
      <c r="G511" s="75"/>
      <c r="H511" s="76"/>
    </row>
    <row r="512" spans="1:8" s="2" customFormat="1" ht="15.75" customHeight="1" x14ac:dyDescent="0.25">
      <c r="A512" s="77">
        <v>1</v>
      </c>
      <c r="B512" s="78"/>
      <c r="C512" s="43" t="s">
        <v>160</v>
      </c>
      <c r="D512" s="44">
        <f>30.94*10.764</f>
        <v>333.03816</v>
      </c>
      <c r="E512" s="43">
        <v>0</v>
      </c>
      <c r="F512" s="43">
        <f t="shared" ref="F512:F523" si="13">D512*1.5+E512</f>
        <v>499.55723999999998</v>
      </c>
      <c r="G512" s="79" t="str">
        <f>A511</f>
        <v>2nd to 7th, 9th to 13th, 15th to 18th, 20th to 23rd, 25th to 28th, 30th to 32nd Floor</v>
      </c>
      <c r="H512" s="80"/>
    </row>
    <row r="513" spans="1:8" s="2" customFormat="1" x14ac:dyDescent="0.25">
      <c r="A513" s="77">
        <v>2</v>
      </c>
      <c r="B513" s="78"/>
      <c r="C513" s="43" t="s">
        <v>160</v>
      </c>
      <c r="D513" s="44">
        <f>30.94*10.764</f>
        <v>333.03816</v>
      </c>
      <c r="E513" s="43">
        <v>0</v>
      </c>
      <c r="F513" s="43">
        <f t="shared" si="13"/>
        <v>499.55723999999998</v>
      </c>
      <c r="G513" s="81"/>
      <c r="H513" s="82"/>
    </row>
    <row r="514" spans="1:8" s="2" customFormat="1" ht="15.75" customHeight="1" x14ac:dyDescent="0.25">
      <c r="A514" s="77">
        <v>3</v>
      </c>
      <c r="B514" s="78"/>
      <c r="C514" s="43" t="s">
        <v>160</v>
      </c>
      <c r="D514" s="44">
        <f>31.02*10.764</f>
        <v>333.89927999999998</v>
      </c>
      <c r="E514" s="44">
        <v>0</v>
      </c>
      <c r="F514" s="43">
        <f t="shared" si="13"/>
        <v>500.84891999999996</v>
      </c>
      <c r="G514" s="81"/>
      <c r="H514" s="82"/>
    </row>
    <row r="515" spans="1:8" s="2" customFormat="1" x14ac:dyDescent="0.25">
      <c r="A515" s="77">
        <v>4</v>
      </c>
      <c r="B515" s="78"/>
      <c r="C515" s="43" t="s">
        <v>160</v>
      </c>
      <c r="D515" s="44">
        <f>31.02*10.764</f>
        <v>333.89927999999998</v>
      </c>
      <c r="E515" s="43">
        <v>0</v>
      </c>
      <c r="F515" s="43">
        <f t="shared" si="13"/>
        <v>500.84891999999996</v>
      </c>
      <c r="G515" s="81"/>
      <c r="H515" s="82"/>
    </row>
    <row r="516" spans="1:8" s="2" customFormat="1" x14ac:dyDescent="0.25">
      <c r="A516" s="77">
        <v>5</v>
      </c>
      <c r="B516" s="78"/>
      <c r="C516" s="43" t="s">
        <v>160</v>
      </c>
      <c r="D516" s="44">
        <f>30.94*10.764</f>
        <v>333.03816</v>
      </c>
      <c r="E516" s="43">
        <v>0</v>
      </c>
      <c r="F516" s="43">
        <f t="shared" si="13"/>
        <v>499.55723999999998</v>
      </c>
      <c r="G516" s="81"/>
      <c r="H516" s="82"/>
    </row>
    <row r="517" spans="1:8" s="2" customFormat="1" x14ac:dyDescent="0.25">
      <c r="A517" s="77">
        <v>6</v>
      </c>
      <c r="B517" s="78"/>
      <c r="C517" s="43" t="s">
        <v>160</v>
      </c>
      <c r="D517" s="44">
        <f>40.85*10.764</f>
        <v>439.70940000000002</v>
      </c>
      <c r="E517" s="43">
        <v>0</v>
      </c>
      <c r="F517" s="43">
        <f t="shared" si="13"/>
        <v>659.56410000000005</v>
      </c>
      <c r="G517" s="81"/>
      <c r="H517" s="82"/>
    </row>
    <row r="518" spans="1:8" s="2" customFormat="1" x14ac:dyDescent="0.25">
      <c r="A518" s="77">
        <v>7</v>
      </c>
      <c r="B518" s="78"/>
      <c r="C518" s="43" t="s">
        <v>159</v>
      </c>
      <c r="D518" s="44">
        <f>51.84*10.764</f>
        <v>558.00576000000001</v>
      </c>
      <c r="E518" s="43">
        <v>0</v>
      </c>
      <c r="F518" s="43">
        <f t="shared" si="13"/>
        <v>837.00864000000001</v>
      </c>
      <c r="G518" s="81"/>
      <c r="H518" s="82"/>
    </row>
    <row r="519" spans="1:8" s="2" customFormat="1" x14ac:dyDescent="0.25">
      <c r="A519" s="77">
        <v>8</v>
      </c>
      <c r="B519" s="78"/>
      <c r="C519" s="43" t="s">
        <v>160</v>
      </c>
      <c r="D519" s="44">
        <f>31.22*10.764</f>
        <v>336.05207999999999</v>
      </c>
      <c r="E519" s="43">
        <v>0</v>
      </c>
      <c r="F519" s="43">
        <f t="shared" si="13"/>
        <v>504.07812000000001</v>
      </c>
      <c r="G519" s="81"/>
      <c r="H519" s="82"/>
    </row>
    <row r="520" spans="1:8" s="2" customFormat="1" ht="15.75" customHeight="1" x14ac:dyDescent="0.25">
      <c r="A520" s="77">
        <v>9</v>
      </c>
      <c r="B520" s="78"/>
      <c r="C520" s="43" t="s">
        <v>160</v>
      </c>
      <c r="D520" s="44">
        <f>31.22*10.764</f>
        <v>336.05207999999999</v>
      </c>
      <c r="E520" s="43">
        <v>0</v>
      </c>
      <c r="F520" s="43">
        <f t="shared" si="13"/>
        <v>504.07812000000001</v>
      </c>
      <c r="G520" s="81"/>
      <c r="H520" s="82"/>
    </row>
    <row r="521" spans="1:8" s="2" customFormat="1" x14ac:dyDescent="0.25">
      <c r="A521" s="77">
        <v>10</v>
      </c>
      <c r="B521" s="78"/>
      <c r="C521" s="43" t="s">
        <v>159</v>
      </c>
      <c r="D521" s="44">
        <f>49.14*10.764</f>
        <v>528.94295999999997</v>
      </c>
      <c r="E521" s="43">
        <v>0</v>
      </c>
      <c r="F521" s="43">
        <f t="shared" ref="F521:F522" si="14">D521*1.5+E521</f>
        <v>793.41444000000001</v>
      </c>
      <c r="G521" s="81"/>
      <c r="H521" s="82"/>
    </row>
    <row r="522" spans="1:8" s="2" customFormat="1" ht="15.75" customHeight="1" x14ac:dyDescent="0.25">
      <c r="A522" s="77">
        <v>11</v>
      </c>
      <c r="B522" s="78"/>
      <c r="C522" s="43" t="s">
        <v>159</v>
      </c>
      <c r="D522" s="44">
        <f>49.14*10.764</f>
        <v>528.94295999999997</v>
      </c>
      <c r="E522" s="43">
        <v>0</v>
      </c>
      <c r="F522" s="43">
        <f t="shared" si="14"/>
        <v>793.41444000000001</v>
      </c>
      <c r="G522" s="81"/>
      <c r="H522" s="82"/>
    </row>
    <row r="523" spans="1:8" s="2" customFormat="1" x14ac:dyDescent="0.25">
      <c r="A523" s="77">
        <v>12</v>
      </c>
      <c r="B523" s="78"/>
      <c r="C523" s="43" t="s">
        <v>160</v>
      </c>
      <c r="D523" s="44">
        <f>41.02*10.764</f>
        <v>441.53928000000002</v>
      </c>
      <c r="E523" s="43">
        <v>0</v>
      </c>
      <c r="F523" s="43">
        <f t="shared" si="13"/>
        <v>662.30892000000006</v>
      </c>
      <c r="G523" s="81"/>
      <c r="H523" s="82"/>
    </row>
    <row r="524" spans="1:8" s="2" customFormat="1" ht="15.75" customHeight="1" x14ac:dyDescent="0.25">
      <c r="A524" s="74" t="s">
        <v>176</v>
      </c>
      <c r="B524" s="75"/>
      <c r="C524" s="75"/>
      <c r="D524" s="75"/>
      <c r="E524" s="75"/>
      <c r="F524" s="75"/>
      <c r="G524" s="75"/>
      <c r="H524" s="76"/>
    </row>
    <row r="525" spans="1:8" s="2" customFormat="1" ht="15.75" customHeight="1" x14ac:dyDescent="0.25">
      <c r="A525" s="77">
        <v>1</v>
      </c>
      <c r="B525" s="78"/>
      <c r="C525" s="43" t="s">
        <v>160</v>
      </c>
      <c r="D525" s="44">
        <f>30.94*10.764</f>
        <v>333.03816</v>
      </c>
      <c r="E525" s="43">
        <v>0</v>
      </c>
      <c r="F525" s="43">
        <f t="shared" ref="F525:F530" si="15">D525*1.5+E525</f>
        <v>499.55723999999998</v>
      </c>
      <c r="G525" s="79" t="str">
        <f>A524</f>
        <v>8th Floor (Part Refuge Area)</v>
      </c>
      <c r="H525" s="80"/>
    </row>
    <row r="526" spans="1:8" s="2" customFormat="1" x14ac:dyDescent="0.25">
      <c r="A526" s="77">
        <v>2</v>
      </c>
      <c r="B526" s="78"/>
      <c r="C526" s="43" t="s">
        <v>160</v>
      </c>
      <c r="D526" s="44">
        <f>30.94*10.764</f>
        <v>333.03816</v>
      </c>
      <c r="E526" s="43">
        <v>0</v>
      </c>
      <c r="F526" s="43">
        <f t="shared" si="15"/>
        <v>499.55723999999998</v>
      </c>
      <c r="G526" s="81"/>
      <c r="H526" s="82"/>
    </row>
    <row r="527" spans="1:8" s="2" customFormat="1" ht="15.75" customHeight="1" x14ac:dyDescent="0.25">
      <c r="A527" s="77">
        <v>3</v>
      </c>
      <c r="B527" s="78"/>
      <c r="C527" s="43" t="s">
        <v>160</v>
      </c>
      <c r="D527" s="44">
        <f>31.02*10.764</f>
        <v>333.89927999999998</v>
      </c>
      <c r="E527" s="44">
        <v>0</v>
      </c>
      <c r="F527" s="43">
        <f t="shared" si="15"/>
        <v>500.84891999999996</v>
      </c>
      <c r="G527" s="81"/>
      <c r="H527" s="82"/>
    </row>
    <row r="528" spans="1:8" s="2" customFormat="1" x14ac:dyDescent="0.25">
      <c r="A528" s="77">
        <v>4</v>
      </c>
      <c r="B528" s="78"/>
      <c r="C528" s="43" t="s">
        <v>160</v>
      </c>
      <c r="D528" s="44">
        <f>31.02*10.764</f>
        <v>333.89927999999998</v>
      </c>
      <c r="E528" s="43">
        <v>0</v>
      </c>
      <c r="F528" s="43">
        <f t="shared" si="15"/>
        <v>500.84891999999996</v>
      </c>
      <c r="G528" s="81"/>
      <c r="H528" s="82"/>
    </row>
    <row r="529" spans="1:8" s="2" customFormat="1" x14ac:dyDescent="0.25">
      <c r="A529" s="77">
        <v>5</v>
      </c>
      <c r="B529" s="78"/>
      <c r="C529" s="43" t="s">
        <v>160</v>
      </c>
      <c r="D529" s="44">
        <f>30.94*10.764</f>
        <v>333.03816</v>
      </c>
      <c r="E529" s="43">
        <v>0</v>
      </c>
      <c r="F529" s="43">
        <f t="shared" si="15"/>
        <v>499.55723999999998</v>
      </c>
      <c r="G529" s="81"/>
      <c r="H529" s="82"/>
    </row>
    <row r="530" spans="1:8" s="2" customFormat="1" x14ac:dyDescent="0.25">
      <c r="A530" s="77">
        <v>6</v>
      </c>
      <c r="B530" s="78"/>
      <c r="C530" s="43" t="s">
        <v>160</v>
      </c>
      <c r="D530" s="44">
        <f>40.85*10.764</f>
        <v>439.70940000000002</v>
      </c>
      <c r="E530" s="43">
        <v>0</v>
      </c>
      <c r="F530" s="43">
        <f t="shared" si="15"/>
        <v>659.56410000000005</v>
      </c>
      <c r="G530" s="81"/>
      <c r="H530" s="82"/>
    </row>
    <row r="531" spans="1:8" s="2" customFormat="1" x14ac:dyDescent="0.25">
      <c r="A531" s="77">
        <v>7</v>
      </c>
      <c r="B531" s="78"/>
      <c r="C531" s="111" t="s">
        <v>161</v>
      </c>
      <c r="D531" s="112"/>
      <c r="E531" s="112"/>
      <c r="F531" s="78"/>
      <c r="G531" s="81"/>
      <c r="H531" s="82"/>
    </row>
    <row r="532" spans="1:8" s="2" customFormat="1" x14ac:dyDescent="0.25">
      <c r="A532" s="77">
        <v>8</v>
      </c>
      <c r="B532" s="78"/>
      <c r="C532" s="43" t="s">
        <v>160</v>
      </c>
      <c r="D532" s="44">
        <f>31.22*10.764</f>
        <v>336.05207999999999</v>
      </c>
      <c r="E532" s="43">
        <v>0</v>
      </c>
      <c r="F532" s="43">
        <f t="shared" ref="F532:F536" si="16">D532*1.5+E532</f>
        <v>504.07812000000001</v>
      </c>
      <c r="G532" s="81"/>
      <c r="H532" s="82"/>
    </row>
    <row r="533" spans="1:8" s="2" customFormat="1" ht="15.75" customHeight="1" x14ac:dyDescent="0.25">
      <c r="A533" s="77">
        <v>9</v>
      </c>
      <c r="B533" s="78"/>
      <c r="C533" s="43" t="s">
        <v>160</v>
      </c>
      <c r="D533" s="44">
        <f>31.22*10.764</f>
        <v>336.05207999999999</v>
      </c>
      <c r="E533" s="43">
        <v>0</v>
      </c>
      <c r="F533" s="43">
        <f t="shared" si="16"/>
        <v>504.07812000000001</v>
      </c>
      <c r="G533" s="81"/>
      <c r="H533" s="82"/>
    </row>
    <row r="534" spans="1:8" s="2" customFormat="1" x14ac:dyDescent="0.25">
      <c r="A534" s="77">
        <v>10</v>
      </c>
      <c r="B534" s="78"/>
      <c r="C534" s="43" t="s">
        <v>159</v>
      </c>
      <c r="D534" s="44">
        <f>49.14*10.764</f>
        <v>528.94295999999997</v>
      </c>
      <c r="E534" s="43">
        <v>0</v>
      </c>
      <c r="F534" s="43">
        <f t="shared" si="16"/>
        <v>793.41444000000001</v>
      </c>
      <c r="G534" s="81"/>
      <c r="H534" s="82"/>
    </row>
    <row r="535" spans="1:8" s="2" customFormat="1" ht="15.75" customHeight="1" x14ac:dyDescent="0.25">
      <c r="A535" s="77">
        <v>11</v>
      </c>
      <c r="B535" s="78"/>
      <c r="C535" s="43" t="s">
        <v>159</v>
      </c>
      <c r="D535" s="44">
        <f>49.14*10.764</f>
        <v>528.94295999999997</v>
      </c>
      <c r="E535" s="43">
        <v>0</v>
      </c>
      <c r="F535" s="43">
        <f t="shared" si="16"/>
        <v>793.41444000000001</v>
      </c>
      <c r="G535" s="81"/>
      <c r="H535" s="82"/>
    </row>
    <row r="536" spans="1:8" s="2" customFormat="1" x14ac:dyDescent="0.25">
      <c r="A536" s="77">
        <v>12</v>
      </c>
      <c r="B536" s="78"/>
      <c r="C536" s="43" t="s">
        <v>160</v>
      </c>
      <c r="D536" s="44">
        <f>41.02*10.764</f>
        <v>441.53928000000002</v>
      </c>
      <c r="E536" s="43">
        <v>0</v>
      </c>
      <c r="F536" s="43">
        <f t="shared" si="16"/>
        <v>662.30892000000006</v>
      </c>
      <c r="G536" s="81"/>
      <c r="H536" s="82"/>
    </row>
    <row r="537" spans="1:8" s="2" customFormat="1" x14ac:dyDescent="0.25">
      <c r="A537" s="74" t="s">
        <v>180</v>
      </c>
      <c r="B537" s="75"/>
      <c r="C537" s="75"/>
      <c r="D537" s="75"/>
      <c r="E537" s="75"/>
      <c r="F537" s="75"/>
      <c r="G537" s="75"/>
      <c r="H537" s="76"/>
    </row>
    <row r="538" spans="1:8" s="2" customFormat="1" ht="15.75" customHeight="1" x14ac:dyDescent="0.25">
      <c r="A538" s="74" t="s">
        <v>177</v>
      </c>
      <c r="B538" s="75"/>
      <c r="C538" s="75"/>
      <c r="D538" s="75"/>
      <c r="E538" s="75"/>
      <c r="F538" s="75"/>
      <c r="G538" s="75"/>
      <c r="H538" s="76"/>
    </row>
    <row r="539" spans="1:8" s="2" customFormat="1" ht="15.75" customHeight="1" x14ac:dyDescent="0.25">
      <c r="A539" s="77">
        <v>1</v>
      </c>
      <c r="B539" s="78"/>
      <c r="C539" s="43" t="s">
        <v>160</v>
      </c>
      <c r="D539" s="44">
        <f>30.94*10.764</f>
        <v>333.03816</v>
      </c>
      <c r="E539" s="43">
        <v>0</v>
      </c>
      <c r="F539" s="43">
        <f t="shared" ref="F539:F544" si="17">D539*1.5+E539</f>
        <v>499.55723999999998</v>
      </c>
      <c r="G539" s="79" t="str">
        <f>A538</f>
        <v>14th, 19th &amp; 24th Floor (Part Refuge Area)</v>
      </c>
      <c r="H539" s="80"/>
    </row>
    <row r="540" spans="1:8" s="2" customFormat="1" x14ac:dyDescent="0.25">
      <c r="A540" s="77">
        <v>2</v>
      </c>
      <c r="B540" s="78"/>
      <c r="C540" s="43" t="s">
        <v>160</v>
      </c>
      <c r="D540" s="44">
        <f>30.94*10.764</f>
        <v>333.03816</v>
      </c>
      <c r="E540" s="43">
        <v>0</v>
      </c>
      <c r="F540" s="43">
        <f t="shared" si="17"/>
        <v>499.55723999999998</v>
      </c>
      <c r="G540" s="81"/>
      <c r="H540" s="82"/>
    </row>
    <row r="541" spans="1:8" s="2" customFormat="1" ht="15.75" customHeight="1" x14ac:dyDescent="0.25">
      <c r="A541" s="77">
        <v>3</v>
      </c>
      <c r="B541" s="78"/>
      <c r="C541" s="43" t="s">
        <v>160</v>
      </c>
      <c r="D541" s="44">
        <f>31.02*10.764</f>
        <v>333.89927999999998</v>
      </c>
      <c r="E541" s="44">
        <v>0</v>
      </c>
      <c r="F541" s="43">
        <f t="shared" si="17"/>
        <v>500.84891999999996</v>
      </c>
      <c r="G541" s="81"/>
      <c r="H541" s="82"/>
    </row>
    <row r="542" spans="1:8" s="2" customFormat="1" x14ac:dyDescent="0.25">
      <c r="A542" s="77">
        <v>4</v>
      </c>
      <c r="B542" s="78"/>
      <c r="C542" s="43" t="s">
        <v>160</v>
      </c>
      <c r="D542" s="44">
        <f>31.02*10.764</f>
        <v>333.89927999999998</v>
      </c>
      <c r="E542" s="43">
        <v>0</v>
      </c>
      <c r="F542" s="43">
        <f t="shared" si="17"/>
        <v>500.84891999999996</v>
      </c>
      <c r="G542" s="81"/>
      <c r="H542" s="82"/>
    </row>
    <row r="543" spans="1:8" s="2" customFormat="1" x14ac:dyDescent="0.25">
      <c r="A543" s="77">
        <v>5</v>
      </c>
      <c r="B543" s="78"/>
      <c r="C543" s="43" t="s">
        <v>160</v>
      </c>
      <c r="D543" s="44">
        <f>30.94*10.764</f>
        <v>333.03816</v>
      </c>
      <c r="E543" s="43">
        <v>0</v>
      </c>
      <c r="F543" s="43">
        <f t="shared" si="17"/>
        <v>499.55723999999998</v>
      </c>
      <c r="G543" s="81"/>
      <c r="H543" s="82"/>
    </row>
    <row r="544" spans="1:8" s="2" customFormat="1" x14ac:dyDescent="0.25">
      <c r="A544" s="77">
        <v>6</v>
      </c>
      <c r="B544" s="78"/>
      <c r="C544" s="43" t="s">
        <v>160</v>
      </c>
      <c r="D544" s="44">
        <f>40.85*10.764</f>
        <v>439.70940000000002</v>
      </c>
      <c r="E544" s="43">
        <v>0</v>
      </c>
      <c r="F544" s="43">
        <f t="shared" si="17"/>
        <v>659.56410000000005</v>
      </c>
      <c r="G544" s="81"/>
      <c r="H544" s="82"/>
    </row>
    <row r="545" spans="1:8" s="2" customFormat="1" x14ac:dyDescent="0.25">
      <c r="A545" s="77">
        <v>7</v>
      </c>
      <c r="B545" s="78"/>
      <c r="C545" s="111" t="s">
        <v>161</v>
      </c>
      <c r="D545" s="112"/>
      <c r="E545" s="112"/>
      <c r="F545" s="78"/>
      <c r="G545" s="81"/>
      <c r="H545" s="82"/>
    </row>
    <row r="546" spans="1:8" s="2" customFormat="1" x14ac:dyDescent="0.25">
      <c r="A546" s="77">
        <v>8</v>
      </c>
      <c r="B546" s="78"/>
      <c r="C546" s="43" t="s">
        <v>160</v>
      </c>
      <c r="D546" s="44">
        <f>31.22*10.764</f>
        <v>336.05207999999999</v>
      </c>
      <c r="E546" s="43">
        <v>0</v>
      </c>
      <c r="F546" s="43">
        <f t="shared" ref="F546:F550" si="18">D546*1.5+E546</f>
        <v>504.07812000000001</v>
      </c>
      <c r="G546" s="81"/>
      <c r="H546" s="82"/>
    </row>
    <row r="547" spans="1:8" s="2" customFormat="1" ht="15.75" customHeight="1" x14ac:dyDescent="0.25">
      <c r="A547" s="77">
        <v>9</v>
      </c>
      <c r="B547" s="78"/>
      <c r="C547" s="43" t="s">
        <v>160</v>
      </c>
      <c r="D547" s="44">
        <f>31.22*10.764</f>
        <v>336.05207999999999</v>
      </c>
      <c r="E547" s="43">
        <v>0</v>
      </c>
      <c r="F547" s="43">
        <f t="shared" si="18"/>
        <v>504.07812000000001</v>
      </c>
      <c r="G547" s="81"/>
      <c r="H547" s="82"/>
    </row>
    <row r="548" spans="1:8" s="2" customFormat="1" x14ac:dyDescent="0.25">
      <c r="A548" s="77">
        <v>10</v>
      </c>
      <c r="B548" s="78"/>
      <c r="C548" s="43" t="s">
        <v>159</v>
      </c>
      <c r="D548" s="44">
        <f>49.14*10.764</f>
        <v>528.94295999999997</v>
      </c>
      <c r="E548" s="43">
        <v>0</v>
      </c>
      <c r="F548" s="43">
        <f t="shared" si="18"/>
        <v>793.41444000000001</v>
      </c>
      <c r="G548" s="81"/>
      <c r="H548" s="82"/>
    </row>
    <row r="549" spans="1:8" s="2" customFormat="1" ht="15.75" customHeight="1" x14ac:dyDescent="0.25">
      <c r="A549" s="77">
        <v>11</v>
      </c>
      <c r="B549" s="78"/>
      <c r="C549" s="43" t="s">
        <v>159</v>
      </c>
      <c r="D549" s="44">
        <f>49.14*10.764</f>
        <v>528.94295999999997</v>
      </c>
      <c r="E549" s="43">
        <v>0</v>
      </c>
      <c r="F549" s="43">
        <f t="shared" si="18"/>
        <v>793.41444000000001</v>
      </c>
      <c r="G549" s="81"/>
      <c r="H549" s="82"/>
    </row>
    <row r="550" spans="1:8" s="2" customFormat="1" x14ac:dyDescent="0.25">
      <c r="A550" s="77">
        <v>12</v>
      </c>
      <c r="B550" s="78"/>
      <c r="C550" s="43" t="s">
        <v>160</v>
      </c>
      <c r="D550" s="44">
        <f>41.02*10.764</f>
        <v>441.53928000000002</v>
      </c>
      <c r="E550" s="43">
        <v>0</v>
      </c>
      <c r="F550" s="43">
        <f t="shared" si="18"/>
        <v>662.30892000000006</v>
      </c>
      <c r="G550" s="81"/>
      <c r="H550" s="82"/>
    </row>
    <row r="551" spans="1:8" s="2" customFormat="1" ht="15.75" customHeight="1" x14ac:dyDescent="0.25">
      <c r="A551" s="74" t="s">
        <v>178</v>
      </c>
      <c r="B551" s="75"/>
      <c r="C551" s="75"/>
      <c r="D551" s="75"/>
      <c r="E551" s="75"/>
      <c r="F551" s="75"/>
      <c r="G551" s="75"/>
      <c r="H551" s="76"/>
    </row>
    <row r="552" spans="1:8" s="2" customFormat="1" ht="15.75" customHeight="1" x14ac:dyDescent="0.25">
      <c r="A552" s="77">
        <v>1</v>
      </c>
      <c r="B552" s="78"/>
      <c r="C552" s="43" t="s">
        <v>160</v>
      </c>
      <c r="D552" s="44">
        <f>30.94*10.764</f>
        <v>333.03816</v>
      </c>
      <c r="E552" s="43">
        <v>0</v>
      </c>
      <c r="F552" s="43">
        <f t="shared" ref="F552:F557" si="19">D552*1.5+E552</f>
        <v>499.55723999999998</v>
      </c>
      <c r="G552" s="79" t="str">
        <f>A551</f>
        <v>29th Floor (Part Refuge Area)</v>
      </c>
      <c r="H552" s="80"/>
    </row>
    <row r="553" spans="1:8" s="2" customFormat="1" x14ac:dyDescent="0.25">
      <c r="A553" s="77">
        <v>2</v>
      </c>
      <c r="B553" s="78"/>
      <c r="C553" s="43" t="s">
        <v>160</v>
      </c>
      <c r="D553" s="44">
        <f>30.94*10.764</f>
        <v>333.03816</v>
      </c>
      <c r="E553" s="43">
        <v>0</v>
      </c>
      <c r="F553" s="43">
        <f t="shared" si="19"/>
        <v>499.55723999999998</v>
      </c>
      <c r="G553" s="81"/>
      <c r="H553" s="82"/>
    </row>
    <row r="554" spans="1:8" s="2" customFormat="1" ht="15.75" customHeight="1" x14ac:dyDescent="0.25">
      <c r="A554" s="77">
        <v>3</v>
      </c>
      <c r="B554" s="78"/>
      <c r="C554" s="43" t="s">
        <v>160</v>
      </c>
      <c r="D554" s="44">
        <f>31.02*10.764</f>
        <v>333.89927999999998</v>
      </c>
      <c r="E554" s="44">
        <v>0</v>
      </c>
      <c r="F554" s="43">
        <f t="shared" si="19"/>
        <v>500.84891999999996</v>
      </c>
      <c r="G554" s="81"/>
      <c r="H554" s="82"/>
    </row>
    <row r="555" spans="1:8" s="2" customFormat="1" x14ac:dyDescent="0.25">
      <c r="A555" s="77">
        <v>4</v>
      </c>
      <c r="B555" s="78"/>
      <c r="C555" s="43" t="s">
        <v>160</v>
      </c>
      <c r="D555" s="44">
        <f>31.02*10.764</f>
        <v>333.89927999999998</v>
      </c>
      <c r="E555" s="43">
        <v>0</v>
      </c>
      <c r="F555" s="43">
        <f t="shared" si="19"/>
        <v>500.84891999999996</v>
      </c>
      <c r="G555" s="81"/>
      <c r="H555" s="82"/>
    </row>
    <row r="556" spans="1:8" s="2" customFormat="1" x14ac:dyDescent="0.25">
      <c r="A556" s="77">
        <v>5</v>
      </c>
      <c r="B556" s="78"/>
      <c r="C556" s="43" t="s">
        <v>160</v>
      </c>
      <c r="D556" s="44">
        <f>30.94*10.764</f>
        <v>333.03816</v>
      </c>
      <c r="E556" s="43">
        <v>0</v>
      </c>
      <c r="F556" s="43">
        <f t="shared" si="19"/>
        <v>499.55723999999998</v>
      </c>
      <c r="G556" s="81"/>
      <c r="H556" s="82"/>
    </row>
    <row r="557" spans="1:8" s="2" customFormat="1" x14ac:dyDescent="0.25">
      <c r="A557" s="77">
        <v>6</v>
      </c>
      <c r="B557" s="78"/>
      <c r="C557" s="43" t="s">
        <v>160</v>
      </c>
      <c r="D557" s="44">
        <f>40.85*10.764</f>
        <v>439.70940000000002</v>
      </c>
      <c r="E557" s="43">
        <v>0</v>
      </c>
      <c r="F557" s="43">
        <f t="shared" si="19"/>
        <v>659.56410000000005</v>
      </c>
      <c r="G557" s="81"/>
      <c r="H557" s="82"/>
    </row>
    <row r="558" spans="1:8" s="2" customFormat="1" x14ac:dyDescent="0.25">
      <c r="A558" s="77">
        <v>7</v>
      </c>
      <c r="B558" s="78"/>
      <c r="C558" s="111" t="s">
        <v>161</v>
      </c>
      <c r="D558" s="112"/>
      <c r="E558" s="112"/>
      <c r="F558" s="78"/>
      <c r="G558" s="81"/>
      <c r="H558" s="82"/>
    </row>
    <row r="559" spans="1:8" s="2" customFormat="1" x14ac:dyDescent="0.25">
      <c r="A559" s="77">
        <v>8</v>
      </c>
      <c r="B559" s="78"/>
      <c r="C559" s="43" t="s">
        <v>160</v>
      </c>
      <c r="D559" s="44">
        <f>31.22*10.764</f>
        <v>336.05207999999999</v>
      </c>
      <c r="E559" s="43">
        <v>0</v>
      </c>
      <c r="F559" s="43">
        <f t="shared" ref="F559:F563" si="20">D559*1.5+E559</f>
        <v>504.07812000000001</v>
      </c>
      <c r="G559" s="81"/>
      <c r="H559" s="82"/>
    </row>
    <row r="560" spans="1:8" s="2" customFormat="1" ht="15.75" customHeight="1" x14ac:dyDescent="0.25">
      <c r="A560" s="77">
        <v>9</v>
      </c>
      <c r="B560" s="78"/>
      <c r="C560" s="43" t="s">
        <v>160</v>
      </c>
      <c r="D560" s="44">
        <f>31.22*10.764</f>
        <v>336.05207999999999</v>
      </c>
      <c r="E560" s="43">
        <v>0</v>
      </c>
      <c r="F560" s="43">
        <f t="shared" si="20"/>
        <v>504.07812000000001</v>
      </c>
      <c r="G560" s="81"/>
      <c r="H560" s="82"/>
    </row>
    <row r="561" spans="1:8" s="2" customFormat="1" x14ac:dyDescent="0.25">
      <c r="A561" s="77">
        <v>10</v>
      </c>
      <c r="B561" s="78"/>
      <c r="C561" s="43" t="s">
        <v>159</v>
      </c>
      <c r="D561" s="44">
        <f>49.14*10.764</f>
        <v>528.94295999999997</v>
      </c>
      <c r="E561" s="43">
        <v>0</v>
      </c>
      <c r="F561" s="43">
        <f t="shared" si="20"/>
        <v>793.41444000000001</v>
      </c>
      <c r="G561" s="81"/>
      <c r="H561" s="82"/>
    </row>
    <row r="562" spans="1:8" s="2" customFormat="1" ht="15.75" customHeight="1" x14ac:dyDescent="0.25">
      <c r="A562" s="77">
        <v>11</v>
      </c>
      <c r="B562" s="78"/>
      <c r="C562" s="43" t="s">
        <v>159</v>
      </c>
      <c r="D562" s="44">
        <f>49.14*10.764</f>
        <v>528.94295999999997</v>
      </c>
      <c r="E562" s="43">
        <v>0</v>
      </c>
      <c r="F562" s="43">
        <f t="shared" si="20"/>
        <v>793.41444000000001</v>
      </c>
      <c r="G562" s="81"/>
      <c r="H562" s="82"/>
    </row>
    <row r="563" spans="1:8" s="2" customFormat="1" x14ac:dyDescent="0.25">
      <c r="A563" s="77">
        <v>12</v>
      </c>
      <c r="B563" s="78"/>
      <c r="C563" s="43" t="s">
        <v>160</v>
      </c>
      <c r="D563" s="44">
        <f>41.02*10.764</f>
        <v>441.53928000000002</v>
      </c>
      <c r="E563" s="43">
        <v>0</v>
      </c>
      <c r="F563" s="43">
        <f t="shared" si="20"/>
        <v>662.30892000000006</v>
      </c>
      <c r="G563" s="81"/>
      <c r="H563" s="82"/>
    </row>
    <row r="564" spans="1:8" s="2" customFormat="1" x14ac:dyDescent="0.25">
      <c r="A564" s="74" t="s">
        <v>188</v>
      </c>
      <c r="B564" s="75"/>
      <c r="C564" s="75"/>
      <c r="D564" s="75"/>
      <c r="E564" s="75"/>
      <c r="F564" s="75"/>
      <c r="G564" s="75"/>
      <c r="H564" s="76"/>
    </row>
    <row r="565" spans="1:8" s="2" customFormat="1" x14ac:dyDescent="0.25">
      <c r="A565" s="74" t="s">
        <v>179</v>
      </c>
      <c r="B565" s="75"/>
      <c r="C565" s="75"/>
      <c r="D565" s="75"/>
      <c r="E565" s="75"/>
      <c r="F565" s="75"/>
      <c r="G565" s="75"/>
      <c r="H565" s="76"/>
    </row>
    <row r="566" spans="1:8" s="2" customFormat="1" ht="15.75" customHeight="1" x14ac:dyDescent="0.25">
      <c r="A566" s="74" t="s">
        <v>205</v>
      </c>
      <c r="B566" s="75"/>
      <c r="C566" s="75"/>
      <c r="D566" s="75"/>
      <c r="E566" s="75"/>
      <c r="F566" s="75"/>
      <c r="G566" s="75"/>
      <c r="H566" s="76"/>
    </row>
    <row r="567" spans="1:8" s="2" customFormat="1" ht="15.75" customHeight="1" x14ac:dyDescent="0.25">
      <c r="A567" s="77">
        <v>1</v>
      </c>
      <c r="B567" s="78"/>
      <c r="C567" s="43" t="s">
        <v>160</v>
      </c>
      <c r="D567" s="44">
        <f>31.22*10.764</f>
        <v>336.05207999999999</v>
      </c>
      <c r="E567" s="43">
        <v>0</v>
      </c>
      <c r="F567" s="43">
        <f t="shared" ref="F567:F575" si="21">D567*1.5+E567</f>
        <v>504.07812000000001</v>
      </c>
      <c r="G567" s="79" t="str">
        <f>A566</f>
        <v>1st Floor</v>
      </c>
      <c r="H567" s="80"/>
    </row>
    <row r="568" spans="1:8" s="2" customFormat="1" x14ac:dyDescent="0.25">
      <c r="A568" s="77">
        <v>2</v>
      </c>
      <c r="B568" s="78"/>
      <c r="C568" s="43" t="s">
        <v>160</v>
      </c>
      <c r="D568" s="44">
        <f>31.02*10.764</f>
        <v>333.89927999999998</v>
      </c>
      <c r="E568" s="43">
        <v>0</v>
      </c>
      <c r="F568" s="43">
        <f t="shared" si="21"/>
        <v>500.84891999999996</v>
      </c>
      <c r="G568" s="81"/>
      <c r="H568" s="82"/>
    </row>
    <row r="569" spans="1:8" s="2" customFormat="1" ht="15.75" customHeight="1" x14ac:dyDescent="0.25">
      <c r="A569" s="77">
        <v>3</v>
      </c>
      <c r="B569" s="78"/>
      <c r="C569" s="43" t="s">
        <v>160</v>
      </c>
      <c r="D569" s="44">
        <f>31.01*10.764</f>
        <v>333.79163999999997</v>
      </c>
      <c r="E569" s="44">
        <v>0</v>
      </c>
      <c r="F569" s="43">
        <f t="shared" si="21"/>
        <v>500.68745999999999</v>
      </c>
      <c r="G569" s="81"/>
      <c r="H569" s="82"/>
    </row>
    <row r="570" spans="1:8" s="2" customFormat="1" x14ac:dyDescent="0.25">
      <c r="A570" s="77">
        <v>4</v>
      </c>
      <c r="B570" s="78"/>
      <c r="C570" s="111" t="s">
        <v>162</v>
      </c>
      <c r="D570" s="112"/>
      <c r="E570" s="112"/>
      <c r="F570" s="78"/>
      <c r="G570" s="81"/>
      <c r="H570" s="82"/>
    </row>
    <row r="571" spans="1:8" s="2" customFormat="1" ht="15.75" customHeight="1" x14ac:dyDescent="0.25">
      <c r="A571" s="77">
        <v>5</v>
      </c>
      <c r="B571" s="78"/>
      <c r="C571" s="111" t="s">
        <v>162</v>
      </c>
      <c r="D571" s="112"/>
      <c r="E571" s="112"/>
      <c r="F571" s="78"/>
      <c r="G571" s="81"/>
      <c r="H571" s="82"/>
    </row>
    <row r="572" spans="1:8" s="2" customFormat="1" x14ac:dyDescent="0.25">
      <c r="A572" s="77">
        <v>6</v>
      </c>
      <c r="B572" s="78"/>
      <c r="C572" s="43" t="s">
        <v>159</v>
      </c>
      <c r="D572" s="44">
        <f>51.86*10.764</f>
        <v>558.22104000000002</v>
      </c>
      <c r="E572" s="43">
        <v>0</v>
      </c>
      <c r="F572" s="43">
        <f t="shared" si="21"/>
        <v>837.33156000000008</v>
      </c>
      <c r="G572" s="81"/>
      <c r="H572" s="82"/>
    </row>
    <row r="573" spans="1:8" s="2" customFormat="1" x14ac:dyDescent="0.25">
      <c r="A573" s="77">
        <v>7</v>
      </c>
      <c r="B573" s="78"/>
      <c r="C573" s="43" t="s">
        <v>160</v>
      </c>
      <c r="D573" s="44">
        <f>30.94*10.764</f>
        <v>333.03816</v>
      </c>
      <c r="E573" s="43">
        <v>0</v>
      </c>
      <c r="F573" s="43">
        <f t="shared" si="21"/>
        <v>499.55723999999998</v>
      </c>
      <c r="G573" s="81"/>
      <c r="H573" s="82"/>
    </row>
    <row r="574" spans="1:8" s="2" customFormat="1" x14ac:dyDescent="0.25">
      <c r="A574" s="77">
        <v>8</v>
      </c>
      <c r="B574" s="78"/>
      <c r="C574" s="43" t="s">
        <v>181</v>
      </c>
      <c r="D574" s="44">
        <f>73.43*10.764</f>
        <v>790.40052000000003</v>
      </c>
      <c r="E574" s="43">
        <v>0</v>
      </c>
      <c r="F574" s="43">
        <f t="shared" si="21"/>
        <v>1185.60078</v>
      </c>
      <c r="G574" s="81"/>
      <c r="H574" s="82"/>
    </row>
    <row r="575" spans="1:8" s="2" customFormat="1" ht="15.75" customHeight="1" x14ac:dyDescent="0.25">
      <c r="A575" s="77">
        <v>9</v>
      </c>
      <c r="B575" s="78"/>
      <c r="C575" s="43" t="s">
        <v>159</v>
      </c>
      <c r="D575" s="44">
        <f>60.09*10.764</f>
        <v>646.80876000000001</v>
      </c>
      <c r="E575" s="43">
        <v>0</v>
      </c>
      <c r="F575" s="43">
        <f t="shared" si="21"/>
        <v>970.21314000000007</v>
      </c>
      <c r="G575" s="81"/>
      <c r="H575" s="82"/>
    </row>
    <row r="576" spans="1:8" s="2" customFormat="1" x14ac:dyDescent="0.25">
      <c r="A576" s="77">
        <v>10</v>
      </c>
      <c r="B576" s="78"/>
      <c r="C576" s="43" t="s">
        <v>160</v>
      </c>
      <c r="D576" s="44">
        <f>31.22*10.764</f>
        <v>336.05207999999999</v>
      </c>
      <c r="E576" s="43">
        <v>0</v>
      </c>
      <c r="F576" s="43">
        <f t="shared" ref="F576" si="22">D576*1.5+E576</f>
        <v>504.07812000000001</v>
      </c>
      <c r="G576" s="83"/>
      <c r="H576" s="84"/>
    </row>
    <row r="577" spans="1:10" s="2" customFormat="1" ht="15.75" customHeight="1" x14ac:dyDescent="0.25">
      <c r="A577" s="74" t="s">
        <v>268</v>
      </c>
      <c r="B577" s="75"/>
      <c r="C577" s="75"/>
      <c r="D577" s="75"/>
      <c r="E577" s="75"/>
      <c r="F577" s="75"/>
      <c r="G577" s="75"/>
      <c r="H577" s="76"/>
    </row>
    <row r="578" spans="1:10" s="2" customFormat="1" ht="15.75" customHeight="1" x14ac:dyDescent="0.25">
      <c r="A578" s="77">
        <v>1</v>
      </c>
      <c r="B578" s="78"/>
      <c r="C578" s="43" t="s">
        <v>160</v>
      </c>
      <c r="D578" s="44">
        <f>31.22*10.764</f>
        <v>336.05207999999999</v>
      </c>
      <c r="E578" s="43">
        <v>0</v>
      </c>
      <c r="F578" s="43">
        <f t="shared" ref="F578:F581" si="23">D578*1.5+E578</f>
        <v>504.07812000000001</v>
      </c>
      <c r="G578" s="79" t="str">
        <f>A577</f>
        <v>2nd to 7th, 9th to 13th, 15th to 17th, 20th to 23rd, 25th to 28th, 30th to 32nd Floor</v>
      </c>
      <c r="H578" s="80"/>
    </row>
    <row r="579" spans="1:10" s="2" customFormat="1" x14ac:dyDescent="0.25">
      <c r="A579" s="77">
        <v>2</v>
      </c>
      <c r="B579" s="78"/>
      <c r="C579" s="43" t="s">
        <v>160</v>
      </c>
      <c r="D579" s="44">
        <f>31.02*10.764</f>
        <v>333.89927999999998</v>
      </c>
      <c r="E579" s="43">
        <v>0</v>
      </c>
      <c r="F579" s="43">
        <f t="shared" si="23"/>
        <v>500.84891999999996</v>
      </c>
      <c r="G579" s="81"/>
      <c r="H579" s="82"/>
    </row>
    <row r="580" spans="1:10" s="2" customFormat="1" ht="15.75" customHeight="1" x14ac:dyDescent="0.25">
      <c r="A580" s="77">
        <v>3</v>
      </c>
      <c r="B580" s="78"/>
      <c r="C580" s="43" t="s">
        <v>160</v>
      </c>
      <c r="D580" s="44">
        <f>31.01*10.764</f>
        <v>333.79163999999997</v>
      </c>
      <c r="E580" s="44">
        <v>0</v>
      </c>
      <c r="F580" s="43">
        <f t="shared" si="23"/>
        <v>500.68745999999999</v>
      </c>
      <c r="G580" s="81"/>
      <c r="H580" s="82"/>
    </row>
    <row r="581" spans="1:10" s="2" customFormat="1" x14ac:dyDescent="0.25">
      <c r="A581" s="77">
        <v>4</v>
      </c>
      <c r="B581" s="78"/>
      <c r="C581" s="43" t="s">
        <v>159</v>
      </c>
      <c r="D581" s="44">
        <f>45.94*10.764</f>
        <v>494.49815999999993</v>
      </c>
      <c r="E581" s="43">
        <v>0</v>
      </c>
      <c r="F581" s="43">
        <f t="shared" si="23"/>
        <v>741.74723999999992</v>
      </c>
      <c r="G581" s="81"/>
      <c r="H581" s="82"/>
    </row>
    <row r="582" spans="1:10" s="2" customFormat="1" x14ac:dyDescent="0.25">
      <c r="A582" s="77">
        <v>5</v>
      </c>
      <c r="B582" s="78"/>
      <c r="C582" s="43" t="s">
        <v>160</v>
      </c>
      <c r="D582" s="44">
        <f>43*10.764</f>
        <v>462.85199999999998</v>
      </c>
      <c r="E582" s="43">
        <v>0</v>
      </c>
      <c r="F582" s="43">
        <f t="shared" ref="F582:F587" si="24">D582*1.5+E582</f>
        <v>694.27800000000002</v>
      </c>
      <c r="G582" s="81"/>
      <c r="H582" s="82"/>
    </row>
    <row r="583" spans="1:10" s="2" customFormat="1" x14ac:dyDescent="0.25">
      <c r="A583" s="77">
        <v>6</v>
      </c>
      <c r="B583" s="78"/>
      <c r="C583" s="43" t="s">
        <v>159</v>
      </c>
      <c r="D583" s="44">
        <f>51.86*10.764</f>
        <v>558.22104000000002</v>
      </c>
      <c r="E583" s="43">
        <v>0</v>
      </c>
      <c r="F583" s="43">
        <f t="shared" si="24"/>
        <v>837.33156000000008</v>
      </c>
      <c r="G583" s="81"/>
      <c r="H583" s="82"/>
      <c r="I583" s="46">
        <f>5376350/F583</f>
        <v>6420.8137574558868</v>
      </c>
      <c r="J583" s="2">
        <f>I583-250</f>
        <v>6170.8137574558868</v>
      </c>
    </row>
    <row r="584" spans="1:10" s="2" customFormat="1" x14ac:dyDescent="0.25">
      <c r="A584" s="77">
        <v>7</v>
      </c>
      <c r="B584" s="78"/>
      <c r="C584" s="43" t="s">
        <v>160</v>
      </c>
      <c r="D584" s="44">
        <f>30.94*10.764</f>
        <v>333.03816</v>
      </c>
      <c r="E584" s="43">
        <v>0</v>
      </c>
      <c r="F584" s="43">
        <f t="shared" si="24"/>
        <v>499.55723999999998</v>
      </c>
      <c r="G584" s="81"/>
      <c r="H584" s="82"/>
    </row>
    <row r="585" spans="1:10" s="2" customFormat="1" x14ac:dyDescent="0.25">
      <c r="A585" s="77">
        <v>8</v>
      </c>
      <c r="B585" s="78"/>
      <c r="C585" s="43" t="s">
        <v>181</v>
      </c>
      <c r="D585" s="44">
        <f>73.43*10.764</f>
        <v>790.40052000000003</v>
      </c>
      <c r="E585" s="43">
        <v>0</v>
      </c>
      <c r="F585" s="43">
        <f t="shared" si="24"/>
        <v>1185.60078</v>
      </c>
      <c r="G585" s="81"/>
      <c r="H585" s="82"/>
      <c r="I585" s="46">
        <f>8480000/F585</f>
        <v>7152.4919205940469</v>
      </c>
      <c r="J585" s="46">
        <f>I585-200</f>
        <v>6952.4919205940469</v>
      </c>
    </row>
    <row r="586" spans="1:10" s="2" customFormat="1" ht="15.75" customHeight="1" x14ac:dyDescent="0.25">
      <c r="A586" s="77">
        <v>9</v>
      </c>
      <c r="B586" s="78"/>
      <c r="C586" s="43" t="s">
        <v>159</v>
      </c>
      <c r="D586" s="44">
        <f>60.09*10.764</f>
        <v>646.80876000000001</v>
      </c>
      <c r="E586" s="43">
        <v>0</v>
      </c>
      <c r="F586" s="43">
        <f t="shared" si="24"/>
        <v>970.21314000000007</v>
      </c>
      <c r="G586" s="81"/>
      <c r="H586" s="82"/>
    </row>
    <row r="587" spans="1:10" s="2" customFormat="1" x14ac:dyDescent="0.25">
      <c r="A587" s="77">
        <v>10</v>
      </c>
      <c r="B587" s="78"/>
      <c r="C587" s="43" t="s">
        <v>160</v>
      </c>
      <c r="D587" s="44">
        <f>31.22*10.764</f>
        <v>336.05207999999999</v>
      </c>
      <c r="E587" s="43">
        <v>0</v>
      </c>
      <c r="F587" s="43">
        <f t="shared" si="24"/>
        <v>504.07812000000001</v>
      </c>
      <c r="G587" s="83"/>
      <c r="H587" s="84"/>
    </row>
    <row r="588" spans="1:10" s="2" customFormat="1" ht="15.75" customHeight="1" x14ac:dyDescent="0.25">
      <c r="A588" s="74" t="s">
        <v>269</v>
      </c>
      <c r="B588" s="75"/>
      <c r="C588" s="75"/>
      <c r="D588" s="75"/>
      <c r="E588" s="75"/>
      <c r="F588" s="75"/>
      <c r="G588" s="75"/>
      <c r="H588" s="76"/>
    </row>
    <row r="589" spans="1:10" s="2" customFormat="1" ht="15.75" customHeight="1" x14ac:dyDescent="0.25">
      <c r="A589" s="77">
        <v>1</v>
      </c>
      <c r="B589" s="78"/>
      <c r="C589" s="66" t="s">
        <v>160</v>
      </c>
      <c r="D589" s="65">
        <f>31.22*10.764</f>
        <v>336.05207999999999</v>
      </c>
      <c r="E589" s="66">
        <v>0</v>
      </c>
      <c r="F589" s="66">
        <f t="shared" ref="F589:F598" si="25">D589*1.5+E589</f>
        <v>504.07812000000001</v>
      </c>
      <c r="G589" s="79" t="str">
        <f>A588</f>
        <v>18th Floor</v>
      </c>
      <c r="H589" s="80"/>
    </row>
    <row r="590" spans="1:10" s="2" customFormat="1" x14ac:dyDescent="0.25">
      <c r="A590" s="77">
        <v>2</v>
      </c>
      <c r="B590" s="78"/>
      <c r="C590" s="66" t="s">
        <v>160</v>
      </c>
      <c r="D590" s="65">
        <f>31.02*10.764</f>
        <v>333.89927999999998</v>
      </c>
      <c r="E590" s="66">
        <v>0</v>
      </c>
      <c r="F590" s="66">
        <f t="shared" si="25"/>
        <v>500.84891999999996</v>
      </c>
      <c r="G590" s="81"/>
      <c r="H590" s="82"/>
    </row>
    <row r="591" spans="1:10" s="2" customFormat="1" ht="15.75" customHeight="1" x14ac:dyDescent="0.25">
      <c r="A591" s="77">
        <v>3</v>
      </c>
      <c r="B591" s="78"/>
      <c r="C591" s="66" t="s">
        <v>160</v>
      </c>
      <c r="D591" s="65">
        <f>31.01*10.764</f>
        <v>333.79163999999997</v>
      </c>
      <c r="E591" s="65">
        <v>0</v>
      </c>
      <c r="F591" s="66">
        <f t="shared" si="25"/>
        <v>500.68745999999999</v>
      </c>
      <c r="G591" s="81"/>
      <c r="H591" s="82"/>
    </row>
    <row r="592" spans="1:10" s="2" customFormat="1" x14ac:dyDescent="0.25">
      <c r="A592" s="77">
        <v>4</v>
      </c>
      <c r="B592" s="78"/>
      <c r="C592" s="66" t="s">
        <v>159</v>
      </c>
      <c r="D592" s="65">
        <f>45.94*10.764</f>
        <v>494.49815999999993</v>
      </c>
      <c r="E592" s="66">
        <v>0</v>
      </c>
      <c r="F592" s="66">
        <f t="shared" si="25"/>
        <v>741.74723999999992</v>
      </c>
      <c r="G592" s="81"/>
      <c r="H592" s="82"/>
    </row>
    <row r="593" spans="1:14" s="2" customFormat="1" x14ac:dyDescent="0.25">
      <c r="A593" s="77">
        <v>5</v>
      </c>
      <c r="B593" s="78"/>
      <c r="C593" s="66" t="s">
        <v>160</v>
      </c>
      <c r="D593" s="65">
        <f>43*10.764</f>
        <v>462.85199999999998</v>
      </c>
      <c r="E593" s="66">
        <v>0</v>
      </c>
      <c r="F593" s="66">
        <f t="shared" si="25"/>
        <v>694.27800000000002</v>
      </c>
      <c r="G593" s="81"/>
      <c r="H593" s="82"/>
    </row>
    <row r="594" spans="1:14" s="2" customFormat="1" x14ac:dyDescent="0.25">
      <c r="A594" s="77">
        <v>6</v>
      </c>
      <c r="B594" s="78"/>
      <c r="C594" s="66" t="s">
        <v>159</v>
      </c>
      <c r="D594" s="65">
        <f>51.86*10.764</f>
        <v>558.22104000000002</v>
      </c>
      <c r="E594" s="66">
        <v>0</v>
      </c>
      <c r="F594" s="66">
        <f t="shared" si="25"/>
        <v>837.33156000000008</v>
      </c>
      <c r="G594" s="81"/>
      <c r="H594" s="82"/>
      <c r="I594" s="46"/>
    </row>
    <row r="595" spans="1:14" s="2" customFormat="1" x14ac:dyDescent="0.25">
      <c r="A595" s="77">
        <v>7</v>
      </c>
      <c r="B595" s="78"/>
      <c r="C595" s="66" t="s">
        <v>160</v>
      </c>
      <c r="D595" s="65">
        <f>30.94*10.764</f>
        <v>333.03816</v>
      </c>
      <c r="E595" s="66">
        <v>0</v>
      </c>
      <c r="F595" s="66">
        <f t="shared" si="25"/>
        <v>499.55723999999998</v>
      </c>
      <c r="G595" s="81"/>
      <c r="H595" s="82"/>
    </row>
    <row r="596" spans="1:14" s="2" customFormat="1" x14ac:dyDescent="0.25">
      <c r="A596" s="77">
        <v>8</v>
      </c>
      <c r="B596" s="78"/>
      <c r="C596" s="66" t="s">
        <v>181</v>
      </c>
      <c r="D596" s="65">
        <f>73.43*10.764</f>
        <v>790.40052000000003</v>
      </c>
      <c r="E596" s="66">
        <v>0</v>
      </c>
      <c r="F596" s="66">
        <v>1244</v>
      </c>
      <c r="G596" s="81"/>
      <c r="H596" s="82"/>
      <c r="I596" s="72" t="s">
        <v>270</v>
      </c>
      <c r="J596" s="73"/>
      <c r="K596" s="73"/>
      <c r="L596" s="73"/>
      <c r="M596" s="73"/>
      <c r="N596" s="73"/>
    </row>
    <row r="597" spans="1:14" s="2" customFormat="1" ht="15.75" customHeight="1" x14ac:dyDescent="0.25">
      <c r="A597" s="77">
        <v>9</v>
      </c>
      <c r="B597" s="78"/>
      <c r="C597" s="66" t="s">
        <v>159</v>
      </c>
      <c r="D597" s="65">
        <f>60.09*10.764</f>
        <v>646.80876000000001</v>
      </c>
      <c r="E597" s="66">
        <v>0</v>
      </c>
      <c r="F597" s="66">
        <f t="shared" si="25"/>
        <v>970.21314000000007</v>
      </c>
      <c r="G597" s="81"/>
      <c r="H597" s="82"/>
    </row>
    <row r="598" spans="1:14" s="2" customFormat="1" x14ac:dyDescent="0.25">
      <c r="A598" s="77">
        <v>10</v>
      </c>
      <c r="B598" s="78"/>
      <c r="C598" s="66" t="s">
        <v>160</v>
      </c>
      <c r="D598" s="65">
        <f>31.22*10.764</f>
        <v>336.05207999999999</v>
      </c>
      <c r="E598" s="66">
        <v>0</v>
      </c>
      <c r="F598" s="66">
        <f t="shared" si="25"/>
        <v>504.07812000000001</v>
      </c>
      <c r="G598" s="83"/>
      <c r="H598" s="84"/>
    </row>
    <row r="599" spans="1:14" s="2" customFormat="1" ht="15.75" customHeight="1" x14ac:dyDescent="0.25">
      <c r="A599" s="74" t="s">
        <v>187</v>
      </c>
      <c r="B599" s="75"/>
      <c r="C599" s="75"/>
      <c r="D599" s="75"/>
      <c r="E599" s="75"/>
      <c r="F599" s="75"/>
      <c r="G599" s="75"/>
      <c r="H599" s="76"/>
    </row>
    <row r="600" spans="1:14" s="2" customFormat="1" ht="15.75" customHeight="1" x14ac:dyDescent="0.25">
      <c r="A600" s="77">
        <v>1</v>
      </c>
      <c r="B600" s="78"/>
      <c r="C600" s="43" t="s">
        <v>160</v>
      </c>
      <c r="D600" s="44">
        <f>31.22*10.764</f>
        <v>336.05207999999999</v>
      </c>
      <c r="E600" s="43">
        <v>0</v>
      </c>
      <c r="F600" s="43">
        <f t="shared" ref="F600:F604" si="26">D600*1.5+E600</f>
        <v>504.07812000000001</v>
      </c>
      <c r="G600" s="79" t="str">
        <f>A599</f>
        <v>8th Floor</v>
      </c>
      <c r="H600" s="80"/>
    </row>
    <row r="601" spans="1:14" s="2" customFormat="1" x14ac:dyDescent="0.25">
      <c r="A601" s="77">
        <v>2</v>
      </c>
      <c r="B601" s="78"/>
      <c r="C601" s="43" t="s">
        <v>160</v>
      </c>
      <c r="D601" s="44">
        <f>31.02*10.764</f>
        <v>333.89927999999998</v>
      </c>
      <c r="E601" s="43">
        <v>0</v>
      </c>
      <c r="F601" s="43">
        <f t="shared" si="26"/>
        <v>500.84891999999996</v>
      </c>
      <c r="G601" s="81"/>
      <c r="H601" s="82"/>
    </row>
    <row r="602" spans="1:14" s="2" customFormat="1" ht="15.75" customHeight="1" x14ac:dyDescent="0.25">
      <c r="A602" s="77">
        <v>3</v>
      </c>
      <c r="B602" s="78"/>
      <c r="C602" s="43" t="s">
        <v>160</v>
      </c>
      <c r="D602" s="44">
        <f>31.01*10.764</f>
        <v>333.79163999999997</v>
      </c>
      <c r="E602" s="44">
        <v>0</v>
      </c>
      <c r="F602" s="43">
        <f t="shared" si="26"/>
        <v>500.68745999999999</v>
      </c>
      <c r="G602" s="81"/>
      <c r="H602" s="82"/>
    </row>
    <row r="603" spans="1:14" s="2" customFormat="1" x14ac:dyDescent="0.25">
      <c r="A603" s="77">
        <v>4</v>
      </c>
      <c r="B603" s="78"/>
      <c r="C603" s="43" t="s">
        <v>159</v>
      </c>
      <c r="D603" s="44">
        <f>45.94*10.764</f>
        <v>494.49815999999993</v>
      </c>
      <c r="E603" s="43">
        <v>0</v>
      </c>
      <c r="F603" s="43">
        <f t="shared" si="26"/>
        <v>741.74723999999992</v>
      </c>
      <c r="G603" s="81"/>
      <c r="H603" s="82"/>
    </row>
    <row r="604" spans="1:14" s="2" customFormat="1" x14ac:dyDescent="0.25">
      <c r="A604" s="77">
        <v>5</v>
      </c>
      <c r="B604" s="78"/>
      <c r="C604" s="43" t="s">
        <v>160</v>
      </c>
      <c r="D604" s="44">
        <f>43*10.764</f>
        <v>462.85199999999998</v>
      </c>
      <c r="E604" s="43">
        <v>0</v>
      </c>
      <c r="F604" s="43">
        <f t="shared" si="26"/>
        <v>694.27800000000002</v>
      </c>
      <c r="G604" s="81"/>
      <c r="H604" s="82"/>
    </row>
    <row r="605" spans="1:14" s="2" customFormat="1" x14ac:dyDescent="0.25">
      <c r="A605" s="77">
        <v>6</v>
      </c>
      <c r="B605" s="78"/>
      <c r="C605" s="111" t="s">
        <v>161</v>
      </c>
      <c r="D605" s="112"/>
      <c r="E605" s="112"/>
      <c r="F605" s="78"/>
      <c r="G605" s="81"/>
      <c r="H605" s="82"/>
    </row>
    <row r="606" spans="1:14" s="2" customFormat="1" x14ac:dyDescent="0.25">
      <c r="A606" s="77">
        <v>7</v>
      </c>
      <c r="B606" s="78"/>
      <c r="C606" s="43" t="s">
        <v>160</v>
      </c>
      <c r="D606" s="44">
        <f>30.94*10.764</f>
        <v>333.03816</v>
      </c>
      <c r="E606" s="43">
        <v>0</v>
      </c>
      <c r="F606" s="43">
        <f t="shared" ref="F606:F609" si="27">D606*1.5+E606</f>
        <v>499.55723999999998</v>
      </c>
      <c r="G606" s="81"/>
      <c r="H606" s="82"/>
    </row>
    <row r="607" spans="1:14" s="2" customFormat="1" x14ac:dyDescent="0.25">
      <c r="A607" s="77">
        <v>8</v>
      </c>
      <c r="B607" s="78"/>
      <c r="C607" s="43" t="s">
        <v>181</v>
      </c>
      <c r="D607" s="44">
        <f>73.43*10.764</f>
        <v>790.40052000000003</v>
      </c>
      <c r="E607" s="43">
        <v>0</v>
      </c>
      <c r="F607" s="43">
        <f t="shared" si="27"/>
        <v>1185.60078</v>
      </c>
      <c r="G607" s="81"/>
      <c r="H607" s="82"/>
    </row>
    <row r="608" spans="1:14" s="2" customFormat="1" ht="15.75" customHeight="1" x14ac:dyDescent="0.25">
      <c r="A608" s="77">
        <v>9</v>
      </c>
      <c r="B608" s="78"/>
      <c r="C608" s="43" t="s">
        <v>159</v>
      </c>
      <c r="D608" s="44">
        <f>60.09*10.764</f>
        <v>646.80876000000001</v>
      </c>
      <c r="E608" s="43">
        <v>0</v>
      </c>
      <c r="F608" s="43">
        <f t="shared" si="27"/>
        <v>970.21314000000007</v>
      </c>
      <c r="G608" s="81"/>
      <c r="H608" s="82"/>
    </row>
    <row r="609" spans="1:8" s="2" customFormat="1" x14ac:dyDescent="0.25">
      <c r="A609" s="77">
        <v>10</v>
      </c>
      <c r="B609" s="78"/>
      <c r="C609" s="43" t="s">
        <v>160</v>
      </c>
      <c r="D609" s="44">
        <f>31.22*10.764</f>
        <v>336.05207999999999</v>
      </c>
      <c r="E609" s="43">
        <v>0</v>
      </c>
      <c r="F609" s="43">
        <f t="shared" si="27"/>
        <v>504.07812000000001</v>
      </c>
      <c r="G609" s="81"/>
      <c r="H609" s="82"/>
    </row>
    <row r="610" spans="1:8" s="2" customFormat="1" x14ac:dyDescent="0.25">
      <c r="A610" s="74" t="s">
        <v>180</v>
      </c>
      <c r="B610" s="75"/>
      <c r="C610" s="75"/>
      <c r="D610" s="75"/>
      <c r="E610" s="75"/>
      <c r="F610" s="75"/>
      <c r="G610" s="75"/>
      <c r="H610" s="76"/>
    </row>
    <row r="611" spans="1:8" s="2" customFormat="1" ht="15.75" customHeight="1" x14ac:dyDescent="0.25">
      <c r="A611" s="74" t="s">
        <v>177</v>
      </c>
      <c r="B611" s="75"/>
      <c r="C611" s="75"/>
      <c r="D611" s="75"/>
      <c r="E611" s="75"/>
      <c r="F611" s="75"/>
      <c r="G611" s="75"/>
      <c r="H611" s="76"/>
    </row>
    <row r="612" spans="1:8" s="2" customFormat="1" ht="15.75" customHeight="1" x14ac:dyDescent="0.25">
      <c r="A612" s="77">
        <v>1</v>
      </c>
      <c r="B612" s="78"/>
      <c r="C612" s="43" t="s">
        <v>160</v>
      </c>
      <c r="D612" s="44">
        <f>31.22*10.764</f>
        <v>336.05207999999999</v>
      </c>
      <c r="E612" s="43">
        <v>0</v>
      </c>
      <c r="F612" s="43">
        <f t="shared" ref="F612:F616" si="28">D612*1.5+E612</f>
        <v>504.07812000000001</v>
      </c>
      <c r="G612" s="79" t="str">
        <f>A611</f>
        <v>14th, 19th &amp; 24th Floor (Part Refuge Area)</v>
      </c>
      <c r="H612" s="80"/>
    </row>
    <row r="613" spans="1:8" s="2" customFormat="1" x14ac:dyDescent="0.25">
      <c r="A613" s="77">
        <v>2</v>
      </c>
      <c r="B613" s="78"/>
      <c r="C613" s="43" t="s">
        <v>160</v>
      </c>
      <c r="D613" s="44">
        <f>31.02*10.764</f>
        <v>333.89927999999998</v>
      </c>
      <c r="E613" s="43">
        <v>0</v>
      </c>
      <c r="F613" s="43">
        <f t="shared" si="28"/>
        <v>500.84891999999996</v>
      </c>
      <c r="G613" s="81"/>
      <c r="H613" s="82"/>
    </row>
    <row r="614" spans="1:8" s="2" customFormat="1" ht="15.75" customHeight="1" x14ac:dyDescent="0.25">
      <c r="A614" s="77">
        <v>3</v>
      </c>
      <c r="B614" s="78"/>
      <c r="C614" s="43" t="s">
        <v>160</v>
      </c>
      <c r="D614" s="44">
        <f>31.01*10.764</f>
        <v>333.79163999999997</v>
      </c>
      <c r="E614" s="44">
        <v>0</v>
      </c>
      <c r="F614" s="43">
        <f t="shared" si="28"/>
        <v>500.68745999999999</v>
      </c>
      <c r="G614" s="81"/>
      <c r="H614" s="82"/>
    </row>
    <row r="615" spans="1:8" s="2" customFormat="1" x14ac:dyDescent="0.25">
      <c r="A615" s="77">
        <v>4</v>
      </c>
      <c r="B615" s="78"/>
      <c r="C615" s="43" t="s">
        <v>159</v>
      </c>
      <c r="D615" s="44">
        <f>45.94*10.764</f>
        <v>494.49815999999993</v>
      </c>
      <c r="E615" s="43">
        <v>0</v>
      </c>
      <c r="F615" s="43">
        <f t="shared" si="28"/>
        <v>741.74723999999992</v>
      </c>
      <c r="G615" s="81"/>
      <c r="H615" s="82"/>
    </row>
    <row r="616" spans="1:8" s="2" customFormat="1" x14ac:dyDescent="0.25">
      <c r="A616" s="77">
        <v>5</v>
      </c>
      <c r="B616" s="78"/>
      <c r="C616" s="43" t="s">
        <v>160</v>
      </c>
      <c r="D616" s="44">
        <f>43*10.764</f>
        <v>462.85199999999998</v>
      </c>
      <c r="E616" s="43">
        <v>0</v>
      </c>
      <c r="F616" s="43">
        <f t="shared" si="28"/>
        <v>694.27800000000002</v>
      </c>
      <c r="G616" s="81"/>
      <c r="H616" s="82"/>
    </row>
    <row r="617" spans="1:8" s="2" customFormat="1" x14ac:dyDescent="0.25">
      <c r="A617" s="77">
        <v>6</v>
      </c>
      <c r="B617" s="78"/>
      <c r="C617" s="111" t="s">
        <v>161</v>
      </c>
      <c r="D617" s="112"/>
      <c r="E617" s="112"/>
      <c r="F617" s="78"/>
      <c r="G617" s="81"/>
      <c r="H617" s="82"/>
    </row>
    <row r="618" spans="1:8" s="2" customFormat="1" x14ac:dyDescent="0.25">
      <c r="A618" s="77">
        <v>7</v>
      </c>
      <c r="B618" s="78"/>
      <c r="C618" s="43" t="s">
        <v>160</v>
      </c>
      <c r="D618" s="44">
        <f>30.94*10.764</f>
        <v>333.03816</v>
      </c>
      <c r="E618" s="43">
        <v>0</v>
      </c>
      <c r="F618" s="43">
        <f t="shared" ref="F618:F621" si="29">D618*1.5+E618</f>
        <v>499.55723999999998</v>
      </c>
      <c r="G618" s="81"/>
      <c r="H618" s="82"/>
    </row>
    <row r="619" spans="1:8" s="2" customFormat="1" x14ac:dyDescent="0.25">
      <c r="A619" s="77">
        <v>8</v>
      </c>
      <c r="B619" s="78"/>
      <c r="C619" s="43" t="s">
        <v>181</v>
      </c>
      <c r="D619" s="44">
        <f>73.43*10.764</f>
        <v>790.40052000000003</v>
      </c>
      <c r="E619" s="43">
        <v>0</v>
      </c>
      <c r="F619" s="43">
        <f t="shared" si="29"/>
        <v>1185.60078</v>
      </c>
      <c r="G619" s="81"/>
      <c r="H619" s="82"/>
    </row>
    <row r="620" spans="1:8" s="2" customFormat="1" ht="15.75" customHeight="1" x14ac:dyDescent="0.25">
      <c r="A620" s="77">
        <v>9</v>
      </c>
      <c r="B620" s="78"/>
      <c r="C620" s="43" t="s">
        <v>159</v>
      </c>
      <c r="D620" s="44">
        <f>60.09*10.764</f>
        <v>646.80876000000001</v>
      </c>
      <c r="E620" s="43">
        <v>0</v>
      </c>
      <c r="F620" s="43">
        <f t="shared" si="29"/>
        <v>970.21314000000007</v>
      </c>
      <c r="G620" s="81"/>
      <c r="H620" s="82"/>
    </row>
    <row r="621" spans="1:8" s="2" customFormat="1" x14ac:dyDescent="0.25">
      <c r="A621" s="77">
        <v>10</v>
      </c>
      <c r="B621" s="78"/>
      <c r="C621" s="43" t="s">
        <v>160</v>
      </c>
      <c r="D621" s="44">
        <f>31.22*10.764</f>
        <v>336.05207999999999</v>
      </c>
      <c r="E621" s="43">
        <v>0</v>
      </c>
      <c r="F621" s="43">
        <f t="shared" si="29"/>
        <v>504.07812000000001</v>
      </c>
      <c r="G621" s="81"/>
      <c r="H621" s="82"/>
    </row>
    <row r="622" spans="1:8" s="2" customFormat="1" ht="15.75" customHeight="1" x14ac:dyDescent="0.25">
      <c r="A622" s="74" t="s">
        <v>178</v>
      </c>
      <c r="B622" s="75"/>
      <c r="C622" s="75"/>
      <c r="D622" s="75"/>
      <c r="E622" s="75"/>
      <c r="F622" s="75"/>
      <c r="G622" s="75"/>
      <c r="H622" s="76"/>
    </row>
    <row r="623" spans="1:8" s="2" customFormat="1" ht="15.75" customHeight="1" x14ac:dyDescent="0.25">
      <c r="A623" s="77">
        <v>1</v>
      </c>
      <c r="B623" s="78"/>
      <c r="C623" s="43" t="s">
        <v>160</v>
      </c>
      <c r="D623" s="44">
        <f>31.22*10.764</f>
        <v>336.05207999999999</v>
      </c>
      <c r="E623" s="43">
        <v>0</v>
      </c>
      <c r="F623" s="43">
        <f t="shared" ref="F623:F627" si="30">D623*1.5+E623</f>
        <v>504.07812000000001</v>
      </c>
      <c r="G623" s="79" t="str">
        <f>A622</f>
        <v>29th Floor (Part Refuge Area)</v>
      </c>
      <c r="H623" s="80"/>
    </row>
    <row r="624" spans="1:8" s="2" customFormat="1" x14ac:dyDescent="0.25">
      <c r="A624" s="77">
        <v>2</v>
      </c>
      <c r="B624" s="78"/>
      <c r="C624" s="43" t="s">
        <v>160</v>
      </c>
      <c r="D624" s="44">
        <f>31.02*10.764</f>
        <v>333.89927999999998</v>
      </c>
      <c r="E624" s="43">
        <v>0</v>
      </c>
      <c r="F624" s="43">
        <f t="shared" si="30"/>
        <v>500.84891999999996</v>
      </c>
      <c r="G624" s="81"/>
      <c r="H624" s="82"/>
    </row>
    <row r="625" spans="1:8" s="2" customFormat="1" ht="15.75" customHeight="1" x14ac:dyDescent="0.25">
      <c r="A625" s="77">
        <v>3</v>
      </c>
      <c r="B625" s="78"/>
      <c r="C625" s="43" t="s">
        <v>160</v>
      </c>
      <c r="D625" s="44">
        <f>31.01*10.764</f>
        <v>333.79163999999997</v>
      </c>
      <c r="E625" s="44">
        <v>0</v>
      </c>
      <c r="F625" s="43">
        <f t="shared" si="30"/>
        <v>500.68745999999999</v>
      </c>
      <c r="G625" s="81"/>
      <c r="H625" s="82"/>
    </row>
    <row r="626" spans="1:8" s="2" customFormat="1" x14ac:dyDescent="0.25">
      <c r="A626" s="77">
        <v>4</v>
      </c>
      <c r="B626" s="78"/>
      <c r="C626" s="43" t="s">
        <v>159</v>
      </c>
      <c r="D626" s="44">
        <f>45.94*10.764</f>
        <v>494.49815999999993</v>
      </c>
      <c r="E626" s="43">
        <v>0</v>
      </c>
      <c r="F626" s="43">
        <f t="shared" si="30"/>
        <v>741.74723999999992</v>
      </c>
      <c r="G626" s="81"/>
      <c r="H626" s="82"/>
    </row>
    <row r="627" spans="1:8" s="2" customFormat="1" x14ac:dyDescent="0.25">
      <c r="A627" s="77">
        <v>5</v>
      </c>
      <c r="B627" s="78"/>
      <c r="C627" s="43" t="s">
        <v>160</v>
      </c>
      <c r="D627" s="44">
        <f>43*10.764</f>
        <v>462.85199999999998</v>
      </c>
      <c r="E627" s="43">
        <v>0</v>
      </c>
      <c r="F627" s="43">
        <f t="shared" si="30"/>
        <v>694.27800000000002</v>
      </c>
      <c r="G627" s="81"/>
      <c r="H627" s="82"/>
    </row>
    <row r="628" spans="1:8" s="2" customFormat="1" x14ac:dyDescent="0.25">
      <c r="A628" s="77">
        <v>6</v>
      </c>
      <c r="B628" s="78"/>
      <c r="C628" s="111" t="s">
        <v>161</v>
      </c>
      <c r="D628" s="112"/>
      <c r="E628" s="112"/>
      <c r="F628" s="78"/>
      <c r="G628" s="81"/>
      <c r="H628" s="82"/>
    </row>
    <row r="629" spans="1:8" s="2" customFormat="1" x14ac:dyDescent="0.25">
      <c r="A629" s="77">
        <v>7</v>
      </c>
      <c r="B629" s="78"/>
      <c r="C629" s="43" t="s">
        <v>160</v>
      </c>
      <c r="D629" s="44">
        <f>30.94*10.764</f>
        <v>333.03816</v>
      </c>
      <c r="E629" s="43">
        <v>0</v>
      </c>
      <c r="F629" s="43">
        <f t="shared" ref="F629:F632" si="31">D629*1.5+E629</f>
        <v>499.55723999999998</v>
      </c>
      <c r="G629" s="81"/>
      <c r="H629" s="82"/>
    </row>
    <row r="630" spans="1:8" s="2" customFormat="1" x14ac:dyDescent="0.25">
      <c r="A630" s="77">
        <v>8</v>
      </c>
      <c r="B630" s="78"/>
      <c r="C630" s="43" t="s">
        <v>181</v>
      </c>
      <c r="D630" s="44">
        <f>73.43*10.764</f>
        <v>790.40052000000003</v>
      </c>
      <c r="E630" s="43">
        <v>0</v>
      </c>
      <c r="F630" s="43">
        <f t="shared" si="31"/>
        <v>1185.60078</v>
      </c>
      <c r="G630" s="81"/>
      <c r="H630" s="82"/>
    </row>
    <row r="631" spans="1:8" s="2" customFormat="1" ht="15.75" customHeight="1" x14ac:dyDescent="0.25">
      <c r="A631" s="77">
        <v>9</v>
      </c>
      <c r="B631" s="78"/>
      <c r="C631" s="43" t="s">
        <v>159</v>
      </c>
      <c r="D631" s="44">
        <f>60.09*10.764</f>
        <v>646.80876000000001</v>
      </c>
      <c r="E631" s="43">
        <v>0</v>
      </c>
      <c r="F631" s="43">
        <f t="shared" si="31"/>
        <v>970.21314000000007</v>
      </c>
      <c r="G631" s="81"/>
      <c r="H631" s="82"/>
    </row>
    <row r="632" spans="1:8" s="2" customFormat="1" x14ac:dyDescent="0.25">
      <c r="A632" s="77">
        <v>10</v>
      </c>
      <c r="B632" s="78"/>
      <c r="C632" s="43" t="s">
        <v>160</v>
      </c>
      <c r="D632" s="44">
        <f>31.22*10.764</f>
        <v>336.05207999999999</v>
      </c>
      <c r="E632" s="43">
        <v>0</v>
      </c>
      <c r="F632" s="43">
        <f t="shared" si="31"/>
        <v>504.07812000000001</v>
      </c>
      <c r="G632" s="83"/>
      <c r="H632" s="84"/>
    </row>
    <row r="633" spans="1:8" s="1" customFormat="1" x14ac:dyDescent="0.25">
      <c r="A633" s="124" t="s">
        <v>80</v>
      </c>
      <c r="B633" s="124"/>
      <c r="C633" s="124"/>
      <c r="D633" s="124"/>
      <c r="E633" s="124"/>
      <c r="F633" s="124"/>
      <c r="G633" s="124"/>
      <c r="H633" s="124"/>
    </row>
    <row r="634" spans="1:8" s="10" customFormat="1" ht="217.5" customHeight="1" x14ac:dyDescent="0.25">
      <c r="A634" s="125" t="s">
        <v>272</v>
      </c>
      <c r="B634" s="125"/>
      <c r="C634" s="125"/>
      <c r="D634" s="125"/>
      <c r="E634" s="125"/>
      <c r="F634" s="125"/>
      <c r="G634" s="125"/>
      <c r="H634" s="125"/>
    </row>
    <row r="635" spans="1:8" x14ac:dyDescent="0.25">
      <c r="A635" s="126" t="s">
        <v>71</v>
      </c>
      <c r="B635" s="127"/>
      <c r="C635" s="127"/>
      <c r="D635" s="127"/>
      <c r="E635" s="127"/>
      <c r="F635" s="127"/>
      <c r="G635" s="127"/>
      <c r="H635" s="128"/>
    </row>
    <row r="636" spans="1:8" x14ac:dyDescent="0.25">
      <c r="A636" s="118" t="s">
        <v>72</v>
      </c>
      <c r="B636" s="119"/>
      <c r="C636" s="119"/>
      <c r="D636" s="119"/>
      <c r="E636" s="119"/>
      <c r="F636" s="119"/>
      <c r="G636" s="119"/>
      <c r="H636" s="120"/>
    </row>
    <row r="637" spans="1:8" ht="15.75" customHeight="1" x14ac:dyDescent="0.25">
      <c r="A637" s="126" t="s">
        <v>73</v>
      </c>
      <c r="B637" s="127"/>
      <c r="C637" s="127"/>
      <c r="D637" s="127"/>
      <c r="E637" s="127"/>
      <c r="F637" s="127"/>
      <c r="G637" s="127"/>
      <c r="H637" s="128"/>
    </row>
    <row r="638" spans="1:8" x14ac:dyDescent="0.25">
      <c r="A638" s="118" t="s">
        <v>74</v>
      </c>
      <c r="B638" s="119"/>
      <c r="C638" s="119"/>
      <c r="D638" s="119"/>
      <c r="E638" s="119"/>
      <c r="F638" s="119"/>
      <c r="G638" s="119"/>
      <c r="H638" s="120"/>
    </row>
    <row r="639" spans="1:8" x14ac:dyDescent="0.25">
      <c r="A639" s="118" t="s">
        <v>75</v>
      </c>
      <c r="B639" s="119"/>
      <c r="C639" s="119"/>
      <c r="D639" s="119"/>
      <c r="E639" s="119"/>
      <c r="F639" s="119"/>
      <c r="G639" s="119"/>
      <c r="H639" s="120"/>
    </row>
    <row r="640" spans="1:8" hidden="1" x14ac:dyDescent="0.25">
      <c r="A640" s="118" t="s">
        <v>76</v>
      </c>
      <c r="B640" s="119"/>
      <c r="C640" s="119"/>
      <c r="D640" s="119"/>
      <c r="E640" s="119"/>
      <c r="F640" s="119"/>
      <c r="G640" s="119"/>
      <c r="H640" s="120"/>
    </row>
    <row r="641" spans="1:8" ht="35.25" hidden="1" customHeight="1" x14ac:dyDescent="0.25">
      <c r="A641" s="121" t="s">
        <v>77</v>
      </c>
      <c r="B641" s="122"/>
      <c r="C641" s="122"/>
      <c r="D641" s="122"/>
      <c r="E641" s="122"/>
      <c r="F641" s="122"/>
      <c r="G641" s="122"/>
      <c r="H641" s="123"/>
    </row>
    <row r="642" spans="1:8" x14ac:dyDescent="0.25">
      <c r="A642" s="194" t="s">
        <v>114</v>
      </c>
      <c r="B642" s="194"/>
      <c r="C642" s="194" t="s">
        <v>257</v>
      </c>
      <c r="D642" s="194"/>
      <c r="E642" s="194" t="s">
        <v>167</v>
      </c>
      <c r="F642" s="194"/>
      <c r="G642" s="194" t="s">
        <v>273</v>
      </c>
      <c r="H642" s="194"/>
    </row>
    <row r="643" spans="1:8" x14ac:dyDescent="0.25">
      <c r="A643" s="193" t="s">
        <v>116</v>
      </c>
      <c r="B643" s="193"/>
      <c r="C643" s="193"/>
      <c r="D643" s="193"/>
      <c r="E643" s="193"/>
      <c r="F643" s="193"/>
      <c r="G643" s="193"/>
      <c r="H643" s="193"/>
    </row>
    <row r="644" spans="1:8" x14ac:dyDescent="0.25">
      <c r="A644" s="193"/>
      <c r="B644" s="193"/>
      <c r="C644" s="193"/>
      <c r="D644" s="193"/>
      <c r="E644" s="193"/>
      <c r="F644" s="193"/>
      <c r="G644" s="193"/>
      <c r="H644" s="193"/>
    </row>
    <row r="645" spans="1:8" x14ac:dyDescent="0.25">
      <c r="A645" s="193"/>
      <c r="B645" s="193"/>
      <c r="C645" s="193"/>
      <c r="D645" s="193"/>
      <c r="E645" s="193"/>
      <c r="F645" s="193"/>
      <c r="G645" s="193"/>
      <c r="H645" s="193"/>
    </row>
    <row r="646" spans="1:8" x14ac:dyDescent="0.25">
      <c r="A646" s="17" t="s">
        <v>78</v>
      </c>
      <c r="B646" s="18"/>
      <c r="C646" s="18"/>
      <c r="D646" s="17" t="str">
        <f>E8</f>
        <v>Runwal Gardens Phase III</v>
      </c>
      <c r="F646" s="18"/>
      <c r="G646" s="18"/>
      <c r="H646" s="18"/>
    </row>
    <row r="647" spans="1:8" x14ac:dyDescent="0.25">
      <c r="A647" s="18"/>
      <c r="B647" s="18"/>
      <c r="C647" s="18"/>
      <c r="D647" s="18"/>
      <c r="E647" s="18"/>
      <c r="F647" s="18"/>
      <c r="G647" s="18"/>
      <c r="H647" s="18"/>
    </row>
    <row r="648" spans="1:8" x14ac:dyDescent="0.25">
      <c r="A648" s="18"/>
      <c r="B648" s="18"/>
      <c r="C648" s="18"/>
      <c r="D648" s="18"/>
      <c r="E648" s="18"/>
      <c r="F648" s="18"/>
      <c r="G648" s="18"/>
      <c r="H648" s="18"/>
    </row>
    <row r="649" spans="1:8" ht="15" customHeight="1" x14ac:dyDescent="0.25"/>
    <row r="690" spans="1:1" x14ac:dyDescent="0.25">
      <c r="A690" s="20" t="s">
        <v>79</v>
      </c>
    </row>
  </sheetData>
  <mergeCells count="874">
    <mergeCell ref="A74:B74"/>
    <mergeCell ref="C74:D74"/>
    <mergeCell ref="E74:F74"/>
    <mergeCell ref="G74:H74"/>
    <mergeCell ref="A133:B133"/>
    <mergeCell ref="C133:H133"/>
    <mergeCell ref="A134:B134"/>
    <mergeCell ref="E134:F134"/>
    <mergeCell ref="G134:H134"/>
    <mergeCell ref="A135:B135"/>
    <mergeCell ref="E135:F144"/>
    <mergeCell ref="G135:H144"/>
    <mergeCell ref="A136:B136"/>
    <mergeCell ref="A137:B137"/>
    <mergeCell ref="A138:B138"/>
    <mergeCell ref="A139:B139"/>
    <mergeCell ref="A140:B140"/>
    <mergeCell ref="A141:B141"/>
    <mergeCell ref="A142:B142"/>
    <mergeCell ref="A143:B143"/>
    <mergeCell ref="A144:B144"/>
    <mergeCell ref="A382:H382"/>
    <mergeCell ref="G383:H392"/>
    <mergeCell ref="A390:B390"/>
    <mergeCell ref="A391:B391"/>
    <mergeCell ref="A392:B392"/>
    <mergeCell ref="A333:B333"/>
    <mergeCell ref="A341:B341"/>
    <mergeCell ref="A274:B274"/>
    <mergeCell ref="A275:B275"/>
    <mergeCell ref="A276:B276"/>
    <mergeCell ref="A322:H322"/>
    <mergeCell ref="A323:H323"/>
    <mergeCell ref="G336:H345"/>
    <mergeCell ref="A355:B355"/>
    <mergeCell ref="A298:B298"/>
    <mergeCell ref="A339:B339"/>
    <mergeCell ref="A329:B329"/>
    <mergeCell ref="A330:B330"/>
    <mergeCell ref="A331:B331"/>
    <mergeCell ref="A332:B332"/>
    <mergeCell ref="A334:B334"/>
    <mergeCell ref="A378:B378"/>
    <mergeCell ref="C330:F331"/>
    <mergeCell ref="A340:B340"/>
    <mergeCell ref="A434:B434"/>
    <mergeCell ref="I178:P178"/>
    <mergeCell ref="I184:P184"/>
    <mergeCell ref="I185:P185"/>
    <mergeCell ref="I186:P186"/>
    <mergeCell ref="I187:P188"/>
    <mergeCell ref="I180:M180"/>
    <mergeCell ref="A517:B517"/>
    <mergeCell ref="G228:H238"/>
    <mergeCell ref="A234:B234"/>
    <mergeCell ref="A237:B237"/>
    <mergeCell ref="A251:B251"/>
    <mergeCell ref="A281:B281"/>
    <mergeCell ref="A252:H252"/>
    <mergeCell ref="A219:B219"/>
    <mergeCell ref="A220:B220"/>
    <mergeCell ref="A383:B383"/>
    <mergeCell ref="A384:B384"/>
    <mergeCell ref="A240:H240"/>
    <mergeCell ref="A241:B241"/>
    <mergeCell ref="A344:B344"/>
    <mergeCell ref="A335:H335"/>
    <mergeCell ref="A328:B328"/>
    <mergeCell ref="A299:H299"/>
    <mergeCell ref="G512:H523"/>
    <mergeCell ref="A435:B435"/>
    <mergeCell ref="A436:B436"/>
    <mergeCell ref="C432:F432"/>
    <mergeCell ref="A360:B360"/>
    <mergeCell ref="A361:B361"/>
    <mergeCell ref="A362:B362"/>
    <mergeCell ref="A363:B363"/>
    <mergeCell ref="A364:B364"/>
    <mergeCell ref="A365:B365"/>
    <mergeCell ref="A366:B366"/>
    <mergeCell ref="A428:B428"/>
    <mergeCell ref="A414:B414"/>
    <mergeCell ref="A417:B417"/>
    <mergeCell ref="A418:B418"/>
    <mergeCell ref="A419:B419"/>
    <mergeCell ref="A420:B420"/>
    <mergeCell ref="A427:H427"/>
    <mergeCell ref="G428:H437"/>
    <mergeCell ref="A429:B429"/>
    <mergeCell ref="A430:B430"/>
    <mergeCell ref="A431:B431"/>
    <mergeCell ref="A432:B432"/>
    <mergeCell ref="A433:B433"/>
    <mergeCell ref="A530:B530"/>
    <mergeCell ref="A342:B342"/>
    <mergeCell ref="A343:B343"/>
    <mergeCell ref="A345:B345"/>
    <mergeCell ref="A367:B367"/>
    <mergeCell ref="A536:B536"/>
    <mergeCell ref="A534:B534"/>
    <mergeCell ref="A532:B532"/>
    <mergeCell ref="A533:B533"/>
    <mergeCell ref="A520:B520"/>
    <mergeCell ref="A523:B523"/>
    <mergeCell ref="A524:H524"/>
    <mergeCell ref="A525:B525"/>
    <mergeCell ref="G525:H536"/>
    <mergeCell ref="A509:B509"/>
    <mergeCell ref="A506:B506"/>
    <mergeCell ref="A507:B507"/>
    <mergeCell ref="C501:F501"/>
    <mergeCell ref="C502:F502"/>
    <mergeCell ref="A521:B521"/>
    <mergeCell ref="A522:B522"/>
    <mergeCell ref="C531:F531"/>
    <mergeCell ref="A511:H511"/>
    <mergeCell ref="A512:B512"/>
    <mergeCell ref="G278:H287"/>
    <mergeCell ref="A279:B279"/>
    <mergeCell ref="A280:B280"/>
    <mergeCell ref="A238:B238"/>
    <mergeCell ref="A243:B243"/>
    <mergeCell ref="A244:B244"/>
    <mergeCell ref="A245:B245"/>
    <mergeCell ref="A246:B246"/>
    <mergeCell ref="A247:B247"/>
    <mergeCell ref="A248:B248"/>
    <mergeCell ref="G253:H263"/>
    <mergeCell ref="A257:B257"/>
    <mergeCell ref="A259:B259"/>
    <mergeCell ref="G267:H276"/>
    <mergeCell ref="A269:B269"/>
    <mergeCell ref="A258:B258"/>
    <mergeCell ref="A260:B260"/>
    <mergeCell ref="A261:B261"/>
    <mergeCell ref="A262:B262"/>
    <mergeCell ref="A263:B263"/>
    <mergeCell ref="A282:B282"/>
    <mergeCell ref="A239:H239"/>
    <mergeCell ref="A311:H311"/>
    <mergeCell ref="C262:F262"/>
    <mergeCell ref="C276:F276"/>
    <mergeCell ref="G325:H334"/>
    <mergeCell ref="A236:B236"/>
    <mergeCell ref="A221:B221"/>
    <mergeCell ref="A228:B228"/>
    <mergeCell ref="A229:B229"/>
    <mergeCell ref="A230:B230"/>
    <mergeCell ref="A231:B231"/>
    <mergeCell ref="A222:B222"/>
    <mergeCell ref="A223:B223"/>
    <mergeCell ref="A224:B224"/>
    <mergeCell ref="A225:B225"/>
    <mergeCell ref="A226:B226"/>
    <mergeCell ref="A327:B327"/>
    <mergeCell ref="A300:H300"/>
    <mergeCell ref="A297:B297"/>
    <mergeCell ref="A253:B253"/>
    <mergeCell ref="A254:B254"/>
    <mergeCell ref="A255:B255"/>
    <mergeCell ref="A256:B256"/>
    <mergeCell ref="A264:H264"/>
    <mergeCell ref="A266:H266"/>
    <mergeCell ref="A72:B72"/>
    <mergeCell ref="A73:B73"/>
    <mergeCell ref="A69:B69"/>
    <mergeCell ref="A70:B70"/>
    <mergeCell ref="A71:B71"/>
    <mergeCell ref="A60:B60"/>
    <mergeCell ref="C60:H60"/>
    <mergeCell ref="C237:F237"/>
    <mergeCell ref="C250:F250"/>
    <mergeCell ref="A197:B197"/>
    <mergeCell ref="A191:B191"/>
    <mergeCell ref="A192:B192"/>
    <mergeCell ref="A193:B193"/>
    <mergeCell ref="A202:H202"/>
    <mergeCell ref="A215:H215"/>
    <mergeCell ref="A203:H203"/>
    <mergeCell ref="A204:B204"/>
    <mergeCell ref="G204:H214"/>
    <mergeCell ref="A205:B205"/>
    <mergeCell ref="A206:B206"/>
    <mergeCell ref="A207:B207"/>
    <mergeCell ref="A208:B208"/>
    <mergeCell ref="A227:H227"/>
    <mergeCell ref="A235:B235"/>
    <mergeCell ref="A211:B211"/>
    <mergeCell ref="A212:B212"/>
    <mergeCell ref="A213:B213"/>
    <mergeCell ref="A214:B214"/>
    <mergeCell ref="C207:F207"/>
    <mergeCell ref="A195:B195"/>
    <mergeCell ref="A267:B267"/>
    <mergeCell ref="A268:B268"/>
    <mergeCell ref="A411:B411"/>
    <mergeCell ref="A271:B271"/>
    <mergeCell ref="A407:B407"/>
    <mergeCell ref="A408:B408"/>
    <mergeCell ref="A409:B409"/>
    <mergeCell ref="A410:B410"/>
    <mergeCell ref="A401:B401"/>
    <mergeCell ref="A403:B403"/>
    <mergeCell ref="A336:B336"/>
    <mergeCell ref="A294:B294"/>
    <mergeCell ref="A295:B295"/>
    <mergeCell ref="A296:B296"/>
    <mergeCell ref="A270:B270"/>
    <mergeCell ref="A272:B272"/>
    <mergeCell ref="A209:B209"/>
    <mergeCell ref="A210:B210"/>
    <mergeCell ref="A422:B422"/>
    <mergeCell ref="A421:B421"/>
    <mergeCell ref="A423:B423"/>
    <mergeCell ref="A424:B424"/>
    <mergeCell ref="A426:B426"/>
    <mergeCell ref="C421:F421"/>
    <mergeCell ref="A415:H415"/>
    <mergeCell ref="A437:B437"/>
    <mergeCell ref="D54:H54"/>
    <mergeCell ref="A54:C54"/>
    <mergeCell ref="A55:C55"/>
    <mergeCell ref="D55:H55"/>
    <mergeCell ref="A189:B189"/>
    <mergeCell ref="G200:H200"/>
    <mergeCell ref="G216:H226"/>
    <mergeCell ref="A217:B217"/>
    <mergeCell ref="A218:B218"/>
    <mergeCell ref="A183:E183"/>
    <mergeCell ref="F183:H183"/>
    <mergeCell ref="A194:B194"/>
    <mergeCell ref="A358:H358"/>
    <mergeCell ref="A359:B359"/>
    <mergeCell ref="G359:H368"/>
    <mergeCell ref="A368:B368"/>
    <mergeCell ref="A53:C53"/>
    <mergeCell ref="D53:H53"/>
    <mergeCell ref="D52:H52"/>
    <mergeCell ref="F182:H182"/>
    <mergeCell ref="A59:C59"/>
    <mergeCell ref="D59:H59"/>
    <mergeCell ref="A179:E179"/>
    <mergeCell ref="F179:H179"/>
    <mergeCell ref="A180:E180"/>
    <mergeCell ref="F180:H180"/>
    <mergeCell ref="A63:B63"/>
    <mergeCell ref="E63:F63"/>
    <mergeCell ref="G63:H63"/>
    <mergeCell ref="A64:B64"/>
    <mergeCell ref="E64:F73"/>
    <mergeCell ref="G64:H73"/>
    <mergeCell ref="A65:B65"/>
    <mergeCell ref="A66:B66"/>
    <mergeCell ref="A67:B67"/>
    <mergeCell ref="A68:B68"/>
    <mergeCell ref="C162:H162"/>
    <mergeCell ref="E163:F163"/>
    <mergeCell ref="G163:H163"/>
    <mergeCell ref="E164:F173"/>
    <mergeCell ref="A50:B50"/>
    <mergeCell ref="C50:E50"/>
    <mergeCell ref="A51:H51"/>
    <mergeCell ref="A52:C52"/>
    <mergeCell ref="A188:H188"/>
    <mergeCell ref="A174:H174"/>
    <mergeCell ref="A177:H177"/>
    <mergeCell ref="A178:E178"/>
    <mergeCell ref="F178:H178"/>
    <mergeCell ref="A175:H175"/>
    <mergeCell ref="A176:B176"/>
    <mergeCell ref="C176:H176"/>
    <mergeCell ref="A185:E185"/>
    <mergeCell ref="F185:H185"/>
    <mergeCell ref="A62:B62"/>
    <mergeCell ref="C62:H62"/>
    <mergeCell ref="A160:B160"/>
    <mergeCell ref="A162:B162"/>
    <mergeCell ref="A163:B163"/>
    <mergeCell ref="A164:B164"/>
    <mergeCell ref="A165:B165"/>
    <mergeCell ref="A166:B166"/>
    <mergeCell ref="A167:B167"/>
    <mergeCell ref="C160:H160"/>
    <mergeCell ref="A45:B45"/>
    <mergeCell ref="A35:B35"/>
    <mergeCell ref="A48:B49"/>
    <mergeCell ref="G48:H48"/>
    <mergeCell ref="C45:E45"/>
    <mergeCell ref="A40:D40"/>
    <mergeCell ref="E40:H40"/>
    <mergeCell ref="E41:H41"/>
    <mergeCell ref="E42:H42"/>
    <mergeCell ref="E43:H43"/>
    <mergeCell ref="A41:D41"/>
    <mergeCell ref="A46:B46"/>
    <mergeCell ref="A47:B47"/>
    <mergeCell ref="C47:E47"/>
    <mergeCell ref="G47:H47"/>
    <mergeCell ref="A639:H639"/>
    <mergeCell ref="F32:H32"/>
    <mergeCell ref="F33:H33"/>
    <mergeCell ref="A32:B32"/>
    <mergeCell ref="C32:E32"/>
    <mergeCell ref="C33:E33"/>
    <mergeCell ref="A56:C56"/>
    <mergeCell ref="A57:C57"/>
    <mergeCell ref="D56:H56"/>
    <mergeCell ref="D57:H57"/>
    <mergeCell ref="G45:H45"/>
    <mergeCell ref="A184:E184"/>
    <mergeCell ref="F184:H184"/>
    <mergeCell ref="A181:E181"/>
    <mergeCell ref="F181:H181"/>
    <mergeCell ref="A182:E182"/>
    <mergeCell ref="A42:D42"/>
    <mergeCell ref="A43:D43"/>
    <mergeCell ref="A44:H44"/>
    <mergeCell ref="G46:H46"/>
    <mergeCell ref="C49:H49"/>
    <mergeCell ref="G50:H50"/>
    <mergeCell ref="C46:E46"/>
    <mergeCell ref="C48:E48"/>
    <mergeCell ref="A24:D24"/>
    <mergeCell ref="E24:H24"/>
    <mergeCell ref="A25:D25"/>
    <mergeCell ref="E25:H25"/>
    <mergeCell ref="F30:H30"/>
    <mergeCell ref="F31:H31"/>
    <mergeCell ref="C29:E29"/>
    <mergeCell ref="A643:H645"/>
    <mergeCell ref="A642:B642"/>
    <mergeCell ref="E642:F642"/>
    <mergeCell ref="C642:D642"/>
    <mergeCell ref="G642:H642"/>
    <mergeCell ref="A186:E186"/>
    <mergeCell ref="F186:H186"/>
    <mergeCell ref="A187:E187"/>
    <mergeCell ref="F187:H187"/>
    <mergeCell ref="A200:B200"/>
    <mergeCell ref="A201:H201"/>
    <mergeCell ref="A190:B190"/>
    <mergeCell ref="A232:B232"/>
    <mergeCell ref="A233:B233"/>
    <mergeCell ref="A198:H198"/>
    <mergeCell ref="A637:H637"/>
    <mergeCell ref="A638:H638"/>
    <mergeCell ref="A26:D26"/>
    <mergeCell ref="E26:H26"/>
    <mergeCell ref="A39:D39"/>
    <mergeCell ref="E39:H39"/>
    <mergeCell ref="A27:D27"/>
    <mergeCell ref="E27:H27"/>
    <mergeCell ref="A34:H34"/>
    <mergeCell ref="A33:B33"/>
    <mergeCell ref="A28:D28"/>
    <mergeCell ref="E28:H28"/>
    <mergeCell ref="A37:H37"/>
    <mergeCell ref="A38:D38"/>
    <mergeCell ref="E38:H38"/>
    <mergeCell ref="F29:H29"/>
    <mergeCell ref="A30:B30"/>
    <mergeCell ref="C30:E30"/>
    <mergeCell ref="A31:B31"/>
    <mergeCell ref="C31:E31"/>
    <mergeCell ref="A29:B29"/>
    <mergeCell ref="C35:H35"/>
    <mergeCell ref="A36:B36"/>
    <mergeCell ref="C36:H36"/>
    <mergeCell ref="A10:D10"/>
    <mergeCell ref="E10:H10"/>
    <mergeCell ref="A5:D5"/>
    <mergeCell ref="E5:H5"/>
    <mergeCell ref="A6:D6"/>
    <mergeCell ref="E6:H6"/>
    <mergeCell ref="A7:D7"/>
    <mergeCell ref="E7:H7"/>
    <mergeCell ref="A14:B14"/>
    <mergeCell ref="A11:D11"/>
    <mergeCell ref="E11:H11"/>
    <mergeCell ref="A12:D12"/>
    <mergeCell ref="E12:H12"/>
    <mergeCell ref="A13:B13"/>
    <mergeCell ref="C13:H13"/>
    <mergeCell ref="C14:H14"/>
    <mergeCell ref="A1:H1"/>
    <mergeCell ref="A2:H2"/>
    <mergeCell ref="A3:D3"/>
    <mergeCell ref="E3:H3"/>
    <mergeCell ref="A4:D4"/>
    <mergeCell ref="A8:D8"/>
    <mergeCell ref="E8:H8"/>
    <mergeCell ref="A9:D9"/>
    <mergeCell ref="E9:H9"/>
    <mergeCell ref="E4:H4"/>
    <mergeCell ref="A15:B15"/>
    <mergeCell ref="C15:D15"/>
    <mergeCell ref="E15:F15"/>
    <mergeCell ref="G15:H15"/>
    <mergeCell ref="A23:D23"/>
    <mergeCell ref="E23:H23"/>
    <mergeCell ref="A22:D22"/>
    <mergeCell ref="E22:H22"/>
    <mergeCell ref="A17:B17"/>
    <mergeCell ref="C17:D17"/>
    <mergeCell ref="E17:F17"/>
    <mergeCell ref="G17:H17"/>
    <mergeCell ref="A18:B18"/>
    <mergeCell ref="C18:D18"/>
    <mergeCell ref="E18:F18"/>
    <mergeCell ref="G18:H18"/>
    <mergeCell ref="A19:D20"/>
    <mergeCell ref="E19:H20"/>
    <mergeCell ref="A21:D21"/>
    <mergeCell ref="E21:H21"/>
    <mergeCell ref="A16:B16"/>
    <mergeCell ref="C16:D16"/>
    <mergeCell ref="E16:F16"/>
    <mergeCell ref="G16:H16"/>
    <mergeCell ref="A640:H640"/>
    <mergeCell ref="A641:H641"/>
    <mergeCell ref="A58:C58"/>
    <mergeCell ref="D58:H58"/>
    <mergeCell ref="A633:H633"/>
    <mergeCell ref="A634:H634"/>
    <mergeCell ref="A635:H635"/>
    <mergeCell ref="A636:H636"/>
    <mergeCell ref="A399:B399"/>
    <mergeCell ref="A400:B400"/>
    <mergeCell ref="A199:H199"/>
    <mergeCell ref="A216:B216"/>
    <mergeCell ref="A453:B453"/>
    <mergeCell ref="A455:B455"/>
    <mergeCell ref="A456:B456"/>
    <mergeCell ref="A443:B443"/>
    <mergeCell ref="A444:B444"/>
    <mergeCell ref="A445:B445"/>
    <mergeCell ref="A441:B441"/>
    <mergeCell ref="A446:B446"/>
    <mergeCell ref="A388:B388"/>
    <mergeCell ref="A389:B389"/>
    <mergeCell ref="A447:B447"/>
    <mergeCell ref="A288:H288"/>
    <mergeCell ref="A372:B372"/>
    <mergeCell ref="A373:B373"/>
    <mergeCell ref="A374:B374"/>
    <mergeCell ref="A353:B353"/>
    <mergeCell ref="A354:B354"/>
    <mergeCell ref="A356:B356"/>
    <mergeCell ref="C351:F351"/>
    <mergeCell ref="A357:H357"/>
    <mergeCell ref="C374:F374"/>
    <mergeCell ref="A346:H346"/>
    <mergeCell ref="A347:B347"/>
    <mergeCell ref="G347:H356"/>
    <mergeCell ref="A348:B348"/>
    <mergeCell ref="A349:B349"/>
    <mergeCell ref="A350:B350"/>
    <mergeCell ref="A380:H380"/>
    <mergeCell ref="A381:H381"/>
    <mergeCell ref="A283:B283"/>
    <mergeCell ref="A284:B284"/>
    <mergeCell ref="A285:B285"/>
    <mergeCell ref="A286:B286"/>
    <mergeCell ref="A287:B287"/>
    <mergeCell ref="A289:B289"/>
    <mergeCell ref="A290:B290"/>
    <mergeCell ref="A291:B291"/>
    <mergeCell ref="A292:B292"/>
    <mergeCell ref="A351:B351"/>
    <mergeCell ref="A352:B352"/>
    <mergeCell ref="C363:F363"/>
    <mergeCell ref="A369:H369"/>
    <mergeCell ref="A370:B370"/>
    <mergeCell ref="G370:H379"/>
    <mergeCell ref="A371:B371"/>
    <mergeCell ref="A324:H324"/>
    <mergeCell ref="A325:B325"/>
    <mergeCell ref="A326:B326"/>
    <mergeCell ref="A387:B387"/>
    <mergeCell ref="A386:B386"/>
    <mergeCell ref="G241:H251"/>
    <mergeCell ref="A242:B242"/>
    <mergeCell ref="A249:B249"/>
    <mergeCell ref="A250:B250"/>
    <mergeCell ref="A375:B375"/>
    <mergeCell ref="A376:B376"/>
    <mergeCell ref="A377:B377"/>
    <mergeCell ref="A379:B379"/>
    <mergeCell ref="A293:B293"/>
    <mergeCell ref="A277:H277"/>
    <mergeCell ref="A278:B278"/>
    <mergeCell ref="C305:F305"/>
    <mergeCell ref="C326:F327"/>
    <mergeCell ref="C316:F316"/>
    <mergeCell ref="A385:B385"/>
    <mergeCell ref="A337:B337"/>
    <mergeCell ref="A338:B338"/>
    <mergeCell ref="A312:B312"/>
    <mergeCell ref="G312:H321"/>
    <mergeCell ref="G301:H310"/>
    <mergeCell ref="A302:B302"/>
    <mergeCell ref="A303:B303"/>
    <mergeCell ref="A304:B304"/>
    <mergeCell ref="A305:B305"/>
    <mergeCell ref="A306:B306"/>
    <mergeCell ref="A307:B307"/>
    <mergeCell ref="A308:B308"/>
    <mergeCell ref="A309:B309"/>
    <mergeCell ref="A310:B310"/>
    <mergeCell ref="G289:H298"/>
    <mergeCell ref="C293:F293"/>
    <mergeCell ref="A313:B313"/>
    <mergeCell ref="A314:B314"/>
    <mergeCell ref="A315:B315"/>
    <mergeCell ref="A316:B316"/>
    <mergeCell ref="A317:B317"/>
    <mergeCell ref="A273:B273"/>
    <mergeCell ref="A451:H451"/>
    <mergeCell ref="A394:B394"/>
    <mergeCell ref="G394:H403"/>
    <mergeCell ref="A395:B395"/>
    <mergeCell ref="A396:B396"/>
    <mergeCell ref="A397:B397"/>
    <mergeCell ref="A398:B398"/>
    <mergeCell ref="C384:F385"/>
    <mergeCell ref="C388:F389"/>
    <mergeCell ref="A402:B402"/>
    <mergeCell ref="A393:H393"/>
    <mergeCell ref="A318:B318"/>
    <mergeCell ref="A319:B319"/>
    <mergeCell ref="A320:B320"/>
    <mergeCell ref="A321:B321"/>
    <mergeCell ref="A301:B301"/>
    <mergeCell ref="A452:B452"/>
    <mergeCell ref="G452:H461"/>
    <mergeCell ref="A461:B461"/>
    <mergeCell ref="A438:H438"/>
    <mergeCell ref="A439:H439"/>
    <mergeCell ref="A463:B463"/>
    <mergeCell ref="A464:B464"/>
    <mergeCell ref="A457:B457"/>
    <mergeCell ref="A442:B442"/>
    <mergeCell ref="A454:B454"/>
    <mergeCell ref="A458:B458"/>
    <mergeCell ref="A459:B459"/>
    <mergeCell ref="A460:B460"/>
    <mergeCell ref="A462:H462"/>
    <mergeCell ref="G463:H472"/>
    <mergeCell ref="A470:B470"/>
    <mergeCell ref="C450:F450"/>
    <mergeCell ref="A474:H474"/>
    <mergeCell ref="G475:H484"/>
    <mergeCell ref="A480:B480"/>
    <mergeCell ref="A481:B481"/>
    <mergeCell ref="A482:B482"/>
    <mergeCell ref="A483:B483"/>
    <mergeCell ref="A484:B484"/>
    <mergeCell ref="A465:B465"/>
    <mergeCell ref="A466:B466"/>
    <mergeCell ref="A467:B467"/>
    <mergeCell ref="A468:B468"/>
    <mergeCell ref="A469:B469"/>
    <mergeCell ref="A476:B476"/>
    <mergeCell ref="C467:F467"/>
    <mergeCell ref="A471:B471"/>
    <mergeCell ref="A472:B472"/>
    <mergeCell ref="A475:B475"/>
    <mergeCell ref="A477:B477"/>
    <mergeCell ref="A478:B478"/>
    <mergeCell ref="A479:B479"/>
    <mergeCell ref="A473:H473"/>
    <mergeCell ref="A544:B544"/>
    <mergeCell ref="A485:H485"/>
    <mergeCell ref="A486:B486"/>
    <mergeCell ref="G486:H495"/>
    <mergeCell ref="A487:B487"/>
    <mergeCell ref="A488:B488"/>
    <mergeCell ref="A489:B489"/>
    <mergeCell ref="A490:B490"/>
    <mergeCell ref="A491:B491"/>
    <mergeCell ref="A492:B492"/>
    <mergeCell ref="A493:B493"/>
    <mergeCell ref="A494:B494"/>
    <mergeCell ref="A495:B495"/>
    <mergeCell ref="A531:B531"/>
    <mergeCell ref="A518:B518"/>
    <mergeCell ref="A519:B519"/>
    <mergeCell ref="A513:B513"/>
    <mergeCell ref="A514:B514"/>
    <mergeCell ref="A515:B515"/>
    <mergeCell ref="A516:B516"/>
    <mergeCell ref="A526:B526"/>
    <mergeCell ref="A527:B527"/>
    <mergeCell ref="A528:B528"/>
    <mergeCell ref="A529:B529"/>
    <mergeCell ref="C570:F570"/>
    <mergeCell ref="A535:B535"/>
    <mergeCell ref="A551:H551"/>
    <mergeCell ref="A552:B552"/>
    <mergeCell ref="G552:H563"/>
    <mergeCell ref="A553:B553"/>
    <mergeCell ref="A554:B554"/>
    <mergeCell ref="A555:B555"/>
    <mergeCell ref="A556:B556"/>
    <mergeCell ref="A557:B557"/>
    <mergeCell ref="A558:B558"/>
    <mergeCell ref="A559:B559"/>
    <mergeCell ref="A560:B560"/>
    <mergeCell ref="A563:B563"/>
    <mergeCell ref="A561:B561"/>
    <mergeCell ref="A562:B562"/>
    <mergeCell ref="C558:F558"/>
    <mergeCell ref="A538:H538"/>
    <mergeCell ref="A539:B539"/>
    <mergeCell ref="G539:H550"/>
    <mergeCell ref="A540:B540"/>
    <mergeCell ref="A541:B541"/>
    <mergeCell ref="A542:B542"/>
    <mergeCell ref="A543:B543"/>
    <mergeCell ref="A578:B578"/>
    <mergeCell ref="G578:H587"/>
    <mergeCell ref="A579:B579"/>
    <mergeCell ref="A580:B580"/>
    <mergeCell ref="A581:B581"/>
    <mergeCell ref="A582:B582"/>
    <mergeCell ref="A583:B583"/>
    <mergeCell ref="A584:B584"/>
    <mergeCell ref="A585:B585"/>
    <mergeCell ref="A586:B586"/>
    <mergeCell ref="A587:B587"/>
    <mergeCell ref="A619:B619"/>
    <mergeCell ref="A620:B620"/>
    <mergeCell ref="A621:B621"/>
    <mergeCell ref="C617:F617"/>
    <mergeCell ref="A605:B605"/>
    <mergeCell ref="A606:B606"/>
    <mergeCell ref="A607:B607"/>
    <mergeCell ref="A608:B608"/>
    <mergeCell ref="A609:B609"/>
    <mergeCell ref="C605:F605"/>
    <mergeCell ref="A610:H610"/>
    <mergeCell ref="A196:B196"/>
    <mergeCell ref="A622:H622"/>
    <mergeCell ref="A623:B623"/>
    <mergeCell ref="G623:H632"/>
    <mergeCell ref="A624:B624"/>
    <mergeCell ref="A625:B625"/>
    <mergeCell ref="A626:B626"/>
    <mergeCell ref="A627:B627"/>
    <mergeCell ref="A628:B628"/>
    <mergeCell ref="C628:F628"/>
    <mergeCell ref="A629:B629"/>
    <mergeCell ref="A630:B630"/>
    <mergeCell ref="A631:B631"/>
    <mergeCell ref="A632:B632"/>
    <mergeCell ref="A611:H611"/>
    <mergeCell ref="A612:B612"/>
    <mergeCell ref="G612:H621"/>
    <mergeCell ref="A613:B613"/>
    <mergeCell ref="A614:B614"/>
    <mergeCell ref="A615:B615"/>
    <mergeCell ref="A616:B616"/>
    <mergeCell ref="A617:B617"/>
    <mergeCell ref="A618:B618"/>
    <mergeCell ref="A537:H537"/>
    <mergeCell ref="G164:H173"/>
    <mergeCell ref="A168:B168"/>
    <mergeCell ref="A169:B169"/>
    <mergeCell ref="A170:B170"/>
    <mergeCell ref="A171:B171"/>
    <mergeCell ref="A172:B172"/>
    <mergeCell ref="A173:B173"/>
    <mergeCell ref="A599:H599"/>
    <mergeCell ref="A600:B600"/>
    <mergeCell ref="G600:H609"/>
    <mergeCell ref="A601:B601"/>
    <mergeCell ref="A602:B602"/>
    <mergeCell ref="A603:B603"/>
    <mergeCell ref="A604:B604"/>
    <mergeCell ref="C510:F510"/>
    <mergeCell ref="A440:H440"/>
    <mergeCell ref="G441:H450"/>
    <mergeCell ref="A448:B448"/>
    <mergeCell ref="A449:B449"/>
    <mergeCell ref="A450:B450"/>
    <mergeCell ref="A496:H496"/>
    <mergeCell ref="A497:H497"/>
    <mergeCell ref="A500:B500"/>
    <mergeCell ref="A501:B501"/>
    <mergeCell ref="A502:B502"/>
    <mergeCell ref="A503:B503"/>
    <mergeCell ref="A504:B504"/>
    <mergeCell ref="A505:B505"/>
    <mergeCell ref="A508:B508"/>
    <mergeCell ref="A510:B510"/>
    <mergeCell ref="A577:H577"/>
    <mergeCell ref="A404:H404"/>
    <mergeCell ref="A405:B405"/>
    <mergeCell ref="G405:H414"/>
    <mergeCell ref="A406:B406"/>
    <mergeCell ref="A412:B412"/>
    <mergeCell ref="A416:H416"/>
    <mergeCell ref="G417:H426"/>
    <mergeCell ref="A413:B413"/>
    <mergeCell ref="A425:B425"/>
    <mergeCell ref="C409:F409"/>
    <mergeCell ref="A545:B545"/>
    <mergeCell ref="A546:B546"/>
    <mergeCell ref="A547:B547"/>
    <mergeCell ref="A550:B550"/>
    <mergeCell ref="A548:B548"/>
    <mergeCell ref="A549:B549"/>
    <mergeCell ref="C545:F545"/>
    <mergeCell ref="G194:H194"/>
    <mergeCell ref="C195:D195"/>
    <mergeCell ref="E195:F195"/>
    <mergeCell ref="G195:H195"/>
    <mergeCell ref="C196:D196"/>
    <mergeCell ref="A566:H566"/>
    <mergeCell ref="A567:B567"/>
    <mergeCell ref="G567:H576"/>
    <mergeCell ref="A568:B568"/>
    <mergeCell ref="A569:B569"/>
    <mergeCell ref="A570:B570"/>
    <mergeCell ref="A571:B571"/>
    <mergeCell ref="A572:B572"/>
    <mergeCell ref="A573:B573"/>
    <mergeCell ref="A574:B574"/>
    <mergeCell ref="A575:B575"/>
    <mergeCell ref="A576:B576"/>
    <mergeCell ref="C571:F571"/>
    <mergeCell ref="C479:F479"/>
    <mergeCell ref="C490:F490"/>
    <mergeCell ref="A265:H265"/>
    <mergeCell ref="A498:H498"/>
    <mergeCell ref="A499:B499"/>
    <mergeCell ref="G499:H510"/>
    <mergeCell ref="E196:F196"/>
    <mergeCell ref="G196:H196"/>
    <mergeCell ref="C197:D197"/>
    <mergeCell ref="E197:F197"/>
    <mergeCell ref="G197:H197"/>
    <mergeCell ref="A564:H564"/>
    <mergeCell ref="A565:H565"/>
    <mergeCell ref="C189:D189"/>
    <mergeCell ref="E189:F189"/>
    <mergeCell ref="G189:H189"/>
    <mergeCell ref="C190:D190"/>
    <mergeCell ref="E190:F190"/>
    <mergeCell ref="G190:H190"/>
    <mergeCell ref="C191:D191"/>
    <mergeCell ref="E191:F191"/>
    <mergeCell ref="G191:H191"/>
    <mergeCell ref="C192:D192"/>
    <mergeCell ref="E192:F192"/>
    <mergeCell ref="G192:H192"/>
    <mergeCell ref="C193:D193"/>
    <mergeCell ref="E193:F193"/>
    <mergeCell ref="G193:H193"/>
    <mergeCell ref="C194:D194"/>
    <mergeCell ref="E194:F194"/>
    <mergeCell ref="A103:B103"/>
    <mergeCell ref="C103:H103"/>
    <mergeCell ref="A105:B105"/>
    <mergeCell ref="C105:H105"/>
    <mergeCell ref="A106:B106"/>
    <mergeCell ref="E106:F106"/>
    <mergeCell ref="G106:H106"/>
    <mergeCell ref="A107:B107"/>
    <mergeCell ref="E107:F116"/>
    <mergeCell ref="G107:H116"/>
    <mergeCell ref="A108:B108"/>
    <mergeCell ref="A109:B109"/>
    <mergeCell ref="A110:B110"/>
    <mergeCell ref="A111:B111"/>
    <mergeCell ref="A112:B112"/>
    <mergeCell ref="A113:B113"/>
    <mergeCell ref="A114:B114"/>
    <mergeCell ref="A115:B115"/>
    <mergeCell ref="A116:B116"/>
    <mergeCell ref="A89:B89"/>
    <mergeCell ref="C89:H89"/>
    <mergeCell ref="A91:B91"/>
    <mergeCell ref="C91:H91"/>
    <mergeCell ref="A92:B92"/>
    <mergeCell ref="E92:F92"/>
    <mergeCell ref="G92:H92"/>
    <mergeCell ref="A93:B93"/>
    <mergeCell ref="E93:F102"/>
    <mergeCell ref="G93:H102"/>
    <mergeCell ref="A94:B94"/>
    <mergeCell ref="A95:B95"/>
    <mergeCell ref="A96:B96"/>
    <mergeCell ref="A97:B97"/>
    <mergeCell ref="A98:B98"/>
    <mergeCell ref="A99:B99"/>
    <mergeCell ref="A100:B100"/>
    <mergeCell ref="A101:B101"/>
    <mergeCell ref="A102:B102"/>
    <mergeCell ref="A75:B75"/>
    <mergeCell ref="C75:H75"/>
    <mergeCell ref="A77:B77"/>
    <mergeCell ref="C77:H77"/>
    <mergeCell ref="A78:B78"/>
    <mergeCell ref="E78:F78"/>
    <mergeCell ref="G78:H78"/>
    <mergeCell ref="A79:B79"/>
    <mergeCell ref="E79:F88"/>
    <mergeCell ref="G79:H88"/>
    <mergeCell ref="A80:B80"/>
    <mergeCell ref="A81:B81"/>
    <mergeCell ref="A82:B82"/>
    <mergeCell ref="A83:B83"/>
    <mergeCell ref="A84:B84"/>
    <mergeCell ref="A85:B85"/>
    <mergeCell ref="A86:B86"/>
    <mergeCell ref="A87:B87"/>
    <mergeCell ref="A88:B88"/>
    <mergeCell ref="A146:B146"/>
    <mergeCell ref="C146:H146"/>
    <mergeCell ref="A148:B148"/>
    <mergeCell ref="C148:H148"/>
    <mergeCell ref="A149:B149"/>
    <mergeCell ref="E149:F149"/>
    <mergeCell ref="G149:H149"/>
    <mergeCell ref="A150:B150"/>
    <mergeCell ref="E150:F159"/>
    <mergeCell ref="G150:H159"/>
    <mergeCell ref="A151:B151"/>
    <mergeCell ref="A152:B152"/>
    <mergeCell ref="A153:B153"/>
    <mergeCell ref="A154:B154"/>
    <mergeCell ref="A155:B155"/>
    <mergeCell ref="A156:B156"/>
    <mergeCell ref="A157:B157"/>
    <mergeCell ref="A158:B158"/>
    <mergeCell ref="A159:B159"/>
    <mergeCell ref="A145:B145"/>
    <mergeCell ref="C145:D145"/>
    <mergeCell ref="F145:G145"/>
    <mergeCell ref="A117:B117"/>
    <mergeCell ref="C117:H117"/>
    <mergeCell ref="A119:B119"/>
    <mergeCell ref="C119:H119"/>
    <mergeCell ref="A120:B120"/>
    <mergeCell ref="E120:F120"/>
    <mergeCell ref="G120:H120"/>
    <mergeCell ref="A121:B121"/>
    <mergeCell ref="E121:F130"/>
    <mergeCell ref="G121:H130"/>
    <mergeCell ref="A122:B122"/>
    <mergeCell ref="A123:B123"/>
    <mergeCell ref="A124:B124"/>
    <mergeCell ref="A125:B125"/>
    <mergeCell ref="A126:B126"/>
    <mergeCell ref="A127:B127"/>
    <mergeCell ref="A128:B128"/>
    <mergeCell ref="A129:B129"/>
    <mergeCell ref="A130:B130"/>
    <mergeCell ref="A131:B131"/>
    <mergeCell ref="C131:H131"/>
    <mergeCell ref="I596:N596"/>
    <mergeCell ref="A588:H588"/>
    <mergeCell ref="A589:B589"/>
    <mergeCell ref="G589:H598"/>
    <mergeCell ref="A590:B590"/>
    <mergeCell ref="A591:B591"/>
    <mergeCell ref="A592:B592"/>
    <mergeCell ref="A593:B593"/>
    <mergeCell ref="A594:B594"/>
    <mergeCell ref="A595:B595"/>
    <mergeCell ref="A596:B596"/>
    <mergeCell ref="A597:B597"/>
    <mergeCell ref="A598:B598"/>
  </mergeCells>
  <phoneticPr fontId="18" type="noConversion"/>
  <hyperlinks>
    <hyperlink ref="C36" r:id="rId1"/>
  </hyperlinks>
  <printOptions horizontalCentered="1"/>
  <pageMargins left="0.19685039370078741" right="0.19685039370078741" top="0.78740157480314965" bottom="0.78740157480314965" header="0.19685039370078741" footer="0.19685039370078741"/>
  <pageSetup paperSize="9" scale="96" fitToHeight="0" orientation="portrait" r:id="rId2"/>
  <headerFooter>
    <oddHeader>&amp;C&amp;G</oddHeader>
    <oddFooter>&amp;L&amp;"Times New Roman,Bold"&amp;12Ref No: &amp;F&amp;C&amp;G&amp;R&amp;"Times New Roman,Bold"&amp;12                                                                                 &amp;P</oddFooter>
  </headerFooter>
  <rowBreaks count="3" manualBreakCount="3">
    <brk id="116" max="16383" man="1"/>
    <brk id="645" max="16383" man="1"/>
    <brk id="689"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topLeftCell="C1" workbookViewId="0">
      <selection activeCell="G6" sqref="G6"/>
    </sheetView>
  </sheetViews>
  <sheetFormatPr defaultColWidth="8.7109375" defaultRowHeight="15" x14ac:dyDescent="0.25"/>
  <cols>
    <col min="1" max="1" width="8.7109375" style="31"/>
    <col min="2" max="2" width="22.140625" style="31" customWidth="1"/>
    <col min="3" max="3" width="37" style="31" customWidth="1"/>
    <col min="4" max="5" width="11.42578125" style="31" customWidth="1"/>
    <col min="6" max="6" width="14" style="31" customWidth="1"/>
    <col min="7" max="7" width="20" style="31" customWidth="1"/>
    <col min="8" max="8" width="16.42578125" style="31" customWidth="1"/>
    <col min="9" max="16384" width="8.7109375" style="31"/>
  </cols>
  <sheetData>
    <row r="1" spans="1:9" ht="15" customHeight="1" x14ac:dyDescent="0.25"/>
    <row r="2" spans="1:9" ht="15" customHeight="1" x14ac:dyDescent="0.25">
      <c r="A2" s="32"/>
      <c r="B2" s="32"/>
      <c r="C2" s="32"/>
      <c r="D2" s="32"/>
      <c r="E2" s="32"/>
      <c r="F2" s="32"/>
      <c r="G2" s="32"/>
      <c r="H2" s="32"/>
    </row>
    <row r="3" spans="1:9" x14ac:dyDescent="0.25">
      <c r="A3" s="32"/>
      <c r="B3" s="246" t="s">
        <v>190</v>
      </c>
      <c r="C3" s="246"/>
      <c r="D3" s="246"/>
      <c r="E3" s="246"/>
      <c r="F3" s="246"/>
      <c r="G3" s="246"/>
      <c r="H3" s="246"/>
    </row>
    <row r="4" spans="1:9" x14ac:dyDescent="0.25">
      <c r="A4" s="32"/>
      <c r="B4" s="33" t="s">
        <v>191</v>
      </c>
      <c r="C4" s="33" t="s">
        <v>192</v>
      </c>
      <c r="D4" s="33" t="s">
        <v>82</v>
      </c>
      <c r="E4" s="33" t="s">
        <v>193</v>
      </c>
      <c r="F4" s="33" t="s">
        <v>194</v>
      </c>
      <c r="G4" s="33" t="s">
        <v>195</v>
      </c>
      <c r="H4" s="33" t="s">
        <v>196</v>
      </c>
    </row>
    <row r="5" spans="1:9" ht="15" customHeight="1" x14ac:dyDescent="0.25">
      <c r="A5" s="32"/>
      <c r="B5" s="34" t="s">
        <v>200</v>
      </c>
      <c r="C5" s="35" t="s">
        <v>169</v>
      </c>
      <c r="D5" s="34" t="s">
        <v>160</v>
      </c>
      <c r="E5" s="34">
        <v>344</v>
      </c>
      <c r="F5" s="36">
        <f>E5*1.6</f>
        <v>550.4</v>
      </c>
      <c r="G5" s="36">
        <f>H5/F5</f>
        <v>5813.9534883720935</v>
      </c>
      <c r="H5" s="37">
        <v>3200000</v>
      </c>
    </row>
    <row r="6" spans="1:9" x14ac:dyDescent="0.25">
      <c r="A6" s="32"/>
      <c r="B6" s="34" t="s">
        <v>200</v>
      </c>
      <c r="C6" s="35" t="s">
        <v>169</v>
      </c>
      <c r="D6" s="34" t="s">
        <v>160</v>
      </c>
      <c r="E6" s="34">
        <v>443</v>
      </c>
      <c r="F6" s="36">
        <f t="shared" ref="F6:F11" si="0">E6*1.6</f>
        <v>708.80000000000007</v>
      </c>
      <c r="G6" s="36">
        <f t="shared" ref="G6:G11" si="1">H6/F6</f>
        <v>5925.5079006772003</v>
      </c>
      <c r="H6" s="37">
        <v>4200000</v>
      </c>
    </row>
    <row r="7" spans="1:9" ht="15" customHeight="1" x14ac:dyDescent="0.25">
      <c r="A7" s="32"/>
      <c r="B7" s="34" t="s">
        <v>200</v>
      </c>
      <c r="C7" s="35" t="s">
        <v>169</v>
      </c>
      <c r="D7" s="34" t="s">
        <v>201</v>
      </c>
      <c r="E7" s="34">
        <v>492</v>
      </c>
      <c r="F7" s="36">
        <f t="shared" si="0"/>
        <v>787.2</v>
      </c>
      <c r="G7" s="36">
        <f t="shared" si="1"/>
        <v>6478.6585365853653</v>
      </c>
      <c r="H7" s="37">
        <v>5100000</v>
      </c>
    </row>
    <row r="8" spans="1:9" x14ac:dyDescent="0.25">
      <c r="A8" s="32"/>
      <c r="B8" s="34" t="s">
        <v>200</v>
      </c>
      <c r="C8" s="35" t="s">
        <v>169</v>
      </c>
      <c r="D8" s="34" t="s">
        <v>201</v>
      </c>
      <c r="E8" s="34">
        <v>528</v>
      </c>
      <c r="F8" s="36">
        <f t="shared" si="0"/>
        <v>844.80000000000007</v>
      </c>
      <c r="G8" s="36">
        <f t="shared" si="1"/>
        <v>6273.674242424242</v>
      </c>
      <c r="H8" s="37">
        <v>5300000</v>
      </c>
    </row>
    <row r="9" spans="1:9" ht="15" customHeight="1" x14ac:dyDescent="0.25">
      <c r="A9" s="32"/>
      <c r="B9" s="34" t="s">
        <v>200</v>
      </c>
      <c r="C9" s="35" t="s">
        <v>169</v>
      </c>
      <c r="D9" s="34" t="s">
        <v>159</v>
      </c>
      <c r="E9" s="34">
        <v>540</v>
      </c>
      <c r="F9" s="36">
        <f t="shared" si="0"/>
        <v>864</v>
      </c>
      <c r="G9" s="36">
        <f t="shared" si="1"/>
        <v>6597.2222222222226</v>
      </c>
      <c r="H9" s="37">
        <v>5700000</v>
      </c>
    </row>
    <row r="10" spans="1:9" ht="15" customHeight="1" x14ac:dyDescent="0.25">
      <c r="A10" s="32"/>
      <c r="B10" s="34" t="s">
        <v>200</v>
      </c>
      <c r="C10" s="35" t="s">
        <v>169</v>
      </c>
      <c r="D10" s="34" t="s">
        <v>159</v>
      </c>
      <c r="E10" s="34">
        <v>628</v>
      </c>
      <c r="F10" s="36">
        <f t="shared" si="0"/>
        <v>1004.8000000000001</v>
      </c>
      <c r="G10" s="36">
        <f t="shared" si="1"/>
        <v>6170.382165605095</v>
      </c>
      <c r="H10" s="37">
        <v>6200000</v>
      </c>
    </row>
    <row r="11" spans="1:9" ht="15" customHeight="1" x14ac:dyDescent="0.25">
      <c r="A11" s="32"/>
      <c r="B11" s="34" t="s">
        <v>197</v>
      </c>
      <c r="C11" s="35" t="s">
        <v>169</v>
      </c>
      <c r="D11" s="34" t="s">
        <v>181</v>
      </c>
      <c r="E11" s="34">
        <v>676</v>
      </c>
      <c r="F11" s="36">
        <f t="shared" si="0"/>
        <v>1081.6000000000001</v>
      </c>
      <c r="G11" s="36">
        <f t="shared" si="1"/>
        <v>6286.9822485207096</v>
      </c>
      <c r="H11" s="37">
        <v>6800000</v>
      </c>
    </row>
    <row r="12" spans="1:9" ht="15" customHeight="1" x14ac:dyDescent="0.25">
      <c r="A12" s="32"/>
      <c r="B12" s="38" t="s">
        <v>198</v>
      </c>
      <c r="C12" s="34"/>
      <c r="D12" s="34"/>
      <c r="E12" s="34"/>
      <c r="F12" s="34"/>
      <c r="G12" s="39">
        <f>AVERAGE(G5:G11)</f>
        <v>6220.9115434867044</v>
      </c>
      <c r="H12" s="34"/>
    </row>
    <row r="13" spans="1:9" ht="15" customHeight="1" x14ac:dyDescent="0.25">
      <c r="B13" s="38" t="s">
        <v>199</v>
      </c>
      <c r="C13" s="34"/>
      <c r="D13" s="34"/>
      <c r="E13" s="34"/>
      <c r="F13" s="40"/>
      <c r="G13" s="38">
        <v>6200</v>
      </c>
      <c r="H13" s="38"/>
      <c r="I13" s="41"/>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3"/>
  <sheetViews>
    <sheetView topLeftCell="A7" workbookViewId="0">
      <selection activeCell="E26" sqref="E26"/>
    </sheetView>
  </sheetViews>
  <sheetFormatPr defaultRowHeight="15" x14ac:dyDescent="0.25"/>
  <cols>
    <col min="1" max="1" width="11.140625" bestFit="1" customWidth="1"/>
  </cols>
  <sheetData>
    <row r="2" spans="1:2" x14ac:dyDescent="0.25">
      <c r="A2" t="s">
        <v>183</v>
      </c>
      <c r="B2" t="s">
        <v>184</v>
      </c>
    </row>
    <row r="23" spans="1:4" x14ac:dyDescent="0.25">
      <c r="A23" t="s">
        <v>211</v>
      </c>
      <c r="B23" t="s">
        <v>212</v>
      </c>
      <c r="C23" t="s">
        <v>213</v>
      </c>
      <c r="D23" t="s">
        <v>214</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6"/>
  <sheetViews>
    <sheetView topLeftCell="A22" workbookViewId="0">
      <selection activeCell="D29" sqref="D29"/>
    </sheetView>
  </sheetViews>
  <sheetFormatPr defaultRowHeight="15" x14ac:dyDescent="0.25"/>
  <cols>
    <col min="2" max="2" width="12.28515625" customWidth="1"/>
  </cols>
  <sheetData>
    <row r="2" spans="1:12" x14ac:dyDescent="0.25">
      <c r="B2" s="3" t="s">
        <v>81</v>
      </c>
      <c r="C2" s="247"/>
      <c r="D2" s="247"/>
    </row>
    <row r="3" spans="1:12" x14ac:dyDescent="0.25">
      <c r="D3" s="4"/>
      <c r="E3" s="4"/>
      <c r="F3" s="4"/>
      <c r="G3" s="4"/>
      <c r="H3" s="4"/>
      <c r="I3" s="4"/>
    </row>
    <row r="4" spans="1:12" x14ac:dyDescent="0.25">
      <c r="A4" s="3" t="s">
        <v>82</v>
      </c>
      <c r="B4" s="5" t="s">
        <v>83</v>
      </c>
      <c r="C4" s="248" t="s">
        <v>84</v>
      </c>
      <c r="D4" s="248"/>
      <c r="E4" s="248"/>
      <c r="F4" s="6"/>
      <c r="G4" s="248" t="s">
        <v>85</v>
      </c>
      <c r="H4" s="248"/>
      <c r="I4" s="248"/>
      <c r="J4" s="248" t="s">
        <v>86</v>
      </c>
      <c r="K4" s="248"/>
      <c r="L4" s="248"/>
    </row>
    <row r="5" spans="1:12" x14ac:dyDescent="0.25">
      <c r="A5" s="3">
        <v>202</v>
      </c>
      <c r="B5" s="5"/>
      <c r="C5" s="5" t="s">
        <v>87</v>
      </c>
      <c r="D5" s="5" t="s">
        <v>88</v>
      </c>
      <c r="E5" s="5" t="s">
        <v>62</v>
      </c>
      <c r="F5" s="5"/>
      <c r="G5" s="5" t="s">
        <v>87</v>
      </c>
      <c r="H5" s="5" t="s">
        <v>88</v>
      </c>
      <c r="I5" s="5" t="s">
        <v>62</v>
      </c>
      <c r="J5" s="5" t="s">
        <v>87</v>
      </c>
      <c r="K5" s="5" t="s">
        <v>88</v>
      </c>
      <c r="L5" s="5" t="s">
        <v>62</v>
      </c>
    </row>
    <row r="6" spans="1:12" x14ac:dyDescent="0.25">
      <c r="B6" s="7" t="s">
        <v>89</v>
      </c>
      <c r="C6" s="7">
        <v>4.2</v>
      </c>
      <c r="D6" s="7">
        <v>3.05</v>
      </c>
      <c r="E6" s="7">
        <f>C6*D6</f>
        <v>12.81</v>
      </c>
      <c r="F6" s="7" t="s">
        <v>90</v>
      </c>
      <c r="G6" s="7"/>
      <c r="H6" s="7"/>
      <c r="I6" s="7">
        <f>G6*H6</f>
        <v>0</v>
      </c>
      <c r="J6" s="7"/>
      <c r="K6" s="7"/>
      <c r="L6" s="7">
        <f>J6*K6</f>
        <v>0</v>
      </c>
    </row>
    <row r="7" spans="1:12" x14ac:dyDescent="0.25">
      <c r="B7" s="7"/>
      <c r="C7" s="7"/>
      <c r="D7" s="7"/>
      <c r="E7" s="7">
        <f t="shared" ref="E7:E33" si="0">C7*D7</f>
        <v>0</v>
      </c>
      <c r="F7" s="7" t="s">
        <v>91</v>
      </c>
      <c r="G7" s="7">
        <v>1.325</v>
      </c>
      <c r="H7" s="7">
        <v>2.4</v>
      </c>
      <c r="I7" s="7">
        <f t="shared" ref="I7:I29" si="1">G7*H7</f>
        <v>3.1799999999999997</v>
      </c>
      <c r="J7" s="7"/>
      <c r="K7" s="7"/>
      <c r="L7" s="7">
        <f t="shared" ref="L7:L29" si="2">J7*K7</f>
        <v>0</v>
      </c>
    </row>
    <row r="8" spans="1:12" x14ac:dyDescent="0.25">
      <c r="B8" s="7"/>
      <c r="C8" s="7"/>
      <c r="D8" s="7"/>
      <c r="E8" s="7">
        <f t="shared" si="0"/>
        <v>0</v>
      </c>
      <c r="F8" s="7"/>
      <c r="G8" s="7"/>
      <c r="H8" s="7"/>
      <c r="I8" s="7">
        <f t="shared" si="1"/>
        <v>0</v>
      </c>
      <c r="J8" s="7"/>
      <c r="K8" s="7"/>
      <c r="L8" s="7">
        <f t="shared" si="2"/>
        <v>0</v>
      </c>
    </row>
    <row r="9" spans="1:12" x14ac:dyDescent="0.25">
      <c r="B9" s="7" t="s">
        <v>92</v>
      </c>
      <c r="C9" s="7">
        <v>2.7749999999999999</v>
      </c>
      <c r="D9" s="7">
        <v>2.15</v>
      </c>
      <c r="E9" s="7">
        <f t="shared" si="0"/>
        <v>5.9662499999999996</v>
      </c>
      <c r="F9" s="7" t="s">
        <v>90</v>
      </c>
      <c r="G9" s="7"/>
      <c r="H9" s="7"/>
      <c r="I9" s="7">
        <f t="shared" si="1"/>
        <v>0</v>
      </c>
      <c r="J9" s="7"/>
      <c r="K9" s="7"/>
      <c r="L9" s="7">
        <f t="shared" si="2"/>
        <v>0</v>
      </c>
    </row>
    <row r="10" spans="1:12" x14ac:dyDescent="0.25">
      <c r="B10" s="7"/>
      <c r="C10" s="7"/>
      <c r="D10" s="7"/>
      <c r="E10" s="7">
        <f t="shared" si="0"/>
        <v>0</v>
      </c>
      <c r="F10" s="7" t="s">
        <v>91</v>
      </c>
      <c r="G10" s="7"/>
      <c r="H10" s="7"/>
      <c r="I10" s="7">
        <f t="shared" si="1"/>
        <v>0</v>
      </c>
      <c r="J10" s="7"/>
      <c r="K10" s="7"/>
      <c r="L10" s="7">
        <f t="shared" si="2"/>
        <v>0</v>
      </c>
    </row>
    <row r="11" spans="1:12" x14ac:dyDescent="0.25">
      <c r="B11" s="7"/>
      <c r="C11" s="7"/>
      <c r="D11" s="7"/>
      <c r="E11" s="7">
        <f t="shared" si="0"/>
        <v>0</v>
      </c>
      <c r="F11" s="7"/>
      <c r="G11" s="7"/>
      <c r="H11" s="7"/>
      <c r="I11" s="7">
        <f t="shared" si="1"/>
        <v>0</v>
      </c>
      <c r="J11" s="7"/>
      <c r="K11" s="7"/>
      <c r="L11" s="7">
        <f t="shared" si="2"/>
        <v>0</v>
      </c>
    </row>
    <row r="12" spans="1:12" x14ac:dyDescent="0.25">
      <c r="B12" s="7"/>
      <c r="C12" s="7"/>
      <c r="D12" s="7"/>
      <c r="E12" s="7">
        <f t="shared" si="0"/>
        <v>0</v>
      </c>
      <c r="F12" s="7"/>
      <c r="G12" s="7"/>
      <c r="H12" s="7"/>
      <c r="I12" s="7">
        <f t="shared" si="1"/>
        <v>0</v>
      </c>
      <c r="J12" s="7"/>
      <c r="K12" s="7"/>
      <c r="L12" s="7">
        <f t="shared" si="2"/>
        <v>0</v>
      </c>
    </row>
    <row r="13" spans="1:12" x14ac:dyDescent="0.25">
      <c r="B13" s="7" t="s">
        <v>93</v>
      </c>
      <c r="C13" s="7">
        <v>2.9</v>
      </c>
      <c r="D13" s="7">
        <v>3.1</v>
      </c>
      <c r="E13" s="7">
        <f t="shared" si="0"/>
        <v>8.99</v>
      </c>
      <c r="F13" s="7" t="s">
        <v>90</v>
      </c>
      <c r="G13" s="7"/>
      <c r="H13" s="7"/>
      <c r="I13" s="7">
        <f t="shared" si="1"/>
        <v>0</v>
      </c>
      <c r="J13" s="7"/>
      <c r="K13" s="7"/>
      <c r="L13" s="7">
        <f t="shared" si="2"/>
        <v>0</v>
      </c>
    </row>
    <row r="14" spans="1:12" x14ac:dyDescent="0.25">
      <c r="B14" s="7"/>
      <c r="C14" s="7"/>
      <c r="D14" s="7"/>
      <c r="E14" s="7">
        <f t="shared" si="0"/>
        <v>0</v>
      </c>
      <c r="F14" s="7" t="s">
        <v>91</v>
      </c>
      <c r="G14" s="7"/>
      <c r="H14" s="7"/>
      <c r="I14" s="7">
        <f t="shared" si="1"/>
        <v>0</v>
      </c>
      <c r="J14" s="7"/>
      <c r="K14" s="7"/>
      <c r="L14" s="7">
        <f t="shared" si="2"/>
        <v>0</v>
      </c>
    </row>
    <row r="15" spans="1:12" x14ac:dyDescent="0.25">
      <c r="B15" s="7"/>
      <c r="C15" s="7"/>
      <c r="D15" s="7"/>
      <c r="E15" s="7">
        <f t="shared" si="0"/>
        <v>0</v>
      </c>
      <c r="F15" s="7"/>
      <c r="G15" s="7"/>
      <c r="H15" s="7"/>
      <c r="I15" s="7">
        <f t="shared" si="1"/>
        <v>0</v>
      </c>
      <c r="J15" s="7"/>
      <c r="K15" s="7"/>
      <c r="L15" s="7">
        <f t="shared" si="2"/>
        <v>0</v>
      </c>
    </row>
    <row r="16" spans="1:12" x14ac:dyDescent="0.25">
      <c r="B16" s="7"/>
      <c r="C16" s="7"/>
      <c r="D16" s="7"/>
      <c r="E16" s="7">
        <f t="shared" si="0"/>
        <v>0</v>
      </c>
      <c r="F16" s="7"/>
      <c r="G16" s="7"/>
      <c r="H16" s="7"/>
      <c r="I16" s="7">
        <f t="shared" si="1"/>
        <v>0</v>
      </c>
      <c r="J16" s="7"/>
      <c r="K16" s="7"/>
      <c r="L16" s="7">
        <f t="shared" si="2"/>
        <v>0</v>
      </c>
    </row>
    <row r="17" spans="2:12" x14ac:dyDescent="0.25">
      <c r="B17" s="7" t="s">
        <v>94</v>
      </c>
      <c r="C17" s="7">
        <v>3.1</v>
      </c>
      <c r="D17" s="7">
        <v>3.18</v>
      </c>
      <c r="E17" s="7">
        <f t="shared" si="0"/>
        <v>9.8580000000000005</v>
      </c>
      <c r="F17" s="7" t="s">
        <v>90</v>
      </c>
      <c r="G17" s="7"/>
      <c r="H17" s="7"/>
      <c r="I17" s="7">
        <f t="shared" si="1"/>
        <v>0</v>
      </c>
      <c r="J17" s="7"/>
      <c r="K17" s="7"/>
      <c r="L17" s="7">
        <f t="shared" si="2"/>
        <v>0</v>
      </c>
    </row>
    <row r="18" spans="2:12" x14ac:dyDescent="0.25">
      <c r="B18" s="7"/>
      <c r="C18" s="7"/>
      <c r="D18" s="7"/>
      <c r="E18" s="7">
        <f t="shared" si="0"/>
        <v>0</v>
      </c>
      <c r="F18" s="7" t="s">
        <v>91</v>
      </c>
      <c r="G18" s="7"/>
      <c r="H18" s="7"/>
      <c r="I18" s="7">
        <f t="shared" si="1"/>
        <v>0</v>
      </c>
      <c r="J18" s="7"/>
      <c r="K18" s="7"/>
      <c r="L18" s="7">
        <f t="shared" si="2"/>
        <v>0</v>
      </c>
    </row>
    <row r="19" spans="2:12" x14ac:dyDescent="0.25">
      <c r="B19" s="7"/>
      <c r="C19" s="7"/>
      <c r="D19" s="7"/>
      <c r="E19" s="7">
        <f t="shared" si="0"/>
        <v>0</v>
      </c>
      <c r="F19" s="7"/>
      <c r="G19" s="7"/>
      <c r="H19" s="7"/>
      <c r="I19" s="7">
        <f t="shared" si="1"/>
        <v>0</v>
      </c>
      <c r="J19" s="7"/>
      <c r="K19" s="7"/>
      <c r="L19" s="7">
        <f t="shared" si="2"/>
        <v>0</v>
      </c>
    </row>
    <row r="20" spans="2:12" x14ac:dyDescent="0.25">
      <c r="B20" s="7" t="s">
        <v>94</v>
      </c>
      <c r="C20" s="7">
        <v>2.62</v>
      </c>
      <c r="D20" s="7">
        <v>3.38</v>
      </c>
      <c r="E20" s="7">
        <f t="shared" si="0"/>
        <v>8.8556000000000008</v>
      </c>
      <c r="F20" s="7" t="s">
        <v>90</v>
      </c>
      <c r="G20" s="7"/>
      <c r="H20" s="7"/>
      <c r="I20" s="7">
        <f t="shared" si="1"/>
        <v>0</v>
      </c>
      <c r="J20" s="7"/>
      <c r="K20" s="7"/>
      <c r="L20" s="7">
        <f t="shared" si="2"/>
        <v>0</v>
      </c>
    </row>
    <row r="21" spans="2:12" x14ac:dyDescent="0.25">
      <c r="B21" s="7"/>
      <c r="C21" s="7"/>
      <c r="D21" s="7"/>
      <c r="E21" s="7">
        <f t="shared" si="0"/>
        <v>0</v>
      </c>
      <c r="F21" s="7" t="s">
        <v>91</v>
      </c>
      <c r="G21" s="7"/>
      <c r="H21" s="7"/>
      <c r="I21" s="7">
        <f t="shared" si="1"/>
        <v>0</v>
      </c>
      <c r="J21" s="7"/>
      <c r="K21" s="7"/>
      <c r="L21" s="7">
        <f t="shared" si="2"/>
        <v>0</v>
      </c>
    </row>
    <row r="22" spans="2:12" x14ac:dyDescent="0.25">
      <c r="B22" s="7"/>
      <c r="C22" s="7"/>
      <c r="D22" s="7"/>
      <c r="E22" s="7">
        <f t="shared" si="0"/>
        <v>0</v>
      </c>
      <c r="F22" s="7"/>
      <c r="G22" s="7"/>
      <c r="H22" s="7"/>
      <c r="I22" s="7">
        <f t="shared" si="1"/>
        <v>0</v>
      </c>
      <c r="J22" s="7"/>
      <c r="K22" s="7"/>
      <c r="L22" s="7">
        <f t="shared" si="2"/>
        <v>0</v>
      </c>
    </row>
    <row r="23" spans="2:12" x14ac:dyDescent="0.25">
      <c r="B23" s="7" t="s">
        <v>95</v>
      </c>
      <c r="C23" s="7">
        <v>1.35</v>
      </c>
      <c r="D23" s="7">
        <v>2.1</v>
      </c>
      <c r="E23" s="7">
        <f t="shared" si="0"/>
        <v>2.8350000000000004</v>
      </c>
      <c r="F23" s="7" t="s">
        <v>96</v>
      </c>
      <c r="G23" s="7"/>
      <c r="H23" s="7"/>
      <c r="I23" s="7">
        <f t="shared" si="1"/>
        <v>0</v>
      </c>
      <c r="J23" s="7"/>
      <c r="K23" s="7"/>
      <c r="L23" s="7">
        <f t="shared" si="2"/>
        <v>0</v>
      </c>
    </row>
    <row r="24" spans="2:12" x14ac:dyDescent="0.25">
      <c r="B24" s="7" t="s">
        <v>97</v>
      </c>
      <c r="C24" s="7">
        <v>1.35</v>
      </c>
      <c r="D24" s="7">
        <v>2.1</v>
      </c>
      <c r="E24" s="7">
        <f t="shared" si="0"/>
        <v>2.8350000000000004</v>
      </c>
      <c r="F24" s="7" t="s">
        <v>96</v>
      </c>
      <c r="G24" s="7"/>
      <c r="H24" s="7"/>
      <c r="I24" s="7">
        <f t="shared" si="1"/>
        <v>0</v>
      </c>
      <c r="J24" s="7"/>
      <c r="K24" s="7"/>
      <c r="L24" s="7">
        <f t="shared" si="2"/>
        <v>0</v>
      </c>
    </row>
    <row r="25" spans="2:12" x14ac:dyDescent="0.25">
      <c r="B25" s="7" t="s">
        <v>98</v>
      </c>
      <c r="C25" s="7"/>
      <c r="D25" s="7"/>
      <c r="E25" s="7">
        <f t="shared" si="0"/>
        <v>0</v>
      </c>
      <c r="F25" s="7" t="s">
        <v>96</v>
      </c>
      <c r="G25" s="7"/>
      <c r="H25" s="7"/>
      <c r="I25" s="7">
        <f t="shared" si="1"/>
        <v>0</v>
      </c>
      <c r="J25" s="7"/>
      <c r="K25" s="7"/>
      <c r="L25" s="7">
        <f t="shared" si="2"/>
        <v>0</v>
      </c>
    </row>
    <row r="26" spans="2:12" x14ac:dyDescent="0.25">
      <c r="B26" s="7"/>
      <c r="C26" s="7"/>
      <c r="D26" s="7"/>
      <c r="E26" s="7">
        <f t="shared" si="0"/>
        <v>0</v>
      </c>
      <c r="F26" s="7"/>
      <c r="G26" s="7"/>
      <c r="H26" s="7"/>
      <c r="I26" s="7">
        <f t="shared" si="1"/>
        <v>0</v>
      </c>
      <c r="J26" s="7"/>
      <c r="K26" s="7"/>
      <c r="L26" s="7">
        <f t="shared" si="2"/>
        <v>0</v>
      </c>
    </row>
    <row r="27" spans="2:12" x14ac:dyDescent="0.25">
      <c r="B27" s="7" t="s">
        <v>99</v>
      </c>
      <c r="C27" s="7">
        <v>1.43</v>
      </c>
      <c r="D27" s="7">
        <v>1.05</v>
      </c>
      <c r="E27" s="7">
        <f t="shared" si="0"/>
        <v>1.5015000000000001</v>
      </c>
      <c r="F27" s="7"/>
      <c r="G27" s="7"/>
      <c r="H27" s="7"/>
      <c r="I27" s="7">
        <f t="shared" si="1"/>
        <v>0</v>
      </c>
      <c r="J27" s="7"/>
      <c r="K27" s="7"/>
      <c r="L27" s="7">
        <f t="shared" si="2"/>
        <v>0</v>
      </c>
    </row>
    <row r="28" spans="2:12" x14ac:dyDescent="0.25">
      <c r="B28" s="7" t="s">
        <v>100</v>
      </c>
      <c r="C28" s="7">
        <v>1</v>
      </c>
      <c r="D28" s="7">
        <v>1.35</v>
      </c>
      <c r="E28" s="7">
        <f t="shared" si="0"/>
        <v>1.35</v>
      </c>
      <c r="F28" s="7"/>
      <c r="G28" s="7"/>
      <c r="H28" s="7"/>
      <c r="I28" s="7">
        <f t="shared" si="1"/>
        <v>0</v>
      </c>
      <c r="J28" s="7"/>
      <c r="K28" s="7"/>
      <c r="L28" s="7">
        <f t="shared" si="2"/>
        <v>0</v>
      </c>
    </row>
    <row r="29" spans="2:12" x14ac:dyDescent="0.25">
      <c r="B29" s="7" t="s">
        <v>101</v>
      </c>
      <c r="C29" s="7"/>
      <c r="D29" s="7"/>
      <c r="E29" s="7">
        <f t="shared" si="0"/>
        <v>0</v>
      </c>
      <c r="F29" s="7"/>
      <c r="G29" s="7"/>
      <c r="H29" s="7"/>
      <c r="I29" s="7">
        <f t="shared" si="1"/>
        <v>0</v>
      </c>
      <c r="J29" s="7"/>
      <c r="K29" s="7"/>
      <c r="L29" s="7">
        <f t="shared" si="2"/>
        <v>0</v>
      </c>
    </row>
    <row r="30" spans="2:12" x14ac:dyDescent="0.25">
      <c r="B30" s="7" t="s">
        <v>102</v>
      </c>
      <c r="C30" s="7"/>
      <c r="D30" s="7"/>
      <c r="E30" s="7">
        <f t="shared" si="0"/>
        <v>0</v>
      </c>
      <c r="F30" s="7"/>
      <c r="G30" s="7"/>
      <c r="H30" s="7"/>
      <c r="I30" s="7">
        <f>G30*H30</f>
        <v>0</v>
      </c>
      <c r="J30" s="7"/>
      <c r="K30" s="7"/>
      <c r="L30" s="7">
        <f>J30*K30</f>
        <v>0</v>
      </c>
    </row>
    <row r="31" spans="2:12" x14ac:dyDescent="0.25">
      <c r="B31" s="7"/>
      <c r="C31" s="7"/>
      <c r="D31" s="7"/>
      <c r="E31" s="7">
        <f t="shared" si="0"/>
        <v>0</v>
      </c>
      <c r="F31" s="7"/>
      <c r="G31" s="7"/>
      <c r="H31" s="7"/>
      <c r="I31" s="7">
        <f>G31*H31</f>
        <v>0</v>
      </c>
      <c r="J31" s="7"/>
      <c r="K31" s="7"/>
      <c r="L31" s="7">
        <f>J31*K31</f>
        <v>0</v>
      </c>
    </row>
    <row r="32" spans="2:12" x14ac:dyDescent="0.25">
      <c r="B32" s="7"/>
      <c r="C32" s="7"/>
      <c r="D32" s="7"/>
      <c r="E32" s="7">
        <f t="shared" si="0"/>
        <v>0</v>
      </c>
      <c r="F32" s="7"/>
      <c r="G32" s="7"/>
      <c r="H32" s="7"/>
      <c r="I32" s="7">
        <f>G32*H32</f>
        <v>0</v>
      </c>
      <c r="J32" s="7"/>
      <c r="K32" s="7"/>
      <c r="L32" s="7">
        <f>J32*K32</f>
        <v>0</v>
      </c>
    </row>
    <row r="33" spans="2:12" x14ac:dyDescent="0.25">
      <c r="B33" s="7"/>
      <c r="C33" s="7"/>
      <c r="D33" s="7"/>
      <c r="E33" s="7">
        <f t="shared" si="0"/>
        <v>0</v>
      </c>
      <c r="F33" s="7"/>
      <c r="G33" s="7"/>
      <c r="H33" s="7"/>
      <c r="I33" s="7">
        <f>G33*H33</f>
        <v>0</v>
      </c>
      <c r="J33" s="7"/>
      <c r="K33" s="7"/>
      <c r="L33" s="7">
        <f>J33*K33</f>
        <v>0</v>
      </c>
    </row>
    <row r="34" spans="2:12" x14ac:dyDescent="0.25">
      <c r="B34" s="7" t="s">
        <v>63</v>
      </c>
      <c r="C34" s="7"/>
      <c r="D34" s="7">
        <f>E34*10.764</f>
        <v>592.03453140000011</v>
      </c>
      <c r="E34" s="7">
        <f>SUM(E6:E33)</f>
        <v>55.001350000000009</v>
      </c>
      <c r="F34" s="7"/>
      <c r="G34" s="7"/>
      <c r="H34" s="7">
        <f>I34*10.764</f>
        <v>34.229519999999994</v>
      </c>
      <c r="I34" s="7">
        <f>SUM(I6:I33)</f>
        <v>3.1799999999999997</v>
      </c>
      <c r="J34" s="7"/>
      <c r="K34" s="7">
        <f>L34*10.764</f>
        <v>0</v>
      </c>
      <c r="L34" s="7">
        <f>SUM(L6:L33)</f>
        <v>0</v>
      </c>
    </row>
    <row r="36" spans="2:12" x14ac:dyDescent="0.25">
      <c r="D36">
        <f>D34+H34</f>
        <v>626.26405140000008</v>
      </c>
      <c r="E36">
        <f>E34+I34</f>
        <v>58.181350000000009</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Note</vt:lpstr>
      <vt:lpstr>Flat detail</vt:lpstr>
      <vt:lpstr>Report!Print_Area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cp:lastModifiedBy>
  <cp:lastPrinted>2025-08-16T12:09:19Z</cp:lastPrinted>
  <dcterms:created xsi:type="dcterms:W3CDTF">2019-07-16T09:29:46Z</dcterms:created>
  <dcterms:modified xsi:type="dcterms:W3CDTF">2025-08-16T12:28:55Z</dcterms:modified>
</cp:coreProperties>
</file>