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105" windowWidth="21840" windowHeight="1245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Report!$A$1:$H$312</definedName>
  </definedNames>
  <calcPr calcId="144525"/>
</workbook>
</file>

<file path=xl/calcChain.xml><?xml version="1.0" encoding="utf-8"?>
<calcChain xmlns="http://schemas.openxmlformats.org/spreadsheetml/2006/main">
  <c r="C87" i="1" l="1"/>
  <c r="C89" i="1" s="1"/>
  <c r="C75" i="1"/>
  <c r="C73" i="1"/>
  <c r="C74" i="1" s="1"/>
  <c r="C88" i="1" l="1"/>
  <c r="C80" i="1"/>
  <c r="J91" i="1"/>
  <c r="J90" i="1"/>
  <c r="J89" i="1"/>
  <c r="G162" i="1" l="1"/>
  <c r="I113" i="1"/>
  <c r="I109" i="1" l="1"/>
  <c r="D182" i="1"/>
  <c r="F182" i="1" s="1"/>
  <c r="A182" i="1"/>
  <c r="D181" i="1"/>
  <c r="F181" i="1" s="1"/>
  <c r="D180" i="1"/>
  <c r="F180" i="1" s="1"/>
  <c r="D179" i="1"/>
  <c r="F179" i="1" s="1"/>
  <c r="D178" i="1"/>
  <c r="F178" i="1" s="1"/>
  <c r="A178" i="1"/>
  <c r="A179" i="1" s="1"/>
  <c r="A180" i="1" s="1"/>
  <c r="D177" i="1"/>
  <c r="F177" i="1" s="1"/>
  <c r="D176" i="1"/>
  <c r="F176" i="1" s="1"/>
  <c r="D175" i="1"/>
  <c r="F175" i="1" s="1"/>
  <c r="D174" i="1"/>
  <c r="F174" i="1" s="1"/>
  <c r="A174" i="1"/>
  <c r="A175" i="1" s="1"/>
  <c r="A176" i="1" s="1"/>
  <c r="G173" i="1"/>
  <c r="D173" i="1"/>
  <c r="F173" i="1" s="1"/>
  <c r="J173" i="1" s="1"/>
  <c r="D204" i="1"/>
  <c r="F204" i="1" s="1"/>
  <c r="A204" i="1"/>
  <c r="D203" i="1"/>
  <c r="F203" i="1" s="1"/>
  <c r="D202" i="1"/>
  <c r="F202" i="1" s="1"/>
  <c r="D201" i="1"/>
  <c r="F201" i="1" s="1"/>
  <c r="D200" i="1"/>
  <c r="F200" i="1" s="1"/>
  <c r="A200" i="1"/>
  <c r="A201" i="1" s="1"/>
  <c r="A202" i="1" s="1"/>
  <c r="D199" i="1"/>
  <c r="F199" i="1" s="1"/>
  <c r="D197" i="1"/>
  <c r="F197" i="1" s="1"/>
  <c r="D196" i="1"/>
  <c r="F196" i="1" s="1"/>
  <c r="A196" i="1"/>
  <c r="A197" i="1" s="1"/>
  <c r="A198" i="1" s="1"/>
  <c r="G195" i="1"/>
  <c r="D195" i="1"/>
  <c r="F195" i="1" s="1"/>
  <c r="D193" i="1"/>
  <c r="F193" i="1" s="1"/>
  <c r="A193" i="1"/>
  <c r="D192" i="1"/>
  <c r="F192" i="1" s="1"/>
  <c r="D191" i="1"/>
  <c r="F191" i="1" s="1"/>
  <c r="D190" i="1"/>
  <c r="F190" i="1" s="1"/>
  <c r="D189" i="1"/>
  <c r="F189" i="1" s="1"/>
  <c r="A189" i="1"/>
  <c r="A190" i="1" s="1"/>
  <c r="A191" i="1" s="1"/>
  <c r="D188" i="1"/>
  <c r="F188" i="1" s="1"/>
  <c r="D187" i="1"/>
  <c r="F187" i="1" s="1"/>
  <c r="D186" i="1"/>
  <c r="F186" i="1" s="1"/>
  <c r="D185" i="1"/>
  <c r="F185" i="1" s="1"/>
  <c r="A185" i="1"/>
  <c r="A186" i="1" s="1"/>
  <c r="A187" i="1" s="1"/>
  <c r="G184" i="1"/>
  <c r="D184" i="1"/>
  <c r="F184" i="1" s="1"/>
  <c r="D171" i="1"/>
  <c r="F171" i="1" s="1"/>
  <c r="A171" i="1"/>
  <c r="D170" i="1"/>
  <c r="F170" i="1" s="1"/>
  <c r="D169" i="1"/>
  <c r="F169" i="1" s="1"/>
  <c r="D168" i="1"/>
  <c r="F168" i="1" s="1"/>
  <c r="D167" i="1"/>
  <c r="F167" i="1" s="1"/>
  <c r="A167" i="1"/>
  <c r="A168" i="1" s="1"/>
  <c r="A169" i="1" s="1"/>
  <c r="D166" i="1"/>
  <c r="F166" i="1" s="1"/>
  <c r="D164" i="1"/>
  <c r="F164" i="1" s="1"/>
  <c r="D163" i="1"/>
  <c r="F163" i="1" s="1"/>
  <c r="A163" i="1"/>
  <c r="A164" i="1" s="1"/>
  <c r="A165" i="1" s="1"/>
  <c r="D162" i="1"/>
  <c r="F162" i="1" s="1"/>
  <c r="D160" i="1"/>
  <c r="D159" i="1"/>
  <c r="D155" i="1"/>
  <c r="D158" i="1"/>
  <c r="D157" i="1"/>
  <c r="D156" i="1"/>
  <c r="D152" i="1"/>
  <c r="D153" i="1"/>
  <c r="D154" i="1"/>
  <c r="D151" i="1"/>
  <c r="D135" i="1"/>
  <c r="E109" i="1" l="1"/>
  <c r="E113" i="1"/>
  <c r="I173" i="1"/>
  <c r="C113" i="1"/>
  <c r="C109" i="1"/>
  <c r="F160" i="1"/>
  <c r="A160" i="1"/>
  <c r="F159" i="1"/>
  <c r="F158" i="1"/>
  <c r="F157" i="1"/>
  <c r="F156" i="1"/>
  <c r="A156" i="1"/>
  <c r="A157" i="1" s="1"/>
  <c r="A158" i="1" s="1"/>
  <c r="F155" i="1"/>
  <c r="F154" i="1"/>
  <c r="F153" i="1"/>
  <c r="F152" i="1"/>
  <c r="A152" i="1"/>
  <c r="A153" i="1" s="1"/>
  <c r="A154" i="1" s="1"/>
  <c r="G151" i="1"/>
  <c r="F151" i="1"/>
  <c r="I151" i="1" s="1"/>
  <c r="D146" i="1"/>
  <c r="F146" i="1" s="1"/>
  <c r="D145" i="1"/>
  <c r="F145" i="1" s="1"/>
  <c r="D144" i="1"/>
  <c r="F144" i="1" s="1"/>
  <c r="A144" i="1"/>
  <c r="A145" i="1" s="1"/>
  <c r="A146" i="1" s="1"/>
  <c r="D142" i="1"/>
  <c r="F142" i="1" s="1"/>
  <c r="D141" i="1"/>
  <c r="F141" i="1" s="1"/>
  <c r="D140" i="1"/>
  <c r="F140" i="1" s="1"/>
  <c r="A140" i="1"/>
  <c r="A141" i="1" s="1"/>
  <c r="A142" i="1" s="1"/>
  <c r="D139" i="1"/>
  <c r="F139" i="1" s="1"/>
  <c r="D138" i="1"/>
  <c r="F138" i="1" s="1"/>
  <c r="D137" i="1"/>
  <c r="F137" i="1" s="1"/>
  <c r="D136" i="1"/>
  <c r="F136" i="1" s="1"/>
  <c r="I136" i="1" s="1"/>
  <c r="A136" i="1"/>
  <c r="A137" i="1" s="1"/>
  <c r="A138" i="1" s="1"/>
  <c r="G135" i="1"/>
  <c r="G140" i="1" s="1"/>
  <c r="F135" i="1"/>
  <c r="D133" i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D126" i="1"/>
  <c r="F126" i="1" s="1"/>
  <c r="D125" i="1"/>
  <c r="D124" i="1"/>
  <c r="D123" i="1"/>
  <c r="D122" i="1"/>
  <c r="F133" i="1"/>
  <c r="A131" i="1"/>
  <c r="A132" i="1" s="1"/>
  <c r="A133" i="1" s="1"/>
  <c r="A127" i="1"/>
  <c r="A128" i="1" s="1"/>
  <c r="A129" i="1" s="1"/>
  <c r="C108" i="1" l="1"/>
  <c r="C110" i="1" s="1"/>
  <c r="E108" i="1"/>
  <c r="E110" i="1" s="1"/>
  <c r="G113" i="1"/>
  <c r="G109" i="1"/>
  <c r="C14" i="1"/>
  <c r="E29" i="1" l="1"/>
  <c r="F123" i="1" l="1"/>
  <c r="F124" i="1"/>
  <c r="F125" i="1"/>
  <c r="I125" i="1" s="1"/>
  <c r="F122" i="1"/>
  <c r="A123" i="1"/>
  <c r="A124" i="1" s="1"/>
  <c r="A125" i="1" s="1"/>
  <c r="G122" i="1"/>
  <c r="G108" i="1" l="1"/>
  <c r="G110" i="1" s="1"/>
  <c r="F105" i="1"/>
  <c r="B20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9" i="1"/>
  <c r="J77" i="1"/>
  <c r="J76" i="1"/>
  <c r="J75" i="1"/>
  <c r="C66" i="1"/>
  <c r="D54" i="1"/>
  <c r="G49" i="1"/>
  <c r="C49" i="1"/>
  <c r="E42" i="1"/>
  <c r="E43" i="1" s="1"/>
  <c r="E26" i="1"/>
  <c r="E24" i="1"/>
  <c r="E7" i="1"/>
  <c r="E3" i="1"/>
  <c r="H67" i="1"/>
  <c r="D60" i="1" l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4" i="1" l="1"/>
  <c r="J79" i="1" s="1"/>
  <c r="D72" i="1"/>
  <c r="J68" i="1"/>
  <c r="D70" i="1"/>
  <c r="H81" i="1"/>
  <c r="C71" i="1" l="1"/>
  <c r="E70" i="1" s="1"/>
  <c r="J85" i="1"/>
  <c r="C84" i="1" s="1"/>
  <c r="D84" i="1" s="1"/>
  <c r="D93" i="1"/>
  <c r="D91" i="1"/>
  <c r="D89" i="1"/>
  <c r="D87" i="1"/>
  <c r="J86" i="1"/>
  <c r="J87" i="1" s="1"/>
  <c r="J92" i="1" s="1"/>
  <c r="J84" i="1"/>
  <c r="J80" i="1"/>
  <c r="J82" i="1" s="1"/>
  <c r="D92" i="1"/>
  <c r="D90" i="1"/>
  <c r="D88" i="1"/>
  <c r="D86" i="1"/>
  <c r="J83" i="1"/>
  <c r="J88" i="1" l="1"/>
  <c r="J93" i="1" s="1"/>
  <c r="C85" i="1" s="1"/>
  <c r="D71" i="1"/>
  <c r="I67" i="1" s="1"/>
  <c r="I68" i="1" s="1"/>
  <c r="J67" i="1"/>
  <c r="G70" i="1"/>
  <c r="D64" i="1" s="1"/>
  <c r="F65" i="1" s="1"/>
  <c r="D85" i="1" l="1"/>
  <c r="I81" i="1" s="1"/>
  <c r="I82" i="1" s="1"/>
  <c r="J81" i="1"/>
  <c r="G84" i="1"/>
  <c r="E84" i="1"/>
  <c r="I66" i="1"/>
  <c r="C68" i="1" s="1"/>
  <c r="D65" i="1"/>
  <c r="I80" i="1" l="1"/>
  <c r="C82" i="1" s="1"/>
</calcChain>
</file>

<file path=xl/sharedStrings.xml><?xml version="1.0" encoding="utf-8"?>
<sst xmlns="http://schemas.openxmlformats.org/spreadsheetml/2006/main" count="453" uniqueCount="232">
  <si>
    <t xml:space="preserve">Valuation Report </t>
  </si>
  <si>
    <t>Date:</t>
  </si>
  <si>
    <t>CPC Name: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</si>
  <si>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</si>
  <si>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</si>
  <si>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</si>
  <si>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</si>
  <si>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</si>
  <si>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</si>
  <si>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</si>
  <si>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</si>
  <si>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</si>
  <si>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</si>
  <si>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</si>
  <si>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</si>
  <si>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</si>
  <si>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</si>
  <si>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</si>
  <si>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</si>
  <si>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</si>
  <si>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</si>
  <si>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</si>
  <si>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</si>
  <si>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</si>
  <si>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</si>
  <si>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</si>
  <si>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</si>
  <si>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</si>
  <si>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</si>
  <si>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</si>
  <si>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</si>
  <si>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</si>
  <si>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</si>
  <si>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</si>
  <si>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</si>
  <si>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</si>
  <si>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</si>
  <si>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</si>
  <si>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</si>
  <si>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</si>
  <si>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</si>
  <si>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</si>
  <si>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</si>
  <si>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</si>
  <si>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</si>
  <si>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</si>
  <si>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</si>
  <si>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</si>
  <si>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</si>
  <si>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</si>
  <si>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</si>
  <si>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</si>
  <si>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</si>
  <si>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</si>
  <si>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</si>
  <si>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</si>
  <si>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</si>
  <si>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</si>
  <si>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</si>
  <si>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</si>
  <si>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</si>
  <si>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</si>
  <si>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</si>
  <si>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</si>
  <si>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</si>
  <si>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</si>
  <si>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</si>
  <si>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</si>
  <si>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</si>
  <si>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</si>
  <si>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</si>
  <si>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</si>
  <si>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</si>
  <si>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</si>
  <si>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</si>
  <si>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</si>
  <si>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</si>
  <si>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</si>
  <si>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</si>
  <si>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</si>
  <si>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</si>
  <si>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</si>
  <si>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</si>
  <si>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</si>
  <si>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</si>
  <si>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</si>
  <si>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</si>
  <si>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</si>
  <si>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</si>
  <si>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</si>
  <si>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</si>
  <si>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</si>
  <si>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</si>
  <si>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</si>
  <si>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</si>
  <si>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</si>
  <si>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</si>
  <si>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</si>
  <si>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</si>
  <si>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</si>
  <si>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</si>
  <si>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</si>
  <si>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</si>
  <si>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</si>
  <si>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</si>
  <si>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</si>
  <si>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</si>
  <si>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</si>
  <si>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</si>
  <si>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</si>
  <si>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</si>
  <si>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</si>
  <si>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</si>
  <si>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</si>
  <si>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</si>
  <si>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</si>
  <si>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</si>
  <si>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</si>
  <si>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</si>
  <si>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</si>
  <si>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</si>
  <si>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</si>
  <si>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</si>
  <si>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</si>
  <si>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</si>
  <si>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</si>
  <si>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</si>
  <si>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</si>
  <si>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</si>
  <si>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</si>
  <si>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</si>
  <si>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</si>
  <si>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</si>
  <si>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</si>
  <si>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</si>
  <si>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</si>
  <si>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</si>
  <si>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</si>
  <si>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</si>
  <si>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</si>
  <si>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</si>
  <si>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</si>
  <si>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</si>
  <si>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</si>
  <si>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</si>
  <si>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</si>
  <si>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</si>
  <si>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</si>
  <si>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</si>
  <si>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</si>
  <si>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</si>
  <si>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</si>
  <si>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</si>
  <si>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</si>
  <si>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</si>
  <si>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</si>
  <si>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</si>
  <si>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</si>
  <si>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Flat Per Sq. Ft.</t>
  </si>
  <si>
    <t>On Saleable Area</t>
  </si>
  <si>
    <t>Legal Charges</t>
  </si>
  <si>
    <t>Location Link</t>
  </si>
  <si>
    <t>Locality</t>
  </si>
  <si>
    <t>Axis Sanpada</t>
  </si>
  <si>
    <t>M/s. Chalama Infraproperties Private Limited</t>
  </si>
  <si>
    <t>Dosti Planet North ­ Sector 3</t>
  </si>
  <si>
    <t>Tower 2 - Amber &amp; Tower 3 - Sapphire</t>
  </si>
  <si>
    <t>P51700034985</t>
  </si>
  <si>
    <t>Survey No</t>
  </si>
  <si>
    <t>181/2G, 181/2H, 181/2D, 156/3</t>
  </si>
  <si>
    <t>Village</t>
  </si>
  <si>
    <t>Thane</t>
  </si>
  <si>
    <t xml:space="preserve">Thane Municipal Corporation
</t>
  </si>
  <si>
    <t>https://goo.gl/maps/DL1wfuMoWv9RHK3T8</t>
  </si>
  <si>
    <t>5KM from Mumbra Railway Station</t>
  </si>
  <si>
    <t>Mumbai - Pune Highway</t>
  </si>
  <si>
    <t>Dosti Planet North Emerald</t>
  </si>
  <si>
    <t>Internal Road</t>
  </si>
  <si>
    <t>Under Construction</t>
  </si>
  <si>
    <t>Mmrda Apartment 2</t>
  </si>
  <si>
    <t>S11/0226/20/TMC/TD-DP/TPS/3860/22</t>
  </si>
  <si>
    <t>S11/0226/20/TMC/TDD/3983/22</t>
  </si>
  <si>
    <t>Tower 2 = G + 1st to 29th Floor
Tower 3 = B + G + 1st to 34th Floor</t>
  </si>
  <si>
    <t>As per RERA - 31/12/2028</t>
  </si>
  <si>
    <t>Tower 2 = B + G + 1st to 29th Floor
Tower 3 = B + G + 1st to 34th Floor</t>
  </si>
  <si>
    <t>Basement Floor For Parking</t>
  </si>
  <si>
    <t>Ground Floor For Parking</t>
  </si>
  <si>
    <t>1st to 7th, 9th to 12th, 14th to 17th, 19th to 22nd, 24th to 27th, 29th to 32nd, 34th Floor</t>
  </si>
  <si>
    <t>3BHK</t>
  </si>
  <si>
    <t>2BHK</t>
  </si>
  <si>
    <t>Refuge Area</t>
  </si>
  <si>
    <t>1st to 7th, 9th to 12th, 14th to 17th, 19th to 22nd, 24th to 27th Floor</t>
  </si>
  <si>
    <t>Sale</t>
  </si>
  <si>
    <t>-</t>
  </si>
  <si>
    <t>Mhada</t>
  </si>
  <si>
    <t>1BHK</t>
  </si>
  <si>
    <t>8th, 13th, 18th, 23rd Floor (Part Refuge Area)</t>
  </si>
  <si>
    <t>33rd Floor (Part Refuge Area)</t>
  </si>
  <si>
    <t>Tower 2 - Amber</t>
  </si>
  <si>
    <t>Tower 3 - Sapphire</t>
  </si>
  <si>
    <t>28th Floor</t>
  </si>
  <si>
    <t>Sale Flats - 631, Mhada Flats -106</t>
  </si>
  <si>
    <t>Approved Plans, CC, Sale Plans, Cost Sheet</t>
  </si>
  <si>
    <t>We considered Gross carpet area = Net carpet + Enclose balcony.</t>
  </si>
  <si>
    <t>We have done APF For Tower 2 - Amber and Tower 3 - Sapphire because provided CC is only Approved for Tower 2 and Tower 3.</t>
  </si>
  <si>
    <t>11/01/2022.</t>
  </si>
  <si>
    <t>23/02/2022.</t>
  </si>
  <si>
    <t>Flat
(Mhada/ Sale )</t>
  </si>
  <si>
    <t>Mumbra</t>
  </si>
  <si>
    <t>Shil</t>
  </si>
  <si>
    <t>8th, 13th, 18th, 23rd, 28th, 33rd Floor (Part Refuge Area)</t>
  </si>
  <si>
    <t xml:space="preserve"> 29th to 32nd &amp; 34th Floor</t>
  </si>
  <si>
    <t>2 Building</t>
  </si>
  <si>
    <t>On Site, we meet Mr. Mayuresh Kadam - 7208854815.</t>
  </si>
  <si>
    <t>Site Meet Person Contact Details ( Name &amp; Contact No.)</t>
  </si>
  <si>
    <t>Latitude, Longitude</t>
  </si>
  <si>
    <t>19.153776,73.03756</t>
  </si>
  <si>
    <t>Office No. 1031, Wing J, Akshar Business Park, Plot No. 03 Sector 25, Near APMC Market, 
Vashi, Navi Mumbai, Maharashtra 400703 TEL: 022-46090378/79/8
E mail : vsjcapf@gmail.com. Web site : www.vsjadon.com</t>
  </si>
  <si>
    <t>Residential Area Details : Sale Flats</t>
  </si>
  <si>
    <t>Residential Area Details : Mhada Flats</t>
  </si>
  <si>
    <t>7500 to 8300 &amp; OC by sanket on 28/09/2023 on very higher side</t>
  </si>
  <si>
    <t>don’t increase the rate again</t>
  </si>
  <si>
    <t>Construction work is in process at the time of Visit. Internal photographs was not allowed.</t>
  </si>
  <si>
    <t>Date Of Property Visit</t>
  </si>
  <si>
    <t>Construction work goes beyond approved no of floors and CC permission of Tower 2, Please provide revised approved plan and CC.</t>
  </si>
  <si>
    <t>09/08/2025.</t>
  </si>
  <si>
    <t>Mr. Sandeep Jha 8097547099</t>
  </si>
  <si>
    <t>Mr. Pritam 7208854822</t>
  </si>
  <si>
    <t>Shruti Tathare</t>
  </si>
  <si>
    <t>Gangaram Lambore</t>
  </si>
  <si>
    <t>Tower 2 (Amber) = 2B + G + 1st to 34th Floor</t>
  </si>
  <si>
    <t>Tower 3 (Sapphire) = 2B + G + 1st to 34th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</si>
</sst>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/>
    <xf numFmtId="0" fontId="24" fillId="0" borderId="4" xfId="0" applyFont="1" applyBorder="1"/>
    <xf numFmtId="2" fontId="7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24" fillId="0" borderId="29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4" fontId="7" fillId="0" borderId="0" xfId="1" applyNumberFormat="1" applyFont="1" applyAlignment="1">
      <alignment horizontal="center" vertical="center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68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100854</xdr:colOff>
      <xdr:row>290</xdr:row>
      <xdr:rowOff>75137</xdr:rowOff>
    </xdr:from>
    <xdr:to>
      <xdr:col>7</xdr:col>
      <xdr:colOff>134472</xdr:colOff>
      <xdr:row>309</xdr:row>
      <xdr:rowOff>132207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2854" y="59712843"/>
          <a:ext cx="4975412" cy="38894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179294</xdr:colOff>
      <xdr:row>271</xdr:row>
      <xdr:rowOff>27772</xdr:rowOff>
    </xdr:from>
    <xdr:to>
      <xdr:col>7</xdr:col>
      <xdr:colOff>89647</xdr:colOff>
      <xdr:row>289</xdr:row>
      <xdr:rowOff>190187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1294" y="55833066"/>
          <a:ext cx="4852147" cy="379312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0</xdr:colOff>
      <xdr:row>228</xdr:row>
      <xdr:rowOff>0</xdr:rowOff>
    </xdr:from>
    <xdr:to>
      <xdr:col>13</xdr:col>
      <xdr:colOff>498764</xdr:colOff>
      <xdr:row>231</xdr:row>
      <xdr:rowOff>48854</xdr:rowOff>
    </xdr:to>
    <xdr:sp macro="" textlink="">
      <xdr:nvSpPr>
        <xdr:cNvPr id="10" name="Rectangle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8064500" y="46189900"/>
          <a:ext cx="3597564" cy="63940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b="1"/>
            <a:t>Tower 2</a:t>
          </a:r>
        </a:p>
        <a:p>
          <a:pPr algn="ctr"/>
          <a:r>
            <a:rPr lang="en-IN" b="1"/>
            <a:t>Amber</a:t>
          </a:r>
        </a:p>
      </xdr:txBody>
    </xdr:sp>
    <xdr:clientData/>
  </xdr:twoCellAnchor>
  <xdr:twoCellAnchor>
    <xdr:from>
      <xdr:col>11</xdr:col>
      <xdr:colOff>268865</xdr:colOff>
      <xdr:row>228</xdr:row>
      <xdr:rowOff>54240</xdr:rowOff>
    </xdr:from>
    <xdr:to>
      <xdr:col>15</xdr:col>
      <xdr:colOff>728663</xdr:colOff>
      <xdr:row>231</xdr:row>
      <xdr:rowOff>103094</xdr:rowOff>
    </xdr:to>
    <xdr:sp macro="" textlink="">
      <xdr:nvSpPr>
        <xdr:cNvPr id="11" name="Rectangle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9870065" y="46244140"/>
          <a:ext cx="3583998" cy="63940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b="1"/>
            <a:t>Tower 3</a:t>
          </a:r>
        </a:p>
        <a:p>
          <a:pPr algn="ctr"/>
          <a:r>
            <a:rPr lang="en-IN" b="1"/>
            <a:t>Sapphire</a:t>
          </a:r>
        </a:p>
      </xdr:txBody>
    </xdr:sp>
    <xdr:clientData/>
  </xdr:twoCellAnchor>
  <xdr:twoCellAnchor>
    <xdr:from>
      <xdr:col>0</xdr:col>
      <xdr:colOff>371475</xdr:colOff>
      <xdr:row>229</xdr:row>
      <xdr:rowOff>57149</xdr:rowOff>
    </xdr:from>
    <xdr:to>
      <xdr:col>7</xdr:col>
      <xdr:colOff>309050</xdr:colOff>
      <xdr:row>269</xdr:row>
      <xdr:rowOff>48677</xdr:rowOff>
    </xdr:to>
    <xdr:grpSp>
      <xdr:nvGrpSpPr>
        <xdr:cNvPr id="5" name="Group 4"/>
        <xdr:cNvGrpSpPr/>
      </xdr:nvGrpSpPr>
      <xdr:grpSpPr>
        <a:xfrm>
          <a:off x="371475" y="47405924"/>
          <a:ext cx="5633525" cy="7983003"/>
          <a:chOff x="371475" y="47644049"/>
          <a:chExt cx="5633525" cy="7983003"/>
        </a:xfrm>
      </xdr:grpSpPr>
      <xdr:pic>
        <xdr:nvPicPr>
          <xdr:cNvPr id="15" name="Picture 14" descr="https://vsjcllp.vsjadon.com/upload/insp-243352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81350" y="53681926"/>
            <a:ext cx="1457325" cy="19451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43352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1475" y="47653574"/>
            <a:ext cx="2776025" cy="37052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43352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81250" y="5144452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43352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47825" y="53672401"/>
            <a:ext cx="1463404" cy="19451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43352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76700" y="5143500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43352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28975" y="47644049"/>
            <a:ext cx="2776025" cy="37052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43352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85800" y="5143500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L1wfuMoWv9RHK3T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11"/>
  <sheetViews>
    <sheetView tabSelected="1" view="pageBreakPreview" zoomScaleNormal="100" zoomScaleSheetLayoutView="100" workbookViewId="0">
      <selection activeCell="N41" sqref="N41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12.42578125" style="39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29" t="s">
        <v>217</v>
      </c>
      <c r="B1" s="129"/>
      <c r="C1" s="129"/>
      <c r="D1" s="129"/>
      <c r="E1" s="129"/>
      <c r="F1" s="129"/>
      <c r="G1" s="129"/>
      <c r="H1" s="129"/>
    </row>
    <row r="2" spans="1:8" ht="16.5" customHeight="1" x14ac:dyDescent="0.25">
      <c r="A2" s="109" t="s">
        <v>0</v>
      </c>
      <c r="B2" s="109"/>
      <c r="C2" s="109"/>
      <c r="D2" s="109"/>
      <c r="E2" s="109"/>
      <c r="F2" s="109"/>
      <c r="G2" s="109"/>
      <c r="H2" s="109"/>
    </row>
    <row r="3" spans="1:8" x14ac:dyDescent="0.25">
      <c r="A3" s="85" t="s">
        <v>1</v>
      </c>
      <c r="B3" s="85"/>
      <c r="C3" s="85"/>
      <c r="D3" s="85"/>
      <c r="E3" s="85" t="str">
        <f ca="1">TEXT(TODAY(),"DD/MM/YYYY")</f>
        <v>10/08/2025</v>
      </c>
      <c r="F3" s="85"/>
      <c r="G3" s="85"/>
      <c r="H3" s="85"/>
    </row>
    <row r="4" spans="1:8" ht="15" customHeight="1" x14ac:dyDescent="0.25">
      <c r="A4" s="85" t="s">
        <v>2</v>
      </c>
      <c r="B4" s="85"/>
      <c r="C4" s="85"/>
      <c r="D4" s="85"/>
      <c r="E4" s="85" t="s">
        <v>163</v>
      </c>
      <c r="F4" s="85"/>
      <c r="G4" s="85"/>
      <c r="H4" s="85"/>
    </row>
    <row r="5" spans="1:8" x14ac:dyDescent="0.25">
      <c r="A5" s="85" t="s">
        <v>223</v>
      </c>
      <c r="B5" s="85"/>
      <c r="C5" s="85"/>
      <c r="D5" s="85"/>
      <c r="E5" s="128" t="s">
        <v>225</v>
      </c>
      <c r="F5" s="128"/>
      <c r="G5" s="128"/>
      <c r="H5" s="128"/>
    </row>
    <row r="6" spans="1:8" ht="16.5" customHeight="1" x14ac:dyDescent="0.25">
      <c r="A6" s="85" t="s">
        <v>3</v>
      </c>
      <c r="B6" s="85"/>
      <c r="C6" s="85"/>
      <c r="D6" s="85"/>
      <c r="E6" s="85" t="s">
        <v>164</v>
      </c>
      <c r="F6" s="85"/>
      <c r="G6" s="85"/>
      <c r="H6" s="85"/>
    </row>
    <row r="7" spans="1:8" ht="15" customHeight="1" x14ac:dyDescent="0.25">
      <c r="A7" s="85" t="s">
        <v>4</v>
      </c>
      <c r="B7" s="85"/>
      <c r="C7" s="85"/>
      <c r="D7" s="85"/>
      <c r="E7" s="85" t="str">
        <f>E6</f>
        <v>M/s. Chalama Infraproperties Private Limited</v>
      </c>
      <c r="F7" s="85"/>
      <c r="G7" s="85"/>
      <c r="H7" s="85"/>
    </row>
    <row r="8" spans="1:8" x14ac:dyDescent="0.25">
      <c r="A8" s="85" t="s">
        <v>5</v>
      </c>
      <c r="B8" s="85"/>
      <c r="C8" s="85"/>
      <c r="D8" s="85"/>
      <c r="E8" s="87" t="s">
        <v>165</v>
      </c>
      <c r="F8" s="87"/>
      <c r="G8" s="87"/>
      <c r="H8" s="87"/>
    </row>
    <row r="9" spans="1:8" x14ac:dyDescent="0.25">
      <c r="A9" s="85" t="s">
        <v>120</v>
      </c>
      <c r="B9" s="85"/>
      <c r="C9" s="85"/>
      <c r="D9" s="85"/>
      <c r="E9" s="85" t="s">
        <v>226</v>
      </c>
      <c r="F9" s="85"/>
      <c r="G9" s="85"/>
      <c r="H9" s="85"/>
    </row>
    <row r="10" spans="1:8" x14ac:dyDescent="0.25">
      <c r="A10" s="85" t="s">
        <v>214</v>
      </c>
      <c r="B10" s="85"/>
      <c r="C10" s="85"/>
      <c r="D10" s="85"/>
      <c r="E10" s="85" t="s">
        <v>227</v>
      </c>
      <c r="F10" s="85"/>
      <c r="G10" s="85"/>
      <c r="H10" s="85"/>
    </row>
    <row r="11" spans="1:8" ht="17.25" customHeight="1" x14ac:dyDescent="0.25">
      <c r="A11" s="85" t="s">
        <v>6</v>
      </c>
      <c r="B11" s="85"/>
      <c r="C11" s="85"/>
      <c r="D11" s="85"/>
      <c r="E11" s="85" t="s">
        <v>166</v>
      </c>
      <c r="F11" s="85"/>
      <c r="G11" s="85"/>
      <c r="H11" s="85"/>
    </row>
    <row r="12" spans="1:8" x14ac:dyDescent="0.25">
      <c r="A12" s="70" t="s">
        <v>7</v>
      </c>
      <c r="B12" s="70"/>
      <c r="C12" s="70"/>
      <c r="D12" s="70"/>
      <c r="E12" s="96" t="s">
        <v>202</v>
      </c>
      <c r="F12" s="96"/>
      <c r="G12" s="96"/>
      <c r="H12" s="96"/>
    </row>
    <row r="13" spans="1:8" x14ac:dyDescent="0.25">
      <c r="A13" s="70" t="s">
        <v>8</v>
      </c>
      <c r="B13" s="70"/>
      <c r="C13" s="70"/>
      <c r="D13" s="70"/>
      <c r="E13" s="96" t="s">
        <v>167</v>
      </c>
      <c r="F13" s="85"/>
      <c r="G13" s="85"/>
      <c r="H13" s="85"/>
    </row>
    <row r="14" spans="1:8" ht="47.25" customHeight="1" x14ac:dyDescent="0.25">
      <c r="A14" s="93" t="s">
        <v>9</v>
      </c>
      <c r="B14" s="93"/>
      <c r="C14" s="9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Dosti Planet North ­ Sector 3, Survey No.181/2G, 181/2H, 181/2D, 156/3, near Dosti Planet North Emerald, Mumbai - Pune Highway, , Shil, Mumbra, Thane, Thane - 400612.</v>
      </c>
      <c r="D14" s="93"/>
      <c r="E14" s="93"/>
      <c r="F14" s="93"/>
      <c r="G14" s="93"/>
      <c r="H14" s="93"/>
    </row>
    <row r="15" spans="1:8" x14ac:dyDescent="0.25">
      <c r="A15" s="96" t="s">
        <v>168</v>
      </c>
      <c r="B15" s="96"/>
      <c r="C15" s="96" t="s">
        <v>169</v>
      </c>
      <c r="D15" s="96"/>
      <c r="E15" s="96"/>
      <c r="F15" s="96"/>
      <c r="G15" s="96"/>
      <c r="H15" s="96"/>
    </row>
    <row r="16" spans="1:8" ht="15.75" customHeight="1" x14ac:dyDescent="0.25">
      <c r="A16" s="96" t="s">
        <v>162</v>
      </c>
      <c r="B16" s="96"/>
      <c r="C16" s="96" t="s">
        <v>29</v>
      </c>
      <c r="D16" s="96"/>
      <c r="E16" s="96"/>
      <c r="F16" s="96"/>
      <c r="G16" s="96"/>
      <c r="H16" s="96"/>
    </row>
    <row r="17" spans="1:8" ht="15.75" customHeight="1" x14ac:dyDescent="0.25">
      <c r="A17" s="93" t="s">
        <v>10</v>
      </c>
      <c r="B17" s="93"/>
      <c r="C17" s="85" t="s">
        <v>175</v>
      </c>
      <c r="D17" s="85"/>
      <c r="E17" s="93" t="s">
        <v>170</v>
      </c>
      <c r="F17" s="93"/>
      <c r="G17" s="96" t="s">
        <v>209</v>
      </c>
      <c r="H17" s="96"/>
    </row>
    <row r="18" spans="1:8" x14ac:dyDescent="0.25">
      <c r="A18" s="70" t="s">
        <v>12</v>
      </c>
      <c r="B18" s="70"/>
      <c r="C18" s="96" t="s">
        <v>208</v>
      </c>
      <c r="D18" s="96"/>
      <c r="E18" s="93" t="s">
        <v>11</v>
      </c>
      <c r="F18" s="93"/>
      <c r="G18" s="152" t="s">
        <v>171</v>
      </c>
      <c r="H18" s="152"/>
    </row>
    <row r="19" spans="1:8" x14ac:dyDescent="0.25">
      <c r="A19" s="70" t="s">
        <v>73</v>
      </c>
      <c r="B19" s="70"/>
      <c r="C19" s="96" t="s">
        <v>171</v>
      </c>
      <c r="D19" s="96"/>
      <c r="E19" s="93" t="s">
        <v>13</v>
      </c>
      <c r="F19" s="93"/>
      <c r="G19" s="96">
        <v>400612</v>
      </c>
      <c r="H19" s="96"/>
    </row>
    <row r="20" spans="1:8" ht="32.25" customHeight="1" x14ac:dyDescent="0.25">
      <c r="A20" s="70" t="s">
        <v>121</v>
      </c>
      <c r="B20" s="70"/>
      <c r="C20" s="96" t="s">
        <v>176</v>
      </c>
      <c r="D20" s="96"/>
      <c r="E20" s="93" t="s">
        <v>14</v>
      </c>
      <c r="F20" s="93"/>
      <c r="G20" s="96" t="s">
        <v>174</v>
      </c>
      <c r="H20" s="96"/>
    </row>
    <row r="21" spans="1:8" ht="15" customHeight="1" x14ac:dyDescent="0.25">
      <c r="A21" s="93" t="s">
        <v>75</v>
      </c>
      <c r="B21" s="93"/>
      <c r="C21" s="93"/>
      <c r="D21" s="93"/>
      <c r="E21" s="85" t="s">
        <v>15</v>
      </c>
      <c r="F21" s="85"/>
      <c r="G21" s="85"/>
      <c r="H21" s="85"/>
    </row>
    <row r="22" spans="1:8" ht="18.75" customHeight="1" x14ac:dyDescent="0.25">
      <c r="A22" s="93"/>
      <c r="B22" s="93"/>
      <c r="C22" s="93"/>
      <c r="D22" s="93"/>
      <c r="E22" s="85"/>
      <c r="F22" s="85"/>
      <c r="G22" s="85"/>
      <c r="H22" s="85"/>
    </row>
    <row r="23" spans="1:8" ht="15" customHeight="1" x14ac:dyDescent="0.25">
      <c r="A23" s="93" t="s">
        <v>16</v>
      </c>
      <c r="B23" s="93"/>
      <c r="C23" s="93"/>
      <c r="D23" s="93"/>
      <c r="E23" s="96" t="s">
        <v>17</v>
      </c>
      <c r="F23" s="96"/>
      <c r="G23" s="96"/>
      <c r="H23" s="96"/>
    </row>
    <row r="24" spans="1:8" ht="15" customHeight="1" x14ac:dyDescent="0.25">
      <c r="A24" s="70" t="s">
        <v>18</v>
      </c>
      <c r="B24" s="70"/>
      <c r="C24" s="70"/>
      <c r="D24" s="70"/>
      <c r="E24" s="96" t="str">
        <f>IF(AND(G18="Mumbai"),"Upper Class","Middle Class")</f>
        <v>Middle Class</v>
      </c>
      <c r="F24" s="96"/>
      <c r="G24" s="96"/>
      <c r="H24" s="96"/>
    </row>
    <row r="25" spans="1:8" x14ac:dyDescent="0.25">
      <c r="A25" s="70" t="s">
        <v>19</v>
      </c>
      <c r="B25" s="70"/>
      <c r="C25" s="70"/>
      <c r="D25" s="70"/>
      <c r="E25" s="96" t="s">
        <v>20</v>
      </c>
      <c r="F25" s="96"/>
      <c r="G25" s="96"/>
      <c r="H25" s="96"/>
    </row>
    <row r="26" spans="1:8" ht="15.75" customHeight="1" x14ac:dyDescent="0.25">
      <c r="A26" s="70" t="s">
        <v>21</v>
      </c>
      <c r="B26" s="70"/>
      <c r="C26" s="70"/>
      <c r="D26" s="70"/>
      <c r="E26" s="96" t="str">
        <f>IF(AND(G18="Mumbai"),"Developed","Developing")</f>
        <v>Developing</v>
      </c>
      <c r="F26" s="96"/>
      <c r="G26" s="96"/>
      <c r="H26" s="96"/>
    </row>
    <row r="27" spans="1:8" x14ac:dyDescent="0.25">
      <c r="A27" s="70" t="s">
        <v>22</v>
      </c>
      <c r="B27" s="70"/>
      <c r="C27" s="70"/>
      <c r="D27" s="70"/>
      <c r="E27" s="96" t="s">
        <v>23</v>
      </c>
      <c r="F27" s="96"/>
      <c r="G27" s="96"/>
      <c r="H27" s="96"/>
    </row>
    <row r="28" spans="1:8" ht="15.75" customHeight="1" x14ac:dyDescent="0.25">
      <c r="A28" s="70" t="s">
        <v>80</v>
      </c>
      <c r="B28" s="70"/>
      <c r="C28" s="70"/>
      <c r="D28" s="70"/>
      <c r="E28" s="96" t="s">
        <v>81</v>
      </c>
      <c r="F28" s="96"/>
      <c r="G28" s="96"/>
      <c r="H28" s="96"/>
    </row>
    <row r="29" spans="1:8" ht="15" customHeight="1" x14ac:dyDescent="0.25">
      <c r="A29" s="70" t="s">
        <v>32</v>
      </c>
      <c r="B29" s="70"/>
      <c r="C29" s="70"/>
      <c r="D29" s="70"/>
      <c r="E29" s="9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96"/>
      <c r="G29" s="96"/>
      <c r="H29" s="96"/>
    </row>
    <row r="30" spans="1:8" ht="15.75" customHeight="1" x14ac:dyDescent="0.25">
      <c r="A30" s="70" t="s">
        <v>92</v>
      </c>
      <c r="B30" s="70"/>
      <c r="C30" s="70"/>
      <c r="D30" s="70"/>
      <c r="E30" s="96" t="s">
        <v>33</v>
      </c>
      <c r="F30" s="96"/>
      <c r="G30" s="96"/>
      <c r="H30" s="96"/>
    </row>
    <row r="31" spans="1:8" s="22" customFormat="1" x14ac:dyDescent="0.25">
      <c r="A31" s="127" t="s">
        <v>93</v>
      </c>
      <c r="B31" s="127"/>
      <c r="C31" s="126" t="s">
        <v>28</v>
      </c>
      <c r="D31" s="126"/>
      <c r="E31" s="126"/>
      <c r="F31" s="126" t="s">
        <v>30</v>
      </c>
      <c r="G31" s="126"/>
      <c r="H31" s="126"/>
    </row>
    <row r="32" spans="1:8" s="22" customFormat="1" x14ac:dyDescent="0.25">
      <c r="A32" s="106" t="s">
        <v>24</v>
      </c>
      <c r="B32" s="106" t="s">
        <v>29</v>
      </c>
      <c r="C32" s="107" t="s">
        <v>29</v>
      </c>
      <c r="D32" s="107"/>
      <c r="E32" s="107"/>
      <c r="F32" s="107" t="s">
        <v>178</v>
      </c>
      <c r="G32" s="107"/>
      <c r="H32" s="107"/>
    </row>
    <row r="33" spans="1:8" x14ac:dyDescent="0.25">
      <c r="A33" s="106" t="s">
        <v>25</v>
      </c>
      <c r="B33" s="106" t="s">
        <v>29</v>
      </c>
      <c r="C33" s="107" t="s">
        <v>29</v>
      </c>
      <c r="D33" s="107"/>
      <c r="E33" s="107"/>
      <c r="F33" s="107" t="s">
        <v>177</v>
      </c>
      <c r="G33" s="107"/>
      <c r="H33" s="107"/>
    </row>
    <row r="34" spans="1:8" s="22" customFormat="1" x14ac:dyDescent="0.25">
      <c r="A34" s="106" t="s">
        <v>27</v>
      </c>
      <c r="B34" s="106" t="s">
        <v>29</v>
      </c>
      <c r="C34" s="107" t="s">
        <v>29</v>
      </c>
      <c r="D34" s="107"/>
      <c r="E34" s="107"/>
      <c r="F34" s="107" t="s">
        <v>177</v>
      </c>
      <c r="G34" s="107"/>
      <c r="H34" s="107"/>
    </row>
    <row r="35" spans="1:8" x14ac:dyDescent="0.25">
      <c r="A35" s="106" t="s">
        <v>26</v>
      </c>
      <c r="B35" s="106" t="s">
        <v>29</v>
      </c>
      <c r="C35" s="107" t="s">
        <v>29</v>
      </c>
      <c r="D35" s="107"/>
      <c r="E35" s="107"/>
      <c r="F35" s="107" t="s">
        <v>179</v>
      </c>
      <c r="G35" s="107"/>
      <c r="H35" s="107"/>
    </row>
    <row r="36" spans="1:8" x14ac:dyDescent="0.25">
      <c r="A36" s="70" t="s">
        <v>31</v>
      </c>
      <c r="B36" s="70"/>
      <c r="C36" s="70"/>
      <c r="D36" s="70"/>
      <c r="E36" s="70"/>
      <c r="F36" s="70"/>
      <c r="G36" s="70"/>
      <c r="H36" s="70"/>
    </row>
    <row r="37" spans="1:8" ht="15.75" customHeight="1" x14ac:dyDescent="0.25">
      <c r="A37" s="109" t="s">
        <v>215</v>
      </c>
      <c r="B37" s="109"/>
      <c r="C37" s="153" t="s">
        <v>216</v>
      </c>
      <c r="D37" s="154"/>
      <c r="E37" s="154"/>
      <c r="F37" s="154"/>
      <c r="G37" s="154"/>
      <c r="H37" s="155"/>
    </row>
    <row r="38" spans="1:8" x14ac:dyDescent="0.25">
      <c r="A38" s="109" t="s">
        <v>161</v>
      </c>
      <c r="B38" s="109"/>
      <c r="C38" s="110" t="s">
        <v>173</v>
      </c>
      <c r="D38" s="96"/>
      <c r="E38" s="96"/>
      <c r="F38" s="96"/>
      <c r="G38" s="96"/>
      <c r="H38" s="96"/>
    </row>
    <row r="39" spans="1:8" x14ac:dyDescent="0.25">
      <c r="A39" s="102" t="s">
        <v>34</v>
      </c>
      <c r="B39" s="102"/>
      <c r="C39" s="102"/>
      <c r="D39" s="102"/>
      <c r="E39" s="102"/>
      <c r="F39" s="102"/>
      <c r="G39" s="102"/>
      <c r="H39" s="102"/>
    </row>
    <row r="40" spans="1:8" x14ac:dyDescent="0.25">
      <c r="A40" s="70" t="s">
        <v>35</v>
      </c>
      <c r="B40" s="70"/>
      <c r="C40" s="70"/>
      <c r="D40" s="70"/>
      <c r="E40" s="108">
        <v>20770</v>
      </c>
      <c r="F40" s="108"/>
      <c r="G40" s="108"/>
      <c r="H40" s="108"/>
    </row>
    <row r="41" spans="1:8" x14ac:dyDescent="0.25">
      <c r="A41" s="70" t="s">
        <v>36</v>
      </c>
      <c r="B41" s="70"/>
      <c r="C41" s="70"/>
      <c r="D41" s="70"/>
      <c r="E41" s="125">
        <v>1.1000000000000001</v>
      </c>
      <c r="F41" s="125"/>
      <c r="G41" s="125"/>
      <c r="H41" s="125"/>
    </row>
    <row r="42" spans="1:8" x14ac:dyDescent="0.25">
      <c r="A42" s="70" t="s">
        <v>37</v>
      </c>
      <c r="B42" s="70"/>
      <c r="C42" s="70"/>
      <c r="D42" s="70"/>
      <c r="E42" s="125">
        <f>E44/E40-E41</f>
        <v>2.3765820895522389</v>
      </c>
      <c r="F42" s="125"/>
      <c r="G42" s="125"/>
      <c r="H42" s="125"/>
    </row>
    <row r="43" spans="1:8" x14ac:dyDescent="0.25">
      <c r="A43" s="70" t="s">
        <v>38</v>
      </c>
      <c r="B43" s="70"/>
      <c r="C43" s="70"/>
      <c r="D43" s="70"/>
      <c r="E43" s="125">
        <f>E41+E42</f>
        <v>3.476582089552239</v>
      </c>
      <c r="F43" s="125"/>
      <c r="G43" s="125"/>
      <c r="H43" s="125"/>
    </row>
    <row r="44" spans="1:8" x14ac:dyDescent="0.25">
      <c r="A44" s="70" t="s">
        <v>91</v>
      </c>
      <c r="B44" s="70"/>
      <c r="C44" s="70"/>
      <c r="D44" s="70"/>
      <c r="E44" s="84">
        <v>72208.61</v>
      </c>
      <c r="F44" s="84"/>
      <c r="G44" s="84"/>
      <c r="H44" s="84"/>
    </row>
    <row r="45" spans="1:8" x14ac:dyDescent="0.25">
      <c r="A45" s="85" t="s">
        <v>39</v>
      </c>
      <c r="B45" s="85"/>
      <c r="C45" s="85"/>
      <c r="D45" s="85"/>
      <c r="E45" s="85" t="s">
        <v>212</v>
      </c>
      <c r="F45" s="85"/>
      <c r="G45" s="85"/>
      <c r="H45" s="85"/>
    </row>
    <row r="46" spans="1:8" x14ac:dyDescent="0.25">
      <c r="A46" s="102" t="s">
        <v>40</v>
      </c>
      <c r="B46" s="102"/>
      <c r="C46" s="102"/>
      <c r="D46" s="102"/>
      <c r="E46" s="102"/>
      <c r="F46" s="102"/>
      <c r="G46" s="102"/>
      <c r="H46" s="102"/>
    </row>
    <row r="47" spans="1:8" ht="33.75" customHeight="1" x14ac:dyDescent="0.25">
      <c r="A47" s="97" t="s">
        <v>151</v>
      </c>
      <c r="B47" s="98"/>
      <c r="C47" s="99" t="s">
        <v>172</v>
      </c>
      <c r="D47" s="100"/>
      <c r="E47" s="100"/>
      <c r="F47" s="100"/>
      <c r="G47" s="100"/>
      <c r="H47" s="101"/>
    </row>
    <row r="48" spans="1:8" ht="15.75" customHeight="1" x14ac:dyDescent="0.25">
      <c r="A48" s="97" t="s">
        <v>41</v>
      </c>
      <c r="B48" s="98"/>
      <c r="C48" s="159" t="s">
        <v>180</v>
      </c>
      <c r="D48" s="160"/>
      <c r="E48" s="161"/>
      <c r="F48" s="18" t="s">
        <v>42</v>
      </c>
      <c r="G48" s="116" t="s">
        <v>205</v>
      </c>
      <c r="H48" s="98"/>
    </row>
    <row r="49" spans="1:14" x14ac:dyDescent="0.25">
      <c r="A49" s="97" t="s">
        <v>43</v>
      </c>
      <c r="B49" s="98"/>
      <c r="C49" s="159" t="str">
        <f>C48</f>
        <v>S11/0226/20/TMC/TD-DP/TPS/3860/22</v>
      </c>
      <c r="D49" s="160"/>
      <c r="E49" s="161"/>
      <c r="F49" s="18" t="s">
        <v>42</v>
      </c>
      <c r="G49" s="116" t="str">
        <f>G48</f>
        <v>11/01/2022.</v>
      </c>
      <c r="H49" s="117"/>
    </row>
    <row r="50" spans="1:14" s="23" customFormat="1" ht="15.75" customHeight="1" x14ac:dyDescent="0.25">
      <c r="A50" s="118" t="s">
        <v>155</v>
      </c>
      <c r="B50" s="119"/>
      <c r="C50" s="97" t="s">
        <v>181</v>
      </c>
      <c r="D50" s="124"/>
      <c r="E50" s="98"/>
      <c r="F50" s="18" t="s">
        <v>42</v>
      </c>
      <c r="G50" s="116" t="s">
        <v>206</v>
      </c>
      <c r="H50" s="117"/>
    </row>
    <row r="51" spans="1:14" s="23" customFormat="1" ht="33.75" customHeight="1" x14ac:dyDescent="0.25">
      <c r="A51" s="120"/>
      <c r="B51" s="121"/>
      <c r="C51" s="97" t="s">
        <v>182</v>
      </c>
      <c r="D51" s="124"/>
      <c r="E51" s="124"/>
      <c r="F51" s="124"/>
      <c r="G51" s="124"/>
      <c r="H51" s="98"/>
    </row>
    <row r="52" spans="1:14" x14ac:dyDescent="0.25">
      <c r="A52" s="162" t="s">
        <v>44</v>
      </c>
      <c r="B52" s="163"/>
      <c r="C52" s="162" t="s">
        <v>105</v>
      </c>
      <c r="D52" s="164"/>
      <c r="E52" s="163"/>
      <c r="F52" s="56" t="s">
        <v>42</v>
      </c>
      <c r="G52" s="122" t="s">
        <v>29</v>
      </c>
      <c r="H52" s="123"/>
    </row>
    <row r="53" spans="1:14" x14ac:dyDescent="0.25">
      <c r="A53" s="141" t="s">
        <v>46</v>
      </c>
      <c r="B53" s="141"/>
      <c r="C53" s="141"/>
      <c r="D53" s="141"/>
      <c r="E53" s="141"/>
      <c r="F53" s="141"/>
      <c r="G53" s="141"/>
      <c r="H53" s="141"/>
    </row>
    <row r="54" spans="1:14" x14ac:dyDescent="0.25">
      <c r="A54" s="93" t="s">
        <v>90</v>
      </c>
      <c r="B54" s="93"/>
      <c r="C54" s="93"/>
      <c r="D54" s="70">
        <f>E44</f>
        <v>72208.61</v>
      </c>
      <c r="E54" s="70"/>
      <c r="F54" s="70"/>
      <c r="G54" s="70"/>
      <c r="H54" s="70"/>
    </row>
    <row r="55" spans="1:14" x14ac:dyDescent="0.25">
      <c r="A55" s="96" t="s">
        <v>47</v>
      </c>
      <c r="B55" s="85"/>
      <c r="C55" s="85"/>
      <c r="D55" s="85" t="s">
        <v>201</v>
      </c>
      <c r="E55" s="85"/>
      <c r="F55" s="85"/>
      <c r="G55" s="85"/>
      <c r="H55" s="85"/>
      <c r="I55" s="24"/>
    </row>
    <row r="56" spans="1:14" ht="31.15" customHeight="1" x14ac:dyDescent="0.25">
      <c r="A56" s="113" t="s">
        <v>48</v>
      </c>
      <c r="B56" s="114"/>
      <c r="C56" s="115"/>
      <c r="D56" s="111" t="s">
        <v>184</v>
      </c>
      <c r="E56" s="112"/>
      <c r="F56" s="112"/>
      <c r="G56" s="112"/>
      <c r="H56" s="112"/>
    </row>
    <row r="57" spans="1:14" ht="15.75" customHeight="1" x14ac:dyDescent="0.25">
      <c r="A57" s="113" t="s">
        <v>88</v>
      </c>
      <c r="B57" s="114"/>
      <c r="C57" s="115"/>
      <c r="D57" s="103" t="s">
        <v>230</v>
      </c>
      <c r="E57" s="104"/>
      <c r="F57" s="104"/>
      <c r="G57" s="104"/>
      <c r="H57" s="105"/>
    </row>
    <row r="58" spans="1:14" ht="15.75" customHeight="1" x14ac:dyDescent="0.25">
      <c r="A58" s="156"/>
      <c r="B58" s="157"/>
      <c r="C58" s="158"/>
      <c r="D58" s="103" t="s">
        <v>231</v>
      </c>
      <c r="E58" s="104"/>
      <c r="F58" s="104"/>
      <c r="G58" s="104"/>
      <c r="H58" s="105"/>
    </row>
    <row r="59" spans="1:14" ht="15.75" customHeight="1" x14ac:dyDescent="0.25">
      <c r="A59" s="70" t="s">
        <v>45</v>
      </c>
      <c r="B59" s="70"/>
      <c r="C59" s="70"/>
      <c r="D59" s="93" t="s">
        <v>183</v>
      </c>
      <c r="E59" s="93"/>
      <c r="F59" s="93"/>
      <c r="G59" s="93"/>
      <c r="H59" s="93"/>
      <c r="J59" s="25"/>
      <c r="K59" s="24"/>
      <c r="N59" s="24"/>
    </row>
    <row r="60" spans="1:14" ht="15.75" customHeight="1" x14ac:dyDescent="0.25">
      <c r="A60" s="70" t="s">
        <v>86</v>
      </c>
      <c r="B60" s="70"/>
      <c r="C60" s="70"/>
      <c r="D60" s="178" t="str">
        <f>(IF(G52="NA","60 Years After Completion",IF(G52&lt;&gt;"NA",""&amp;60-ROUNDDOWN((E3-G52)/360,0)&amp;" Years"," ")))</f>
        <v>60 Years After Completion</v>
      </c>
      <c r="E60" s="178"/>
      <c r="F60" s="178"/>
      <c r="G60" s="178"/>
      <c r="H60" s="178"/>
      <c r="N60" s="24"/>
    </row>
    <row r="61" spans="1:14" ht="15.75" customHeight="1" x14ac:dyDescent="0.25">
      <c r="A61" s="70" t="s">
        <v>87</v>
      </c>
      <c r="B61" s="70"/>
      <c r="C61" s="70"/>
      <c r="D61" s="93" t="s">
        <v>23</v>
      </c>
      <c r="E61" s="93"/>
      <c r="F61" s="93"/>
      <c r="G61" s="93"/>
      <c r="H61" s="93"/>
      <c r="J61" s="26"/>
      <c r="K61" s="26"/>
    </row>
    <row r="62" spans="1:14" ht="15" hidden="1" customHeight="1" x14ac:dyDescent="0.25">
      <c r="A62" s="70" t="s">
        <v>74</v>
      </c>
      <c r="B62" s="70"/>
      <c r="C62" s="70"/>
      <c r="D62" s="96" t="s">
        <v>147</v>
      </c>
      <c r="E62" s="93"/>
      <c r="F62" s="93"/>
      <c r="G62" s="93"/>
      <c r="H62" s="93"/>
    </row>
    <row r="63" spans="1:14" x14ac:dyDescent="0.25">
      <c r="A63" s="93" t="s">
        <v>148</v>
      </c>
      <c r="B63" s="93"/>
      <c r="C63" s="93"/>
      <c r="D63" s="93" t="s">
        <v>29</v>
      </c>
      <c r="E63" s="93"/>
      <c r="F63" s="93"/>
      <c r="G63" s="93"/>
      <c r="H63" s="93"/>
      <c r="I63" s="27"/>
      <c r="J63" s="27"/>
      <c r="K63" s="27"/>
      <c r="L63" s="27"/>
      <c r="M63" s="27"/>
      <c r="N63" s="27"/>
    </row>
    <row r="64" spans="1:14" ht="15.75" customHeight="1" x14ac:dyDescent="0.25">
      <c r="A64" s="176" t="s">
        <v>85</v>
      </c>
      <c r="B64" s="176"/>
      <c r="C64" s="176"/>
      <c r="D64" s="111" t="str">
        <f ca="1">(IF(G70&gt;95%,"Nothing",IF(G70&gt;0%,"Cement, Aggregate, Steel, etc",IF(G70=0%,"Work not yet Started"))))</f>
        <v>Cement, Aggregate, Steel, etc</v>
      </c>
      <c r="E64" s="111"/>
      <c r="F64" s="111"/>
      <c r="G64" s="111"/>
      <c r="H64" s="111"/>
      <c r="J64" s="26"/>
    </row>
    <row r="65" spans="1:10" ht="33.75" customHeight="1" thickBot="1" x14ac:dyDescent="0.3">
      <c r="A65" s="179" t="s">
        <v>118</v>
      </c>
      <c r="B65" s="179"/>
      <c r="C65" s="179"/>
      <c r="D65" s="111" t="str">
        <f ca="1">(IF(D64="Nothing","Yes",IF(D64="Cement, Aggregate, Steel, etc","Under Construction",IF(D64="Work not yet Started","Work not yet Started"))))</f>
        <v>Under Construction</v>
      </c>
      <c r="E65" s="111"/>
      <c r="F65" s="111" t="str">
        <f ca="1">(IF(D64="Nothing","Yes",IF(D64="Cement, Aggregate, Steel, etc","Under Construction",IF(D64="Work not yet Started","Work not yet Started"))))</f>
        <v>Under Construction</v>
      </c>
      <c r="G65" s="111"/>
      <c r="H65" s="111"/>
    </row>
    <row r="66" spans="1:10" ht="15.75" customHeight="1" x14ac:dyDescent="0.25">
      <c r="A66" s="88" t="s">
        <v>139</v>
      </c>
      <c r="B66" s="89"/>
      <c r="C66" s="90" t="str">
        <f>D57</f>
        <v>Tower 2 (Amber) = 2B + G + 1st to 34th Floor</v>
      </c>
      <c r="D66" s="91"/>
      <c r="E66" s="91"/>
      <c r="F66" s="91"/>
      <c r="G66" s="91"/>
      <c r="H66" s="92"/>
      <c r="I66" s="57" t="str">
        <f ca="1">IF(D79=100%,"All work Completed. Possession granted to the Building.",IF(D78=100%,"All work Completed, Waiting for OC",I67&amp;""&amp;I68&amp;""&amp;J67&amp;""&amp;J66&amp;" "&amp;J68))</f>
        <v>Excavation, Plinth, RCC Slab, Brickwork Completed, Internal Plaster upto 25.5 Floor, External Plaster upto 23.8 Floor, Flooring upto 12 Floor Completed</v>
      </c>
      <c r="J66" s="41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Internal Plaster upto 25.5 Floor, External Plaster upto 23.8 Floor, Flooring upto 12 Floor</v>
      </c>
    </row>
    <row r="67" spans="1:10" s="23" customFormat="1" x14ac:dyDescent="0.25">
      <c r="A67" s="16" t="s">
        <v>141</v>
      </c>
      <c r="B67" s="53">
        <v>2</v>
      </c>
      <c r="C67" s="53" t="s">
        <v>72</v>
      </c>
      <c r="D67" s="53">
        <v>1</v>
      </c>
      <c r="E67" s="53" t="s">
        <v>71</v>
      </c>
      <c r="F67" s="53">
        <v>0</v>
      </c>
      <c r="G67" s="53" t="s">
        <v>79</v>
      </c>
      <c r="H67" s="17">
        <f ca="1">--TRIM(RIGHT(SUBSTITUTE(LEFT(C66,_xlfn.AGGREGATE(16,6,FIND({0,1,2,3,4,5,6,7,8,9},C66,ROW(INDIRECT("1:"&amp;LEN(C66)))),1))," ",REPT(" ",LEN(C66))),LEN(C66)))</f>
        <v>34</v>
      </c>
      <c r="I67" s="45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46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4.5" customHeight="1" x14ac:dyDescent="0.25">
      <c r="A68" s="86" t="s">
        <v>89</v>
      </c>
      <c r="B68" s="87"/>
      <c r="C68" s="94" t="str">
        <f ca="1">(IF($G$52="NA",I66,"All work Completed. OC Received."))</f>
        <v>Excavation, Plinth, RCC Slab, Brickwork Completed, Internal Plaster upto 25.5 Floor, External Plaster upto 23.8 Floor, Flooring upto 12 Floor Completed</v>
      </c>
      <c r="D68" s="94"/>
      <c r="E68" s="94"/>
      <c r="F68" s="94"/>
      <c r="G68" s="94"/>
      <c r="H68" s="95"/>
      <c r="I68" s="42" t="str">
        <f ca="1">IF(I67&lt;&gt;""," Completed","")</f>
        <v xml:space="preserve"> Completed</v>
      </c>
      <c r="J68" s="43" t="str">
        <f ca="1">IF(J66&lt;&gt;"","Completed","")</f>
        <v>Completed</v>
      </c>
    </row>
    <row r="69" spans="1:10" ht="15.75" customHeight="1" x14ac:dyDescent="0.25">
      <c r="A69" s="80" t="s">
        <v>49</v>
      </c>
      <c r="B69" s="81"/>
      <c r="C69" s="52" t="s">
        <v>138</v>
      </c>
      <c r="D69" s="52" t="s">
        <v>82</v>
      </c>
      <c r="E69" s="81" t="s">
        <v>84</v>
      </c>
      <c r="F69" s="81"/>
      <c r="G69" s="81" t="s">
        <v>83</v>
      </c>
      <c r="H69" s="177"/>
      <c r="I69" s="14" t="s">
        <v>140</v>
      </c>
      <c r="J69" s="28">
        <f ca="1">H67*25%</f>
        <v>8.5</v>
      </c>
    </row>
    <row r="70" spans="1:10" x14ac:dyDescent="0.25">
      <c r="A70" s="80" t="s">
        <v>127</v>
      </c>
      <c r="B70" s="81"/>
      <c r="C70" s="52">
        <f ca="1">J71</f>
        <v>34</v>
      </c>
      <c r="D70" s="19">
        <f ca="1">((100/H67)*C70)/100</f>
        <v>1</v>
      </c>
      <c r="E70" s="165">
        <f ca="1">(((C71/H67*10)+(40/(D67+F67+H67)*C72)+(7.5/(H67)*C73)+(7.5/(H67)*C74)+(10/H67*C75)+(10/H67*C76)+(5/H67*C77)+(5/H67*C78)+(5/H67*C79))/100)</f>
        <v>0.73654411764705885</v>
      </c>
      <c r="F70" s="173"/>
      <c r="G70" s="165">
        <f ca="1">((((C70/H67)*20)+((C71/H67)*25)+(30/(H67+F67+D67)*C72)+(5/H67*C73)+(5/H67*C74)+(5/H67*C75)+(5/H67*C76)+(0/H67*C77)+(0/H67*C78)+(5/H67*C79))/100)</f>
        <v>0.8901470588235294</v>
      </c>
      <c r="H70" s="166"/>
      <c r="I70" s="14" t="s">
        <v>100</v>
      </c>
      <c r="J70" s="29">
        <f ca="1">H67*50%</f>
        <v>17</v>
      </c>
    </row>
    <row r="71" spans="1:10" x14ac:dyDescent="0.25">
      <c r="A71" s="80" t="s">
        <v>50</v>
      </c>
      <c r="B71" s="81"/>
      <c r="C71" s="58">
        <f ca="1">J79</f>
        <v>34</v>
      </c>
      <c r="D71" s="19">
        <f ca="1">((100/H67)*C71)/100</f>
        <v>1</v>
      </c>
      <c r="E71" s="167"/>
      <c r="F71" s="174"/>
      <c r="G71" s="167"/>
      <c r="H71" s="168"/>
      <c r="I71" s="14" t="s">
        <v>101</v>
      </c>
      <c r="J71" s="29">
        <f ca="1">H67</f>
        <v>34</v>
      </c>
    </row>
    <row r="72" spans="1:10" ht="15.75" customHeight="1" x14ac:dyDescent="0.25">
      <c r="A72" s="80" t="s">
        <v>128</v>
      </c>
      <c r="B72" s="81"/>
      <c r="C72" s="52">
        <v>35</v>
      </c>
      <c r="D72" s="19">
        <f ca="1">((100/(D67+F67+H67))*C72)/100</f>
        <v>1</v>
      </c>
      <c r="E72" s="167"/>
      <c r="F72" s="174"/>
      <c r="G72" s="167"/>
      <c r="H72" s="168"/>
      <c r="I72" s="14" t="s">
        <v>102</v>
      </c>
      <c r="J72" s="30">
        <f ca="1">(IF(B67&gt;1,(H67/(B67+2)),H67/4))</f>
        <v>8.5</v>
      </c>
    </row>
    <row r="73" spans="1:10" ht="15.75" customHeight="1" x14ac:dyDescent="0.25">
      <c r="A73" s="80" t="s">
        <v>135</v>
      </c>
      <c r="B73" s="81" t="s">
        <v>129</v>
      </c>
      <c r="C73" s="52">
        <f>C72-D67</f>
        <v>34</v>
      </c>
      <c r="D73" s="19">
        <f ca="1">((100/H67)*C73)/100</f>
        <v>1</v>
      </c>
      <c r="E73" s="167"/>
      <c r="F73" s="174"/>
      <c r="G73" s="167"/>
      <c r="H73" s="168"/>
      <c r="I73" s="14" t="s">
        <v>103</v>
      </c>
      <c r="J73" s="30">
        <f ca="1">(IF(B67&gt;1,(H67/(B67+2)+J72),H67/4+J72))</f>
        <v>17</v>
      </c>
    </row>
    <row r="74" spans="1:10" ht="15.75" customHeight="1" x14ac:dyDescent="0.25">
      <c r="A74" s="80" t="s">
        <v>136</v>
      </c>
      <c r="B74" s="81" t="s">
        <v>129</v>
      </c>
      <c r="C74" s="58">
        <f>C73*0.75</f>
        <v>25.5</v>
      </c>
      <c r="D74" s="19">
        <f ca="1">((100/H67)*C74)/100</f>
        <v>0.75</v>
      </c>
      <c r="E74" s="167"/>
      <c r="F74" s="174"/>
      <c r="G74" s="167"/>
      <c r="H74" s="168"/>
      <c r="I74" s="14" t="s">
        <v>145</v>
      </c>
      <c r="J74" s="30">
        <f ca="1">(IF(B67&gt;1,(H67/(B67+2)+J73),0))</f>
        <v>25.5</v>
      </c>
    </row>
    <row r="75" spans="1:10" ht="15" customHeight="1" x14ac:dyDescent="0.25">
      <c r="A75" s="80" t="s">
        <v>134</v>
      </c>
      <c r="B75" s="81" t="s">
        <v>131</v>
      </c>
      <c r="C75" s="58">
        <f>C73*0.7</f>
        <v>23.799999999999997</v>
      </c>
      <c r="D75" s="19">
        <f ca="1">((100/(H67))*C75)/100</f>
        <v>0.7</v>
      </c>
      <c r="E75" s="167"/>
      <c r="F75" s="174"/>
      <c r="G75" s="167"/>
      <c r="H75" s="168"/>
      <c r="I75" s="14" t="s">
        <v>142</v>
      </c>
      <c r="J75" s="30">
        <f>(IF(B67&gt;2,(H67/(B67+2)+J74),0))</f>
        <v>0</v>
      </c>
    </row>
    <row r="76" spans="1:10" ht="15.75" customHeight="1" x14ac:dyDescent="0.25">
      <c r="A76" s="80" t="s">
        <v>130</v>
      </c>
      <c r="B76" s="81" t="s">
        <v>130</v>
      </c>
      <c r="C76" s="52">
        <v>12</v>
      </c>
      <c r="D76" s="19">
        <f ca="1">((100/H67)*C76)/100</f>
        <v>0.35294117647058826</v>
      </c>
      <c r="E76" s="167"/>
      <c r="F76" s="174"/>
      <c r="G76" s="167"/>
      <c r="H76" s="168"/>
      <c r="I76" s="14" t="s">
        <v>143</v>
      </c>
      <c r="J76" s="31">
        <f>(IF(B67&gt;3,(H67/(B67+2)+J75),0))</f>
        <v>0</v>
      </c>
    </row>
    <row r="77" spans="1:10" ht="15.75" customHeight="1" x14ac:dyDescent="0.25">
      <c r="A77" s="80" t="s">
        <v>137</v>
      </c>
      <c r="B77" s="81"/>
      <c r="C77" s="52">
        <v>0</v>
      </c>
      <c r="D77" s="19">
        <f ca="1">((100/H67)*C77)/100</f>
        <v>0</v>
      </c>
      <c r="E77" s="167"/>
      <c r="F77" s="174"/>
      <c r="G77" s="167"/>
      <c r="H77" s="168"/>
      <c r="I77" s="14" t="s">
        <v>144</v>
      </c>
      <c r="J77" s="30">
        <f>(IF(B67&gt;4,(H67/(B67+2)+J76),0))</f>
        <v>0</v>
      </c>
    </row>
    <row r="78" spans="1:10" ht="15.75" customHeight="1" x14ac:dyDescent="0.25">
      <c r="A78" s="80" t="s">
        <v>132</v>
      </c>
      <c r="B78" s="81" t="s">
        <v>132</v>
      </c>
      <c r="C78" s="52">
        <v>0</v>
      </c>
      <c r="D78" s="19">
        <f ca="1">((100/(H67))*C78)/100</f>
        <v>0</v>
      </c>
      <c r="E78" s="167"/>
      <c r="F78" s="174"/>
      <c r="G78" s="167"/>
      <c r="H78" s="168"/>
      <c r="I78" s="14" t="s">
        <v>146</v>
      </c>
      <c r="J78" s="30">
        <f>(IF(B67=1,(H67/(B67+3)+J73),IF(B67=0,(H67/4+J73),IF(B67&gt;1,0))))</f>
        <v>0</v>
      </c>
    </row>
    <row r="79" spans="1:10" ht="16.5" thickBot="1" x14ac:dyDescent="0.3">
      <c r="A79" s="171" t="s">
        <v>133</v>
      </c>
      <c r="B79" s="172"/>
      <c r="C79" s="54">
        <v>0</v>
      </c>
      <c r="D79" s="20">
        <f ca="1">((100/(H67))*C79)/100</f>
        <v>0</v>
      </c>
      <c r="E79" s="169"/>
      <c r="F79" s="175"/>
      <c r="G79" s="169"/>
      <c r="H79" s="170"/>
      <c r="I79" s="15" t="s">
        <v>104</v>
      </c>
      <c r="J79" s="32">
        <f ca="1">(IF(B67&gt;1.5,(H67/(B67+2)+J73+MAX(0,J74-J73)+MAX(0,J75-J74)+MAX(0,J76-J75)+MAX(0,J77-J76)+MAX(0,J78-J77)),IF(B67=1,(H67/(B67+3)+J78),IF(B67=0,H67/4+J78))))</f>
        <v>34</v>
      </c>
    </row>
    <row r="80" spans="1:10" ht="15.75" customHeight="1" x14ac:dyDescent="0.25">
      <c r="A80" s="88" t="s">
        <v>139</v>
      </c>
      <c r="B80" s="89"/>
      <c r="C80" s="90" t="str">
        <f>D58</f>
        <v>Tower 3 (Sapphire) = 2B + G + 1st to 34th Floor</v>
      </c>
      <c r="D80" s="91"/>
      <c r="E80" s="91"/>
      <c r="F80" s="91"/>
      <c r="G80" s="91"/>
      <c r="H80" s="92"/>
      <c r="I80" s="57" t="str">
        <f ca="1">IF(D93=100%,"All work Completed. Possession granted to the Building.",IF(D92=100%,"All work Completed, Waiting for OC",I81&amp;""&amp;I82&amp;""&amp;J81&amp;""&amp;J80&amp;" "&amp;J82))</f>
        <v>Excavation, Plinth, RCC Slab, Brickwork Completed, Internal Plaster upto 25.5 Floor, External Plaster upto 23.8 Floor, Flooring upto 5 Floor Completed</v>
      </c>
      <c r="J80" s="41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Internal Plaster upto 25.5 Floor, External Plaster upto 23.8 Floor, Flooring upto 5 Floor</v>
      </c>
    </row>
    <row r="81" spans="1:10" s="23" customFormat="1" x14ac:dyDescent="0.25">
      <c r="A81" s="16" t="s">
        <v>141</v>
      </c>
      <c r="B81" s="53">
        <v>2</v>
      </c>
      <c r="C81" s="53" t="s">
        <v>72</v>
      </c>
      <c r="D81" s="53">
        <v>1</v>
      </c>
      <c r="E81" s="53" t="s">
        <v>71</v>
      </c>
      <c r="F81" s="53">
        <v>0</v>
      </c>
      <c r="G81" s="53" t="s">
        <v>79</v>
      </c>
      <c r="H81" s="17">
        <f ca="1">--TRIM(RIGHT(SUBSTITUTE(LEFT(C80,_xlfn.AGGREGATE(16,6,FIND({0,1,2,3,4,5,6,7,8,9},C80,ROW(INDIRECT("1:"&amp;LEN(C80)))),1))," ",REPT(" ",LEN(C80))),LEN(C80)))</f>
        <v>34</v>
      </c>
      <c r="I81" s="45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</v>
      </c>
      <c r="J81" s="46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7.5" customHeight="1" x14ac:dyDescent="0.25">
      <c r="A82" s="86" t="s">
        <v>89</v>
      </c>
      <c r="B82" s="87"/>
      <c r="C82" s="94" t="str">
        <f ca="1">(IF($G$52="NA",I80,"All work Completed. OC Received."))</f>
        <v>Excavation, Plinth, RCC Slab, Brickwork Completed, Internal Plaster upto 25.5 Floor, External Plaster upto 23.8 Floor, Flooring upto 5 Floor Completed</v>
      </c>
      <c r="D82" s="94"/>
      <c r="E82" s="94"/>
      <c r="F82" s="94"/>
      <c r="G82" s="94"/>
      <c r="H82" s="95"/>
      <c r="I82" s="42" t="str">
        <f ca="1">IF(I81&lt;&gt;""," Completed","")</f>
        <v xml:space="preserve"> Completed</v>
      </c>
      <c r="J82" s="43" t="str">
        <f ca="1">IF(J80&lt;&gt;"","Completed","")</f>
        <v>Completed</v>
      </c>
    </row>
    <row r="83" spans="1:10" ht="15.75" customHeight="1" x14ac:dyDescent="0.25">
      <c r="A83" s="80" t="s">
        <v>49</v>
      </c>
      <c r="B83" s="81"/>
      <c r="C83" s="52" t="s">
        <v>138</v>
      </c>
      <c r="D83" s="52" t="s">
        <v>82</v>
      </c>
      <c r="E83" s="81" t="s">
        <v>84</v>
      </c>
      <c r="F83" s="81"/>
      <c r="G83" s="81" t="s">
        <v>83</v>
      </c>
      <c r="H83" s="177"/>
      <c r="I83" s="14" t="s">
        <v>140</v>
      </c>
      <c r="J83" s="28">
        <f ca="1">H81*25%</f>
        <v>8.5</v>
      </c>
    </row>
    <row r="84" spans="1:10" x14ac:dyDescent="0.25">
      <c r="A84" s="80" t="s">
        <v>127</v>
      </c>
      <c r="B84" s="81"/>
      <c r="C84" s="52">
        <f ca="1">J85</f>
        <v>34</v>
      </c>
      <c r="D84" s="19">
        <f ca="1">((100/H81)*C84)/100</f>
        <v>1</v>
      </c>
      <c r="E84" s="165">
        <f ca="1">(((C85/H81*10)+(40/(D81+F81+H81)*C86)+(7.5/(H81)*C87)+(7.5/(H81)*C88)+(10/H81*C89)+(10/H81*C90)+(5/H81*C91)+(5/H81*C92)+(5/H81*C93))/100)</f>
        <v>0.71595588235294116</v>
      </c>
      <c r="F84" s="173"/>
      <c r="G84" s="165">
        <f ca="1">((((C84/H81)*20)+((C85/H81)*25)+(30/(H81+F81+D81)*C86)+(5/H81*C87)+(5/H81*C88)+(5/H81*C89)+(5/H81*C90)+(0/H81*C91)+(0/H81*C92)+(5/H81*C93))/100)</f>
        <v>0.87985294117647062</v>
      </c>
      <c r="H84" s="166"/>
      <c r="I84" s="14" t="s">
        <v>100</v>
      </c>
      <c r="J84" s="29">
        <f ca="1">H81*50%</f>
        <v>17</v>
      </c>
    </row>
    <row r="85" spans="1:10" x14ac:dyDescent="0.25">
      <c r="A85" s="80" t="s">
        <v>50</v>
      </c>
      <c r="B85" s="81"/>
      <c r="C85" s="58">
        <f ca="1">J93</f>
        <v>34</v>
      </c>
      <c r="D85" s="19">
        <f ca="1">((100/H81)*C85)/100</f>
        <v>1</v>
      </c>
      <c r="E85" s="167"/>
      <c r="F85" s="174"/>
      <c r="G85" s="167"/>
      <c r="H85" s="168"/>
      <c r="I85" s="14" t="s">
        <v>101</v>
      </c>
      <c r="J85" s="29">
        <f ca="1">H81</f>
        <v>34</v>
      </c>
    </row>
    <row r="86" spans="1:10" ht="15.75" customHeight="1" x14ac:dyDescent="0.25">
      <c r="A86" s="80" t="s">
        <v>128</v>
      </c>
      <c r="B86" s="81"/>
      <c r="C86" s="52">
        <v>35</v>
      </c>
      <c r="D86" s="19">
        <f ca="1">((100/(D81+F81+H81))*C86)/100</f>
        <v>1</v>
      </c>
      <c r="E86" s="167"/>
      <c r="F86" s="174"/>
      <c r="G86" s="167"/>
      <c r="H86" s="168"/>
      <c r="I86" s="14" t="s">
        <v>102</v>
      </c>
      <c r="J86" s="30">
        <f ca="1">(IF(B81&gt;1,(H81/(B81+2)),H81/4))</f>
        <v>8.5</v>
      </c>
    </row>
    <row r="87" spans="1:10" ht="15.75" customHeight="1" x14ac:dyDescent="0.25">
      <c r="A87" s="80" t="s">
        <v>135</v>
      </c>
      <c r="B87" s="81" t="s">
        <v>129</v>
      </c>
      <c r="C87" s="52">
        <f>C86-D81</f>
        <v>34</v>
      </c>
      <c r="D87" s="19">
        <f ca="1">((100/H81)*C87)/100</f>
        <v>1</v>
      </c>
      <c r="E87" s="167"/>
      <c r="F87" s="174"/>
      <c r="G87" s="167"/>
      <c r="H87" s="168"/>
      <c r="I87" s="14" t="s">
        <v>103</v>
      </c>
      <c r="J87" s="30">
        <f ca="1">(IF(B81&gt;1,(H81/(B81+2)+J86),H81/4+J86))</f>
        <v>17</v>
      </c>
    </row>
    <row r="88" spans="1:10" ht="15.75" customHeight="1" x14ac:dyDescent="0.25">
      <c r="A88" s="80" t="s">
        <v>136</v>
      </c>
      <c r="B88" s="81" t="s">
        <v>129</v>
      </c>
      <c r="C88" s="58">
        <f>C87*0.75</f>
        <v>25.5</v>
      </c>
      <c r="D88" s="19">
        <f ca="1">((100/H81)*C88)/100</f>
        <v>0.75</v>
      </c>
      <c r="E88" s="167"/>
      <c r="F88" s="174"/>
      <c r="G88" s="167"/>
      <c r="H88" s="168"/>
      <c r="I88" s="14" t="s">
        <v>145</v>
      </c>
      <c r="J88" s="30">
        <f ca="1">(IF(B81&gt;1,(H81/(B81+2)+J87),0))</f>
        <v>25.5</v>
      </c>
    </row>
    <row r="89" spans="1:10" ht="15" customHeight="1" x14ac:dyDescent="0.25">
      <c r="A89" s="80" t="s">
        <v>134</v>
      </c>
      <c r="B89" s="81" t="s">
        <v>131</v>
      </c>
      <c r="C89" s="58">
        <f>C87*0.7</f>
        <v>23.799999999999997</v>
      </c>
      <c r="D89" s="19">
        <f ca="1">((100/(H81))*C89)/100</f>
        <v>0.7</v>
      </c>
      <c r="E89" s="167"/>
      <c r="F89" s="174"/>
      <c r="G89" s="167"/>
      <c r="H89" s="168"/>
      <c r="I89" s="14" t="s">
        <v>142</v>
      </c>
      <c r="J89" s="30">
        <f>(IF(B81&gt;2,(H81/(B81+2)+J88),0))</f>
        <v>0</v>
      </c>
    </row>
    <row r="90" spans="1:10" ht="15.75" customHeight="1" x14ac:dyDescent="0.25">
      <c r="A90" s="80" t="s">
        <v>130</v>
      </c>
      <c r="B90" s="81" t="s">
        <v>130</v>
      </c>
      <c r="C90" s="52">
        <v>5</v>
      </c>
      <c r="D90" s="19">
        <f ca="1">((100/H81)*C90)/100</f>
        <v>0.14705882352941177</v>
      </c>
      <c r="E90" s="167"/>
      <c r="F90" s="174"/>
      <c r="G90" s="167"/>
      <c r="H90" s="168"/>
      <c r="I90" s="14" t="s">
        <v>143</v>
      </c>
      <c r="J90" s="31">
        <f>(IF(B81&gt;3,(H81/(B81+2)+J89),0))</f>
        <v>0</v>
      </c>
    </row>
    <row r="91" spans="1:10" ht="15.75" customHeight="1" x14ac:dyDescent="0.25">
      <c r="A91" s="80" t="s">
        <v>137</v>
      </c>
      <c r="B91" s="81"/>
      <c r="C91" s="52">
        <v>0</v>
      </c>
      <c r="D91" s="19">
        <f ca="1">((100/H81)*C91)/100</f>
        <v>0</v>
      </c>
      <c r="E91" s="167"/>
      <c r="F91" s="174"/>
      <c r="G91" s="167"/>
      <c r="H91" s="168"/>
      <c r="I91" s="14" t="s">
        <v>144</v>
      </c>
      <c r="J91" s="30">
        <f>(IF(B81&gt;4,(H81/(B81+2)+J90),0))</f>
        <v>0</v>
      </c>
    </row>
    <row r="92" spans="1:10" ht="15.75" customHeight="1" x14ac:dyDescent="0.25">
      <c r="A92" s="80" t="s">
        <v>132</v>
      </c>
      <c r="B92" s="81" t="s">
        <v>132</v>
      </c>
      <c r="C92" s="52">
        <v>0</v>
      </c>
      <c r="D92" s="19">
        <f ca="1">((100/(H81))*C92)/100</f>
        <v>0</v>
      </c>
      <c r="E92" s="167"/>
      <c r="F92" s="174"/>
      <c r="G92" s="167"/>
      <c r="H92" s="168"/>
      <c r="I92" s="14" t="s">
        <v>146</v>
      </c>
      <c r="J92" s="30">
        <f>(IF(B81=1,(H81/(B81+3)+J87),IF(B81=0,(H81/4+J87),IF(B81&gt;1,0))))</f>
        <v>0</v>
      </c>
    </row>
    <row r="93" spans="1:10" ht="16.5" thickBot="1" x14ac:dyDescent="0.3">
      <c r="A93" s="171" t="s">
        <v>133</v>
      </c>
      <c r="B93" s="172"/>
      <c r="C93" s="54">
        <v>0</v>
      </c>
      <c r="D93" s="20">
        <f ca="1">((100/(H81))*C93)/100</f>
        <v>0</v>
      </c>
      <c r="E93" s="169"/>
      <c r="F93" s="175"/>
      <c r="G93" s="169"/>
      <c r="H93" s="170"/>
      <c r="I93" s="15" t="s">
        <v>104</v>
      </c>
      <c r="J93" s="32">
        <f ca="1">(IF(B81&gt;1.5,(H81/(B81+2)+J87+MAX(0,J88-J87)+MAX(0,J89-J88)+MAX(0,J90-J89)+MAX(0,J91-J90)+MAX(0,J92-J91)),IF(B81=1,(H81/(B81+3)+J92),IF(B81=0,H81/4+J92))))</f>
        <v>34</v>
      </c>
    </row>
    <row r="94" spans="1:10" x14ac:dyDescent="0.25">
      <c r="A94" s="83" t="s">
        <v>156</v>
      </c>
      <c r="B94" s="83"/>
      <c r="C94" s="83"/>
      <c r="D94" s="83"/>
      <c r="E94" s="83"/>
      <c r="F94" s="82" t="s">
        <v>159</v>
      </c>
      <c r="G94" s="82"/>
      <c r="H94" s="82"/>
    </row>
    <row r="95" spans="1:10" x14ac:dyDescent="0.25">
      <c r="A95" s="70" t="s">
        <v>158</v>
      </c>
      <c r="B95" s="70"/>
      <c r="C95" s="70"/>
      <c r="D95" s="70"/>
      <c r="E95" s="70"/>
      <c r="F95" s="71">
        <v>8300</v>
      </c>
      <c r="G95" s="71"/>
      <c r="H95" s="71"/>
      <c r="I95" s="21" t="s">
        <v>220</v>
      </c>
    </row>
    <row r="96" spans="1:10" s="33" customFormat="1" hidden="1" x14ac:dyDescent="0.25">
      <c r="A96" s="70" t="s">
        <v>157</v>
      </c>
      <c r="B96" s="70"/>
      <c r="C96" s="70"/>
      <c r="D96" s="70"/>
      <c r="E96" s="70"/>
      <c r="F96" s="71"/>
      <c r="G96" s="71"/>
      <c r="H96" s="71"/>
    </row>
    <row r="97" spans="1:9" s="33" customFormat="1" x14ac:dyDescent="0.25">
      <c r="A97" s="70" t="s">
        <v>94</v>
      </c>
      <c r="B97" s="70"/>
      <c r="C97" s="70"/>
      <c r="D97" s="70"/>
      <c r="E97" s="70"/>
      <c r="F97" s="71">
        <v>250000</v>
      </c>
      <c r="G97" s="71"/>
      <c r="H97" s="71"/>
      <c r="I97" s="33" t="s">
        <v>221</v>
      </c>
    </row>
    <row r="98" spans="1:9" s="33" customFormat="1" hidden="1" x14ac:dyDescent="0.25">
      <c r="A98" s="70" t="s">
        <v>95</v>
      </c>
      <c r="B98" s="70"/>
      <c r="C98" s="70"/>
      <c r="D98" s="70"/>
      <c r="E98" s="70"/>
      <c r="F98" s="71"/>
      <c r="G98" s="71"/>
      <c r="H98" s="71"/>
    </row>
    <row r="99" spans="1:9" s="33" customFormat="1" hidden="1" x14ac:dyDescent="0.25">
      <c r="A99" s="70" t="s">
        <v>160</v>
      </c>
      <c r="B99" s="70"/>
      <c r="C99" s="70"/>
      <c r="D99" s="70"/>
      <c r="E99" s="70"/>
      <c r="F99" s="71"/>
      <c r="G99" s="71"/>
      <c r="H99" s="71"/>
    </row>
    <row r="100" spans="1:9" s="33" customFormat="1" hidden="1" x14ac:dyDescent="0.25">
      <c r="A100" s="70" t="s">
        <v>96</v>
      </c>
      <c r="B100" s="70"/>
      <c r="C100" s="70"/>
      <c r="D100" s="70"/>
      <c r="E100" s="70"/>
      <c r="F100" s="71"/>
      <c r="G100" s="71"/>
      <c r="H100" s="71"/>
    </row>
    <row r="101" spans="1:9" s="33" customFormat="1" hidden="1" x14ac:dyDescent="0.25">
      <c r="A101" s="70" t="s">
        <v>97</v>
      </c>
      <c r="B101" s="70"/>
      <c r="C101" s="70"/>
      <c r="D101" s="70"/>
      <c r="E101" s="70"/>
      <c r="F101" s="71"/>
      <c r="G101" s="71"/>
      <c r="H101" s="71"/>
    </row>
    <row r="102" spans="1:9" s="33" customFormat="1" hidden="1" x14ac:dyDescent="0.25">
      <c r="A102" s="70" t="s">
        <v>98</v>
      </c>
      <c r="B102" s="70"/>
      <c r="C102" s="70"/>
      <c r="D102" s="70"/>
      <c r="E102" s="70"/>
      <c r="F102" s="71"/>
      <c r="G102" s="71"/>
      <c r="H102" s="71"/>
    </row>
    <row r="103" spans="1:9" s="33" customFormat="1" hidden="1" x14ac:dyDescent="0.25">
      <c r="A103" s="70" t="s">
        <v>99</v>
      </c>
      <c r="B103" s="70"/>
      <c r="C103" s="70"/>
      <c r="D103" s="70"/>
      <c r="E103" s="70"/>
      <c r="F103" s="71"/>
      <c r="G103" s="71"/>
      <c r="H103" s="71"/>
    </row>
    <row r="104" spans="1:9" x14ac:dyDescent="0.25">
      <c r="A104" s="70" t="s">
        <v>51</v>
      </c>
      <c r="B104" s="70"/>
      <c r="C104" s="70"/>
      <c r="D104" s="70"/>
      <c r="E104" s="70"/>
      <c r="F104" s="71">
        <v>300000</v>
      </c>
      <c r="G104" s="71"/>
      <c r="H104" s="71"/>
    </row>
    <row r="105" spans="1:9" s="34" customFormat="1" x14ac:dyDescent="0.25">
      <c r="A105" s="102" t="s">
        <v>52</v>
      </c>
      <c r="B105" s="102"/>
      <c r="C105" s="102"/>
      <c r="D105" s="102"/>
      <c r="E105" s="102"/>
      <c r="F105" s="71">
        <f>F95*0.8</f>
        <v>6640</v>
      </c>
      <c r="G105" s="71"/>
      <c r="H105" s="71"/>
    </row>
    <row r="106" spans="1:9" s="35" customFormat="1" x14ac:dyDescent="0.25">
      <c r="A106" s="60" t="s">
        <v>218</v>
      </c>
      <c r="B106" s="60"/>
      <c r="C106" s="60"/>
      <c r="D106" s="60"/>
      <c r="E106" s="60"/>
      <c r="F106" s="60"/>
      <c r="G106" s="60"/>
      <c r="H106" s="60"/>
    </row>
    <row r="107" spans="1:9" s="35" customFormat="1" ht="15.75" customHeight="1" x14ac:dyDescent="0.25">
      <c r="A107" s="61" t="s">
        <v>53</v>
      </c>
      <c r="B107" s="61"/>
      <c r="C107" s="62" t="s">
        <v>77</v>
      </c>
      <c r="D107" s="62"/>
      <c r="E107" s="63" t="s">
        <v>54</v>
      </c>
      <c r="F107" s="63"/>
      <c r="G107" s="61" t="s">
        <v>55</v>
      </c>
      <c r="H107" s="61"/>
    </row>
    <row r="108" spans="1:9" s="35" customFormat="1" x14ac:dyDescent="0.25">
      <c r="A108" s="65" t="s">
        <v>198</v>
      </c>
      <c r="B108" s="65"/>
      <c r="C108" s="66">
        <f>COUNT(D122:D133)*28+COUNT(D135:D142)*6+COUNT(D144:D146)*6</f>
        <v>402</v>
      </c>
      <c r="D108" s="66"/>
      <c r="E108" s="64">
        <f>SUM(D122:D133)*28+SUM(D135:D142)*6+SUM(D144:D146)*6</f>
        <v>255754.00487520001</v>
      </c>
      <c r="F108" s="64"/>
      <c r="G108" s="64">
        <f>SUM(F122:F133)*28+SUM(F135:F142)*6+SUM(F144:F146)*6</f>
        <v>383631.00731279992</v>
      </c>
      <c r="H108" s="64"/>
    </row>
    <row r="109" spans="1:9" s="35" customFormat="1" x14ac:dyDescent="0.25">
      <c r="A109" s="65" t="s">
        <v>199</v>
      </c>
      <c r="B109" s="65"/>
      <c r="C109" s="66">
        <f>COUNT(D155:D160)*23+COUNT(D166:D171)*4+COUNT(D173)+COUNT(D176:D182)+COUNT(D184:D193)*5+COUNT(D195:D197)+COUNT(D199:D204)</f>
        <v>229</v>
      </c>
      <c r="D109" s="66"/>
      <c r="E109" s="64">
        <f>SUM(D155:D160)*23+SUM(D166:D171)*4+SUM(D173)+SUM(D176:D182)+SUM(D184:D193)*5+SUM(D195:D197)+SUM(D199:D204)</f>
        <v>115591.36679999999</v>
      </c>
      <c r="F109" s="64"/>
      <c r="G109" s="64">
        <f>SUM(F155:F160)*23+SUM(F166:F171)*4+SUM(F173)+SUM(F176:F182)+SUM(F184:F193)*5+SUM(F195:F197)+SUM(F199:F204)</f>
        <v>173387.05020000003</v>
      </c>
      <c r="H109" s="64"/>
      <c r="I109" s="35">
        <f>204+24</f>
        <v>228</v>
      </c>
    </row>
    <row r="110" spans="1:9" s="35" customFormat="1" x14ac:dyDescent="0.25">
      <c r="A110" s="60" t="s">
        <v>150</v>
      </c>
      <c r="B110" s="60"/>
      <c r="C110" s="62">
        <f>SUM(C108:D109)</f>
        <v>631</v>
      </c>
      <c r="D110" s="62"/>
      <c r="E110" s="73">
        <f>SUM(E108:F109)</f>
        <v>371345.3716752</v>
      </c>
      <c r="F110" s="63"/>
      <c r="G110" s="61">
        <f>SUM(G108:H109)</f>
        <v>557018.05751279998</v>
      </c>
      <c r="H110" s="61"/>
    </row>
    <row r="111" spans="1:9" s="35" customFormat="1" x14ac:dyDescent="0.25">
      <c r="A111" s="60" t="s">
        <v>219</v>
      </c>
      <c r="B111" s="60"/>
      <c r="C111" s="60"/>
      <c r="D111" s="60"/>
      <c r="E111" s="60"/>
      <c r="F111" s="60"/>
      <c r="G111" s="60"/>
      <c r="H111" s="60"/>
    </row>
    <row r="112" spans="1:9" s="35" customFormat="1" ht="15.75" customHeight="1" x14ac:dyDescent="0.25">
      <c r="A112" s="61" t="s">
        <v>53</v>
      </c>
      <c r="B112" s="61"/>
      <c r="C112" s="62" t="s">
        <v>77</v>
      </c>
      <c r="D112" s="62"/>
      <c r="E112" s="63" t="s">
        <v>54</v>
      </c>
      <c r="F112" s="63"/>
      <c r="G112" s="61" t="s">
        <v>55</v>
      </c>
      <c r="H112" s="61"/>
    </row>
    <row r="113" spans="1:15" s="35" customFormat="1" x14ac:dyDescent="0.25">
      <c r="A113" s="65" t="s">
        <v>199</v>
      </c>
      <c r="B113" s="65"/>
      <c r="C113" s="66">
        <f>COUNT(D151:D154)*23+COUNT(D162:D164)*4+COUNT(D174:D175)</f>
        <v>106</v>
      </c>
      <c r="D113" s="66"/>
      <c r="E113" s="64">
        <f>SUM(D151:D154)*23+SUM(D162:D164)*4+SUM(D174:D175)</f>
        <v>45068.867999999995</v>
      </c>
      <c r="F113" s="64"/>
      <c r="G113" s="64">
        <f>SUM(F151:F154)*23+SUM(F162:F164)*4+SUM(F174:F175)</f>
        <v>67603.302000000011</v>
      </c>
      <c r="H113" s="64"/>
      <c r="I113" s="35">
        <f>106+229</f>
        <v>335</v>
      </c>
    </row>
    <row r="114" spans="1:15" s="34" customFormat="1" x14ac:dyDescent="0.25">
      <c r="A114" s="109" t="s">
        <v>56</v>
      </c>
      <c r="B114" s="109"/>
      <c r="C114" s="109"/>
      <c r="D114" s="109"/>
      <c r="E114" s="109"/>
      <c r="F114" s="109"/>
      <c r="G114" s="109"/>
      <c r="H114" s="109"/>
    </row>
    <row r="115" spans="1:15" x14ac:dyDescent="0.25">
      <c r="A115" s="109" t="s">
        <v>57</v>
      </c>
      <c r="B115" s="109"/>
      <c r="C115" s="109"/>
      <c r="D115" s="109"/>
      <c r="E115" s="109"/>
      <c r="F115" s="109"/>
      <c r="G115" s="109"/>
      <c r="H115" s="109"/>
    </row>
    <row r="116" spans="1:15" ht="47.25" customHeight="1" x14ac:dyDescent="0.25">
      <c r="A116" s="139" t="s">
        <v>119</v>
      </c>
      <c r="B116" s="139" t="s">
        <v>207</v>
      </c>
      <c r="C116" s="142" t="s">
        <v>58</v>
      </c>
      <c r="D116" s="142" t="s">
        <v>59</v>
      </c>
      <c r="E116" s="148" t="s">
        <v>60</v>
      </c>
      <c r="F116" s="55" t="s">
        <v>149</v>
      </c>
      <c r="G116" s="139" t="s">
        <v>61</v>
      </c>
      <c r="H116" s="150"/>
      <c r="I116" s="36"/>
    </row>
    <row r="117" spans="1:15" s="50" customFormat="1" x14ac:dyDescent="0.25">
      <c r="A117" s="140"/>
      <c r="B117" s="140"/>
      <c r="C117" s="143"/>
      <c r="D117" s="143"/>
      <c r="E117" s="149"/>
      <c r="F117" s="13">
        <v>0.5</v>
      </c>
      <c r="G117" s="140"/>
      <c r="H117" s="151"/>
      <c r="I117" s="36"/>
    </row>
    <row r="118" spans="1:15" s="50" customFormat="1" x14ac:dyDescent="0.25">
      <c r="A118" s="67" t="s">
        <v>198</v>
      </c>
      <c r="B118" s="68"/>
      <c r="C118" s="68"/>
      <c r="D118" s="68"/>
      <c r="E118" s="68"/>
      <c r="F118" s="68"/>
      <c r="G118" s="68"/>
      <c r="H118" s="69"/>
      <c r="J118" s="36"/>
    </row>
    <row r="119" spans="1:15" s="50" customFormat="1" x14ac:dyDescent="0.25">
      <c r="A119" s="67" t="s">
        <v>185</v>
      </c>
      <c r="B119" s="68"/>
      <c r="C119" s="68"/>
      <c r="D119" s="68"/>
      <c r="E119" s="68"/>
      <c r="F119" s="68"/>
      <c r="G119" s="68"/>
      <c r="H119" s="69"/>
      <c r="J119" s="36"/>
    </row>
    <row r="120" spans="1:15" s="50" customFormat="1" x14ac:dyDescent="0.25">
      <c r="A120" s="67" t="s">
        <v>186</v>
      </c>
      <c r="B120" s="68"/>
      <c r="C120" s="68"/>
      <c r="D120" s="68"/>
      <c r="E120" s="68"/>
      <c r="F120" s="68"/>
      <c r="G120" s="68"/>
      <c r="H120" s="69"/>
      <c r="J120" s="36"/>
    </row>
    <row r="121" spans="1:15" s="50" customFormat="1" x14ac:dyDescent="0.25">
      <c r="A121" s="67" t="s">
        <v>187</v>
      </c>
      <c r="B121" s="68"/>
      <c r="C121" s="68"/>
      <c r="D121" s="68"/>
      <c r="E121" s="68"/>
      <c r="F121" s="68"/>
      <c r="G121" s="68"/>
      <c r="H121" s="69"/>
      <c r="J121" s="36"/>
    </row>
    <row r="122" spans="1:15" s="50" customFormat="1" ht="15.6" customHeight="1" x14ac:dyDescent="0.25">
      <c r="A122" s="44">
        <v>1</v>
      </c>
      <c r="B122" s="44" t="s">
        <v>192</v>
      </c>
      <c r="C122" s="44" t="s">
        <v>188</v>
      </c>
      <c r="D122" s="44">
        <f>(1.28*1.35+2.95*5.5+2.75*2.15+1.02*2.25+2.75*3.35+3.1*3.35+1.35*2.25+3.68*3.25+1.3*2.15+1.3*2.15+1.1*4+0.9*2.15+2.85*1.2)*10.764</f>
        <v>819.14578200000005</v>
      </c>
      <c r="E122" s="44">
        <v>0</v>
      </c>
      <c r="F122" s="44">
        <f t="shared" ref="F122:F133" si="0">D122*(($F$117)+1)+(IF(E122&lt;101,E122,IF(E122&lt;201,E122/2,IF(E122&lt;=301,E122/3,E122/4))))</f>
        <v>1228.7186730000001</v>
      </c>
      <c r="G122" s="74" t="str">
        <f>A121</f>
        <v>1st to 7th, 9th to 12th, 14th to 17th, 19th to 22nd, 24th to 27th, 29th to 32nd, 34th Floor</v>
      </c>
      <c r="H122" s="75"/>
      <c r="I122" s="47"/>
      <c r="L122" s="59"/>
      <c r="M122" s="59"/>
      <c r="N122" s="36"/>
    </row>
    <row r="123" spans="1:15" s="50" customFormat="1" ht="15.6" customHeight="1" x14ac:dyDescent="0.25">
      <c r="A123" s="44">
        <f t="shared" ref="A123:A133" si="1">A122+1</f>
        <v>2</v>
      </c>
      <c r="B123" s="44" t="s">
        <v>192</v>
      </c>
      <c r="C123" s="44" t="s">
        <v>189</v>
      </c>
      <c r="D123" s="44">
        <f>(1.13*1.45+3.05*2.25+2.95*5.4+1.3*2.4+2.75*3.2+3.05*4.2+1.4*2.3+1.4*2.3+0.9*2.75+0.9*2.15+2.85*1.2)*10.764</f>
        <v>682.77128400000004</v>
      </c>
      <c r="E123" s="44">
        <v>0</v>
      </c>
      <c r="F123" s="44">
        <f t="shared" si="0"/>
        <v>1024.1569260000001</v>
      </c>
      <c r="G123" s="76"/>
      <c r="H123" s="77"/>
      <c r="I123" s="47"/>
      <c r="L123" s="59"/>
      <c r="M123" s="59"/>
      <c r="N123" s="36"/>
    </row>
    <row r="124" spans="1:15" s="50" customFormat="1" ht="15.6" customHeight="1" x14ac:dyDescent="0.25">
      <c r="A124" s="44">
        <f t="shared" si="1"/>
        <v>3</v>
      </c>
      <c r="B124" s="44" t="s">
        <v>192</v>
      </c>
      <c r="C124" s="44" t="s">
        <v>189</v>
      </c>
      <c r="D124" s="44">
        <f>(1.13*1.45+3.05*2.25+2.95*5.4+1.3*2.4+2.75*3.2+3.05*4.2+1.4*2.3+1.4*2.3+0.9*2.75+0.9*2.15+2.85*1.2)*10.764</f>
        <v>682.77128400000004</v>
      </c>
      <c r="E124" s="44">
        <v>0</v>
      </c>
      <c r="F124" s="44">
        <f t="shared" si="0"/>
        <v>1024.1569260000001</v>
      </c>
      <c r="G124" s="76"/>
      <c r="H124" s="77"/>
      <c r="I124" s="36"/>
      <c r="L124" s="59"/>
      <c r="M124" s="59"/>
      <c r="N124" s="36"/>
    </row>
    <row r="125" spans="1:15" s="50" customFormat="1" ht="15.6" customHeight="1" x14ac:dyDescent="0.25">
      <c r="A125" s="44">
        <f t="shared" si="1"/>
        <v>4</v>
      </c>
      <c r="B125" s="44" t="s">
        <v>192</v>
      </c>
      <c r="C125" s="44" t="s">
        <v>188</v>
      </c>
      <c r="D125" s="44">
        <f>(1.28*1.35+2.95*5.5+2.75*2.15+1.02*2.25+2.75*3.35+3.1*3.35+1.35*2.25+3.68*3.25+1.3*2.15+1.3*2.15+1.1*4+0.9*2.15+2.85*1.2)*10.764</f>
        <v>819.14578200000005</v>
      </c>
      <c r="E125" s="44">
        <v>0</v>
      </c>
      <c r="F125" s="44">
        <f t="shared" si="0"/>
        <v>1228.7186730000001</v>
      </c>
      <c r="G125" s="76"/>
      <c r="H125" s="77"/>
      <c r="I125" s="36">
        <f>9016025/F125</f>
        <v>7337.7455703401683</v>
      </c>
      <c r="L125" s="72"/>
      <c r="M125" s="59"/>
      <c r="N125" s="72"/>
      <c r="O125" s="59"/>
    </row>
    <row r="126" spans="1:15" s="50" customFormat="1" ht="15.6" customHeight="1" x14ac:dyDescent="0.25">
      <c r="A126" s="44">
        <v>5</v>
      </c>
      <c r="B126" s="44" t="s">
        <v>192</v>
      </c>
      <c r="C126" s="44" t="s">
        <v>189</v>
      </c>
      <c r="D126" s="44">
        <f>(1.73*1.1+2.28*2.75+4.33*3.05+3.05*2.75+4.05*2.95+1.43*0.9+1.61*0.9+1.23*2.13+1.23*2.13+2.28*1+2.85*1)*10.764</f>
        <v>590.0857092</v>
      </c>
      <c r="E126" s="44">
        <v>0</v>
      </c>
      <c r="F126" s="44">
        <f t="shared" si="0"/>
        <v>885.12856379999994</v>
      </c>
      <c r="G126" s="76"/>
      <c r="H126" s="77"/>
      <c r="I126" s="36"/>
      <c r="L126" s="59"/>
      <c r="M126" s="59"/>
      <c r="N126" s="36"/>
    </row>
    <row r="127" spans="1:15" s="50" customFormat="1" ht="15.6" customHeight="1" x14ac:dyDescent="0.25">
      <c r="A127" s="44">
        <f t="shared" si="1"/>
        <v>6</v>
      </c>
      <c r="B127" s="44" t="s">
        <v>192</v>
      </c>
      <c r="C127" s="44" t="s">
        <v>189</v>
      </c>
      <c r="D127" s="44">
        <f>(1.73*1.1+2.28*2.75+4.33*2.95+3.05*2.75+4.05*2.95+1.43*0.9+1.61*0.9+1.23*2.13+1.23*2.13+2.28*1+2.85*1)*10.764</f>
        <v>585.42489720000003</v>
      </c>
      <c r="E127" s="44">
        <v>0</v>
      </c>
      <c r="F127" s="44">
        <f t="shared" si="0"/>
        <v>878.13734580000005</v>
      </c>
      <c r="G127" s="76"/>
      <c r="H127" s="77"/>
      <c r="I127" s="36"/>
      <c r="L127" s="59"/>
      <c r="M127" s="59"/>
      <c r="N127" s="36"/>
    </row>
    <row r="128" spans="1:15" s="50" customFormat="1" ht="15.6" customHeight="1" x14ac:dyDescent="0.25">
      <c r="A128" s="44">
        <f t="shared" si="1"/>
        <v>7</v>
      </c>
      <c r="B128" s="44" t="s">
        <v>192</v>
      </c>
      <c r="C128" s="44" t="s">
        <v>189</v>
      </c>
      <c r="D128" s="44">
        <f>(6*3.05+2.9*2+3.05*2.85+4.05*2.95+1.8*1.6+1.8*2.1+2.85*0.9+2.85*1)*10.764</f>
        <v>611.55665999999997</v>
      </c>
      <c r="E128" s="44">
        <v>0</v>
      </c>
      <c r="F128" s="44">
        <f t="shared" si="0"/>
        <v>917.33498999999995</v>
      </c>
      <c r="G128" s="76"/>
      <c r="H128" s="77"/>
      <c r="I128" s="36"/>
      <c r="L128" s="59"/>
      <c r="M128" s="59"/>
      <c r="N128" s="36"/>
    </row>
    <row r="129" spans="1:14" s="50" customFormat="1" ht="15.6" customHeight="1" x14ac:dyDescent="0.25">
      <c r="A129" s="44">
        <f t="shared" si="1"/>
        <v>8</v>
      </c>
      <c r="B129" s="44" t="s">
        <v>192</v>
      </c>
      <c r="C129" s="44" t="s">
        <v>189</v>
      </c>
      <c r="D129" s="44">
        <f>(1.5*1.28+2.95*5+2.4*3.01+2.75*3.05+3.15*3.05+1.1*0.9+1.25*2.05+2.13*1.25)*10.764</f>
        <v>517.79145600000004</v>
      </c>
      <c r="E129" s="44">
        <v>0</v>
      </c>
      <c r="F129" s="44">
        <f t="shared" si="0"/>
        <v>776.68718400000012</v>
      </c>
      <c r="G129" s="76"/>
      <c r="H129" s="77"/>
      <c r="I129" s="36"/>
      <c r="L129" s="59"/>
      <c r="M129" s="59"/>
      <c r="N129" s="36"/>
    </row>
    <row r="130" spans="1:14" s="50" customFormat="1" ht="15.6" customHeight="1" x14ac:dyDescent="0.25">
      <c r="A130" s="44">
        <v>9</v>
      </c>
      <c r="B130" s="44" t="s">
        <v>192</v>
      </c>
      <c r="C130" s="44" t="s">
        <v>189</v>
      </c>
      <c r="D130" s="44">
        <f>(1.5*1.28+2.95*5+2.4*3.01+2.75*3.05+3.15*3.05+1.1*0.9+1.25*2.05+2.13*1.25)*10.764</f>
        <v>517.79145600000004</v>
      </c>
      <c r="E130" s="44">
        <v>0</v>
      </c>
      <c r="F130" s="44">
        <f t="shared" si="0"/>
        <v>776.68718400000012</v>
      </c>
      <c r="G130" s="76"/>
      <c r="H130" s="77"/>
      <c r="I130" s="36"/>
      <c r="L130" s="59"/>
      <c r="M130" s="59"/>
      <c r="N130" s="36"/>
    </row>
    <row r="131" spans="1:14" s="50" customFormat="1" ht="15.6" customHeight="1" x14ac:dyDescent="0.25">
      <c r="A131" s="44">
        <f t="shared" si="1"/>
        <v>10</v>
      </c>
      <c r="B131" s="44" t="s">
        <v>192</v>
      </c>
      <c r="C131" s="44" t="s">
        <v>189</v>
      </c>
      <c r="D131" s="44">
        <f>(6*3.05+2.9*2+3.05*2.85+4.05*2.95+1.8*1.6+1.8*2.1+2.85*0.9+2.85*1)*10.764</f>
        <v>611.55665999999997</v>
      </c>
      <c r="E131" s="44">
        <v>0</v>
      </c>
      <c r="F131" s="44">
        <f t="shared" si="0"/>
        <v>917.33498999999995</v>
      </c>
      <c r="G131" s="76"/>
      <c r="H131" s="77"/>
      <c r="I131" s="36"/>
      <c r="L131" s="59"/>
      <c r="M131" s="59"/>
      <c r="N131" s="36"/>
    </row>
    <row r="132" spans="1:14" s="50" customFormat="1" ht="15.6" customHeight="1" x14ac:dyDescent="0.25">
      <c r="A132" s="44">
        <f t="shared" si="1"/>
        <v>11</v>
      </c>
      <c r="B132" s="44" t="s">
        <v>192</v>
      </c>
      <c r="C132" s="44" t="s">
        <v>189</v>
      </c>
      <c r="D132" s="44">
        <f>(1.73*1.1+2.28*2.75+4.33*2.95+3.05*2.75+4.05*2.95+1.43*0.9+1.61*0.9+1.23*2.13+1.23*2.13+2.28*1+2.85*1)*10.764</f>
        <v>585.42489720000003</v>
      </c>
      <c r="E132" s="44">
        <v>0</v>
      </c>
      <c r="F132" s="44">
        <f t="shared" si="0"/>
        <v>878.13734580000005</v>
      </c>
      <c r="G132" s="76"/>
      <c r="H132" s="77"/>
      <c r="I132" s="36"/>
      <c r="L132" s="59"/>
      <c r="M132" s="59"/>
      <c r="N132" s="36"/>
    </row>
    <row r="133" spans="1:14" s="50" customFormat="1" ht="15.6" customHeight="1" x14ac:dyDescent="0.25">
      <c r="A133" s="44">
        <f t="shared" si="1"/>
        <v>12</v>
      </c>
      <c r="B133" s="44" t="s">
        <v>192</v>
      </c>
      <c r="C133" s="44" t="s">
        <v>189</v>
      </c>
      <c r="D133" s="44">
        <f>(1.73*1.1+2.28*2.75+4.33*3.05+3.05*2.75+4.05*2.95+1.43*0.9+1.61*0.9+1.23*2.13+1.23*2.13+2.28*1+2.85*1)*10.764</f>
        <v>590.0857092</v>
      </c>
      <c r="E133" s="44">
        <v>0</v>
      </c>
      <c r="F133" s="44">
        <f t="shared" si="0"/>
        <v>885.12856379999994</v>
      </c>
      <c r="G133" s="78"/>
      <c r="H133" s="79"/>
      <c r="I133" s="36"/>
      <c r="L133" s="59"/>
      <c r="M133" s="59"/>
      <c r="N133" s="36"/>
    </row>
    <row r="134" spans="1:14" s="50" customFormat="1" x14ac:dyDescent="0.25">
      <c r="A134" s="67" t="s">
        <v>210</v>
      </c>
      <c r="B134" s="68"/>
      <c r="C134" s="68"/>
      <c r="D134" s="68"/>
      <c r="E134" s="68"/>
      <c r="F134" s="68"/>
      <c r="G134" s="68"/>
      <c r="H134" s="69"/>
      <c r="J134" s="36"/>
    </row>
    <row r="135" spans="1:14" s="50" customFormat="1" ht="15.6" customHeight="1" x14ac:dyDescent="0.25">
      <c r="A135" s="44">
        <v>1</v>
      </c>
      <c r="B135" s="44" t="s">
        <v>192</v>
      </c>
      <c r="C135" s="44" t="s">
        <v>188</v>
      </c>
      <c r="D135" s="44">
        <f>(1.28*1.35+2.95*5.5+2.75*2.15+1.02*2.25+2.75*3.35+3.1*3.35+1.35*2.25+3.68*3.25+1.3*2.15+1.3*2.15+1.1*4+0.9*2.15+2.85*1.2)*10.764</f>
        <v>819.14578200000005</v>
      </c>
      <c r="E135" s="44">
        <v>0</v>
      </c>
      <c r="F135" s="44">
        <f t="shared" ref="F135:F142" si="2">D135*(($F$117)+1)+(IF(E135&lt;101,E135,IF(E135&lt;201,E135/2,IF(E135&lt;=301,E135/3,E135/4))))</f>
        <v>1228.7186730000001</v>
      </c>
      <c r="G135" s="74" t="str">
        <f>A134</f>
        <v>8th, 13th, 18th, 23rd, 28th, 33rd Floor (Part Refuge Area)</v>
      </c>
      <c r="H135" s="75"/>
      <c r="I135" s="47"/>
      <c r="L135" s="59"/>
      <c r="M135" s="59"/>
      <c r="N135" s="36"/>
    </row>
    <row r="136" spans="1:14" s="50" customFormat="1" ht="15.6" customHeight="1" x14ac:dyDescent="0.25">
      <c r="A136" s="44">
        <f t="shared" ref="A136:A146" si="3">A135+1</f>
        <v>2</v>
      </c>
      <c r="B136" s="44" t="s">
        <v>192</v>
      </c>
      <c r="C136" s="44" t="s">
        <v>189</v>
      </c>
      <c r="D136" s="44">
        <f>(1.13*1.45+3.05*2.25+2.95*5.4+1.3*2.4+2.75*3.2+3.05*4.2+1.4*2.3+1.4*2.3+0.9*2.75+0.9*2.15+2.85*1.2)*10.764</f>
        <v>682.77128400000004</v>
      </c>
      <c r="E136" s="44">
        <v>0</v>
      </c>
      <c r="F136" s="44">
        <f t="shared" si="2"/>
        <v>1024.1569260000001</v>
      </c>
      <c r="G136" s="76"/>
      <c r="H136" s="77"/>
      <c r="I136" s="47">
        <f>8400000/F136</f>
        <v>8201.8680797360539</v>
      </c>
      <c r="L136" s="59"/>
      <c r="M136" s="59"/>
      <c r="N136" s="36"/>
    </row>
    <row r="137" spans="1:14" s="50" customFormat="1" ht="15.6" customHeight="1" x14ac:dyDescent="0.25">
      <c r="A137" s="44">
        <f t="shared" si="3"/>
        <v>3</v>
      </c>
      <c r="B137" s="44" t="s">
        <v>192</v>
      </c>
      <c r="C137" s="44" t="s">
        <v>189</v>
      </c>
      <c r="D137" s="44">
        <f>(1.13*1.45+3.05*2.25+2.95*5.4+1.3*2.4+2.75*3.2+3.05*4.2+1.4*2.3+1.4*2.3+0.9*2.75+0.9*2.15+2.85*1.2)*10.764</f>
        <v>682.77128400000004</v>
      </c>
      <c r="E137" s="44">
        <v>0</v>
      </c>
      <c r="F137" s="44">
        <f t="shared" si="2"/>
        <v>1024.1569260000001</v>
      </c>
      <c r="G137" s="76"/>
      <c r="H137" s="77"/>
      <c r="I137" s="36"/>
      <c r="L137" s="59"/>
      <c r="M137" s="59"/>
      <c r="N137" s="36"/>
    </row>
    <row r="138" spans="1:14" s="50" customFormat="1" ht="15.6" customHeight="1" x14ac:dyDescent="0.25">
      <c r="A138" s="44">
        <f t="shared" si="3"/>
        <v>4</v>
      </c>
      <c r="B138" s="44" t="s">
        <v>192</v>
      </c>
      <c r="C138" s="44" t="s">
        <v>188</v>
      </c>
      <c r="D138" s="44">
        <f>(1.28*1.35+2.95*5.5+2.75*2.15+1.02*2.25+2.75*3.35+3.1*3.35+1.35*2.25+3.68*3.25+1.3*2.15+1.3*2.15+1.1*4+0.9*2.15+2.85*1.2)*10.764</f>
        <v>819.14578200000005</v>
      </c>
      <c r="E138" s="44">
        <v>0</v>
      </c>
      <c r="F138" s="44">
        <f t="shared" si="2"/>
        <v>1228.7186730000001</v>
      </c>
      <c r="G138" s="76"/>
      <c r="H138" s="77"/>
      <c r="I138" s="36"/>
      <c r="L138" s="59"/>
      <c r="M138" s="59"/>
      <c r="N138" s="36"/>
    </row>
    <row r="139" spans="1:14" s="50" customFormat="1" ht="15.6" customHeight="1" x14ac:dyDescent="0.25">
      <c r="A139" s="44">
        <v>5</v>
      </c>
      <c r="B139" s="44" t="s">
        <v>192</v>
      </c>
      <c r="C139" s="44" t="s">
        <v>189</v>
      </c>
      <c r="D139" s="44">
        <f>(1.73*1.1+2.28*2.75+4.33*3.05+3.05*2.75+4.05*2.95+1.43*0.9+1.61*0.9+1.23*2.13+1.23*2.13+2.28*1+2.85*1)*10.764</f>
        <v>590.0857092</v>
      </c>
      <c r="E139" s="44">
        <v>0</v>
      </c>
      <c r="F139" s="44">
        <f t="shared" si="2"/>
        <v>885.12856379999994</v>
      </c>
      <c r="G139" s="78"/>
      <c r="H139" s="79"/>
      <c r="I139" s="36"/>
      <c r="L139" s="59"/>
      <c r="M139" s="59"/>
      <c r="N139" s="36"/>
    </row>
    <row r="140" spans="1:14" s="50" customFormat="1" x14ac:dyDescent="0.25">
      <c r="A140" s="44">
        <f t="shared" si="3"/>
        <v>6</v>
      </c>
      <c r="B140" s="44" t="s">
        <v>192</v>
      </c>
      <c r="C140" s="44" t="s">
        <v>189</v>
      </c>
      <c r="D140" s="44">
        <f>(1.73*1.1+2.28*2.75+4.33*2.95+3.05*2.75+4.05*2.95+1.43*0.9+1.61*0.9+1.23*2.13+1.23*2.13+2.28*1+2.85*1)*10.764</f>
        <v>585.42489720000003</v>
      </c>
      <c r="E140" s="44">
        <v>0</v>
      </c>
      <c r="F140" s="44">
        <f t="shared" si="2"/>
        <v>878.13734580000005</v>
      </c>
      <c r="G140" s="74" t="str">
        <f>G135</f>
        <v>8th, 13th, 18th, 23rd, 28th, 33rd Floor (Part Refuge Area)</v>
      </c>
      <c r="H140" s="75"/>
      <c r="I140" s="36"/>
      <c r="L140" s="59"/>
      <c r="M140" s="59"/>
      <c r="N140" s="36"/>
    </row>
    <row r="141" spans="1:14" s="50" customFormat="1" x14ac:dyDescent="0.25">
      <c r="A141" s="44">
        <f t="shared" si="3"/>
        <v>7</v>
      </c>
      <c r="B141" s="44" t="s">
        <v>192</v>
      </c>
      <c r="C141" s="44" t="s">
        <v>189</v>
      </c>
      <c r="D141" s="44">
        <f>(6*3.05+2.9*2+3.05*2.85+4.05*2.95+1.8*1.6+1.8*2.1+2.85*0.9+2.85*1)*10.764</f>
        <v>611.55665999999997</v>
      </c>
      <c r="E141" s="44">
        <v>0</v>
      </c>
      <c r="F141" s="44">
        <f t="shared" si="2"/>
        <v>917.33498999999995</v>
      </c>
      <c r="G141" s="76"/>
      <c r="H141" s="77"/>
      <c r="I141" s="36"/>
      <c r="L141" s="59"/>
      <c r="M141" s="59"/>
      <c r="N141" s="36"/>
    </row>
    <row r="142" spans="1:14" s="50" customFormat="1" x14ac:dyDescent="0.25">
      <c r="A142" s="44">
        <f t="shared" si="3"/>
        <v>8</v>
      </c>
      <c r="B142" s="44" t="s">
        <v>192</v>
      </c>
      <c r="C142" s="44" t="s">
        <v>189</v>
      </c>
      <c r="D142" s="44">
        <f>(1.5*1.28+2.95*5+2.4*3.01+2.75*3.05+3.15*3.05+1.1*0.9+1.25*2.05+2.13*1.25)*10.764</f>
        <v>517.79145600000004</v>
      </c>
      <c r="E142" s="44">
        <v>0</v>
      </c>
      <c r="F142" s="44">
        <f t="shared" si="2"/>
        <v>776.68718400000012</v>
      </c>
      <c r="G142" s="76"/>
      <c r="H142" s="77"/>
      <c r="I142" s="36"/>
      <c r="L142" s="59"/>
      <c r="M142" s="59"/>
      <c r="N142" s="36"/>
    </row>
    <row r="143" spans="1:14" s="50" customFormat="1" x14ac:dyDescent="0.25">
      <c r="A143" s="44">
        <v>9</v>
      </c>
      <c r="B143" s="44" t="s">
        <v>193</v>
      </c>
      <c r="C143" s="144" t="s">
        <v>190</v>
      </c>
      <c r="D143" s="145"/>
      <c r="E143" s="145"/>
      <c r="F143" s="146"/>
      <c r="G143" s="76"/>
      <c r="H143" s="77"/>
      <c r="I143" s="36"/>
      <c r="L143" s="59"/>
      <c r="M143" s="59"/>
      <c r="N143" s="36"/>
    </row>
    <row r="144" spans="1:14" s="50" customFormat="1" x14ac:dyDescent="0.25">
      <c r="A144" s="44">
        <f t="shared" si="3"/>
        <v>10</v>
      </c>
      <c r="B144" s="44" t="s">
        <v>192</v>
      </c>
      <c r="C144" s="44" t="s">
        <v>189</v>
      </c>
      <c r="D144" s="44">
        <f>(6*3.05+2.9*2+3.05*2.85+4.05*2.95+1.8*1.6+1.8*2.1+2.85*0.9+2.85*1)*10.764</f>
        <v>611.55665999999997</v>
      </c>
      <c r="E144" s="44">
        <v>0</v>
      </c>
      <c r="F144" s="44">
        <f>D144*(($F$117)+1)+(IF(E144&lt;101,E144,IF(E144&lt;201,E144/2,IF(E144&lt;=301,E144/3,E144/4))))</f>
        <v>917.33498999999995</v>
      </c>
      <c r="G144" s="76"/>
      <c r="H144" s="77"/>
      <c r="I144" s="36"/>
      <c r="L144" s="59"/>
      <c r="M144" s="59"/>
      <c r="N144" s="36"/>
    </row>
    <row r="145" spans="1:14" s="50" customFormat="1" x14ac:dyDescent="0.25">
      <c r="A145" s="44">
        <f t="shared" si="3"/>
        <v>11</v>
      </c>
      <c r="B145" s="44" t="s">
        <v>192</v>
      </c>
      <c r="C145" s="44" t="s">
        <v>189</v>
      </c>
      <c r="D145" s="44">
        <f>(1.73*1.1+2.28*2.75+4.33*2.95+3.05*2.75+4.05*2.95+1.43*0.9+1.61*0.9+1.23*2.13+1.23*2.13+2.28*1+2.85*1)*10.764</f>
        <v>585.42489720000003</v>
      </c>
      <c r="E145" s="44">
        <v>0</v>
      </c>
      <c r="F145" s="44">
        <f>D145*(($F$117)+1)+(IF(E145&lt;101,E145,IF(E145&lt;201,E145/2,IF(E145&lt;=301,E145/3,E145/4))))</f>
        <v>878.13734580000005</v>
      </c>
      <c r="G145" s="76"/>
      <c r="H145" s="77"/>
      <c r="I145" s="36"/>
      <c r="L145" s="59"/>
      <c r="M145" s="59"/>
      <c r="N145" s="36"/>
    </row>
    <row r="146" spans="1:14" s="50" customFormat="1" x14ac:dyDescent="0.25">
      <c r="A146" s="44">
        <f t="shared" si="3"/>
        <v>12</v>
      </c>
      <c r="B146" s="44" t="s">
        <v>192</v>
      </c>
      <c r="C146" s="44" t="s">
        <v>189</v>
      </c>
      <c r="D146" s="44">
        <f>(1.73*1.1+2.28*2.75+4.33*3.05+3.05*2.75+4.05*2.95+1.43*0.9+1.61*0.9+1.23*2.13+1.23*2.13+2.28*1+2.85*1)*10.764</f>
        <v>590.0857092</v>
      </c>
      <c r="E146" s="44">
        <v>0</v>
      </c>
      <c r="F146" s="44">
        <f>D146*(($F$117)+1)+(IF(E146&lt;101,E146,IF(E146&lt;201,E146/2,IF(E146&lt;=301,E146/3,E146/4))))</f>
        <v>885.12856379999994</v>
      </c>
      <c r="G146" s="78"/>
      <c r="H146" s="79"/>
      <c r="I146" s="36"/>
      <c r="L146" s="59"/>
      <c r="M146" s="59"/>
      <c r="N146" s="36"/>
    </row>
    <row r="147" spans="1:14" s="50" customFormat="1" x14ac:dyDescent="0.25">
      <c r="A147" s="67" t="s">
        <v>199</v>
      </c>
      <c r="B147" s="68"/>
      <c r="C147" s="68"/>
      <c r="D147" s="68"/>
      <c r="E147" s="68"/>
      <c r="F147" s="68"/>
      <c r="G147" s="68"/>
      <c r="H147" s="69"/>
      <c r="J147" s="36"/>
    </row>
    <row r="148" spans="1:14" s="50" customFormat="1" x14ac:dyDescent="0.25">
      <c r="A148" s="67" t="s">
        <v>185</v>
      </c>
      <c r="B148" s="68"/>
      <c r="C148" s="68"/>
      <c r="D148" s="68"/>
      <c r="E148" s="68"/>
      <c r="F148" s="68"/>
      <c r="G148" s="68"/>
      <c r="H148" s="69"/>
      <c r="J148" s="36"/>
    </row>
    <row r="149" spans="1:14" s="50" customFormat="1" x14ac:dyDescent="0.25">
      <c r="A149" s="67" t="s">
        <v>186</v>
      </c>
      <c r="B149" s="68"/>
      <c r="C149" s="68"/>
      <c r="D149" s="68"/>
      <c r="E149" s="68"/>
      <c r="F149" s="68"/>
      <c r="G149" s="68"/>
      <c r="H149" s="69"/>
      <c r="J149" s="36"/>
    </row>
    <row r="150" spans="1:14" s="50" customFormat="1" x14ac:dyDescent="0.25">
      <c r="A150" s="67" t="s">
        <v>191</v>
      </c>
      <c r="B150" s="68"/>
      <c r="C150" s="68"/>
      <c r="D150" s="68"/>
      <c r="E150" s="68"/>
      <c r="F150" s="68"/>
      <c r="G150" s="68"/>
      <c r="H150" s="69"/>
      <c r="J150" s="36"/>
    </row>
    <row r="151" spans="1:14" s="50" customFormat="1" ht="15.6" customHeight="1" x14ac:dyDescent="0.25">
      <c r="A151" s="49">
        <v>1</v>
      </c>
      <c r="B151" s="44" t="s">
        <v>194</v>
      </c>
      <c r="C151" s="44" t="s">
        <v>195</v>
      </c>
      <c r="D151" s="44">
        <f>(39.5)*10.764</f>
        <v>425.178</v>
      </c>
      <c r="E151" s="44">
        <v>0</v>
      </c>
      <c r="F151" s="44">
        <f t="shared" ref="F151:F160" si="4">D151*(($F$117)+1)+(IF(E151&lt;101,E151,IF(E151&lt;201,E151/2,IF(E151&lt;=301,E151/3,E151/4))))</f>
        <v>637.76700000000005</v>
      </c>
      <c r="G151" s="74" t="str">
        <f>A150</f>
        <v>1st to 7th, 9th to 12th, 14th to 17th, 19th to 22nd, 24th to 27th Floor</v>
      </c>
      <c r="H151" s="75"/>
      <c r="I151" s="48">
        <f>5500000/F151</f>
        <v>8623.8391136574955</v>
      </c>
      <c r="L151" s="59"/>
      <c r="M151" s="59"/>
      <c r="N151" s="36"/>
    </row>
    <row r="152" spans="1:14" s="50" customFormat="1" ht="15.6" customHeight="1" x14ac:dyDescent="0.25">
      <c r="A152" s="49">
        <f t="shared" ref="A152:A160" si="5">A151+1</f>
        <v>2</v>
      </c>
      <c r="B152" s="44" t="s">
        <v>194</v>
      </c>
      <c r="C152" s="44" t="s">
        <v>195</v>
      </c>
      <c r="D152" s="44">
        <f>(39.5)*10.764</f>
        <v>425.178</v>
      </c>
      <c r="E152" s="44">
        <v>0</v>
      </c>
      <c r="F152" s="44">
        <f t="shared" si="4"/>
        <v>637.76700000000005</v>
      </c>
      <c r="G152" s="76"/>
      <c r="H152" s="77"/>
      <c r="I152" s="47"/>
      <c r="L152" s="59"/>
      <c r="M152" s="59"/>
      <c r="N152" s="36"/>
    </row>
    <row r="153" spans="1:14" s="50" customFormat="1" ht="15.6" customHeight="1" x14ac:dyDescent="0.25">
      <c r="A153" s="49">
        <f t="shared" si="5"/>
        <v>3</v>
      </c>
      <c r="B153" s="44" t="s">
        <v>194</v>
      </c>
      <c r="C153" s="44" t="s">
        <v>195</v>
      </c>
      <c r="D153" s="44">
        <f>(39.5)*10.764</f>
        <v>425.178</v>
      </c>
      <c r="E153" s="44">
        <v>0</v>
      </c>
      <c r="F153" s="44">
        <f t="shared" si="4"/>
        <v>637.76700000000005</v>
      </c>
      <c r="G153" s="76"/>
      <c r="H153" s="77"/>
      <c r="I153" s="36"/>
      <c r="L153" s="59"/>
      <c r="M153" s="59"/>
      <c r="N153" s="36"/>
    </row>
    <row r="154" spans="1:14" s="50" customFormat="1" ht="15.6" customHeight="1" x14ac:dyDescent="0.25">
      <c r="A154" s="49">
        <f t="shared" si="5"/>
        <v>4</v>
      </c>
      <c r="B154" s="44" t="s">
        <v>194</v>
      </c>
      <c r="C154" s="44" t="s">
        <v>195</v>
      </c>
      <c r="D154" s="44">
        <f>(39.5)*10.764</f>
        <v>425.178</v>
      </c>
      <c r="E154" s="44">
        <v>0</v>
      </c>
      <c r="F154" s="44">
        <f t="shared" si="4"/>
        <v>637.76700000000005</v>
      </c>
      <c r="G154" s="76"/>
      <c r="H154" s="77"/>
      <c r="I154" s="36"/>
      <c r="L154" s="59"/>
      <c r="M154" s="59"/>
      <c r="N154" s="36"/>
    </row>
    <row r="155" spans="1:14" s="50" customFormat="1" ht="15.6" customHeight="1" x14ac:dyDescent="0.25">
      <c r="A155" s="49">
        <v>5</v>
      </c>
      <c r="B155" s="49" t="s">
        <v>192</v>
      </c>
      <c r="C155" s="44" t="s">
        <v>189</v>
      </c>
      <c r="D155" s="44">
        <f>(51.39)*10.764</f>
        <v>553.16196000000002</v>
      </c>
      <c r="E155" s="44">
        <v>0</v>
      </c>
      <c r="F155" s="44">
        <f t="shared" si="4"/>
        <v>829.74294000000009</v>
      </c>
      <c r="G155" s="76"/>
      <c r="H155" s="77"/>
      <c r="I155" s="36"/>
      <c r="L155" s="59"/>
      <c r="M155" s="59"/>
      <c r="N155" s="36"/>
    </row>
    <row r="156" spans="1:14" s="50" customFormat="1" ht="15.6" customHeight="1" x14ac:dyDescent="0.25">
      <c r="A156" s="49">
        <f t="shared" si="5"/>
        <v>6</v>
      </c>
      <c r="B156" s="49" t="s">
        <v>192</v>
      </c>
      <c r="C156" s="44" t="s">
        <v>189</v>
      </c>
      <c r="D156" s="44">
        <f>(51.39)*10.764</f>
        <v>553.16196000000002</v>
      </c>
      <c r="E156" s="44">
        <v>0</v>
      </c>
      <c r="F156" s="44">
        <f t="shared" si="4"/>
        <v>829.74294000000009</v>
      </c>
      <c r="G156" s="76"/>
      <c r="H156" s="77"/>
      <c r="I156" s="36"/>
      <c r="L156" s="59"/>
      <c r="M156" s="59"/>
      <c r="N156" s="36"/>
    </row>
    <row r="157" spans="1:14" s="50" customFormat="1" ht="15.6" customHeight="1" x14ac:dyDescent="0.25">
      <c r="A157" s="49">
        <f t="shared" si="5"/>
        <v>7</v>
      </c>
      <c r="B157" s="49" t="s">
        <v>192</v>
      </c>
      <c r="C157" s="44" t="s">
        <v>195</v>
      </c>
      <c r="D157" s="44">
        <f>40.62*10.764</f>
        <v>437.23367999999994</v>
      </c>
      <c r="E157" s="44">
        <v>0</v>
      </c>
      <c r="F157" s="44">
        <f t="shared" si="4"/>
        <v>655.85051999999996</v>
      </c>
      <c r="G157" s="76"/>
      <c r="H157" s="77"/>
      <c r="I157" s="36"/>
      <c r="L157" s="59"/>
      <c r="M157" s="59"/>
      <c r="N157" s="36"/>
    </row>
    <row r="158" spans="1:14" s="50" customFormat="1" ht="15.6" customHeight="1" x14ac:dyDescent="0.25">
      <c r="A158" s="49">
        <f t="shared" si="5"/>
        <v>8</v>
      </c>
      <c r="B158" s="49" t="s">
        <v>192</v>
      </c>
      <c r="C158" s="44" t="s">
        <v>195</v>
      </c>
      <c r="D158" s="44">
        <f>40.62*10.764</f>
        <v>437.23367999999994</v>
      </c>
      <c r="E158" s="44">
        <v>0</v>
      </c>
      <c r="F158" s="44">
        <f t="shared" si="4"/>
        <v>655.85051999999996</v>
      </c>
      <c r="G158" s="76"/>
      <c r="H158" s="77"/>
      <c r="I158" s="36"/>
      <c r="L158" s="59"/>
      <c r="M158" s="59"/>
      <c r="N158" s="36"/>
    </row>
    <row r="159" spans="1:14" s="50" customFormat="1" ht="15.6" customHeight="1" x14ac:dyDescent="0.25">
      <c r="A159" s="49">
        <v>9</v>
      </c>
      <c r="B159" s="49" t="s">
        <v>192</v>
      </c>
      <c r="C159" s="44" t="s">
        <v>189</v>
      </c>
      <c r="D159" s="44">
        <f>(51.39)*10.764</f>
        <v>553.16196000000002</v>
      </c>
      <c r="E159" s="44">
        <v>0</v>
      </c>
      <c r="F159" s="44">
        <f t="shared" si="4"/>
        <v>829.74294000000009</v>
      </c>
      <c r="G159" s="76"/>
      <c r="H159" s="77"/>
      <c r="I159" s="36"/>
      <c r="L159" s="59"/>
      <c r="M159" s="59"/>
      <c r="N159" s="36"/>
    </row>
    <row r="160" spans="1:14" s="50" customFormat="1" ht="15.6" customHeight="1" x14ac:dyDescent="0.25">
      <c r="A160" s="49">
        <f t="shared" si="5"/>
        <v>10</v>
      </c>
      <c r="B160" s="49" t="s">
        <v>192</v>
      </c>
      <c r="C160" s="44" t="s">
        <v>189</v>
      </c>
      <c r="D160" s="44">
        <f>(51.39)*10.764</f>
        <v>553.16196000000002</v>
      </c>
      <c r="E160" s="44">
        <v>0</v>
      </c>
      <c r="F160" s="44">
        <f t="shared" si="4"/>
        <v>829.74294000000009</v>
      </c>
      <c r="G160" s="78"/>
      <c r="H160" s="79"/>
      <c r="I160" s="36"/>
      <c r="L160" s="59"/>
      <c r="M160" s="59"/>
      <c r="N160" s="36"/>
    </row>
    <row r="161" spans="1:14" s="50" customFormat="1" x14ac:dyDescent="0.25">
      <c r="A161" s="67" t="s">
        <v>196</v>
      </c>
      <c r="B161" s="68"/>
      <c r="C161" s="68"/>
      <c r="D161" s="68"/>
      <c r="E161" s="68"/>
      <c r="F161" s="68"/>
      <c r="G161" s="68"/>
      <c r="H161" s="69"/>
      <c r="J161" s="36"/>
    </row>
    <row r="162" spans="1:14" s="50" customFormat="1" ht="15.6" customHeight="1" x14ac:dyDescent="0.25">
      <c r="A162" s="49">
        <v>1</v>
      </c>
      <c r="B162" s="44" t="s">
        <v>194</v>
      </c>
      <c r="C162" s="44" t="s">
        <v>195</v>
      </c>
      <c r="D162" s="44">
        <f>(39.5)*10.764</f>
        <v>425.178</v>
      </c>
      <c r="E162" s="44">
        <v>0</v>
      </c>
      <c r="F162" s="44">
        <f>D162*(($F$117)+1)+(IF(E162&lt;101,E162,IF(E162&lt;201,E162/2,IF(E162&lt;=301,E162/3,E162/4))))</f>
        <v>637.76700000000005</v>
      </c>
      <c r="G162" s="74" t="str">
        <f>A161</f>
        <v>8th, 13th, 18th, 23rd Floor (Part Refuge Area)</v>
      </c>
      <c r="H162" s="75"/>
      <c r="I162" s="48"/>
      <c r="L162" s="59"/>
      <c r="M162" s="59"/>
      <c r="N162" s="36"/>
    </row>
    <row r="163" spans="1:14" s="50" customFormat="1" ht="15.6" customHeight="1" x14ac:dyDescent="0.25">
      <c r="A163" s="49">
        <f t="shared" ref="A163:A171" si="6">A162+1</f>
        <v>2</v>
      </c>
      <c r="B163" s="44" t="s">
        <v>194</v>
      </c>
      <c r="C163" s="44" t="s">
        <v>195</v>
      </c>
      <c r="D163" s="44">
        <f>(39.5)*10.764</f>
        <v>425.178</v>
      </c>
      <c r="E163" s="44">
        <v>0</v>
      </c>
      <c r="F163" s="44">
        <f>D163*(($F$117)+1)+(IF(E163&lt;101,E163,IF(E163&lt;201,E163/2,IF(E163&lt;=301,E163/3,E163/4))))</f>
        <v>637.76700000000005</v>
      </c>
      <c r="G163" s="76"/>
      <c r="H163" s="77"/>
      <c r="I163" s="47"/>
      <c r="L163" s="59"/>
      <c r="M163" s="59"/>
      <c r="N163" s="36"/>
    </row>
    <row r="164" spans="1:14" s="50" customFormat="1" ht="15.6" customHeight="1" x14ac:dyDescent="0.25">
      <c r="A164" s="49">
        <f t="shared" si="6"/>
        <v>3</v>
      </c>
      <c r="B164" s="44" t="s">
        <v>194</v>
      </c>
      <c r="C164" s="44" t="s">
        <v>195</v>
      </c>
      <c r="D164" s="44">
        <f>(39.5)*10.764</f>
        <v>425.178</v>
      </c>
      <c r="E164" s="44">
        <v>0</v>
      </c>
      <c r="F164" s="44">
        <f>D164*(($F$117)+1)+(IF(E164&lt;101,E164,IF(E164&lt;201,E164/2,IF(E164&lt;=301,E164/3,E164/4))))</f>
        <v>637.76700000000005</v>
      </c>
      <c r="G164" s="76"/>
      <c r="H164" s="77"/>
      <c r="I164" s="36"/>
      <c r="L164" s="59"/>
      <c r="M164" s="59"/>
      <c r="N164" s="36"/>
    </row>
    <row r="165" spans="1:14" s="50" customFormat="1" ht="15.6" customHeight="1" x14ac:dyDescent="0.25">
      <c r="A165" s="49">
        <f t="shared" si="6"/>
        <v>4</v>
      </c>
      <c r="B165" s="44" t="s">
        <v>193</v>
      </c>
      <c r="C165" s="144" t="s">
        <v>190</v>
      </c>
      <c r="D165" s="145"/>
      <c r="E165" s="145"/>
      <c r="F165" s="146"/>
      <c r="G165" s="76"/>
      <c r="H165" s="77"/>
      <c r="I165" s="36"/>
      <c r="L165" s="59"/>
      <c r="M165" s="59"/>
      <c r="N165" s="36"/>
    </row>
    <row r="166" spans="1:14" s="50" customFormat="1" ht="15.6" customHeight="1" x14ac:dyDescent="0.25">
      <c r="A166" s="49">
        <v>5</v>
      </c>
      <c r="B166" s="49" t="s">
        <v>192</v>
      </c>
      <c r="C166" s="44" t="s">
        <v>189</v>
      </c>
      <c r="D166" s="44">
        <f>(51.39)*10.764</f>
        <v>553.16196000000002</v>
      </c>
      <c r="E166" s="44">
        <v>0</v>
      </c>
      <c r="F166" s="44">
        <f t="shared" ref="F166:F171" si="7">D166*(($F$117)+1)+(IF(E166&lt;101,E166,IF(E166&lt;201,E166/2,IF(E166&lt;=301,E166/3,E166/4))))</f>
        <v>829.74294000000009</v>
      </c>
      <c r="G166" s="76"/>
      <c r="H166" s="77"/>
      <c r="I166" s="36"/>
      <c r="L166" s="59"/>
      <c r="M166" s="59"/>
      <c r="N166" s="36"/>
    </row>
    <row r="167" spans="1:14" s="50" customFormat="1" ht="15.6" customHeight="1" x14ac:dyDescent="0.25">
      <c r="A167" s="49">
        <f t="shared" si="6"/>
        <v>6</v>
      </c>
      <c r="B167" s="49" t="s">
        <v>192</v>
      </c>
      <c r="C167" s="44" t="s">
        <v>189</v>
      </c>
      <c r="D167" s="44">
        <f>(51.39)*10.764</f>
        <v>553.16196000000002</v>
      </c>
      <c r="E167" s="44">
        <v>0</v>
      </c>
      <c r="F167" s="44">
        <f t="shared" si="7"/>
        <v>829.74294000000009</v>
      </c>
      <c r="G167" s="76"/>
      <c r="H167" s="77"/>
      <c r="I167" s="36"/>
      <c r="L167" s="59"/>
      <c r="M167" s="59"/>
      <c r="N167" s="36"/>
    </row>
    <row r="168" spans="1:14" s="50" customFormat="1" ht="15.6" customHeight="1" x14ac:dyDescent="0.25">
      <c r="A168" s="49">
        <f t="shared" si="6"/>
        <v>7</v>
      </c>
      <c r="B168" s="49" t="s">
        <v>192</v>
      </c>
      <c r="C168" s="44" t="s">
        <v>195</v>
      </c>
      <c r="D168" s="44">
        <f>40.62*10.764</f>
        <v>437.23367999999994</v>
      </c>
      <c r="E168" s="44">
        <v>0</v>
      </c>
      <c r="F168" s="44">
        <f t="shared" si="7"/>
        <v>655.85051999999996</v>
      </c>
      <c r="G168" s="76"/>
      <c r="H168" s="77"/>
      <c r="I168" s="36"/>
      <c r="L168" s="59"/>
      <c r="M168" s="59"/>
      <c r="N168" s="36"/>
    </row>
    <row r="169" spans="1:14" s="50" customFormat="1" ht="15.6" customHeight="1" x14ac:dyDescent="0.25">
      <c r="A169" s="49">
        <f t="shared" si="6"/>
        <v>8</v>
      </c>
      <c r="B169" s="49" t="s">
        <v>192</v>
      </c>
      <c r="C169" s="44" t="s">
        <v>195</v>
      </c>
      <c r="D169" s="44">
        <f>40.62*10.764</f>
        <v>437.23367999999994</v>
      </c>
      <c r="E169" s="44">
        <v>0</v>
      </c>
      <c r="F169" s="44">
        <f t="shared" si="7"/>
        <v>655.85051999999996</v>
      </c>
      <c r="G169" s="76"/>
      <c r="H169" s="77"/>
      <c r="I169" s="36"/>
      <c r="L169" s="59"/>
      <c r="M169" s="59"/>
      <c r="N169" s="36"/>
    </row>
    <row r="170" spans="1:14" s="50" customFormat="1" ht="15.6" customHeight="1" x14ac:dyDescent="0.25">
      <c r="A170" s="49">
        <v>9</v>
      </c>
      <c r="B170" s="49" t="s">
        <v>192</v>
      </c>
      <c r="C170" s="44" t="s">
        <v>189</v>
      </c>
      <c r="D170" s="44">
        <f>(51.39)*10.764</f>
        <v>553.16196000000002</v>
      </c>
      <c r="E170" s="44">
        <v>0</v>
      </c>
      <c r="F170" s="44">
        <f t="shared" si="7"/>
        <v>829.74294000000009</v>
      </c>
      <c r="G170" s="76"/>
      <c r="H170" s="77"/>
      <c r="I170" s="36"/>
      <c r="L170" s="59"/>
      <c r="M170" s="59"/>
      <c r="N170" s="36"/>
    </row>
    <row r="171" spans="1:14" s="50" customFormat="1" ht="15.6" customHeight="1" x14ac:dyDescent="0.25">
      <c r="A171" s="49">
        <f t="shared" si="6"/>
        <v>10</v>
      </c>
      <c r="B171" s="49" t="s">
        <v>192</v>
      </c>
      <c r="C171" s="44" t="s">
        <v>189</v>
      </c>
      <c r="D171" s="44">
        <f>(51.39)*10.764</f>
        <v>553.16196000000002</v>
      </c>
      <c r="E171" s="44">
        <v>0</v>
      </c>
      <c r="F171" s="44">
        <f t="shared" si="7"/>
        <v>829.74294000000009</v>
      </c>
      <c r="G171" s="78"/>
      <c r="H171" s="79"/>
      <c r="I171" s="36"/>
      <c r="L171" s="59"/>
      <c r="M171" s="59"/>
      <c r="N171" s="36"/>
    </row>
    <row r="172" spans="1:14" s="50" customFormat="1" x14ac:dyDescent="0.25">
      <c r="A172" s="67" t="s">
        <v>200</v>
      </c>
      <c r="B172" s="68"/>
      <c r="C172" s="68"/>
      <c r="D172" s="68"/>
      <c r="E172" s="68"/>
      <c r="F172" s="68"/>
      <c r="G172" s="68"/>
      <c r="H172" s="69"/>
      <c r="J172" s="36"/>
    </row>
    <row r="173" spans="1:14" s="50" customFormat="1" x14ac:dyDescent="0.25">
      <c r="A173" s="49">
        <v>1</v>
      </c>
      <c r="B173" s="49" t="s">
        <v>192</v>
      </c>
      <c r="C173" s="44" t="s">
        <v>195</v>
      </c>
      <c r="D173" s="44">
        <f>(39.5)*10.764</f>
        <v>425.178</v>
      </c>
      <c r="E173" s="44">
        <v>0</v>
      </c>
      <c r="F173" s="44">
        <f t="shared" ref="F173:F182" si="8">D173*(($F$117)+1)+(IF(E173&lt;101,E173,IF(E173&lt;201,E173/2,IF(E173&lt;=301,E173/3,E173/4))))</f>
        <v>637.76700000000005</v>
      </c>
      <c r="G173" s="74" t="str">
        <f>A172</f>
        <v>28th Floor</v>
      </c>
      <c r="H173" s="75"/>
      <c r="I173" s="48">
        <f>4547473/F173</f>
        <v>7130.304641036616</v>
      </c>
      <c r="J173" s="50">
        <f>4495924/F173</f>
        <v>7049.4773169511745</v>
      </c>
      <c r="L173" s="59"/>
      <c r="M173" s="59"/>
      <c r="N173" s="36"/>
    </row>
    <row r="174" spans="1:14" s="50" customFormat="1" x14ac:dyDescent="0.25">
      <c r="A174" s="49">
        <f t="shared" ref="A174:A182" si="9">A173+1</f>
        <v>2</v>
      </c>
      <c r="B174" s="49" t="s">
        <v>194</v>
      </c>
      <c r="C174" s="44" t="s">
        <v>195</v>
      </c>
      <c r="D174" s="44">
        <f>(39.5)*10.764</f>
        <v>425.178</v>
      </c>
      <c r="E174" s="44">
        <v>0</v>
      </c>
      <c r="F174" s="44">
        <f t="shared" si="8"/>
        <v>637.76700000000005</v>
      </c>
      <c r="G174" s="76"/>
      <c r="H174" s="77"/>
      <c r="I174" s="47"/>
      <c r="L174" s="59"/>
      <c r="M174" s="59"/>
      <c r="N174" s="36"/>
    </row>
    <row r="175" spans="1:14" s="50" customFormat="1" x14ac:dyDescent="0.25">
      <c r="A175" s="49">
        <f t="shared" si="9"/>
        <v>3</v>
      </c>
      <c r="B175" s="49" t="s">
        <v>194</v>
      </c>
      <c r="C175" s="44" t="s">
        <v>195</v>
      </c>
      <c r="D175" s="44">
        <f>(39.5)*10.764</f>
        <v>425.178</v>
      </c>
      <c r="E175" s="44">
        <v>0</v>
      </c>
      <c r="F175" s="44">
        <f t="shared" si="8"/>
        <v>637.76700000000005</v>
      </c>
      <c r="G175" s="76"/>
      <c r="H175" s="77"/>
      <c r="I175" s="36"/>
      <c r="L175" s="59"/>
      <c r="M175" s="59"/>
      <c r="N175" s="36"/>
    </row>
    <row r="176" spans="1:14" s="50" customFormat="1" x14ac:dyDescent="0.25">
      <c r="A176" s="49">
        <f t="shared" si="9"/>
        <v>4</v>
      </c>
      <c r="B176" s="49" t="s">
        <v>192</v>
      </c>
      <c r="C176" s="44" t="s">
        <v>195</v>
      </c>
      <c r="D176" s="44">
        <f>(39.5)*10.764</f>
        <v>425.178</v>
      </c>
      <c r="E176" s="44">
        <v>0</v>
      </c>
      <c r="F176" s="44">
        <f t="shared" si="8"/>
        <v>637.76700000000005</v>
      </c>
      <c r="G176" s="76"/>
      <c r="H176" s="77"/>
      <c r="I176" s="36"/>
      <c r="L176" s="59"/>
      <c r="M176" s="59"/>
      <c r="N176" s="36"/>
    </row>
    <row r="177" spans="1:14" s="50" customFormat="1" x14ac:dyDescent="0.25">
      <c r="A177" s="49">
        <v>5</v>
      </c>
      <c r="B177" s="49" t="s">
        <v>192</v>
      </c>
      <c r="C177" s="44" t="s">
        <v>189</v>
      </c>
      <c r="D177" s="44">
        <f>(51.39)*10.764</f>
        <v>553.16196000000002</v>
      </c>
      <c r="E177" s="44">
        <v>0</v>
      </c>
      <c r="F177" s="44">
        <f t="shared" si="8"/>
        <v>829.74294000000009</v>
      </c>
      <c r="G177" s="76"/>
      <c r="H177" s="77"/>
      <c r="I177" s="36"/>
      <c r="L177" s="59"/>
      <c r="M177" s="59"/>
      <c r="N177" s="36"/>
    </row>
    <row r="178" spans="1:14" s="50" customFormat="1" x14ac:dyDescent="0.25">
      <c r="A178" s="49">
        <f t="shared" si="9"/>
        <v>6</v>
      </c>
      <c r="B178" s="49" t="s">
        <v>192</v>
      </c>
      <c r="C178" s="44" t="s">
        <v>189</v>
      </c>
      <c r="D178" s="44">
        <f>(51.39)*10.764</f>
        <v>553.16196000000002</v>
      </c>
      <c r="E178" s="44">
        <v>0</v>
      </c>
      <c r="F178" s="44">
        <f t="shared" si="8"/>
        <v>829.74294000000009</v>
      </c>
      <c r="G178" s="76"/>
      <c r="H178" s="77"/>
      <c r="I178" s="36"/>
      <c r="L178" s="59"/>
      <c r="M178" s="59"/>
      <c r="N178" s="36"/>
    </row>
    <row r="179" spans="1:14" s="50" customFormat="1" x14ac:dyDescent="0.25">
      <c r="A179" s="49">
        <f t="shared" si="9"/>
        <v>7</v>
      </c>
      <c r="B179" s="49" t="s">
        <v>192</v>
      </c>
      <c r="C179" s="44" t="s">
        <v>195</v>
      </c>
      <c r="D179" s="44">
        <f>40.62*10.764</f>
        <v>437.23367999999994</v>
      </c>
      <c r="E179" s="44">
        <v>0</v>
      </c>
      <c r="F179" s="44">
        <f t="shared" si="8"/>
        <v>655.85051999999996</v>
      </c>
      <c r="G179" s="76"/>
      <c r="H179" s="77"/>
      <c r="I179" s="36"/>
      <c r="L179" s="59"/>
      <c r="M179" s="59"/>
      <c r="N179" s="36"/>
    </row>
    <row r="180" spans="1:14" s="50" customFormat="1" x14ac:dyDescent="0.25">
      <c r="A180" s="49">
        <f t="shared" si="9"/>
        <v>8</v>
      </c>
      <c r="B180" s="49" t="s">
        <v>192</v>
      </c>
      <c r="C180" s="44" t="s">
        <v>195</v>
      </c>
      <c r="D180" s="44">
        <f>40.62*10.764</f>
        <v>437.23367999999994</v>
      </c>
      <c r="E180" s="44">
        <v>0</v>
      </c>
      <c r="F180" s="44">
        <f t="shared" si="8"/>
        <v>655.85051999999996</v>
      </c>
      <c r="G180" s="76"/>
      <c r="H180" s="77"/>
      <c r="I180" s="36"/>
      <c r="L180" s="59"/>
      <c r="M180" s="59"/>
      <c r="N180" s="36"/>
    </row>
    <row r="181" spans="1:14" s="50" customFormat="1" x14ac:dyDescent="0.25">
      <c r="A181" s="49">
        <v>9</v>
      </c>
      <c r="B181" s="49" t="s">
        <v>192</v>
      </c>
      <c r="C181" s="44" t="s">
        <v>189</v>
      </c>
      <c r="D181" s="44">
        <f>(51.39)*10.764</f>
        <v>553.16196000000002</v>
      </c>
      <c r="E181" s="44">
        <v>0</v>
      </c>
      <c r="F181" s="44">
        <f t="shared" si="8"/>
        <v>829.74294000000009</v>
      </c>
      <c r="G181" s="76"/>
      <c r="H181" s="77"/>
      <c r="I181" s="36"/>
      <c r="L181" s="59"/>
      <c r="M181" s="59"/>
      <c r="N181" s="36"/>
    </row>
    <row r="182" spans="1:14" s="50" customFormat="1" x14ac:dyDescent="0.25">
      <c r="A182" s="49">
        <f t="shared" si="9"/>
        <v>10</v>
      </c>
      <c r="B182" s="49" t="s">
        <v>192</v>
      </c>
      <c r="C182" s="44" t="s">
        <v>189</v>
      </c>
      <c r="D182" s="44">
        <f>(51.39)*10.764</f>
        <v>553.16196000000002</v>
      </c>
      <c r="E182" s="44">
        <v>0</v>
      </c>
      <c r="F182" s="44">
        <f t="shared" si="8"/>
        <v>829.74294000000009</v>
      </c>
      <c r="G182" s="78"/>
      <c r="H182" s="79"/>
      <c r="I182" s="36"/>
      <c r="L182" s="59"/>
      <c r="M182" s="59"/>
      <c r="N182" s="36"/>
    </row>
    <row r="183" spans="1:14" s="50" customFormat="1" x14ac:dyDescent="0.25">
      <c r="A183" s="67" t="s">
        <v>211</v>
      </c>
      <c r="B183" s="68"/>
      <c r="C183" s="68"/>
      <c r="D183" s="68"/>
      <c r="E183" s="68"/>
      <c r="F183" s="68"/>
      <c r="G183" s="68"/>
      <c r="H183" s="69"/>
      <c r="J183" s="36"/>
    </row>
    <row r="184" spans="1:14" s="50" customFormat="1" ht="15.75" customHeight="1" x14ac:dyDescent="0.25">
      <c r="A184" s="49">
        <v>1</v>
      </c>
      <c r="B184" s="49" t="s">
        <v>192</v>
      </c>
      <c r="C184" s="44" t="s">
        <v>195</v>
      </c>
      <c r="D184" s="44">
        <f>(39.5)*10.764</f>
        <v>425.178</v>
      </c>
      <c r="E184" s="44">
        <v>0</v>
      </c>
      <c r="F184" s="44">
        <f t="shared" ref="F184:F193" si="10">D184*(($F$117)+1)+(IF(E184&lt;101,E184,IF(E184&lt;201,E184/2,IF(E184&lt;=301,E184/3,E184/4))))</f>
        <v>637.76700000000005</v>
      </c>
      <c r="G184" s="74" t="str">
        <f>A183</f>
        <v xml:space="preserve"> 29th to 32nd &amp; 34th Floor</v>
      </c>
      <c r="H184" s="75"/>
      <c r="I184" s="48"/>
      <c r="L184" s="59"/>
      <c r="M184" s="59"/>
      <c r="N184" s="36"/>
    </row>
    <row r="185" spans="1:14" s="50" customFormat="1" x14ac:dyDescent="0.25">
      <c r="A185" s="49">
        <f t="shared" ref="A185:A193" si="11">A184+1</f>
        <v>2</v>
      </c>
      <c r="B185" s="49" t="s">
        <v>192</v>
      </c>
      <c r="C185" s="44" t="s">
        <v>195</v>
      </c>
      <c r="D185" s="44">
        <f>(39.5)*10.764</f>
        <v>425.178</v>
      </c>
      <c r="E185" s="44">
        <v>0</v>
      </c>
      <c r="F185" s="44">
        <f t="shared" si="10"/>
        <v>637.76700000000005</v>
      </c>
      <c r="G185" s="76"/>
      <c r="H185" s="77"/>
      <c r="I185" s="47"/>
      <c r="L185" s="59"/>
      <c r="M185" s="59"/>
      <c r="N185" s="36"/>
    </row>
    <row r="186" spans="1:14" s="50" customFormat="1" x14ac:dyDescent="0.25">
      <c r="A186" s="49">
        <f t="shared" si="11"/>
        <v>3</v>
      </c>
      <c r="B186" s="49" t="s">
        <v>192</v>
      </c>
      <c r="C186" s="44" t="s">
        <v>195</v>
      </c>
      <c r="D186" s="44">
        <f>(39.5)*10.764</f>
        <v>425.178</v>
      </c>
      <c r="E186" s="44">
        <v>0</v>
      </c>
      <c r="F186" s="44">
        <f t="shared" si="10"/>
        <v>637.76700000000005</v>
      </c>
      <c r="G186" s="76"/>
      <c r="H186" s="77"/>
      <c r="I186" s="36"/>
      <c r="L186" s="59"/>
      <c r="M186" s="59"/>
      <c r="N186" s="36"/>
    </row>
    <row r="187" spans="1:14" s="50" customFormat="1" x14ac:dyDescent="0.25">
      <c r="A187" s="49">
        <f t="shared" si="11"/>
        <v>4</v>
      </c>
      <c r="B187" s="49" t="s">
        <v>192</v>
      </c>
      <c r="C187" s="44" t="s">
        <v>195</v>
      </c>
      <c r="D187" s="44">
        <f>(39.5)*10.764</f>
        <v>425.178</v>
      </c>
      <c r="E187" s="44">
        <v>0</v>
      </c>
      <c r="F187" s="44">
        <f t="shared" si="10"/>
        <v>637.76700000000005</v>
      </c>
      <c r="G187" s="76"/>
      <c r="H187" s="77"/>
      <c r="I187" s="36"/>
      <c r="L187" s="59"/>
      <c r="M187" s="59"/>
      <c r="N187" s="36"/>
    </row>
    <row r="188" spans="1:14" s="50" customFormat="1" x14ac:dyDescent="0.25">
      <c r="A188" s="49">
        <v>5</v>
      </c>
      <c r="B188" s="49" t="s">
        <v>192</v>
      </c>
      <c r="C188" s="44" t="s">
        <v>189</v>
      </c>
      <c r="D188" s="44">
        <f>(51.39)*10.764</f>
        <v>553.16196000000002</v>
      </c>
      <c r="E188" s="44">
        <v>0</v>
      </c>
      <c r="F188" s="44">
        <f t="shared" si="10"/>
        <v>829.74294000000009</v>
      </c>
      <c r="G188" s="76"/>
      <c r="H188" s="77"/>
      <c r="I188" s="36"/>
      <c r="L188" s="59"/>
      <c r="M188" s="59"/>
      <c r="N188" s="36"/>
    </row>
    <row r="189" spans="1:14" s="50" customFormat="1" x14ac:dyDescent="0.25">
      <c r="A189" s="49">
        <f t="shared" si="11"/>
        <v>6</v>
      </c>
      <c r="B189" s="49" t="s">
        <v>192</v>
      </c>
      <c r="C189" s="44" t="s">
        <v>189</v>
      </c>
      <c r="D189" s="44">
        <f>(51.39)*10.764</f>
        <v>553.16196000000002</v>
      </c>
      <c r="E189" s="44">
        <v>0</v>
      </c>
      <c r="F189" s="44">
        <f t="shared" si="10"/>
        <v>829.74294000000009</v>
      </c>
      <c r="G189" s="76"/>
      <c r="H189" s="77"/>
      <c r="I189" s="36"/>
      <c r="L189" s="59"/>
      <c r="M189" s="59"/>
      <c r="N189" s="36"/>
    </row>
    <row r="190" spans="1:14" s="50" customFormat="1" x14ac:dyDescent="0.25">
      <c r="A190" s="49">
        <f t="shared" si="11"/>
        <v>7</v>
      </c>
      <c r="B190" s="49" t="s">
        <v>192</v>
      </c>
      <c r="C190" s="44" t="s">
        <v>195</v>
      </c>
      <c r="D190" s="44">
        <f>40.62*10.764</f>
        <v>437.23367999999994</v>
      </c>
      <c r="E190" s="44">
        <v>0</v>
      </c>
      <c r="F190" s="44">
        <f t="shared" si="10"/>
        <v>655.85051999999996</v>
      </c>
      <c r="G190" s="76"/>
      <c r="H190" s="77"/>
      <c r="I190" s="36"/>
      <c r="L190" s="59"/>
      <c r="M190" s="59"/>
      <c r="N190" s="36"/>
    </row>
    <row r="191" spans="1:14" s="50" customFormat="1" x14ac:dyDescent="0.25">
      <c r="A191" s="49">
        <f t="shared" si="11"/>
        <v>8</v>
      </c>
      <c r="B191" s="49" t="s">
        <v>192</v>
      </c>
      <c r="C191" s="44" t="s">
        <v>195</v>
      </c>
      <c r="D191" s="44">
        <f>40.62*10.764</f>
        <v>437.23367999999994</v>
      </c>
      <c r="E191" s="44">
        <v>0</v>
      </c>
      <c r="F191" s="44">
        <f t="shared" si="10"/>
        <v>655.85051999999996</v>
      </c>
      <c r="G191" s="76"/>
      <c r="H191" s="77"/>
      <c r="I191" s="36"/>
      <c r="L191" s="59"/>
      <c r="M191" s="59"/>
      <c r="N191" s="36"/>
    </row>
    <row r="192" spans="1:14" s="50" customFormat="1" x14ac:dyDescent="0.25">
      <c r="A192" s="49">
        <v>9</v>
      </c>
      <c r="B192" s="49" t="s">
        <v>192</v>
      </c>
      <c r="C192" s="44" t="s">
        <v>189</v>
      </c>
      <c r="D192" s="44">
        <f>(51.39)*10.764</f>
        <v>553.16196000000002</v>
      </c>
      <c r="E192" s="44">
        <v>0</v>
      </c>
      <c r="F192" s="44">
        <f t="shared" si="10"/>
        <v>829.74294000000009</v>
      </c>
      <c r="G192" s="76"/>
      <c r="H192" s="77"/>
      <c r="I192" s="36"/>
      <c r="L192" s="59"/>
      <c r="M192" s="59"/>
      <c r="N192" s="36"/>
    </row>
    <row r="193" spans="1:14" s="50" customFormat="1" x14ac:dyDescent="0.25">
      <c r="A193" s="49">
        <f t="shared" si="11"/>
        <v>10</v>
      </c>
      <c r="B193" s="49" t="s">
        <v>192</v>
      </c>
      <c r="C193" s="44" t="s">
        <v>189</v>
      </c>
      <c r="D193" s="44">
        <f>(51.39)*10.764</f>
        <v>553.16196000000002</v>
      </c>
      <c r="E193" s="44">
        <v>0</v>
      </c>
      <c r="F193" s="44">
        <f t="shared" si="10"/>
        <v>829.74294000000009</v>
      </c>
      <c r="G193" s="78"/>
      <c r="H193" s="79"/>
      <c r="I193" s="36"/>
      <c r="L193" s="59"/>
      <c r="M193" s="59"/>
      <c r="N193" s="36"/>
    </row>
    <row r="194" spans="1:14" s="50" customFormat="1" x14ac:dyDescent="0.25">
      <c r="A194" s="67" t="s">
        <v>197</v>
      </c>
      <c r="B194" s="68"/>
      <c r="C194" s="68"/>
      <c r="D194" s="68"/>
      <c r="E194" s="68"/>
      <c r="F194" s="68"/>
      <c r="G194" s="68"/>
      <c r="H194" s="69"/>
      <c r="J194" s="36"/>
    </row>
    <row r="195" spans="1:14" s="50" customFormat="1" ht="15.75" customHeight="1" x14ac:dyDescent="0.25">
      <c r="A195" s="49">
        <v>1</v>
      </c>
      <c r="B195" s="44" t="s">
        <v>192</v>
      </c>
      <c r="C195" s="44" t="s">
        <v>195</v>
      </c>
      <c r="D195" s="44">
        <f>(39.5)*10.764</f>
        <v>425.178</v>
      </c>
      <c r="E195" s="44">
        <v>0</v>
      </c>
      <c r="F195" s="44">
        <f>D195*(($F$117)+1)+(IF(E195&lt;101,E195,IF(E195&lt;201,E195/2,IF(E195&lt;=301,E195/3,E195/4))))</f>
        <v>637.76700000000005</v>
      </c>
      <c r="G195" s="74" t="str">
        <f>A194</f>
        <v>33rd Floor (Part Refuge Area)</v>
      </c>
      <c r="H195" s="75"/>
      <c r="I195" s="48"/>
      <c r="L195" s="59"/>
      <c r="M195" s="59"/>
      <c r="N195" s="36"/>
    </row>
    <row r="196" spans="1:14" s="50" customFormat="1" x14ac:dyDescent="0.25">
      <c r="A196" s="49">
        <f t="shared" ref="A196:A204" si="12">A195+1</f>
        <v>2</v>
      </c>
      <c r="B196" s="44" t="s">
        <v>192</v>
      </c>
      <c r="C196" s="44" t="s">
        <v>195</v>
      </c>
      <c r="D196" s="44">
        <f>(39.5)*10.764</f>
        <v>425.178</v>
      </c>
      <c r="E196" s="44">
        <v>0</v>
      </c>
      <c r="F196" s="44">
        <f>D196*(($F$117)+1)+(IF(E196&lt;101,E196,IF(E196&lt;201,E196/2,IF(E196&lt;=301,E196/3,E196/4))))</f>
        <v>637.76700000000005</v>
      </c>
      <c r="G196" s="76"/>
      <c r="H196" s="77"/>
      <c r="I196" s="47"/>
      <c r="L196" s="59"/>
      <c r="M196" s="59"/>
      <c r="N196" s="36"/>
    </row>
    <row r="197" spans="1:14" s="50" customFormat="1" x14ac:dyDescent="0.25">
      <c r="A197" s="49">
        <f t="shared" si="12"/>
        <v>3</v>
      </c>
      <c r="B197" s="44" t="s">
        <v>192</v>
      </c>
      <c r="C197" s="44" t="s">
        <v>195</v>
      </c>
      <c r="D197" s="44">
        <f>(39.5)*10.764</f>
        <v>425.178</v>
      </c>
      <c r="E197" s="44">
        <v>0</v>
      </c>
      <c r="F197" s="44">
        <f>D197*(($F$117)+1)+(IF(E197&lt;101,E197,IF(E197&lt;201,E197/2,IF(E197&lt;=301,E197/3,E197/4))))</f>
        <v>637.76700000000005</v>
      </c>
      <c r="G197" s="76"/>
      <c r="H197" s="77"/>
      <c r="I197" s="36"/>
      <c r="L197" s="59"/>
      <c r="M197" s="59"/>
      <c r="N197" s="36"/>
    </row>
    <row r="198" spans="1:14" s="50" customFormat="1" x14ac:dyDescent="0.25">
      <c r="A198" s="49">
        <f t="shared" si="12"/>
        <v>4</v>
      </c>
      <c r="B198" s="44" t="s">
        <v>193</v>
      </c>
      <c r="C198" s="144" t="s">
        <v>190</v>
      </c>
      <c r="D198" s="145"/>
      <c r="E198" s="145"/>
      <c r="F198" s="146"/>
      <c r="G198" s="76"/>
      <c r="H198" s="77"/>
      <c r="I198" s="36"/>
      <c r="L198" s="59"/>
      <c r="M198" s="59"/>
      <c r="N198" s="36"/>
    </row>
    <row r="199" spans="1:14" s="50" customFormat="1" x14ac:dyDescent="0.25">
      <c r="A199" s="49">
        <v>5</v>
      </c>
      <c r="B199" s="49" t="s">
        <v>192</v>
      </c>
      <c r="C199" s="44" t="s">
        <v>189</v>
      </c>
      <c r="D199" s="44">
        <f>(51.39)*10.764</f>
        <v>553.16196000000002</v>
      </c>
      <c r="E199" s="44">
        <v>0</v>
      </c>
      <c r="F199" s="44">
        <f t="shared" ref="F199:F204" si="13">D199*(($F$117)+1)+(IF(E199&lt;101,E199,IF(E199&lt;201,E199/2,IF(E199&lt;=301,E199/3,E199/4))))</f>
        <v>829.74294000000009</v>
      </c>
      <c r="G199" s="76"/>
      <c r="H199" s="77"/>
      <c r="I199" s="36"/>
      <c r="L199" s="59"/>
      <c r="M199" s="59"/>
      <c r="N199" s="36"/>
    </row>
    <row r="200" spans="1:14" s="50" customFormat="1" x14ac:dyDescent="0.25">
      <c r="A200" s="49">
        <f t="shared" si="12"/>
        <v>6</v>
      </c>
      <c r="B200" s="49" t="s">
        <v>192</v>
      </c>
      <c r="C200" s="44" t="s">
        <v>189</v>
      </c>
      <c r="D200" s="44">
        <f>(51.39)*10.764</f>
        <v>553.16196000000002</v>
      </c>
      <c r="E200" s="44">
        <v>0</v>
      </c>
      <c r="F200" s="44">
        <f t="shared" si="13"/>
        <v>829.74294000000009</v>
      </c>
      <c r="G200" s="76"/>
      <c r="H200" s="77"/>
      <c r="I200" s="36"/>
      <c r="L200" s="59"/>
      <c r="M200" s="59"/>
      <c r="N200" s="36"/>
    </row>
    <row r="201" spans="1:14" s="50" customFormat="1" x14ac:dyDescent="0.25">
      <c r="A201" s="49">
        <f t="shared" si="12"/>
        <v>7</v>
      </c>
      <c r="B201" s="49" t="s">
        <v>192</v>
      </c>
      <c r="C201" s="44" t="s">
        <v>195</v>
      </c>
      <c r="D201" s="44">
        <f>40.62*10.764</f>
        <v>437.23367999999994</v>
      </c>
      <c r="E201" s="44">
        <v>0</v>
      </c>
      <c r="F201" s="44">
        <f t="shared" si="13"/>
        <v>655.85051999999996</v>
      </c>
      <c r="G201" s="76"/>
      <c r="H201" s="77"/>
      <c r="I201" s="36"/>
      <c r="L201" s="59"/>
      <c r="M201" s="59"/>
      <c r="N201" s="36"/>
    </row>
    <row r="202" spans="1:14" s="50" customFormat="1" x14ac:dyDescent="0.25">
      <c r="A202" s="49">
        <f t="shared" si="12"/>
        <v>8</v>
      </c>
      <c r="B202" s="49" t="s">
        <v>192</v>
      </c>
      <c r="C202" s="44" t="s">
        <v>195</v>
      </c>
      <c r="D202" s="44">
        <f>40.62*10.764</f>
        <v>437.23367999999994</v>
      </c>
      <c r="E202" s="44">
        <v>0</v>
      </c>
      <c r="F202" s="44">
        <f t="shared" si="13"/>
        <v>655.85051999999996</v>
      </c>
      <c r="G202" s="76"/>
      <c r="H202" s="77"/>
      <c r="I202" s="36"/>
      <c r="L202" s="59"/>
      <c r="M202" s="59"/>
      <c r="N202" s="36"/>
    </row>
    <row r="203" spans="1:14" s="50" customFormat="1" x14ac:dyDescent="0.25">
      <c r="A203" s="49">
        <v>9</v>
      </c>
      <c r="B203" s="49" t="s">
        <v>192</v>
      </c>
      <c r="C203" s="44" t="s">
        <v>189</v>
      </c>
      <c r="D203" s="44">
        <f>(51.39)*10.764</f>
        <v>553.16196000000002</v>
      </c>
      <c r="E203" s="44">
        <v>0</v>
      </c>
      <c r="F203" s="44">
        <f t="shared" si="13"/>
        <v>829.74294000000009</v>
      </c>
      <c r="G203" s="76"/>
      <c r="H203" s="77"/>
      <c r="I203" s="36"/>
      <c r="L203" s="59"/>
      <c r="M203" s="59"/>
      <c r="N203" s="36"/>
    </row>
    <row r="204" spans="1:14" s="50" customFormat="1" x14ac:dyDescent="0.25">
      <c r="A204" s="49">
        <f t="shared" si="12"/>
        <v>10</v>
      </c>
      <c r="B204" s="49" t="s">
        <v>192</v>
      </c>
      <c r="C204" s="44" t="s">
        <v>189</v>
      </c>
      <c r="D204" s="44">
        <f>(51.39)*10.764</f>
        <v>553.16196000000002</v>
      </c>
      <c r="E204" s="44">
        <v>0</v>
      </c>
      <c r="F204" s="44">
        <f t="shared" si="13"/>
        <v>829.74294000000009</v>
      </c>
      <c r="G204" s="78"/>
      <c r="H204" s="79"/>
      <c r="I204" s="36"/>
      <c r="L204" s="59"/>
      <c r="M204" s="59"/>
      <c r="N204" s="36"/>
    </row>
    <row r="205" spans="1:14" s="35" customFormat="1" x14ac:dyDescent="0.25">
      <c r="A205" s="138" t="s">
        <v>69</v>
      </c>
      <c r="B205" s="138"/>
      <c r="C205" s="138"/>
      <c r="D205" s="138"/>
      <c r="E205" s="138"/>
      <c r="F205" s="138"/>
      <c r="G205" s="138"/>
      <c r="H205" s="138"/>
    </row>
    <row r="206" spans="1:14" s="35" customFormat="1" x14ac:dyDescent="0.25">
      <c r="A206" s="51" t="s">
        <v>153</v>
      </c>
      <c r="B206" s="132" t="s">
        <v>222</v>
      </c>
      <c r="C206" s="133"/>
      <c r="D206" s="133"/>
      <c r="E206" s="133"/>
      <c r="F206" s="133"/>
      <c r="G206" s="133"/>
      <c r="H206" s="134"/>
    </row>
    <row r="207" spans="1:14" s="35" customFormat="1" x14ac:dyDescent="0.25">
      <c r="A207" s="51" t="s">
        <v>153</v>
      </c>
      <c r="B207" s="132" t="str">
        <f>(IF(F116="Saleable area Loading :","We have considered Saleable area of Flats as per our Calculation.","We considered Saleable area of Flat as per Builder area Sheet."))</f>
        <v>We have considered Saleable area of Flats as per our Calculation.</v>
      </c>
      <c r="C207" s="133"/>
      <c r="D207" s="133"/>
      <c r="E207" s="133"/>
      <c r="F207" s="133"/>
      <c r="G207" s="133"/>
      <c r="H207" s="134"/>
    </row>
    <row r="208" spans="1:14" s="35" customFormat="1" x14ac:dyDescent="0.25">
      <c r="A208" s="51" t="s">
        <v>153</v>
      </c>
      <c r="B208" s="135" t="s">
        <v>122</v>
      </c>
      <c r="C208" s="136"/>
      <c r="D208" s="136"/>
      <c r="E208" s="136"/>
      <c r="F208" s="136"/>
      <c r="G208" s="136"/>
      <c r="H208" s="137"/>
    </row>
    <row r="209" spans="1:8" s="35" customFormat="1" x14ac:dyDescent="0.25">
      <c r="A209" s="51" t="s">
        <v>153</v>
      </c>
      <c r="B209" s="135" t="s">
        <v>203</v>
      </c>
      <c r="C209" s="136"/>
      <c r="D209" s="136"/>
      <c r="E209" s="136"/>
      <c r="F209" s="136"/>
      <c r="G209" s="136"/>
      <c r="H209" s="137"/>
    </row>
    <row r="210" spans="1:8" s="35" customFormat="1" x14ac:dyDescent="0.25">
      <c r="A210" s="51" t="s">
        <v>153</v>
      </c>
      <c r="B210" s="135" t="s">
        <v>152</v>
      </c>
      <c r="C210" s="136"/>
      <c r="D210" s="136"/>
      <c r="E210" s="136"/>
      <c r="F210" s="136"/>
      <c r="G210" s="136"/>
      <c r="H210" s="137"/>
    </row>
    <row r="211" spans="1:8" s="35" customFormat="1" x14ac:dyDescent="0.25">
      <c r="A211" s="51" t="s">
        <v>153</v>
      </c>
      <c r="B211" s="135" t="s">
        <v>123</v>
      </c>
      <c r="C211" s="136"/>
      <c r="D211" s="136"/>
      <c r="E211" s="136"/>
      <c r="F211" s="136"/>
      <c r="G211" s="136"/>
      <c r="H211" s="137"/>
    </row>
    <row r="212" spans="1:8" s="35" customFormat="1" ht="34.5" customHeight="1" x14ac:dyDescent="0.25">
      <c r="A212" s="51" t="s">
        <v>153</v>
      </c>
      <c r="B212" s="135" t="s">
        <v>154</v>
      </c>
      <c r="C212" s="136"/>
      <c r="D212" s="136"/>
      <c r="E212" s="136"/>
      <c r="F212" s="136"/>
      <c r="G212" s="136"/>
      <c r="H212" s="137"/>
    </row>
    <row r="213" spans="1:8" s="35" customFormat="1" x14ac:dyDescent="0.25">
      <c r="A213" s="51" t="s">
        <v>153</v>
      </c>
      <c r="B213" s="135" t="s">
        <v>124</v>
      </c>
      <c r="C213" s="136"/>
      <c r="D213" s="136"/>
      <c r="E213" s="136"/>
      <c r="F213" s="136"/>
      <c r="G213" s="136"/>
      <c r="H213" s="137"/>
    </row>
    <row r="214" spans="1:8" s="35" customFormat="1" hidden="1" x14ac:dyDescent="0.25">
      <c r="A214" s="51" t="s">
        <v>153</v>
      </c>
      <c r="B214" s="132" t="s">
        <v>213</v>
      </c>
      <c r="C214" s="133"/>
      <c r="D214" s="133"/>
      <c r="E214" s="133"/>
      <c r="F214" s="133"/>
      <c r="G214" s="133"/>
      <c r="H214" s="134"/>
    </row>
    <row r="215" spans="1:8" s="35" customFormat="1" ht="31.5" customHeight="1" x14ac:dyDescent="0.25">
      <c r="A215" s="51" t="s">
        <v>153</v>
      </c>
      <c r="B215" s="135" t="s">
        <v>204</v>
      </c>
      <c r="C215" s="136"/>
      <c r="D215" s="136"/>
      <c r="E215" s="136"/>
      <c r="F215" s="136"/>
      <c r="G215" s="136"/>
      <c r="H215" s="137"/>
    </row>
    <row r="216" spans="1:8" s="35" customFormat="1" ht="31.5" customHeight="1" x14ac:dyDescent="0.25">
      <c r="A216" s="51" t="s">
        <v>153</v>
      </c>
      <c r="B216" s="135" t="s">
        <v>224</v>
      </c>
      <c r="C216" s="136"/>
      <c r="D216" s="136"/>
      <c r="E216" s="136"/>
      <c r="F216" s="136"/>
      <c r="G216" s="136"/>
      <c r="H216" s="137"/>
    </row>
    <row r="217" spans="1:8" x14ac:dyDescent="0.25">
      <c r="A217" s="141" t="s">
        <v>62</v>
      </c>
      <c r="B217" s="141"/>
      <c r="C217" s="141"/>
      <c r="D217" s="141"/>
      <c r="E217" s="141"/>
      <c r="F217" s="141"/>
      <c r="G217" s="141"/>
      <c r="H217" s="141"/>
    </row>
    <row r="218" spans="1:8" x14ac:dyDescent="0.25">
      <c r="A218" s="70" t="s">
        <v>63</v>
      </c>
      <c r="B218" s="70"/>
      <c r="C218" s="70"/>
      <c r="D218" s="70"/>
      <c r="E218" s="70"/>
      <c r="F218" s="70"/>
      <c r="G218" s="70"/>
      <c r="H218" s="70"/>
    </row>
    <row r="219" spans="1:8" ht="15.75" customHeight="1" x14ac:dyDescent="0.25">
      <c r="A219" s="147" t="s">
        <v>64</v>
      </c>
      <c r="B219" s="147"/>
      <c r="C219" s="147"/>
      <c r="D219" s="147"/>
      <c r="E219" s="147"/>
      <c r="F219" s="147"/>
      <c r="G219" s="147"/>
      <c r="H219" s="147"/>
    </row>
    <row r="220" spans="1:8" x14ac:dyDescent="0.25">
      <c r="A220" s="70" t="s">
        <v>65</v>
      </c>
      <c r="B220" s="70"/>
      <c r="C220" s="70"/>
      <c r="D220" s="70"/>
      <c r="E220" s="70"/>
      <c r="F220" s="70"/>
      <c r="G220" s="70"/>
      <c r="H220" s="70"/>
    </row>
    <row r="221" spans="1:8" x14ac:dyDescent="0.25">
      <c r="A221" s="70" t="s">
        <v>66</v>
      </c>
      <c r="B221" s="70"/>
      <c r="C221" s="70"/>
      <c r="D221" s="70"/>
      <c r="E221" s="70"/>
      <c r="F221" s="70"/>
      <c r="G221" s="70"/>
      <c r="H221" s="70"/>
    </row>
    <row r="222" spans="1:8" x14ac:dyDescent="0.25">
      <c r="A222" s="70" t="s">
        <v>125</v>
      </c>
      <c r="B222" s="70"/>
      <c r="C222" s="70"/>
      <c r="D222" s="70"/>
      <c r="E222" s="70"/>
      <c r="F222" s="70"/>
      <c r="G222" s="70"/>
      <c r="H222" s="70"/>
    </row>
    <row r="223" spans="1:8" ht="35.25" customHeight="1" x14ac:dyDescent="0.25">
      <c r="A223" s="93" t="s">
        <v>126</v>
      </c>
      <c r="B223" s="93"/>
      <c r="C223" s="93"/>
      <c r="D223" s="93"/>
      <c r="E223" s="93"/>
      <c r="F223" s="93"/>
      <c r="G223" s="93"/>
      <c r="H223" s="93"/>
    </row>
    <row r="224" spans="1:8" x14ac:dyDescent="0.25">
      <c r="A224" s="131" t="s">
        <v>76</v>
      </c>
      <c r="B224" s="131"/>
      <c r="C224" s="131" t="s">
        <v>229</v>
      </c>
      <c r="D224" s="131"/>
      <c r="E224" s="131" t="s">
        <v>106</v>
      </c>
      <c r="F224" s="131"/>
      <c r="G224" s="131" t="s">
        <v>228</v>
      </c>
      <c r="H224" s="131"/>
    </row>
    <row r="225" spans="1:8" x14ac:dyDescent="0.25">
      <c r="A225" s="130" t="s">
        <v>78</v>
      </c>
      <c r="B225" s="130"/>
      <c r="C225" s="130"/>
      <c r="D225" s="130"/>
      <c r="E225" s="130"/>
      <c r="F225" s="130"/>
      <c r="G225" s="130"/>
      <c r="H225" s="130"/>
    </row>
    <row r="226" spans="1:8" x14ac:dyDescent="0.25">
      <c r="A226" s="130"/>
      <c r="B226" s="130"/>
      <c r="C226" s="130"/>
      <c r="D226" s="130"/>
      <c r="E226" s="130"/>
      <c r="F226" s="130"/>
      <c r="G226" s="130"/>
      <c r="H226" s="130"/>
    </row>
    <row r="227" spans="1:8" x14ac:dyDescent="0.25">
      <c r="A227" s="130"/>
      <c r="B227" s="130"/>
      <c r="C227" s="130"/>
      <c r="D227" s="130"/>
      <c r="E227" s="130"/>
      <c r="F227" s="130"/>
      <c r="G227" s="130"/>
      <c r="H227" s="130"/>
    </row>
    <row r="228" spans="1:8" x14ac:dyDescent="0.25">
      <c r="A228" s="130"/>
      <c r="B228" s="130"/>
      <c r="C228" s="130"/>
      <c r="D228" s="130"/>
      <c r="E228" s="130"/>
      <c r="F228" s="130"/>
      <c r="G228" s="130"/>
      <c r="H228" s="130"/>
    </row>
    <row r="229" spans="1:8" x14ac:dyDescent="0.25">
      <c r="A229" s="37" t="s">
        <v>67</v>
      </c>
      <c r="B229" s="38"/>
      <c r="C229" s="38"/>
      <c r="D229" s="37" t="str">
        <f>E8</f>
        <v>Dosti Planet North ­ Sector 3</v>
      </c>
      <c r="F229" s="38"/>
      <c r="G229" s="38"/>
      <c r="H229" s="38"/>
    </row>
    <row r="230" spans="1:8" x14ac:dyDescent="0.25">
      <c r="A230" s="38"/>
      <c r="B230" s="38"/>
      <c r="C230" s="38"/>
      <c r="D230" s="38"/>
      <c r="E230" s="38"/>
      <c r="F230" s="38"/>
      <c r="G230" s="38"/>
      <c r="H230" s="38"/>
    </row>
    <row r="231" spans="1:8" x14ac:dyDescent="0.25">
      <c r="A231" s="38"/>
      <c r="B231" s="38"/>
      <c r="C231" s="38"/>
      <c r="D231" s="38"/>
      <c r="E231" s="38"/>
      <c r="F231" s="38"/>
      <c r="G231" s="38"/>
      <c r="H231" s="38"/>
    </row>
    <row r="232" spans="1:8" ht="15" customHeight="1" x14ac:dyDescent="0.25"/>
    <row r="271" spans="1:1" x14ac:dyDescent="0.25">
      <c r="A271" s="40" t="s">
        <v>68</v>
      </c>
    </row>
    <row r="311" hidden="1" x14ac:dyDescent="0.25"/>
  </sheetData>
  <mergeCells count="356">
    <mergeCell ref="N125:O125"/>
    <mergeCell ref="A60:C60"/>
    <mergeCell ref="E70:F79"/>
    <mergeCell ref="G70:H79"/>
    <mergeCell ref="A63:C63"/>
    <mergeCell ref="D63:H63"/>
    <mergeCell ref="A64:C64"/>
    <mergeCell ref="D64:H64"/>
    <mergeCell ref="A70:B70"/>
    <mergeCell ref="G69:H69"/>
    <mergeCell ref="A79:B79"/>
    <mergeCell ref="D60:H60"/>
    <mergeCell ref="A75:B75"/>
    <mergeCell ref="A80:B80"/>
    <mergeCell ref="C80:H80"/>
    <mergeCell ref="A82:B82"/>
    <mergeCell ref="C82:H82"/>
    <mergeCell ref="A83:B83"/>
    <mergeCell ref="E83:F83"/>
    <mergeCell ref="G83:H83"/>
    <mergeCell ref="A65:C65"/>
    <mergeCell ref="D65:H65"/>
    <mergeCell ref="A84:B84"/>
    <mergeCell ref="E84:F93"/>
    <mergeCell ref="G84:H93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L160:M160"/>
    <mergeCell ref="L157:M157"/>
    <mergeCell ref="L158:M158"/>
    <mergeCell ref="L159:M159"/>
    <mergeCell ref="L154:M154"/>
    <mergeCell ref="L155:M155"/>
    <mergeCell ref="L156:M156"/>
    <mergeCell ref="A16:B16"/>
    <mergeCell ref="C16:H16"/>
    <mergeCell ref="E41:H41"/>
    <mergeCell ref="A41:D41"/>
    <mergeCell ref="A48:B48"/>
    <mergeCell ref="C48:E48"/>
    <mergeCell ref="G48:H48"/>
    <mergeCell ref="G50:H50"/>
    <mergeCell ref="D54:H54"/>
    <mergeCell ref="C50:E50"/>
    <mergeCell ref="C49:E49"/>
    <mergeCell ref="A52:B52"/>
    <mergeCell ref="C52:E52"/>
    <mergeCell ref="A49:B49"/>
    <mergeCell ref="A53:H53"/>
    <mergeCell ref="A54:C54"/>
    <mergeCell ref="A44:D44"/>
    <mergeCell ref="A21:D22"/>
    <mergeCell ref="E21:H22"/>
    <mergeCell ref="A23:D23"/>
    <mergeCell ref="E23:H23"/>
    <mergeCell ref="A17:B17"/>
    <mergeCell ref="D57:H5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C37:H37"/>
    <mergeCell ref="A57:C58"/>
    <mergeCell ref="A222:H222"/>
    <mergeCell ref="A219:H219"/>
    <mergeCell ref="A107:B107"/>
    <mergeCell ref="D116:D117"/>
    <mergeCell ref="E116:E117"/>
    <mergeCell ref="G116:H117"/>
    <mergeCell ref="B210:H210"/>
    <mergeCell ref="C198:F198"/>
    <mergeCell ref="B215:H215"/>
    <mergeCell ref="G162:H171"/>
    <mergeCell ref="G173:H182"/>
    <mergeCell ref="G184:H193"/>
    <mergeCell ref="G195:H204"/>
    <mergeCell ref="A183:H183"/>
    <mergeCell ref="B216:H216"/>
    <mergeCell ref="C165:F165"/>
    <mergeCell ref="F95:H95"/>
    <mergeCell ref="A120:H120"/>
    <mergeCell ref="A119:H119"/>
    <mergeCell ref="B116:B117"/>
    <mergeCell ref="A217:H217"/>
    <mergeCell ref="A218:H218"/>
    <mergeCell ref="E107:F107"/>
    <mergeCell ref="B213:H213"/>
    <mergeCell ref="A134:H134"/>
    <mergeCell ref="G135:H139"/>
    <mergeCell ref="G140:H146"/>
    <mergeCell ref="A149:H149"/>
    <mergeCell ref="F100:H100"/>
    <mergeCell ref="F103:H103"/>
    <mergeCell ref="F101:H101"/>
    <mergeCell ref="A115:H115"/>
    <mergeCell ref="A102:E102"/>
    <mergeCell ref="C116:C117"/>
    <mergeCell ref="C110:D110"/>
    <mergeCell ref="A121:H121"/>
    <mergeCell ref="A118:H118"/>
    <mergeCell ref="A116:A117"/>
    <mergeCell ref="B212:H212"/>
    <mergeCell ref="C143:F143"/>
    <mergeCell ref="A225:H228"/>
    <mergeCell ref="A224:B224"/>
    <mergeCell ref="E224:F224"/>
    <mergeCell ref="C224:D224"/>
    <mergeCell ref="G224:H224"/>
    <mergeCell ref="A104:E104"/>
    <mergeCell ref="F104:H104"/>
    <mergeCell ref="A105:E105"/>
    <mergeCell ref="F105:H105"/>
    <mergeCell ref="A108:B108"/>
    <mergeCell ref="A220:H220"/>
    <mergeCell ref="A106:H106"/>
    <mergeCell ref="A223:H223"/>
    <mergeCell ref="A221:H221"/>
    <mergeCell ref="B214:H214"/>
    <mergeCell ref="B211:H211"/>
    <mergeCell ref="B206:H206"/>
    <mergeCell ref="B207:H207"/>
    <mergeCell ref="B208:H208"/>
    <mergeCell ref="B209:H209"/>
    <mergeCell ref="A205:H205"/>
    <mergeCell ref="A114:H114"/>
    <mergeCell ref="A150:H150"/>
    <mergeCell ref="G151:H16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13:H13"/>
    <mergeCell ref="A14:B14"/>
    <mergeCell ref="C14:H14"/>
    <mergeCell ref="C15:H15"/>
    <mergeCell ref="A10:D10"/>
    <mergeCell ref="E10:H10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5:B35"/>
    <mergeCell ref="C35:E35"/>
    <mergeCell ref="A40:D40"/>
    <mergeCell ref="E40:H40"/>
    <mergeCell ref="F32:H32"/>
    <mergeCell ref="F33:H33"/>
    <mergeCell ref="A39:H39"/>
    <mergeCell ref="A59:C59"/>
    <mergeCell ref="D59:H59"/>
    <mergeCell ref="F35:H35"/>
    <mergeCell ref="A37:B37"/>
    <mergeCell ref="A38:B38"/>
    <mergeCell ref="C38:H38"/>
    <mergeCell ref="D56:H56"/>
    <mergeCell ref="A56:C56"/>
    <mergeCell ref="G49:H49"/>
    <mergeCell ref="A50:B51"/>
    <mergeCell ref="A55:C55"/>
    <mergeCell ref="D55:H55"/>
    <mergeCell ref="G52:H52"/>
    <mergeCell ref="C51:H51"/>
    <mergeCell ref="A42:D42"/>
    <mergeCell ref="E42:H42"/>
    <mergeCell ref="E43:H43"/>
    <mergeCell ref="E44:H44"/>
    <mergeCell ref="E45:H45"/>
    <mergeCell ref="A43:D43"/>
    <mergeCell ref="A36:H36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47:B47"/>
    <mergeCell ref="C47:H47"/>
    <mergeCell ref="A45:D45"/>
    <mergeCell ref="A46:H46"/>
    <mergeCell ref="D58:H58"/>
    <mergeCell ref="L163:M163"/>
    <mergeCell ref="A77:B77"/>
    <mergeCell ref="C108:D108"/>
    <mergeCell ref="E108:F108"/>
    <mergeCell ref="G108:H108"/>
    <mergeCell ref="F99:H99"/>
    <mergeCell ref="A95:E95"/>
    <mergeCell ref="F94:H94"/>
    <mergeCell ref="F97:H97"/>
    <mergeCell ref="A94:E94"/>
    <mergeCell ref="F96:H96"/>
    <mergeCell ref="C109:D109"/>
    <mergeCell ref="E109:F109"/>
    <mergeCell ref="C107:D107"/>
    <mergeCell ref="G107:H107"/>
    <mergeCell ref="L126:M126"/>
    <mergeCell ref="L127:M127"/>
    <mergeCell ref="L128:M128"/>
    <mergeCell ref="L132:M132"/>
    <mergeCell ref="L133:M133"/>
    <mergeCell ref="L135:M135"/>
    <mergeCell ref="L129:M129"/>
    <mergeCell ref="L130:M130"/>
    <mergeCell ref="A78:B78"/>
    <mergeCell ref="L125:M125"/>
    <mergeCell ref="L122:M122"/>
    <mergeCell ref="L123:M123"/>
    <mergeCell ref="L124:M124"/>
    <mergeCell ref="A110:B110"/>
    <mergeCell ref="E110:F110"/>
    <mergeCell ref="G122:H133"/>
    <mergeCell ref="L162:M162"/>
    <mergeCell ref="L131:M131"/>
    <mergeCell ref="L139:M139"/>
    <mergeCell ref="L140:M140"/>
    <mergeCell ref="L141:M141"/>
    <mergeCell ref="L136:M136"/>
    <mergeCell ref="L137:M137"/>
    <mergeCell ref="L138:M138"/>
    <mergeCell ref="L142:M142"/>
    <mergeCell ref="L143:M143"/>
    <mergeCell ref="L144:M144"/>
    <mergeCell ref="L151:M151"/>
    <mergeCell ref="L152:M152"/>
    <mergeCell ref="L153:M153"/>
    <mergeCell ref="L145:M145"/>
    <mergeCell ref="L146:M146"/>
    <mergeCell ref="A147:H147"/>
    <mergeCell ref="A96:E96"/>
    <mergeCell ref="A97:E97"/>
    <mergeCell ref="A161:H161"/>
    <mergeCell ref="A98:E98"/>
    <mergeCell ref="F98:H98"/>
    <mergeCell ref="A99:E99"/>
    <mergeCell ref="A101:E101"/>
    <mergeCell ref="A100:E100"/>
    <mergeCell ref="F102:H102"/>
    <mergeCell ref="A103:E103"/>
    <mergeCell ref="G110:H110"/>
    <mergeCell ref="G109:H109"/>
    <mergeCell ref="A109:B109"/>
    <mergeCell ref="A148:H148"/>
    <mergeCell ref="L177:M177"/>
    <mergeCell ref="L178:M178"/>
    <mergeCell ref="L179:M179"/>
    <mergeCell ref="L180:M180"/>
    <mergeCell ref="L181:M181"/>
    <mergeCell ref="L182:M182"/>
    <mergeCell ref="L185:M185"/>
    <mergeCell ref="L186:M186"/>
    <mergeCell ref="L164:M164"/>
    <mergeCell ref="L165:M165"/>
    <mergeCell ref="L166:M166"/>
    <mergeCell ref="L167:M167"/>
    <mergeCell ref="L168:M168"/>
    <mergeCell ref="L169:M169"/>
    <mergeCell ref="L170:M170"/>
    <mergeCell ref="L171:M171"/>
    <mergeCell ref="L188:M188"/>
    <mergeCell ref="L189:M189"/>
    <mergeCell ref="L190:M190"/>
    <mergeCell ref="L191:M191"/>
    <mergeCell ref="L192:M192"/>
    <mergeCell ref="L193:M193"/>
    <mergeCell ref="A194:H194"/>
    <mergeCell ref="L200:M200"/>
    <mergeCell ref="L184:M184"/>
    <mergeCell ref="L202:M202"/>
    <mergeCell ref="L203:M203"/>
    <mergeCell ref="L195:M195"/>
    <mergeCell ref="L196:M196"/>
    <mergeCell ref="L197:M197"/>
    <mergeCell ref="L198:M198"/>
    <mergeCell ref="L204:M204"/>
    <mergeCell ref="A111:H111"/>
    <mergeCell ref="A112:B112"/>
    <mergeCell ref="C112:D112"/>
    <mergeCell ref="E112:F112"/>
    <mergeCell ref="G112:H112"/>
    <mergeCell ref="G113:H113"/>
    <mergeCell ref="A113:B113"/>
    <mergeCell ref="C113:D113"/>
    <mergeCell ref="E113:F113"/>
    <mergeCell ref="A172:H172"/>
    <mergeCell ref="L173:M173"/>
    <mergeCell ref="L174:M174"/>
    <mergeCell ref="L175:M175"/>
    <mergeCell ref="L176:M176"/>
    <mergeCell ref="L199:M199"/>
    <mergeCell ref="L201:M201"/>
    <mergeCell ref="L187:M187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38" max="7" man="1"/>
    <brk id="65" max="16383" man="1"/>
    <brk id="228" max="16383" man="1"/>
    <brk id="27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0" t="s">
        <v>107</v>
      </c>
      <c r="C3" s="180"/>
      <c r="D3" s="180"/>
      <c r="E3" s="180"/>
      <c r="F3" s="180"/>
      <c r="G3" s="180"/>
      <c r="H3" s="180"/>
    </row>
    <row r="4" spans="1:9" x14ac:dyDescent="0.25">
      <c r="A4" s="2"/>
      <c r="B4" s="3" t="s">
        <v>108</v>
      </c>
      <c r="C4" s="3" t="s">
        <v>109</v>
      </c>
      <c r="D4" s="3" t="s">
        <v>70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2025-08-10T17:54:30Z</cp:lastPrinted>
  <dcterms:created xsi:type="dcterms:W3CDTF">2019-07-16T09:29:46Z</dcterms:created>
  <dcterms:modified xsi:type="dcterms:W3CDTF">2025-08-10T17:54:35Z</dcterms:modified>
</cp:coreProperties>
</file>