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Aug 25\Dump\DUMP\"/>
    </mc:Choice>
  </mc:AlternateContent>
  <bookViews>
    <workbookView xWindow="0" yWindow="0" windowWidth="20490" windowHeight="7755" tabRatio="725"/>
  </bookViews>
  <sheets>
    <sheet name="Report" sheetId="1" r:id="rId1"/>
    <sheet name="valuation" sheetId="5" r:id="rId2"/>
    <sheet name="Research" sheetId="4" r:id="rId3"/>
  </sheets>
  <definedNames>
    <definedName name="_xlnm.Print_Area" localSheetId="0">Report!$A$1:$H$449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3" i="1" l="1"/>
  <c r="C79" i="1"/>
  <c r="D295" i="1" l="1"/>
  <c r="F295" i="1" s="1"/>
  <c r="D294" i="1"/>
  <c r="F294" i="1" s="1"/>
  <c r="D293" i="1"/>
  <c r="F293" i="1" s="1"/>
  <c r="D292" i="1"/>
  <c r="F292" i="1" s="1"/>
  <c r="A292" i="1"/>
  <c r="A293" i="1" s="1"/>
  <c r="A294" i="1" s="1"/>
  <c r="A295" i="1" s="1"/>
  <c r="G291" i="1"/>
  <c r="D250" i="1"/>
  <c r="F250" i="1" s="1"/>
  <c r="D249" i="1"/>
  <c r="F249" i="1" s="1"/>
  <c r="A248" i="1"/>
  <c r="A249" i="1" s="1"/>
  <c r="A250" i="1" s="1"/>
  <c r="G247" i="1"/>
  <c r="G248" i="1" s="1"/>
  <c r="G249" i="1" s="1"/>
  <c r="G250" i="1" s="1"/>
  <c r="D217" i="1"/>
  <c r="D227" i="1"/>
  <c r="D190" i="1"/>
  <c r="D212" i="1"/>
  <c r="F212" i="1" s="1"/>
  <c r="D211" i="1"/>
  <c r="F211" i="1" s="1"/>
  <c r="A210" i="1"/>
  <c r="A211" i="1" s="1"/>
  <c r="A212" i="1" s="1"/>
  <c r="G209" i="1"/>
  <c r="G210" i="1" s="1"/>
  <c r="G211" i="1" s="1"/>
  <c r="G212" i="1" s="1"/>
  <c r="D174" i="1"/>
  <c r="F174" i="1" s="1"/>
  <c r="D173" i="1"/>
  <c r="F173" i="1" s="1"/>
  <c r="A172" i="1"/>
  <c r="A173" i="1" s="1"/>
  <c r="A174" i="1" s="1"/>
  <c r="G171" i="1"/>
  <c r="G172" i="1" s="1"/>
  <c r="G173" i="1" s="1"/>
  <c r="G174" i="1" s="1"/>
  <c r="D171" i="1"/>
  <c r="F171" i="1" s="1"/>
  <c r="D148" i="1"/>
  <c r="D143" i="1"/>
  <c r="D147" i="1"/>
  <c r="D166" i="1"/>
  <c r="D161" i="1"/>
  <c r="D156" i="1"/>
  <c r="D151" i="1"/>
  <c r="D146" i="1"/>
  <c r="D141" i="1"/>
  <c r="C91" i="1"/>
  <c r="C92" i="1" s="1"/>
  <c r="C77" i="1"/>
  <c r="C78" i="1" s="1"/>
  <c r="C50" i="1" l="1"/>
  <c r="O82" i="1" l="1"/>
  <c r="P82" i="1"/>
  <c r="D195" i="1"/>
  <c r="I45" i="1" l="1"/>
  <c r="J46" i="1"/>
  <c r="E43" i="1"/>
  <c r="E44" i="1" s="1"/>
  <c r="N82" i="1" l="1"/>
  <c r="D289" i="1"/>
  <c r="F289" i="1" s="1"/>
  <c r="D288" i="1"/>
  <c r="F288" i="1" s="1"/>
  <c r="D287" i="1"/>
  <c r="F287" i="1" s="1"/>
  <c r="D286" i="1"/>
  <c r="F286" i="1" s="1"/>
  <c r="D285" i="1"/>
  <c r="F285" i="1" s="1"/>
  <c r="D283" i="1"/>
  <c r="F283" i="1" s="1"/>
  <c r="D282" i="1"/>
  <c r="F282" i="1" s="1"/>
  <c r="D281" i="1"/>
  <c r="F281" i="1" s="1"/>
  <c r="D280" i="1"/>
  <c r="F280" i="1" s="1"/>
  <c r="J280" i="1" s="1"/>
  <c r="D277" i="1"/>
  <c r="F277" i="1" s="1"/>
  <c r="D276" i="1"/>
  <c r="F276" i="1" s="1"/>
  <c r="D275" i="1"/>
  <c r="F275" i="1" s="1"/>
  <c r="D274" i="1"/>
  <c r="F274" i="1" s="1"/>
  <c r="D273" i="1"/>
  <c r="F273" i="1" s="1"/>
  <c r="D271" i="1"/>
  <c r="F271" i="1" s="1"/>
  <c r="D270" i="1"/>
  <c r="F270" i="1" s="1"/>
  <c r="D269" i="1"/>
  <c r="D268" i="1"/>
  <c r="F268" i="1" s="1"/>
  <c r="D265" i="1"/>
  <c r="F265" i="1" s="1"/>
  <c r="D264" i="1"/>
  <c r="F264" i="1" s="1"/>
  <c r="D263" i="1"/>
  <c r="F263" i="1" s="1"/>
  <c r="D262" i="1"/>
  <c r="F262" i="1" s="1"/>
  <c r="D261" i="1"/>
  <c r="F261" i="1" s="1"/>
  <c r="D259" i="1"/>
  <c r="D258" i="1"/>
  <c r="D257" i="1"/>
  <c r="D256" i="1"/>
  <c r="D255" i="1"/>
  <c r="D245" i="1"/>
  <c r="F245" i="1" s="1"/>
  <c r="D244" i="1"/>
  <c r="F244" i="1" s="1"/>
  <c r="D243" i="1"/>
  <c r="F243" i="1" s="1"/>
  <c r="D242" i="1"/>
  <c r="F242" i="1" s="1"/>
  <c r="D240" i="1"/>
  <c r="F240" i="1" s="1"/>
  <c r="D239" i="1"/>
  <c r="D237" i="1"/>
  <c r="F237" i="1" s="1"/>
  <c r="D235" i="1"/>
  <c r="F235" i="1" s="1"/>
  <c r="D234" i="1"/>
  <c r="F234" i="1" s="1"/>
  <c r="D233" i="1"/>
  <c r="F233" i="1" s="1"/>
  <c r="D232" i="1"/>
  <c r="F232" i="1" s="1"/>
  <c r="D230" i="1"/>
  <c r="F230" i="1" s="1"/>
  <c r="D229" i="1"/>
  <c r="F229" i="1" s="1"/>
  <c r="F227" i="1"/>
  <c r="D225" i="1"/>
  <c r="F225" i="1" s="1"/>
  <c r="D224" i="1"/>
  <c r="F224" i="1" s="1"/>
  <c r="D223" i="1"/>
  <c r="F223" i="1" s="1"/>
  <c r="D222" i="1"/>
  <c r="F222" i="1" s="1"/>
  <c r="D220" i="1"/>
  <c r="D219" i="1"/>
  <c r="D218" i="1"/>
  <c r="D207" i="1"/>
  <c r="F207" i="1" s="1"/>
  <c r="D206" i="1"/>
  <c r="F206" i="1" s="1"/>
  <c r="D205" i="1"/>
  <c r="F205" i="1" s="1"/>
  <c r="D204" i="1"/>
  <c r="F204" i="1" s="1"/>
  <c r="D202" i="1"/>
  <c r="F202" i="1" s="1"/>
  <c r="D201" i="1"/>
  <c r="F201" i="1" s="1"/>
  <c r="D200" i="1"/>
  <c r="F200" i="1" s="1"/>
  <c r="D197" i="1"/>
  <c r="D196" i="1"/>
  <c r="F196" i="1" s="1"/>
  <c r="F195" i="1"/>
  <c r="D194" i="1"/>
  <c r="F194" i="1" s="1"/>
  <c r="D192" i="1"/>
  <c r="F192" i="1" s="1"/>
  <c r="D191" i="1"/>
  <c r="F191" i="1" s="1"/>
  <c r="F190" i="1"/>
  <c r="D187" i="1"/>
  <c r="D186" i="1"/>
  <c r="F186" i="1" s="1"/>
  <c r="D185" i="1"/>
  <c r="F185" i="1" s="1"/>
  <c r="D184" i="1"/>
  <c r="F184" i="1" s="1"/>
  <c r="D182" i="1"/>
  <c r="D181" i="1"/>
  <c r="D180" i="1"/>
  <c r="D179" i="1"/>
  <c r="D169" i="1"/>
  <c r="F169" i="1" s="1"/>
  <c r="D168" i="1"/>
  <c r="F168" i="1" s="1"/>
  <c r="D167" i="1"/>
  <c r="F167" i="1" s="1"/>
  <c r="F166" i="1"/>
  <c r="D164" i="1"/>
  <c r="F164" i="1" s="1"/>
  <c r="D163" i="1"/>
  <c r="F163" i="1" s="1"/>
  <c r="F161" i="1"/>
  <c r="D159" i="1"/>
  <c r="F159" i="1" s="1"/>
  <c r="D158" i="1"/>
  <c r="F158" i="1" s="1"/>
  <c r="D157" i="1"/>
  <c r="F157" i="1" s="1"/>
  <c r="F156" i="1"/>
  <c r="D154" i="1"/>
  <c r="F154" i="1" s="1"/>
  <c r="D153" i="1"/>
  <c r="F153" i="1" s="1"/>
  <c r="F151" i="1"/>
  <c r="D149" i="1"/>
  <c r="D144" i="1"/>
  <c r="A280" i="1"/>
  <c r="A281" i="1" s="1"/>
  <c r="A282" i="1" s="1"/>
  <c r="A283" i="1" s="1"/>
  <c r="G279" i="1"/>
  <c r="F239" i="1"/>
  <c r="A238" i="1"/>
  <c r="A239" i="1" s="1"/>
  <c r="A240" i="1" s="1"/>
  <c r="G237" i="1"/>
  <c r="G238" i="1" s="1"/>
  <c r="G239" i="1" s="1"/>
  <c r="G240" i="1" s="1"/>
  <c r="A200" i="1"/>
  <c r="A201" i="1" s="1"/>
  <c r="A202" i="1" s="1"/>
  <c r="G199" i="1"/>
  <c r="G200" i="1" s="1"/>
  <c r="G201" i="1" s="1"/>
  <c r="G202" i="1" s="1"/>
  <c r="A162" i="1"/>
  <c r="A163" i="1" s="1"/>
  <c r="A164" i="1" s="1"/>
  <c r="G161" i="1"/>
  <c r="G162" i="1" s="1"/>
  <c r="G163" i="1" s="1"/>
  <c r="G164" i="1" s="1"/>
  <c r="A286" i="1"/>
  <c r="A287" i="1" s="1"/>
  <c r="A288" i="1" s="1"/>
  <c r="A289" i="1" s="1"/>
  <c r="G285" i="1"/>
  <c r="A243" i="1"/>
  <c r="A244" i="1" s="1"/>
  <c r="A245" i="1" s="1"/>
  <c r="G242" i="1"/>
  <c r="G243" i="1" s="1"/>
  <c r="G244" i="1" s="1"/>
  <c r="G245" i="1" s="1"/>
  <c r="A205" i="1"/>
  <c r="A206" i="1" s="1"/>
  <c r="A207" i="1" s="1"/>
  <c r="G204" i="1"/>
  <c r="G205" i="1" s="1"/>
  <c r="G206" i="1" s="1"/>
  <c r="G207" i="1" s="1"/>
  <c r="A167" i="1"/>
  <c r="A168" i="1" s="1"/>
  <c r="A169" i="1" s="1"/>
  <c r="G166" i="1"/>
  <c r="G167" i="1" s="1"/>
  <c r="G168" i="1" s="1"/>
  <c r="G169" i="1" s="1"/>
  <c r="A274" i="1"/>
  <c r="A275" i="1" s="1"/>
  <c r="A276" i="1" s="1"/>
  <c r="A277" i="1" s="1"/>
  <c r="G273" i="1"/>
  <c r="A233" i="1"/>
  <c r="A234" i="1" s="1"/>
  <c r="A235" i="1" s="1"/>
  <c r="G232" i="1"/>
  <c r="G233" i="1" s="1"/>
  <c r="G234" i="1" s="1"/>
  <c r="G235" i="1" s="1"/>
  <c r="F197" i="1"/>
  <c r="A195" i="1"/>
  <c r="A196" i="1" s="1"/>
  <c r="A197" i="1" s="1"/>
  <c r="G194" i="1"/>
  <c r="G195" i="1" s="1"/>
  <c r="G196" i="1" s="1"/>
  <c r="G197" i="1" s="1"/>
  <c r="A157" i="1"/>
  <c r="A158" i="1" s="1"/>
  <c r="A159" i="1" s="1"/>
  <c r="G156" i="1"/>
  <c r="G157" i="1" s="1"/>
  <c r="G158" i="1" s="1"/>
  <c r="G159" i="1" s="1"/>
  <c r="F269" i="1"/>
  <c r="A268" i="1"/>
  <c r="A269" i="1" s="1"/>
  <c r="A270" i="1" s="1"/>
  <c r="A271" i="1" s="1"/>
  <c r="G267" i="1"/>
  <c r="A228" i="1"/>
  <c r="A229" i="1" s="1"/>
  <c r="A230" i="1" s="1"/>
  <c r="G227" i="1"/>
  <c r="G228" i="1" s="1"/>
  <c r="G229" i="1" s="1"/>
  <c r="G230" i="1" s="1"/>
  <c r="A190" i="1"/>
  <c r="A191" i="1" s="1"/>
  <c r="A192" i="1" s="1"/>
  <c r="G189" i="1"/>
  <c r="G190" i="1" s="1"/>
  <c r="G191" i="1" s="1"/>
  <c r="G192" i="1" s="1"/>
  <c r="A152" i="1"/>
  <c r="A153" i="1" s="1"/>
  <c r="A154" i="1" s="1"/>
  <c r="G151" i="1"/>
  <c r="G152" i="1" s="1"/>
  <c r="G153" i="1" s="1"/>
  <c r="G154" i="1" s="1"/>
  <c r="A262" i="1"/>
  <c r="A263" i="1" s="1"/>
  <c r="A264" i="1" s="1"/>
  <c r="A265" i="1" s="1"/>
  <c r="G261" i="1"/>
  <c r="A223" i="1"/>
  <c r="A224" i="1" s="1"/>
  <c r="A225" i="1" s="1"/>
  <c r="G222" i="1"/>
  <c r="G223" i="1" s="1"/>
  <c r="G224" i="1" s="1"/>
  <c r="G225" i="1" s="1"/>
  <c r="F187" i="1"/>
  <c r="A185" i="1"/>
  <c r="A186" i="1" s="1"/>
  <c r="A187" i="1" s="1"/>
  <c r="G184" i="1"/>
  <c r="G185" i="1" s="1"/>
  <c r="G186" i="1" s="1"/>
  <c r="G187" i="1" s="1"/>
  <c r="E119" i="1" l="1"/>
  <c r="C119" i="1"/>
  <c r="E120" i="1"/>
  <c r="C120" i="1"/>
  <c r="C122" i="1"/>
  <c r="E122" i="1"/>
  <c r="E121" i="1"/>
  <c r="C121" i="1"/>
  <c r="J195" i="1"/>
  <c r="F147" i="1"/>
  <c r="F146" i="1"/>
  <c r="F149" i="1"/>
  <c r="F148" i="1"/>
  <c r="A147" i="1"/>
  <c r="A148" i="1" s="1"/>
  <c r="A149" i="1" s="1"/>
  <c r="G146" i="1"/>
  <c r="G147" i="1" s="1"/>
  <c r="G148" i="1" s="1"/>
  <c r="G149" i="1" s="1"/>
  <c r="F259" i="1"/>
  <c r="F257" i="1"/>
  <c r="F256" i="1"/>
  <c r="F255" i="1"/>
  <c r="F220" i="1"/>
  <c r="F219" i="1"/>
  <c r="F218" i="1"/>
  <c r="F217" i="1"/>
  <c r="F182" i="1"/>
  <c r="F181" i="1"/>
  <c r="F180" i="1"/>
  <c r="F179" i="1"/>
  <c r="F258" i="1"/>
  <c r="A256" i="1"/>
  <c r="A257" i="1" s="1"/>
  <c r="A258" i="1" s="1"/>
  <c r="A259" i="1" s="1"/>
  <c r="G255" i="1"/>
  <c r="A218" i="1"/>
  <c r="A219" i="1" s="1"/>
  <c r="A220" i="1" s="1"/>
  <c r="G217" i="1"/>
  <c r="G218" i="1" s="1"/>
  <c r="G219" i="1" s="1"/>
  <c r="G220" i="1" s="1"/>
  <c r="A180" i="1"/>
  <c r="A181" i="1" s="1"/>
  <c r="A182" i="1" s="1"/>
  <c r="G179" i="1"/>
  <c r="G180" i="1" s="1"/>
  <c r="G181" i="1" s="1"/>
  <c r="G182" i="1" s="1"/>
  <c r="F144" i="1"/>
  <c r="F143" i="1"/>
  <c r="F141" i="1"/>
  <c r="G119" i="1" s="1"/>
  <c r="I141" i="1"/>
  <c r="A142" i="1"/>
  <c r="A143" i="1" s="1"/>
  <c r="A144" i="1" s="1"/>
  <c r="G141" i="1"/>
  <c r="G121" i="1" l="1"/>
  <c r="G120" i="1"/>
  <c r="G123" i="1" s="1"/>
  <c r="G122" i="1"/>
  <c r="C123" i="1"/>
  <c r="E123" i="1"/>
  <c r="E124" i="1"/>
  <c r="C124" i="1"/>
  <c r="J144" i="1"/>
  <c r="L82" i="1" s="1"/>
  <c r="J141" i="1"/>
  <c r="Z12" i="1"/>
  <c r="I14" i="1"/>
  <c r="K128" i="1" l="1"/>
  <c r="G124" i="1"/>
  <c r="F130" i="1"/>
  <c r="C15" i="1" l="1"/>
  <c r="E30" i="1" l="1"/>
  <c r="F111" i="1" l="1"/>
  <c r="F131" i="1" l="1"/>
  <c r="F132" i="1"/>
  <c r="F133" i="1"/>
  <c r="B298" i="1" l="1"/>
  <c r="B299" i="1" l="1"/>
  <c r="F11" i="5" l="1"/>
  <c r="G11" i="5" s="1"/>
  <c r="F10" i="5"/>
  <c r="G10" i="5" s="1"/>
  <c r="F9" i="5"/>
  <c r="G9" i="5" s="1"/>
  <c r="F8" i="5"/>
  <c r="G8" i="5" s="1"/>
  <c r="F7" i="5"/>
  <c r="G7" i="5" s="1"/>
  <c r="F6" i="5"/>
  <c r="G6" i="5" s="1"/>
  <c r="F5" i="5"/>
  <c r="G5" i="5" s="1"/>
  <c r="G12" i="5" s="1"/>
  <c r="D324" i="1"/>
  <c r="A131" i="1"/>
  <c r="A132" i="1" s="1"/>
  <c r="A133" i="1" s="1"/>
  <c r="G130" i="1"/>
  <c r="G131" i="1" s="1"/>
  <c r="G132" i="1" s="1"/>
  <c r="G133" i="1" s="1"/>
  <c r="B71" i="1"/>
  <c r="G50" i="1"/>
  <c r="E27" i="1"/>
  <c r="E25" i="1"/>
  <c r="E7" i="1"/>
  <c r="E3" i="1"/>
  <c r="D64" i="1" l="1"/>
  <c r="H71" i="1"/>
  <c r="D83" i="1" l="1"/>
  <c r="D81" i="1"/>
  <c r="D80" i="1"/>
  <c r="D77" i="1"/>
  <c r="D79" i="1"/>
  <c r="J76" i="1"/>
  <c r="D82" i="1"/>
  <c r="J70" i="1"/>
  <c r="J72" i="1" s="1"/>
  <c r="D78" i="1"/>
  <c r="J74" i="1"/>
  <c r="J75" i="1"/>
  <c r="C74" i="1" s="1"/>
  <c r="D74" i="1" s="1"/>
  <c r="J73" i="1"/>
  <c r="D76" i="1"/>
  <c r="B85" i="1" l="1"/>
  <c r="J77" i="1"/>
  <c r="H85" i="1"/>
  <c r="D97" i="1" l="1"/>
  <c r="D93" i="1"/>
  <c r="J89" i="1"/>
  <c r="C88" i="1" s="1"/>
  <c r="D88" i="1" s="1"/>
  <c r="J87" i="1"/>
  <c r="J84" i="1"/>
  <c r="J86" i="1" s="1"/>
  <c r="D96" i="1"/>
  <c r="D92" i="1"/>
  <c r="J88" i="1"/>
  <c r="D95" i="1"/>
  <c r="D91" i="1"/>
  <c r="D94" i="1"/>
  <c r="D90" i="1"/>
  <c r="J95" i="1"/>
  <c r="J94" i="1"/>
  <c r="J90" i="1"/>
  <c r="J91" i="1" s="1"/>
  <c r="J96" i="1" s="1"/>
  <c r="J82" i="1"/>
  <c r="J78" i="1"/>
  <c r="J92" i="1" l="1"/>
  <c r="J93" i="1" s="1"/>
  <c r="J79" i="1"/>
  <c r="J80" i="1" s="1"/>
  <c r="J81" i="1" s="1"/>
  <c r="J97" i="1" l="1"/>
  <c r="C89" i="1" s="1"/>
  <c r="E88" i="1" s="1"/>
  <c r="J83" i="1"/>
  <c r="D89" i="1" l="1"/>
  <c r="I85" i="1" s="1"/>
  <c r="I86" i="1" s="1"/>
  <c r="G88" i="1"/>
  <c r="J85" i="1"/>
  <c r="C75" i="1"/>
  <c r="I84" i="1" l="1"/>
  <c r="C86" i="1" s="1"/>
  <c r="E74" i="1"/>
  <c r="D75" i="1"/>
  <c r="I71" i="1" s="1"/>
  <c r="I72" i="1" s="1"/>
  <c r="J71" i="1"/>
  <c r="G74" i="1"/>
  <c r="D68" i="1" s="1"/>
  <c r="D69" i="1" l="1"/>
  <c r="F69" i="1"/>
  <c r="I70" i="1"/>
  <c r="C72" i="1" s="1"/>
</calcChain>
</file>

<file path=xl/comments1.xml><?xml version="1.0" encoding="utf-8"?>
<comments xmlns="http://schemas.openxmlformats.org/spreadsheetml/2006/main">
  <authors>
    <author>Sachin</author>
  </authors>
  <commentList>
    <comment ref="E11" authorId="0" shapeId="0">
      <text>
        <r>
          <rPr>
            <b/>
            <sz val="9"/>
            <color indexed="81"/>
            <rFont val="Tahoma"/>
            <family val="2"/>
          </rPr>
          <t>Sachin:</t>
        </r>
        <r>
          <rPr>
            <sz val="9"/>
            <color indexed="81"/>
            <rFont val="Tahoma"/>
            <family val="2"/>
          </rPr>
          <t xml:space="preserve">
Building No. 
Tower No.
Wing 
Bunglow No., etc</t>
        </r>
      </text>
    </comment>
    <comment ref="E12" authorId="0" shapeId="0">
      <text>
        <r>
          <rPr>
            <b/>
            <sz val="9"/>
            <color indexed="81"/>
            <rFont val="Tahoma"/>
            <family val="2"/>
          </rPr>
          <t>Sachin:</t>
        </r>
        <r>
          <rPr>
            <sz val="9"/>
            <color indexed="81"/>
            <rFont val="Tahoma"/>
            <family val="2"/>
          </rPr>
          <t xml:space="preserve">
If exisiting Building is provided write it or else
NA</t>
        </r>
      </text>
    </comment>
    <comment ref="D59"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<sst xmlns="http://schemas.openxmlformats.org/spreadsheetml/2006/main" count="593" uniqueCount="308">
  <si>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</si>
  <si>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</si>
  <si>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</si>
  <si>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</si>
  <si>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</si>
  <si>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</si>
  <si>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</si>
  <si>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</si>
  <si>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</si>
  <si>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</si>
  <si>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</si>
  <si>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</si>
  <si>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</si>
  <si>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</si>
  <si>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</si>
  <si>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</si>
  <si>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</si>
  <si>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</si>
  <si>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</si>
  <si>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</si>
  <si>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</si>
  <si>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</si>
  <si>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</si>
  <si>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</si>
  <si>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</si>
  <si>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</si>
  <si>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</si>
  <si>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</si>
  <si>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</si>
  <si>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</si>
  <si>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</si>
  <si>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</si>
  <si>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</si>
  <si>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</si>
  <si>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</si>
  <si>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</si>
  <si>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</si>
  <si>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</si>
  <si>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</si>
  <si>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</si>
  <si>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</si>
  <si>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</si>
  <si>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</si>
  <si>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</si>
  <si>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</si>
  <si>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</si>
  <si>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</si>
  <si>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</si>
  <si>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</si>
  <si>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</si>
  <si>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</si>
  <si>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</si>
  <si>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</si>
  <si>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</si>
  <si>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</si>
  <si>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</si>
  <si>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</si>
  <si>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</si>
  <si>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</si>
  <si>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</si>
  <si>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</si>
  <si>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</si>
  <si>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</si>
  <si>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</si>
  <si>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</si>
  <si>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</si>
  <si>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</si>
  <si>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</si>
  <si>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</si>
  <si>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</si>
  <si>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</si>
  <si>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</si>
  <si>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</si>
  <si>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</si>
  <si>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</si>
  <si>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</si>
  <si>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</si>
  <si>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</si>
  <si>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</si>
  <si>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</si>
  <si>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</si>
  <si>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</si>
  <si>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</si>
  <si>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</si>
  <si>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</si>
  <si>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</si>
  <si>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</si>
  <si>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</si>
  <si>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</si>
  <si>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</si>
  <si>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</si>
  <si>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</si>
  <si>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</si>
  <si>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</si>
  <si>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</si>
  <si>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</si>
  <si>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</si>
  <si>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</si>
  <si>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</si>
  <si>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</si>
  <si>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</si>
  <si>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</si>
  <si>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</si>
  <si>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</si>
  <si>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</si>
  <si>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</si>
  <si>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</si>
  <si>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</si>
  <si>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</si>
  <si>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</si>
  <si>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</si>
  <si>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</si>
  <si>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</si>
  <si>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</si>
  <si>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</si>
  <si>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</si>
  <si>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</si>
  <si>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</si>
  <si>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</si>
  <si>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</si>
  <si>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</si>
  <si>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</si>
  <si>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</si>
  <si>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</si>
  <si>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</si>
  <si>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</si>
  <si>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</si>
  <si>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</si>
  <si>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</si>
  <si>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</si>
  <si>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</si>
  <si>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</si>
  <si>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</si>
  <si>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</si>
  <si>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</si>
  <si>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</si>
  <si>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</si>
  <si>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</si>
  <si>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</si>
  <si>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</si>
  <si>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</si>
  <si>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</si>
  <si>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</si>
  <si>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</si>
  <si>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</si>
  <si>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</si>
  <si>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</si>
  <si>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</si>
  <si>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</si>
  <si>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</si>
  <si>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</si>
  <si>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</si>
  <si>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</si>
  <si>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</si>
  <si>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</si>
  <si>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</si>
  <si>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</si>
  <si>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</si>
  <si>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</si>
  <si>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</si>
  <si>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</si>
  <si>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</si>
  <si>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</si>
  <si>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</si>
  <si>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</si>
  <si>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</si>
  <si>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</si>
  <si>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</si>
  <si>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</si>
  <si>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</si>
  <si>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</si>
  <si>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</si>
  <si>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</si>
  <si>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</si>
  <si>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Name / No of the Existing Building</t>
  </si>
  <si>
    <t>Mumbai</t>
  </si>
  <si>
    <t>As per Layout</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</si>
  <si>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</si>
  <si>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</si>
  <si>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</si>
  <si>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</si>
  <si>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</si>
  <si>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</si>
  <si>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</si>
  <si>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</si>
  <si>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</si>
  <si>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</si>
  <si>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</si>
  <si>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</si>
  <si>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</si>
  <si>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</si>
  <si>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</si>
  <si>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</si>
  <si>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</si>
  <si>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</si>
  <si>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</si>
  <si>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</si>
  <si>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</si>
  <si>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</si>
  <si>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</si>
  <si>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</si>
  <si>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</si>
  <si>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</si>
  <si>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</si>
  <si>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</si>
  <si>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</si>
  <si>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</si>
  <si>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</si>
  <si>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</si>
  <si>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</si>
  <si>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</si>
  <si>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</si>
  <si>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</si>
  <si>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</si>
  <si>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</si>
  <si>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</si>
  <si>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</si>
  <si>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</si>
  <si>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</si>
  <si>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</si>
  <si>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</si>
  <si>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</si>
  <si>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</si>
  <si>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</si>
  <si>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</si>
  <si>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</si>
  <si>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</si>
  <si>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</si>
  <si>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</si>
  <si>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</si>
  <si>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</si>
  <si>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</si>
  <si>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</si>
  <si>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</si>
  <si>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Axis Thane</t>
  </si>
  <si>
    <t>HGP Community Pvt. Ltd.</t>
  </si>
  <si>
    <t>Empress Hill A B C And D Wings</t>
  </si>
  <si>
    <t>Building No.07 = Empress Hill (Wing A to D)</t>
  </si>
  <si>
    <t>P51800052633</t>
  </si>
  <si>
    <t>22A/9 &amp; Sector - XI A</t>
  </si>
  <si>
    <t>Powai</t>
  </si>
  <si>
    <t>https://maps.app.goo.gl/LUMEg5NU5JvZAdi8A</t>
  </si>
  <si>
    <t>19.1166481,72.9118866</t>
  </si>
  <si>
    <t>Hiranandani Gardens</t>
  </si>
  <si>
    <t>High St Road</t>
  </si>
  <si>
    <t>Hiranandani Highland</t>
  </si>
  <si>
    <t>3.9 KM from Vikhroli Railway Station</t>
  </si>
  <si>
    <t>Hiranandani Regent Hill</t>
  </si>
  <si>
    <t>Existing Building No.02 (Regent Hill)</t>
  </si>
  <si>
    <t>Building No.03 (Highland)</t>
  </si>
  <si>
    <t>18.30 M.W. Existing D.P.Road</t>
  </si>
  <si>
    <t>18.30 M.W.D.P.Road</t>
  </si>
  <si>
    <t>Municipal Corporation of Greater Mumbai</t>
  </si>
  <si>
    <t>04 Wings</t>
  </si>
  <si>
    <t>As per RERA - 31/12/2028</t>
  </si>
  <si>
    <t>Landscaped Gardens, Clubhouse, Swimming Pool, Badminton Court, Pedestrian-friendly, Tree-lined Avenues, Gymnasium, Tennis Courts, Squash Court</t>
  </si>
  <si>
    <r>
      <t xml:space="preserve">Proposed Amenities :                                                                                                                                                                                                                         </t>
    </r>
    <r>
      <rPr>
        <b/>
        <sz val="12"/>
        <rFont val="Times New Roman"/>
        <family val="1"/>
      </rPr>
      <t xml:space="preserve">                                               </t>
    </r>
  </si>
  <si>
    <t>3rd to 1st Basement Floor for Parking</t>
  </si>
  <si>
    <t>Ground Floor for Parking</t>
  </si>
  <si>
    <t>Wing A</t>
  </si>
  <si>
    <t>1st Floor for Residential</t>
  </si>
  <si>
    <t>4BHK</t>
  </si>
  <si>
    <t>3BHK</t>
  </si>
  <si>
    <t>Double Height Entrance Lobby</t>
  </si>
  <si>
    <t>Wing B</t>
  </si>
  <si>
    <t>Wing C</t>
  </si>
  <si>
    <t>Wing D</t>
  </si>
  <si>
    <t>2BHK</t>
  </si>
  <si>
    <t>2nd to 7th, 9th to 13th Floor</t>
  </si>
  <si>
    <t>8th Floor (Part Refuge Area)</t>
  </si>
  <si>
    <t>Refuge Area</t>
  </si>
  <si>
    <t>14th, 16th &amp; 17th Floor</t>
  </si>
  <si>
    <t>15th Floor (Part Refuge Area)</t>
  </si>
  <si>
    <t>Online</t>
  </si>
  <si>
    <t>MIS</t>
  </si>
  <si>
    <t>Visitor</t>
  </si>
  <si>
    <t>We considered Gross carpet area = Net carpet + Deck Area.</t>
  </si>
  <si>
    <t>Crisil House</t>
  </si>
  <si>
    <t>Vikhroli West</t>
  </si>
  <si>
    <t>Floor Rise Rate from 4th Floor</t>
  </si>
  <si>
    <t>Rates are revised by sanket on 18/11/2023</t>
  </si>
  <si>
    <t>Recommended Rates / Other charges of the Property have been revised on 18/11/2023.</t>
  </si>
  <si>
    <t>P-8119/2021/(22 A/9)/S Ward/POWAI/FCC/1/New</t>
  </si>
  <si>
    <t>Full C.C. is granted for wing ‘C’ &amp; ‘D’ comprising of 03 level basements + stilt + 1st to 20th upper residential floors as per amended approved plan dated 25.08.2023 subject to timely renewal of B.G, SWM NOC, Workmen’s compensation policy and taking all sorts of precautions during construction and for air pollution.</t>
  </si>
  <si>
    <t>P-8119/2021/(22 A/9)/S Ward/POWAI/FCC/1/Amend</t>
  </si>
  <si>
    <t>Further C.C. is granted up to 12th upper floor for wing ‘A’ &amp; ‘B’ as per amended approved plan dated 25.08.2023 by restricting C.C. from 13 th to 20th upper floors of wing ‘A’ &amp; ‘B’ for handing over of reservation subject to timely renewal of B.G, SWM NOC, Workmen’s compensation policy and taking all sorts of precautions during construction and for air pollution.</t>
  </si>
  <si>
    <t xml:space="preserve">Details of Residential in Building   </t>
  </si>
  <si>
    <t>Recommended Rates / Other charges of the Property have been revised on 15/01/2025.</t>
  </si>
  <si>
    <t>31000 to 35000 &amp; P 15L sanjay on 15/01/2025 Verbal</t>
  </si>
  <si>
    <t>Construction work is in process at the time of Visit (Internal Visit not Allowed).</t>
  </si>
  <si>
    <t>P-8119/2021/(22 A/9)/S
Ward/POWAI/FCC/2/Amend</t>
  </si>
  <si>
    <t>Full C.C is granted to Wings 'A', 'B', 'C' &amp; 'D' as per approved Amended Plans dtd. 27.03.2025, subject to timely renewal of B.G., SWM NOC, Workmen’s compensation policy and taking all sorts of precautions during construction along with precautionary measures for air pollution.</t>
  </si>
  <si>
    <t>We have updated latest CC from MCGM site (On 16/05/2025).</t>
  </si>
  <si>
    <t>P-8119/2021/(22 A/9)/S Ward/POWAI/337/3/Amend</t>
  </si>
  <si>
    <t>Wing A to D = 3B + Gr/Stilt + 1st to 22nd Floor</t>
  </si>
  <si>
    <t>18th to 21st Floor</t>
  </si>
  <si>
    <t>22nd Floor (Part Terrace Area)</t>
  </si>
  <si>
    <t>Terrace Area</t>
  </si>
  <si>
    <t>18th to 21ST Floor</t>
  </si>
  <si>
    <t>We have updated latest approved plans from MCGM site (On 28/05/2025).</t>
  </si>
  <si>
    <t>Flats - 359</t>
  </si>
  <si>
    <t>Wing A &amp; B = 3B + Gr/Stilt + 1st to 22nd Floor</t>
  </si>
  <si>
    <t>Wing C &amp; D = 3B + Gr/Stilt + 1st to 22nd Floor</t>
  </si>
  <si>
    <t>Construction percentage has been reduced due to the proposed no of floors are changed.</t>
  </si>
  <si>
    <t>Sameer Pradhan 9930888911</t>
  </si>
  <si>
    <t>Ms. Nisha 022-25763788</t>
  </si>
  <si>
    <t>Shruti Tathare</t>
  </si>
  <si>
    <t>Ganesh Wadkar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</si>
</sst>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1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2"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0" fontId="15" fillId="0" borderId="0" xfId="1" applyFont="1" applyAlignment="1">
      <alignment horizontal="center" vertical="center"/>
    </xf>
    <xf numFmtId="0" fontId="30" fillId="0" borderId="0" xfId="1" applyFont="1" applyAlignment="1">
      <alignment horizontal="center" vertical="center"/>
    </xf>
    <xf numFmtId="0" fontId="15" fillId="0" borderId="0" xfId="2" applyFont="1" applyAlignment="1">
      <alignment horizontal="center" vertical="center"/>
    </xf>
    <xf numFmtId="1" fontId="15" fillId="0" borderId="0" xfId="1" applyNumberFormat="1" applyFont="1" applyAlignment="1">
      <alignment horizontal="center" vertical="center"/>
    </xf>
    <xf numFmtId="0" fontId="12" fillId="2" borderId="24" xfId="1" applyFont="1" applyFill="1" applyBorder="1" applyAlignment="1">
      <alignment horizontal="center" vertical="center"/>
    </xf>
    <xf numFmtId="0" fontId="12" fillId="2" borderId="0" xfId="1" applyFont="1" applyFill="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 fontId="7" fillId="0" borderId="1" xfId="1" applyNumberFormat="1" applyFont="1" applyFill="1" applyBorder="1" applyAlignment="1">
      <alignment horizontal="center" vertical="center"/>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7" fillId="0" borderId="0" xfId="1" applyFont="1" applyAlignment="1">
      <alignment horizontal="center" vertical="center"/>
    </xf>
    <xf numFmtId="1" fontId="6" fillId="0" borderId="7" xfId="1" applyNumberFormat="1" applyFont="1" applyFill="1" applyBorder="1" applyAlignment="1" applyProtection="1">
      <alignment horizontal="center" vertical="center" wrapText="1"/>
      <protection locked="0"/>
    </xf>
    <xf numFmtId="1" fontId="6" fillId="0" borderId="8" xfId="1" applyNumberFormat="1" applyFont="1" applyFill="1" applyBorder="1" applyAlignment="1" applyProtection="1">
      <alignment horizontal="center" vertical="center" wrapText="1"/>
      <protection locked="0"/>
    </xf>
    <xf numFmtId="1" fontId="6" fillId="0" borderId="16" xfId="1" applyNumberFormat="1" applyFont="1" applyFill="1" applyBorder="1" applyAlignment="1" applyProtection="1">
      <alignment horizontal="center" vertical="center" wrapText="1"/>
      <protection locked="0"/>
    </xf>
    <xf numFmtId="1" fontId="6" fillId="0" borderId="23" xfId="1" applyNumberFormat="1" applyFont="1" applyFill="1" applyBorder="1" applyAlignment="1" applyProtection="1">
      <alignment horizontal="center" vertical="center" wrapText="1"/>
      <protection locked="0"/>
    </xf>
    <xf numFmtId="1" fontId="6" fillId="0" borderId="17" xfId="1" applyNumberFormat="1" applyFont="1" applyFill="1" applyBorder="1" applyAlignment="1" applyProtection="1">
      <alignment horizontal="center" vertical="center" wrapText="1"/>
      <protection locked="0"/>
    </xf>
    <xf numFmtId="1" fontId="6" fillId="0" borderId="18" xfId="1" applyNumberFormat="1" applyFont="1" applyFill="1" applyBorder="1" applyAlignment="1" applyProtection="1">
      <alignment horizontal="center" vertical="center" wrapText="1"/>
      <protection locked="0"/>
    </xf>
    <xf numFmtId="1" fontId="6" fillId="0" borderId="34" xfId="1" applyNumberFormat="1" applyFont="1" applyFill="1" applyBorder="1" applyAlignment="1" applyProtection="1">
      <alignment horizontal="center" vertical="center" wrapText="1"/>
      <protection locked="0"/>
    </xf>
    <xf numFmtId="1" fontId="6" fillId="0" borderId="19" xfId="1" applyNumberFormat="1" applyFont="1" applyFill="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24" xfId="1" applyNumberFormat="1" applyFont="1" applyFill="1" applyBorder="1" applyAlignment="1" applyProtection="1">
      <alignment horizontal="center" vertical="center" wrapText="1"/>
      <protection locked="0"/>
    </xf>
    <xf numFmtId="1" fontId="6" fillId="0" borderId="25" xfId="1" applyNumberFormat="1" applyFont="1" applyFill="1" applyBorder="1" applyAlignment="1" applyProtection="1">
      <alignment horizontal="center" vertical="center" wrapText="1"/>
      <protection locked="0"/>
    </xf>
    <xf numFmtId="1" fontId="8" fillId="0" borderId="7" xfId="1" applyNumberFormat="1" applyFont="1" applyFill="1" applyBorder="1" applyAlignment="1" applyProtection="1">
      <alignment horizontal="center" vertical="center" wrapText="1"/>
      <protection locked="0"/>
    </xf>
    <xf numFmtId="1" fontId="8" fillId="0" borderId="20" xfId="1" applyNumberFormat="1" applyFont="1" applyFill="1" applyBorder="1" applyAlignment="1" applyProtection="1">
      <alignment horizontal="center" vertical="center" wrapText="1"/>
      <protection locked="0"/>
    </xf>
    <xf numFmtId="1" fontId="8" fillId="0" borderId="8" xfId="1" applyNumberFormat="1" applyFont="1" applyFill="1" applyBorder="1" applyAlignment="1" applyProtection="1">
      <alignment horizontal="center" vertical="center" wrapText="1"/>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20" xfId="1" applyNumberFormat="1" applyFont="1" applyFill="1" applyBorder="1" applyAlignment="1" applyProtection="1">
      <alignment horizontal="center" vertical="center" wrapText="1"/>
      <protection locked="0"/>
    </xf>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1" fontId="10" fillId="0" borderId="1" xfId="0" applyNumberFormat="1" applyFont="1" applyBorder="1" applyAlignment="1" applyProtection="1">
      <alignment horizontal="center" vertical="top" wrapText="1"/>
      <protection locked="0"/>
    </xf>
    <xf numFmtId="0" fontId="8" fillId="0" borderId="15" xfId="1" applyFont="1" applyBorder="1" applyAlignment="1" applyProtection="1">
      <alignment horizontal="center" vertical="top"/>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6" fillId="0" borderId="1" xfId="0" applyNumberFormat="1" applyFont="1" applyBorder="1" applyAlignment="1" applyProtection="1">
      <alignment horizontal="center" vertical="top" wrapText="1"/>
      <protection locked="0"/>
    </xf>
    <xf numFmtId="0" fontId="10" fillId="0" borderId="32" xfId="0"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31" xfId="0" applyNumberFormat="1" applyFont="1" applyBorder="1" applyAlignment="1" applyProtection="1">
      <alignment horizontal="center" vertical="center" wrapText="1"/>
      <protection locked="0"/>
    </xf>
    <xf numFmtId="1" fontId="8" fillId="0" borderId="28"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1" fontId="8" fillId="3" borderId="7" xfId="1" applyNumberFormat="1" applyFont="1" applyFill="1" applyBorder="1" applyAlignment="1" applyProtection="1">
      <alignment horizontal="center" vertical="center" wrapText="1"/>
      <protection locked="0"/>
    </xf>
    <xf numFmtId="1" fontId="8" fillId="3" borderId="20" xfId="1" applyNumberFormat="1" applyFont="1" applyFill="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8" fillId="0" borderId="15"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718704</xdr:colOff>
      <xdr:row>427</xdr:row>
      <xdr:rowOff>195311</xdr:rowOff>
    </xdr:from>
    <xdr:to>
      <xdr:col>6</xdr:col>
      <xdr:colOff>754380</xdr:colOff>
      <xdr:row>448</xdr:row>
      <xdr:rowOff>103667</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18704" y="78673691"/>
          <a:ext cx="5110596" cy="4068876"/>
        </a:xfrm>
        <a:prstGeom prst="rect">
          <a:avLst/>
        </a:prstGeom>
        <a:ln>
          <a:solidFill>
            <a:schemeClr val="tx1"/>
          </a:solidFill>
        </a:ln>
      </xdr:spPr>
    </xdr:pic>
    <xdr:clientData/>
  </xdr:twoCellAnchor>
  <xdr:twoCellAnchor editAs="oneCell">
    <xdr:from>
      <xdr:col>1</xdr:col>
      <xdr:colOff>114371</xdr:colOff>
      <xdr:row>408</xdr:row>
      <xdr:rowOff>112567</xdr:rowOff>
    </xdr:from>
    <xdr:to>
      <xdr:col>6</xdr:col>
      <xdr:colOff>646666</xdr:colOff>
      <xdr:row>427</xdr:row>
      <xdr:rowOff>69609</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76371" y="62570590"/>
          <a:ext cx="4680000" cy="3741066"/>
        </a:xfrm>
        <a:prstGeom prst="rect">
          <a:avLst/>
        </a:prstGeom>
        <a:ln>
          <a:solidFill>
            <a:schemeClr val="tx1"/>
          </a:solidFill>
        </a:ln>
      </xdr:spPr>
    </xdr:pic>
    <xdr:clientData/>
  </xdr:twoCellAnchor>
  <xdr:twoCellAnchor>
    <xdr:from>
      <xdr:col>2</xdr:col>
      <xdr:colOff>840937</xdr:colOff>
      <xdr:row>436</xdr:row>
      <xdr:rowOff>53067</xdr:rowOff>
    </xdr:from>
    <xdr:to>
      <xdr:col>3</xdr:col>
      <xdr:colOff>899880</xdr:colOff>
      <xdr:row>445</xdr:row>
      <xdr:rowOff>57494</xdr:rowOff>
    </xdr:to>
    <xdr:sp macro="" textlink="">
      <xdr:nvSpPr>
        <xdr:cNvPr id="6" name="Rectangle 5">
          <a:extLst>
            <a:ext uri="{FF2B5EF4-FFF2-40B4-BE49-F238E27FC236}">
              <a16:creationId xmlns:a16="http://schemas.microsoft.com/office/drawing/2014/main" xmlns="" id="{00000000-0008-0000-0000-000006000000}"/>
            </a:ext>
          </a:extLst>
        </xdr:cNvPr>
        <xdr:cNvSpPr/>
      </xdr:nvSpPr>
      <xdr:spPr>
        <a:xfrm rot="405308">
          <a:off x="2399573" y="68087544"/>
          <a:ext cx="907534" cy="179685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5</xdr:col>
      <xdr:colOff>528204</xdr:colOff>
      <xdr:row>443</xdr:row>
      <xdr:rowOff>8659</xdr:rowOff>
    </xdr:from>
    <xdr:ext cx="1042978" cy="264560"/>
    <xdr:sp macro="" textlink="">
      <xdr:nvSpPr>
        <xdr:cNvPr id="7" name="TextBox 6">
          <a:extLst>
            <a:ext uri="{FF2B5EF4-FFF2-40B4-BE49-F238E27FC236}">
              <a16:creationId xmlns:a16="http://schemas.microsoft.com/office/drawing/2014/main" xmlns="" id="{00000000-0008-0000-0000-000007000000}"/>
            </a:ext>
          </a:extLst>
        </xdr:cNvPr>
        <xdr:cNvSpPr txBox="1"/>
      </xdr:nvSpPr>
      <xdr:spPr>
        <a:xfrm>
          <a:off x="4658590" y="69437250"/>
          <a:ext cx="1042978"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1" cap="none" spc="0">
              <a:ln w="0"/>
              <a:solidFill>
                <a:schemeClr val="tx1"/>
              </a:solidFill>
              <a:effectLst>
                <a:outerShdw blurRad="38100" dist="19050" dir="2700000" algn="tl" rotWithShape="0">
                  <a:schemeClr val="dk1">
                    <a:alpha val="40000"/>
                  </a:schemeClr>
                </a:outerShdw>
              </a:effectLst>
            </a:rPr>
            <a:t>Building No.02</a:t>
          </a:r>
        </a:p>
      </xdr:txBody>
    </xdr:sp>
    <xdr:clientData/>
  </xdr:oneCellAnchor>
  <xdr:twoCellAnchor>
    <xdr:from>
      <xdr:col>5</xdr:col>
      <xdr:colOff>424296</xdr:colOff>
      <xdr:row>440</xdr:row>
      <xdr:rowOff>173181</xdr:rowOff>
    </xdr:from>
    <xdr:to>
      <xdr:col>6</xdr:col>
      <xdr:colOff>14384</xdr:colOff>
      <xdr:row>443</xdr:row>
      <xdr:rowOff>8659</xdr:rowOff>
    </xdr:to>
    <xdr:cxnSp macro="">
      <xdr:nvCxnSpPr>
        <xdr:cNvPr id="8" name="Straight Arrow Connector 7">
          <a:extLst>
            <a:ext uri="{FF2B5EF4-FFF2-40B4-BE49-F238E27FC236}">
              <a16:creationId xmlns:a16="http://schemas.microsoft.com/office/drawing/2014/main" xmlns="" id="{00000000-0008-0000-0000-000008000000}"/>
            </a:ext>
          </a:extLst>
        </xdr:cNvPr>
        <xdr:cNvCxnSpPr/>
      </xdr:nvCxnSpPr>
      <xdr:spPr>
        <a:xfrm flipH="1" flipV="1">
          <a:off x="4554682" y="69004295"/>
          <a:ext cx="369407" cy="432955"/>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715240</xdr:colOff>
      <xdr:row>436</xdr:row>
      <xdr:rowOff>109104</xdr:rowOff>
    </xdr:from>
    <xdr:ext cx="1042978" cy="264560"/>
    <xdr:sp macro="" textlink="">
      <xdr:nvSpPr>
        <xdr:cNvPr id="10" name="TextBox 9">
          <a:extLst>
            <a:ext uri="{FF2B5EF4-FFF2-40B4-BE49-F238E27FC236}">
              <a16:creationId xmlns:a16="http://schemas.microsoft.com/office/drawing/2014/main" xmlns="" id="{00000000-0008-0000-0000-00000A000000}"/>
            </a:ext>
          </a:extLst>
        </xdr:cNvPr>
        <xdr:cNvSpPr txBox="1"/>
      </xdr:nvSpPr>
      <xdr:spPr>
        <a:xfrm>
          <a:off x="4066308" y="68143581"/>
          <a:ext cx="1042978"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1" cap="none" spc="0">
              <a:ln w="0"/>
              <a:solidFill>
                <a:schemeClr val="tx1"/>
              </a:solidFill>
              <a:effectLst>
                <a:outerShdw blurRad="38100" dist="19050" dir="2700000" algn="tl" rotWithShape="0">
                  <a:schemeClr val="dk1">
                    <a:alpha val="40000"/>
                  </a:schemeClr>
                </a:outerShdw>
              </a:effectLst>
            </a:rPr>
            <a:t>Building No.01</a:t>
          </a:r>
        </a:p>
      </xdr:txBody>
    </xdr:sp>
    <xdr:clientData/>
  </xdr:oneCellAnchor>
  <xdr:twoCellAnchor>
    <xdr:from>
      <xdr:col>6</xdr:col>
      <xdr:colOff>25977</xdr:colOff>
      <xdr:row>435</xdr:row>
      <xdr:rowOff>60614</xdr:rowOff>
    </xdr:from>
    <xdr:to>
      <xdr:col>6</xdr:col>
      <xdr:colOff>173181</xdr:colOff>
      <xdr:row>436</xdr:row>
      <xdr:rowOff>121228</xdr:rowOff>
    </xdr:to>
    <xdr:cxnSp macro="">
      <xdr:nvCxnSpPr>
        <xdr:cNvPr id="11" name="Straight Arrow Connector 10">
          <a:extLst>
            <a:ext uri="{FF2B5EF4-FFF2-40B4-BE49-F238E27FC236}">
              <a16:creationId xmlns:a16="http://schemas.microsoft.com/office/drawing/2014/main" xmlns="" id="{00000000-0008-0000-0000-00000B000000}"/>
            </a:ext>
          </a:extLst>
        </xdr:cNvPr>
        <xdr:cNvCxnSpPr/>
      </xdr:nvCxnSpPr>
      <xdr:spPr>
        <a:xfrm flipV="1">
          <a:off x="4935682" y="67895932"/>
          <a:ext cx="147204" cy="259773"/>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668480</xdr:colOff>
      <xdr:row>428</xdr:row>
      <xdr:rowOff>183573</xdr:rowOff>
    </xdr:from>
    <xdr:ext cx="1042978" cy="264560"/>
    <xdr:sp macro="" textlink="">
      <xdr:nvSpPr>
        <xdr:cNvPr id="14" name="TextBox 13">
          <a:extLst>
            <a:ext uri="{FF2B5EF4-FFF2-40B4-BE49-F238E27FC236}">
              <a16:creationId xmlns:a16="http://schemas.microsoft.com/office/drawing/2014/main" xmlns="" id="{00000000-0008-0000-0000-00000E000000}"/>
            </a:ext>
          </a:extLst>
        </xdr:cNvPr>
        <xdr:cNvSpPr txBox="1"/>
      </xdr:nvSpPr>
      <xdr:spPr>
        <a:xfrm>
          <a:off x="3075707" y="66624778"/>
          <a:ext cx="1042978"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1" cap="none" spc="0">
              <a:ln w="0"/>
              <a:solidFill>
                <a:schemeClr val="tx1"/>
              </a:solidFill>
              <a:effectLst>
                <a:outerShdw blurRad="38100" dist="19050" dir="2700000" algn="tl" rotWithShape="0">
                  <a:schemeClr val="dk1">
                    <a:alpha val="40000"/>
                  </a:schemeClr>
                </a:outerShdw>
              </a:effectLst>
            </a:rPr>
            <a:t>Building No.03</a:t>
          </a:r>
        </a:p>
      </xdr:txBody>
    </xdr:sp>
    <xdr:clientData/>
  </xdr:oneCellAnchor>
  <xdr:twoCellAnchor>
    <xdr:from>
      <xdr:col>4</xdr:col>
      <xdr:colOff>121228</xdr:colOff>
      <xdr:row>430</xdr:row>
      <xdr:rowOff>88900</xdr:rowOff>
    </xdr:from>
    <xdr:to>
      <xdr:col>4</xdr:col>
      <xdr:colOff>165100</xdr:colOff>
      <xdr:row>434</xdr:row>
      <xdr:rowOff>77932</xdr:rowOff>
    </xdr:to>
    <xdr:cxnSp macro="">
      <xdr:nvCxnSpPr>
        <xdr:cNvPr id="15" name="Straight Arrow Connector 14">
          <a:extLst>
            <a:ext uri="{FF2B5EF4-FFF2-40B4-BE49-F238E27FC236}">
              <a16:creationId xmlns:a16="http://schemas.microsoft.com/office/drawing/2014/main" xmlns="" id="{00000000-0008-0000-0000-00000F000000}"/>
            </a:ext>
          </a:extLst>
        </xdr:cNvPr>
        <xdr:cNvCxnSpPr/>
      </xdr:nvCxnSpPr>
      <xdr:spPr>
        <a:xfrm flipH="1">
          <a:off x="3639128" y="75799950"/>
          <a:ext cx="43872" cy="776432"/>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5</xdr:col>
      <xdr:colOff>32903</xdr:colOff>
      <xdr:row>428</xdr:row>
      <xdr:rowOff>67541</xdr:rowOff>
    </xdr:from>
    <xdr:ext cx="1042978" cy="264560"/>
    <xdr:sp macro="" textlink="">
      <xdr:nvSpPr>
        <xdr:cNvPr id="23" name="TextBox 22">
          <a:extLst>
            <a:ext uri="{FF2B5EF4-FFF2-40B4-BE49-F238E27FC236}">
              <a16:creationId xmlns:a16="http://schemas.microsoft.com/office/drawing/2014/main" xmlns="" id="{00000000-0008-0000-0000-000017000000}"/>
            </a:ext>
          </a:extLst>
        </xdr:cNvPr>
        <xdr:cNvSpPr txBox="1"/>
      </xdr:nvSpPr>
      <xdr:spPr>
        <a:xfrm>
          <a:off x="4163289" y="66508746"/>
          <a:ext cx="1042978"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1" cap="none" spc="0">
              <a:ln w="0"/>
              <a:solidFill>
                <a:schemeClr val="tx1"/>
              </a:solidFill>
              <a:effectLst>
                <a:outerShdw blurRad="38100" dist="19050" dir="2700000" algn="tl" rotWithShape="0">
                  <a:schemeClr val="dk1">
                    <a:alpha val="40000"/>
                  </a:schemeClr>
                </a:outerShdw>
              </a:effectLst>
            </a:rPr>
            <a:t>Building No.04</a:t>
          </a:r>
        </a:p>
      </xdr:txBody>
    </xdr:sp>
    <xdr:clientData/>
  </xdr:oneCellAnchor>
  <xdr:twoCellAnchor>
    <xdr:from>
      <xdr:col>5</xdr:col>
      <xdr:colOff>394855</xdr:colOff>
      <xdr:row>429</xdr:row>
      <xdr:rowOff>109104</xdr:rowOff>
    </xdr:from>
    <xdr:to>
      <xdr:col>5</xdr:col>
      <xdr:colOff>623455</xdr:colOff>
      <xdr:row>431</xdr:row>
      <xdr:rowOff>173182</xdr:rowOff>
    </xdr:to>
    <xdr:cxnSp macro="">
      <xdr:nvCxnSpPr>
        <xdr:cNvPr id="24" name="Straight Arrow Connector 23">
          <a:extLst>
            <a:ext uri="{FF2B5EF4-FFF2-40B4-BE49-F238E27FC236}">
              <a16:creationId xmlns:a16="http://schemas.microsoft.com/office/drawing/2014/main" xmlns="" id="{00000000-0008-0000-0000-000018000000}"/>
            </a:ext>
          </a:extLst>
        </xdr:cNvPr>
        <xdr:cNvCxnSpPr/>
      </xdr:nvCxnSpPr>
      <xdr:spPr>
        <a:xfrm>
          <a:off x="4525241" y="66749468"/>
          <a:ext cx="228600" cy="462396"/>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5</xdr:col>
      <xdr:colOff>687530</xdr:colOff>
      <xdr:row>429</xdr:row>
      <xdr:rowOff>142010</xdr:rowOff>
    </xdr:from>
    <xdr:ext cx="1042978" cy="264560"/>
    <xdr:sp macro="" textlink="">
      <xdr:nvSpPr>
        <xdr:cNvPr id="26" name="TextBox 25">
          <a:extLst>
            <a:ext uri="{FF2B5EF4-FFF2-40B4-BE49-F238E27FC236}">
              <a16:creationId xmlns:a16="http://schemas.microsoft.com/office/drawing/2014/main" xmlns="" id="{00000000-0008-0000-0000-00001A000000}"/>
            </a:ext>
          </a:extLst>
        </xdr:cNvPr>
        <xdr:cNvSpPr txBox="1"/>
      </xdr:nvSpPr>
      <xdr:spPr>
        <a:xfrm>
          <a:off x="4817916" y="66782374"/>
          <a:ext cx="1042978"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1" cap="none" spc="0">
              <a:ln w="0"/>
              <a:solidFill>
                <a:schemeClr val="tx1"/>
              </a:solidFill>
              <a:effectLst>
                <a:outerShdw blurRad="38100" dist="19050" dir="2700000" algn="tl" rotWithShape="0">
                  <a:schemeClr val="dk1">
                    <a:alpha val="40000"/>
                  </a:schemeClr>
                </a:outerShdw>
              </a:effectLst>
            </a:rPr>
            <a:t>Building No.05</a:t>
          </a:r>
        </a:p>
      </xdr:txBody>
    </xdr:sp>
    <xdr:clientData/>
  </xdr:oneCellAnchor>
  <xdr:twoCellAnchor>
    <xdr:from>
      <xdr:col>6</xdr:col>
      <xdr:colOff>406978</xdr:colOff>
      <xdr:row>430</xdr:row>
      <xdr:rowOff>155863</xdr:rowOff>
    </xdr:from>
    <xdr:to>
      <xdr:col>6</xdr:col>
      <xdr:colOff>510886</xdr:colOff>
      <xdr:row>432</xdr:row>
      <xdr:rowOff>60614</xdr:rowOff>
    </xdr:to>
    <xdr:cxnSp macro="">
      <xdr:nvCxnSpPr>
        <xdr:cNvPr id="27" name="Straight Arrow Connector 26">
          <a:extLst>
            <a:ext uri="{FF2B5EF4-FFF2-40B4-BE49-F238E27FC236}">
              <a16:creationId xmlns:a16="http://schemas.microsoft.com/office/drawing/2014/main" xmlns="" id="{00000000-0008-0000-0000-00001B000000}"/>
            </a:ext>
          </a:extLst>
        </xdr:cNvPr>
        <xdr:cNvCxnSpPr/>
      </xdr:nvCxnSpPr>
      <xdr:spPr>
        <a:xfrm>
          <a:off x="5316683" y="66995386"/>
          <a:ext cx="103908" cy="303069"/>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541250</xdr:colOff>
      <xdr:row>447</xdr:row>
      <xdr:rowOff>11315</xdr:rowOff>
    </xdr:from>
    <xdr:ext cx="1042978" cy="264560"/>
    <xdr:sp macro="" textlink="">
      <xdr:nvSpPr>
        <xdr:cNvPr id="30" name="TextBox 29">
          <a:extLst>
            <a:ext uri="{FF2B5EF4-FFF2-40B4-BE49-F238E27FC236}">
              <a16:creationId xmlns:a16="http://schemas.microsoft.com/office/drawing/2014/main" xmlns="" id="{00000000-0008-0000-0000-00001E000000}"/>
            </a:ext>
          </a:extLst>
        </xdr:cNvPr>
        <xdr:cNvSpPr txBox="1"/>
      </xdr:nvSpPr>
      <xdr:spPr>
        <a:xfrm>
          <a:off x="2149070" y="82452095"/>
          <a:ext cx="1042978" cy="26456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1" cap="none" spc="0">
              <a:ln w="0"/>
              <a:solidFill>
                <a:schemeClr val="tx1"/>
              </a:solidFill>
              <a:effectLst>
                <a:outerShdw blurRad="38100" dist="19050" dir="2700000" algn="tl" rotWithShape="0">
                  <a:schemeClr val="dk1">
                    <a:alpha val="40000"/>
                  </a:schemeClr>
                </a:outerShdw>
              </a:effectLst>
            </a:rPr>
            <a:t>Building No.06</a:t>
          </a:r>
        </a:p>
      </xdr:txBody>
    </xdr:sp>
    <xdr:clientData/>
  </xdr:oneCellAnchor>
  <xdr:twoCellAnchor>
    <xdr:from>
      <xdr:col>3</xdr:col>
      <xdr:colOff>710046</xdr:colOff>
      <xdr:row>447</xdr:row>
      <xdr:rowOff>112568</xdr:rowOff>
    </xdr:from>
    <xdr:to>
      <xdr:col>4</xdr:col>
      <xdr:colOff>86591</xdr:colOff>
      <xdr:row>448</xdr:row>
      <xdr:rowOff>77932</xdr:rowOff>
    </xdr:to>
    <xdr:cxnSp macro="">
      <xdr:nvCxnSpPr>
        <xdr:cNvPr id="31" name="Straight Arrow Connector 30">
          <a:extLst>
            <a:ext uri="{FF2B5EF4-FFF2-40B4-BE49-F238E27FC236}">
              <a16:creationId xmlns:a16="http://schemas.microsoft.com/office/drawing/2014/main" xmlns="" id="{00000000-0008-0000-0000-00001F000000}"/>
            </a:ext>
          </a:extLst>
        </xdr:cNvPr>
        <xdr:cNvCxnSpPr/>
      </xdr:nvCxnSpPr>
      <xdr:spPr>
        <a:xfrm flipV="1">
          <a:off x="3117273" y="70337795"/>
          <a:ext cx="320386" cy="164523"/>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243460</xdr:colOff>
      <xdr:row>431</xdr:row>
      <xdr:rowOff>18430</xdr:rowOff>
    </xdr:from>
    <xdr:ext cx="1042978" cy="609013"/>
    <xdr:sp macro="" textlink="">
      <xdr:nvSpPr>
        <xdr:cNvPr id="35" name="TextBox 34">
          <a:extLst>
            <a:ext uri="{FF2B5EF4-FFF2-40B4-BE49-F238E27FC236}">
              <a16:creationId xmlns:a16="http://schemas.microsoft.com/office/drawing/2014/main" xmlns="" id="{00000000-0008-0000-0000-000023000000}"/>
            </a:ext>
          </a:extLst>
        </xdr:cNvPr>
        <xdr:cNvSpPr txBox="1"/>
      </xdr:nvSpPr>
      <xdr:spPr>
        <a:xfrm>
          <a:off x="1802096" y="67057112"/>
          <a:ext cx="1042978" cy="6090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pPr algn="ctr"/>
          <a:r>
            <a:rPr lang="en-IN" sz="1100" b="1" cap="none" spc="0">
              <a:ln w="0"/>
              <a:solidFill>
                <a:schemeClr val="tx1"/>
              </a:solidFill>
              <a:effectLst>
                <a:outerShdw blurRad="38100" dist="19050" dir="2700000" algn="tl" rotWithShape="0">
                  <a:schemeClr val="dk1">
                    <a:alpha val="40000"/>
                  </a:schemeClr>
                </a:outerShdw>
              </a:effectLst>
            </a:rPr>
            <a:t>Building No.07</a:t>
          </a:r>
        </a:p>
        <a:p>
          <a:pPr algn="ctr"/>
          <a:r>
            <a:rPr lang="en-IN" sz="1100" b="1" cap="none" spc="0">
              <a:ln w="0"/>
              <a:solidFill>
                <a:schemeClr val="tx1"/>
              </a:solidFill>
              <a:effectLst>
                <a:outerShdw blurRad="38100" dist="19050" dir="2700000" algn="tl" rotWithShape="0">
                  <a:schemeClr val="dk1">
                    <a:alpha val="40000"/>
                  </a:schemeClr>
                </a:outerShdw>
              </a:effectLst>
            </a:rPr>
            <a:t>Empress</a:t>
          </a:r>
          <a:r>
            <a:rPr lang="en-IN" sz="1100" b="1" cap="none" spc="0" baseline="0">
              <a:ln w="0"/>
              <a:solidFill>
                <a:schemeClr val="tx1"/>
              </a:solidFill>
              <a:effectLst>
                <a:outerShdw blurRad="38100" dist="19050" dir="2700000" algn="tl" rotWithShape="0">
                  <a:schemeClr val="dk1">
                    <a:alpha val="40000"/>
                  </a:schemeClr>
                </a:outerShdw>
              </a:effectLst>
            </a:rPr>
            <a:t> Hill (Wing A to D)</a:t>
          </a:r>
          <a:endParaRPr lang="en-IN" sz="1100" b="1"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764949</xdr:colOff>
      <xdr:row>434</xdr:row>
      <xdr:rowOff>29966</xdr:rowOff>
    </xdr:from>
    <xdr:to>
      <xdr:col>3</xdr:col>
      <xdr:colOff>190500</xdr:colOff>
      <xdr:row>436</xdr:row>
      <xdr:rowOff>121228</xdr:rowOff>
    </xdr:to>
    <xdr:cxnSp macro="">
      <xdr:nvCxnSpPr>
        <xdr:cNvPr id="36" name="Straight Arrow Connector 35">
          <a:extLst>
            <a:ext uri="{FF2B5EF4-FFF2-40B4-BE49-F238E27FC236}">
              <a16:creationId xmlns:a16="http://schemas.microsoft.com/office/drawing/2014/main" xmlns="" id="{00000000-0008-0000-0000-000024000000}"/>
            </a:ext>
          </a:extLst>
        </xdr:cNvPr>
        <xdr:cNvCxnSpPr>
          <a:stCxn id="35" idx="2"/>
        </xdr:cNvCxnSpPr>
      </xdr:nvCxnSpPr>
      <xdr:spPr>
        <a:xfrm>
          <a:off x="2323585" y="67666125"/>
          <a:ext cx="274142" cy="48958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441609</xdr:colOff>
      <xdr:row>366</xdr:row>
      <xdr:rowOff>103908</xdr:rowOff>
    </xdr:from>
    <xdr:to>
      <xdr:col>7</xdr:col>
      <xdr:colOff>169904</xdr:colOff>
      <xdr:row>385</xdr:row>
      <xdr:rowOff>53530</xdr:rowOff>
    </xdr:to>
    <xdr:pic>
      <xdr:nvPicPr>
        <xdr:cNvPr id="42" name="Picture 41">
          <a:extLst>
            <a:ext uri="{FF2B5EF4-FFF2-40B4-BE49-F238E27FC236}">
              <a16:creationId xmlns:a16="http://schemas.microsoft.com/office/drawing/2014/main" xmlns="" id="{00000000-0008-0000-0000-00002A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41609" y="53798931"/>
          <a:ext cx="5400000" cy="3733643"/>
        </a:xfrm>
        <a:prstGeom prst="rect">
          <a:avLst/>
        </a:prstGeom>
        <a:ln>
          <a:solidFill>
            <a:schemeClr val="tx1"/>
          </a:solidFill>
        </a:ln>
      </xdr:spPr>
    </xdr:pic>
    <xdr:clientData/>
  </xdr:twoCellAnchor>
  <xdr:twoCellAnchor editAs="oneCell">
    <xdr:from>
      <xdr:col>1</xdr:col>
      <xdr:colOff>619119</xdr:colOff>
      <xdr:row>386</xdr:row>
      <xdr:rowOff>23665</xdr:rowOff>
    </xdr:from>
    <xdr:to>
      <xdr:col>6</xdr:col>
      <xdr:colOff>44348</xdr:colOff>
      <xdr:row>404</xdr:row>
      <xdr:rowOff>79468</xdr:rowOff>
    </xdr:to>
    <xdr:pic>
      <xdr:nvPicPr>
        <xdr:cNvPr id="43" name="Picture 42">
          <a:extLst>
            <a:ext uri="{FF2B5EF4-FFF2-40B4-BE49-F238E27FC236}">
              <a16:creationId xmlns:a16="http://schemas.microsoft.com/office/drawing/2014/main" xmlns="" id="{00000000-0008-0000-0000-00002B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381119" y="57701870"/>
          <a:ext cx="3572934" cy="3640667"/>
        </a:xfrm>
        <a:prstGeom prst="rect">
          <a:avLst/>
        </a:prstGeom>
        <a:ln>
          <a:solidFill>
            <a:schemeClr val="tx1"/>
          </a:solidFill>
        </a:ln>
      </xdr:spPr>
    </xdr:pic>
    <xdr:clientData/>
  </xdr:twoCellAnchor>
  <xdr:twoCellAnchor>
    <xdr:from>
      <xdr:col>0</xdr:col>
      <xdr:colOff>635359</xdr:colOff>
      <xdr:row>366</xdr:row>
      <xdr:rowOff>147215</xdr:rowOff>
    </xdr:from>
    <xdr:to>
      <xdr:col>2</xdr:col>
      <xdr:colOff>607419</xdr:colOff>
      <xdr:row>382</xdr:row>
      <xdr:rowOff>57729</xdr:rowOff>
    </xdr:to>
    <xdr:sp macro="" textlink="">
      <xdr:nvSpPr>
        <xdr:cNvPr id="44" name="Rectangle 43">
          <a:extLst>
            <a:ext uri="{FF2B5EF4-FFF2-40B4-BE49-F238E27FC236}">
              <a16:creationId xmlns:a16="http://schemas.microsoft.com/office/drawing/2014/main" xmlns="" id="{00000000-0008-0000-0000-00002C000000}"/>
            </a:ext>
          </a:extLst>
        </xdr:cNvPr>
        <xdr:cNvSpPr/>
      </xdr:nvSpPr>
      <xdr:spPr>
        <a:xfrm rot="21416103">
          <a:off x="635359" y="53842238"/>
          <a:ext cx="1530696" cy="3097059"/>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0</xdr:col>
      <xdr:colOff>233790</xdr:colOff>
      <xdr:row>386</xdr:row>
      <xdr:rowOff>60612</xdr:rowOff>
    </xdr:from>
    <xdr:ext cx="1042978" cy="609013"/>
    <xdr:sp macro="" textlink="">
      <xdr:nvSpPr>
        <xdr:cNvPr id="45" name="TextBox 44">
          <a:extLst>
            <a:ext uri="{FF2B5EF4-FFF2-40B4-BE49-F238E27FC236}">
              <a16:creationId xmlns:a16="http://schemas.microsoft.com/office/drawing/2014/main" xmlns="" id="{00000000-0008-0000-0000-00002D000000}"/>
            </a:ext>
          </a:extLst>
        </xdr:cNvPr>
        <xdr:cNvSpPr txBox="1"/>
      </xdr:nvSpPr>
      <xdr:spPr>
        <a:xfrm>
          <a:off x="233790" y="57738817"/>
          <a:ext cx="1042978" cy="609013"/>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pPr algn="ctr"/>
          <a:r>
            <a:rPr lang="en-IN" sz="1100" b="1" cap="none" spc="0">
              <a:ln w="0"/>
              <a:solidFill>
                <a:schemeClr val="tx1"/>
              </a:solidFill>
              <a:effectLst>
                <a:outerShdw blurRad="38100" dist="19050" dir="2700000" algn="tl" rotWithShape="0">
                  <a:schemeClr val="dk1">
                    <a:alpha val="40000"/>
                  </a:schemeClr>
                </a:outerShdw>
              </a:effectLst>
            </a:rPr>
            <a:t>Building No.07</a:t>
          </a:r>
        </a:p>
        <a:p>
          <a:pPr algn="ctr"/>
          <a:r>
            <a:rPr lang="en-IN" sz="1100" b="1" cap="none" spc="0">
              <a:ln w="0"/>
              <a:solidFill>
                <a:schemeClr val="tx1"/>
              </a:solidFill>
              <a:effectLst>
                <a:outerShdw blurRad="38100" dist="19050" dir="2700000" algn="tl" rotWithShape="0">
                  <a:schemeClr val="dk1">
                    <a:alpha val="40000"/>
                  </a:schemeClr>
                </a:outerShdw>
              </a:effectLst>
            </a:rPr>
            <a:t>Empress</a:t>
          </a:r>
          <a:r>
            <a:rPr lang="en-IN" sz="1100" b="1" cap="none" spc="0" baseline="0">
              <a:ln w="0"/>
              <a:solidFill>
                <a:schemeClr val="tx1"/>
              </a:solidFill>
              <a:effectLst>
                <a:outerShdw blurRad="38100" dist="19050" dir="2700000" algn="tl" rotWithShape="0">
                  <a:schemeClr val="dk1">
                    <a:alpha val="40000"/>
                  </a:schemeClr>
                </a:outerShdw>
              </a:effectLst>
            </a:rPr>
            <a:t> Hill (Wing A to D)</a:t>
          </a:r>
          <a:endParaRPr lang="en-IN" sz="1100" b="1"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0</xdr:col>
      <xdr:colOff>755279</xdr:colOff>
      <xdr:row>382</xdr:row>
      <xdr:rowOff>55514</xdr:rowOff>
    </xdr:from>
    <xdr:to>
      <xdr:col>1</xdr:col>
      <xdr:colOff>721504</xdr:colOff>
      <xdr:row>386</xdr:row>
      <xdr:rowOff>60612</xdr:rowOff>
    </xdr:to>
    <xdr:cxnSp macro="">
      <xdr:nvCxnSpPr>
        <xdr:cNvPr id="46" name="Straight Arrow Connector 45">
          <a:extLst>
            <a:ext uri="{FF2B5EF4-FFF2-40B4-BE49-F238E27FC236}">
              <a16:creationId xmlns:a16="http://schemas.microsoft.com/office/drawing/2014/main" xmlns="" id="{00000000-0008-0000-0000-00002E000000}"/>
            </a:ext>
          </a:extLst>
        </xdr:cNvPr>
        <xdr:cNvCxnSpPr>
          <a:stCxn id="45" idx="0"/>
          <a:endCxn id="44" idx="2"/>
        </xdr:cNvCxnSpPr>
      </xdr:nvCxnSpPr>
      <xdr:spPr>
        <a:xfrm flipV="1">
          <a:off x="755279" y="56937082"/>
          <a:ext cx="728225" cy="801735"/>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0</xdr:colOff>
      <xdr:row>323</xdr:row>
      <xdr:rowOff>0</xdr:rowOff>
    </xdr:from>
    <xdr:ext cx="1042978" cy="264560"/>
    <xdr:sp macro="" textlink="">
      <xdr:nvSpPr>
        <xdr:cNvPr id="33" name="TextBox 32">
          <a:extLst>
            <a:ext uri="{FF2B5EF4-FFF2-40B4-BE49-F238E27FC236}">
              <a16:creationId xmlns:a16="http://schemas.microsoft.com/office/drawing/2014/main" xmlns="" id="{00000000-0008-0000-0000-000021000000}"/>
            </a:ext>
          </a:extLst>
        </xdr:cNvPr>
        <xdr:cNvSpPr txBox="1"/>
      </xdr:nvSpPr>
      <xdr:spPr>
        <a:xfrm>
          <a:off x="7912100" y="57429400"/>
          <a:ext cx="1042978"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pPr algn="ctr"/>
          <a:r>
            <a:rPr lang="en-IN" sz="1100" b="1" cap="none" spc="0">
              <a:ln w="0"/>
              <a:solidFill>
                <a:schemeClr val="tx1"/>
              </a:solidFill>
              <a:effectLst>
                <a:outerShdw blurRad="38100" dist="19050" dir="2700000" algn="tl" rotWithShape="0">
                  <a:schemeClr val="dk1">
                    <a:alpha val="40000"/>
                  </a:schemeClr>
                </a:outerShdw>
              </a:effectLst>
            </a:rPr>
            <a:t>Wing A to D</a:t>
          </a:r>
        </a:p>
      </xdr:txBody>
    </xdr:sp>
    <xdr:clientData/>
  </xdr:oneCellAnchor>
  <xdr:twoCellAnchor>
    <xdr:from>
      <xdr:col>0</xdr:col>
      <xdr:colOff>124239</xdr:colOff>
      <xdr:row>324</xdr:row>
      <xdr:rowOff>188841</xdr:rowOff>
    </xdr:from>
    <xdr:to>
      <xdr:col>7</xdr:col>
      <xdr:colOff>579782</xdr:colOff>
      <xdr:row>356</xdr:row>
      <xdr:rowOff>142417</xdr:rowOff>
    </xdr:to>
    <xdr:grpSp>
      <xdr:nvGrpSpPr>
        <xdr:cNvPr id="21" name="Group 20"/>
        <xdr:cNvGrpSpPr/>
      </xdr:nvGrpSpPr>
      <xdr:grpSpPr>
        <a:xfrm>
          <a:off x="124239" y="63012428"/>
          <a:ext cx="6137413" cy="6314619"/>
          <a:chOff x="91109" y="63078689"/>
          <a:chExt cx="6137413" cy="6314619"/>
        </a:xfrm>
      </xdr:grpSpPr>
      <xdr:pic>
        <xdr:nvPicPr>
          <xdr:cNvPr id="60" name="Picture 59" descr="https://vsjcllp.vsjadon.com/upload/insp-243353-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373217" y="67652348"/>
            <a:ext cx="1739348" cy="17409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43353-84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165074" y="65419356"/>
            <a:ext cx="1966291"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43353-84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161762" y="63078690"/>
            <a:ext cx="1994450" cy="22614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43353-86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212534" y="65412731"/>
            <a:ext cx="1966291"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43353-86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234072" y="63080346"/>
            <a:ext cx="1994450" cy="22614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43353-87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02705" y="65419357"/>
            <a:ext cx="1966291"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43353-1022.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987827" y="67650077"/>
            <a:ext cx="2310848" cy="17411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43353-92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91109" y="63078689"/>
            <a:ext cx="1994450" cy="22614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43353-928.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73934" y="67650421"/>
            <a:ext cx="1739556" cy="17411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4</xdr:col>
      <xdr:colOff>693530</xdr:colOff>
      <xdr:row>29</xdr:row>
      <xdr:rowOff>178518</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6" y="2678206"/>
          <a:ext cx="5400000" cy="3036018"/>
        </a:xfrm>
        <a:prstGeom prst="rect">
          <a:avLst/>
        </a:prstGeom>
        <a:ln>
          <a:solidFill>
            <a:schemeClr val="tx1"/>
          </a:solidFill>
        </a:ln>
      </xdr:spPr>
    </xdr:pic>
    <xdr:clientData/>
  </xdr:twoCellAnchor>
  <xdr:twoCellAnchor editAs="oneCell">
    <xdr:from>
      <xdr:col>4</xdr:col>
      <xdr:colOff>762000</xdr:colOff>
      <xdr:row>14</xdr:row>
      <xdr:rowOff>0</xdr:rowOff>
    </xdr:from>
    <xdr:to>
      <xdr:col>24</xdr:col>
      <xdr:colOff>386861</xdr:colOff>
      <xdr:row>52</xdr:row>
      <xdr:rowOff>76200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6052038" y="2674327"/>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LUMEg5NU5JvZAdi8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08"/>
  <sheetViews>
    <sheetView tabSelected="1" showWhiteSpace="0" view="pageBreakPreview" zoomScale="115" zoomScaleNormal="100" zoomScaleSheetLayoutView="115" zoomScalePageLayoutView="85" workbookViewId="0">
      <selection activeCell="M95" sqref="M95"/>
    </sheetView>
  </sheetViews>
  <sheetFormatPr defaultColWidth="9.28515625" defaultRowHeight="15.75" x14ac:dyDescent="0.25"/>
  <cols>
    <col min="1" max="1" width="11.42578125" style="38" customWidth="1"/>
    <col min="2" max="2" width="12" style="38" customWidth="1"/>
    <col min="3" max="3" width="12.7109375" style="38" customWidth="1"/>
    <col min="4" max="4" width="14.28515625" style="38" customWidth="1"/>
    <col min="5" max="6" width="11.7109375" style="38" customWidth="1"/>
    <col min="7" max="7" width="11.42578125" style="38" customWidth="1"/>
    <col min="8" max="8" width="10.5703125" style="38" customWidth="1"/>
    <col min="9" max="9" width="17.42578125" style="19" customWidth="1"/>
    <col min="10" max="10" width="11.42578125" style="19" customWidth="1"/>
    <col min="11" max="11" width="10.5703125" style="19" bestFit="1" customWidth="1"/>
    <col min="12" max="12" width="10.5703125" style="19" customWidth="1"/>
    <col min="13" max="13" width="11.7109375" style="19" customWidth="1"/>
    <col min="14" max="14" width="12.5703125" style="19" customWidth="1"/>
    <col min="15" max="15" width="9.7109375" style="19" customWidth="1"/>
    <col min="16" max="16" width="11.7109375" style="19" customWidth="1"/>
    <col min="17" max="247" width="9.28515625" style="19"/>
    <col min="248" max="248" width="8.7109375" style="19" customWidth="1"/>
    <col min="249" max="249" width="9.7109375" style="19" customWidth="1"/>
    <col min="250" max="250" width="14.42578125" style="19" customWidth="1"/>
    <col min="251" max="251" width="7.28515625" style="19" customWidth="1"/>
    <col min="252" max="252" width="5.5703125" style="19" customWidth="1"/>
    <col min="253" max="253" width="9" style="19" customWidth="1"/>
    <col min="254" max="255" width="9.7109375" style="19" customWidth="1"/>
    <col min="256" max="256" width="11.28515625" style="19" customWidth="1"/>
    <col min="257" max="257" width="2.7109375" style="19" customWidth="1"/>
    <col min="258" max="258" width="3.5703125" style="19" customWidth="1"/>
    <col min="259" max="503" width="9.28515625" style="19"/>
    <col min="504" max="504" width="8.7109375" style="19" customWidth="1"/>
    <col min="505" max="505" width="9.7109375" style="19" customWidth="1"/>
    <col min="506" max="506" width="14.42578125" style="19" customWidth="1"/>
    <col min="507" max="507" width="7.28515625" style="19" customWidth="1"/>
    <col min="508" max="508" width="5.5703125" style="19" customWidth="1"/>
    <col min="509" max="509" width="9" style="19" customWidth="1"/>
    <col min="510" max="511" width="9.7109375" style="19" customWidth="1"/>
    <col min="512" max="512" width="11.28515625" style="19" customWidth="1"/>
    <col min="513" max="513" width="2.7109375" style="19" customWidth="1"/>
    <col min="514" max="514" width="3.5703125" style="19" customWidth="1"/>
    <col min="515" max="759" width="9.28515625" style="19"/>
    <col min="760" max="760" width="8.7109375" style="19" customWidth="1"/>
    <col min="761" max="761" width="9.7109375" style="19" customWidth="1"/>
    <col min="762" max="762" width="14.42578125" style="19" customWidth="1"/>
    <col min="763" max="763" width="7.28515625" style="19" customWidth="1"/>
    <col min="764" max="764" width="5.5703125" style="19" customWidth="1"/>
    <col min="765" max="765" width="9" style="19" customWidth="1"/>
    <col min="766" max="767" width="9.7109375" style="19" customWidth="1"/>
    <col min="768" max="768" width="11.28515625" style="19" customWidth="1"/>
    <col min="769" max="769" width="2.7109375" style="19" customWidth="1"/>
    <col min="770" max="770" width="3.5703125" style="19" customWidth="1"/>
    <col min="771" max="1015" width="9.28515625" style="19"/>
    <col min="1016" max="1016" width="8.7109375" style="19" customWidth="1"/>
    <col min="1017" max="1017" width="9.7109375" style="19" customWidth="1"/>
    <col min="1018" max="1018" width="14.42578125" style="19" customWidth="1"/>
    <col min="1019" max="1019" width="7.28515625" style="19" customWidth="1"/>
    <col min="1020" max="1020" width="5.5703125" style="19" customWidth="1"/>
    <col min="1021" max="1021" width="9" style="19" customWidth="1"/>
    <col min="1022" max="1023" width="9.7109375" style="19" customWidth="1"/>
    <col min="1024" max="1024" width="11.28515625" style="19" customWidth="1"/>
    <col min="1025" max="1025" width="2.7109375" style="19" customWidth="1"/>
    <col min="1026" max="1026" width="3.5703125" style="19" customWidth="1"/>
    <col min="1027" max="1271" width="9.28515625" style="19"/>
    <col min="1272" max="1272" width="8.7109375" style="19" customWidth="1"/>
    <col min="1273" max="1273" width="9.7109375" style="19" customWidth="1"/>
    <col min="1274" max="1274" width="14.42578125" style="19" customWidth="1"/>
    <col min="1275" max="1275" width="7.28515625" style="19" customWidth="1"/>
    <col min="1276" max="1276" width="5.5703125" style="19" customWidth="1"/>
    <col min="1277" max="1277" width="9" style="19" customWidth="1"/>
    <col min="1278" max="1279" width="9.7109375" style="19" customWidth="1"/>
    <col min="1280" max="1280" width="11.28515625" style="19" customWidth="1"/>
    <col min="1281" max="1281" width="2.7109375" style="19" customWidth="1"/>
    <col min="1282" max="1282" width="3.5703125" style="19" customWidth="1"/>
    <col min="1283" max="1527" width="9.28515625" style="19"/>
    <col min="1528" max="1528" width="8.7109375" style="19" customWidth="1"/>
    <col min="1529" max="1529" width="9.7109375" style="19" customWidth="1"/>
    <col min="1530" max="1530" width="14.42578125" style="19" customWidth="1"/>
    <col min="1531" max="1531" width="7.28515625" style="19" customWidth="1"/>
    <col min="1532" max="1532" width="5.5703125" style="19" customWidth="1"/>
    <col min="1533" max="1533" width="9" style="19" customWidth="1"/>
    <col min="1534" max="1535" width="9.7109375" style="19" customWidth="1"/>
    <col min="1536" max="1536" width="11.28515625" style="19" customWidth="1"/>
    <col min="1537" max="1537" width="2.7109375" style="19" customWidth="1"/>
    <col min="1538" max="1538" width="3.5703125" style="19" customWidth="1"/>
    <col min="1539" max="1783" width="9.28515625" style="19"/>
    <col min="1784" max="1784" width="8.7109375" style="19" customWidth="1"/>
    <col min="1785" max="1785" width="9.7109375" style="19" customWidth="1"/>
    <col min="1786" max="1786" width="14.42578125" style="19" customWidth="1"/>
    <col min="1787" max="1787" width="7.28515625" style="19" customWidth="1"/>
    <col min="1788" max="1788" width="5.5703125" style="19" customWidth="1"/>
    <col min="1789" max="1789" width="9" style="19" customWidth="1"/>
    <col min="1790" max="1791" width="9.7109375" style="19" customWidth="1"/>
    <col min="1792" max="1792" width="11.28515625" style="19" customWidth="1"/>
    <col min="1793" max="1793" width="2.7109375" style="19" customWidth="1"/>
    <col min="1794" max="1794" width="3.5703125" style="19" customWidth="1"/>
    <col min="1795" max="2039" width="9.28515625" style="19"/>
    <col min="2040" max="2040" width="8.7109375" style="19" customWidth="1"/>
    <col min="2041" max="2041" width="9.7109375" style="19" customWidth="1"/>
    <col min="2042" max="2042" width="14.42578125" style="19" customWidth="1"/>
    <col min="2043" max="2043" width="7.28515625" style="19" customWidth="1"/>
    <col min="2044" max="2044" width="5.5703125" style="19" customWidth="1"/>
    <col min="2045" max="2045" width="9" style="19" customWidth="1"/>
    <col min="2046" max="2047" width="9.7109375" style="19" customWidth="1"/>
    <col min="2048" max="2048" width="11.28515625" style="19" customWidth="1"/>
    <col min="2049" max="2049" width="2.7109375" style="19" customWidth="1"/>
    <col min="2050" max="2050" width="3.5703125" style="19" customWidth="1"/>
    <col min="2051" max="2295" width="9.28515625" style="19"/>
    <col min="2296" max="2296" width="8.7109375" style="19" customWidth="1"/>
    <col min="2297" max="2297" width="9.7109375" style="19" customWidth="1"/>
    <col min="2298" max="2298" width="14.42578125" style="19" customWidth="1"/>
    <col min="2299" max="2299" width="7.28515625" style="19" customWidth="1"/>
    <col min="2300" max="2300" width="5.5703125" style="19" customWidth="1"/>
    <col min="2301" max="2301" width="9" style="19" customWidth="1"/>
    <col min="2302" max="2303" width="9.7109375" style="19" customWidth="1"/>
    <col min="2304" max="2304" width="11.28515625" style="19" customWidth="1"/>
    <col min="2305" max="2305" width="2.7109375" style="19" customWidth="1"/>
    <col min="2306" max="2306" width="3.5703125" style="19" customWidth="1"/>
    <col min="2307" max="2551" width="9.28515625" style="19"/>
    <col min="2552" max="2552" width="8.7109375" style="19" customWidth="1"/>
    <col min="2553" max="2553" width="9.7109375" style="19" customWidth="1"/>
    <col min="2554" max="2554" width="14.42578125" style="19" customWidth="1"/>
    <col min="2555" max="2555" width="7.28515625" style="19" customWidth="1"/>
    <col min="2556" max="2556" width="5.5703125" style="19" customWidth="1"/>
    <col min="2557" max="2557" width="9" style="19" customWidth="1"/>
    <col min="2558" max="2559" width="9.7109375" style="19" customWidth="1"/>
    <col min="2560" max="2560" width="11.28515625" style="19" customWidth="1"/>
    <col min="2561" max="2561" width="2.7109375" style="19" customWidth="1"/>
    <col min="2562" max="2562" width="3.5703125" style="19" customWidth="1"/>
    <col min="2563" max="2807" width="9.28515625" style="19"/>
    <col min="2808" max="2808" width="8.7109375" style="19" customWidth="1"/>
    <col min="2809" max="2809" width="9.7109375" style="19" customWidth="1"/>
    <col min="2810" max="2810" width="14.42578125" style="19" customWidth="1"/>
    <col min="2811" max="2811" width="7.28515625" style="19" customWidth="1"/>
    <col min="2812" max="2812" width="5.5703125" style="19" customWidth="1"/>
    <col min="2813" max="2813" width="9" style="19" customWidth="1"/>
    <col min="2814" max="2815" width="9.7109375" style="19" customWidth="1"/>
    <col min="2816" max="2816" width="11.28515625" style="19" customWidth="1"/>
    <col min="2817" max="2817" width="2.7109375" style="19" customWidth="1"/>
    <col min="2818" max="2818" width="3.5703125" style="19" customWidth="1"/>
    <col min="2819" max="3063" width="9.28515625" style="19"/>
    <col min="3064" max="3064" width="8.7109375" style="19" customWidth="1"/>
    <col min="3065" max="3065" width="9.7109375" style="19" customWidth="1"/>
    <col min="3066" max="3066" width="14.42578125" style="19" customWidth="1"/>
    <col min="3067" max="3067" width="7.28515625" style="19" customWidth="1"/>
    <col min="3068" max="3068" width="5.5703125" style="19" customWidth="1"/>
    <col min="3069" max="3069" width="9" style="19" customWidth="1"/>
    <col min="3070" max="3071" width="9.7109375" style="19" customWidth="1"/>
    <col min="3072" max="3072" width="11.28515625" style="19" customWidth="1"/>
    <col min="3073" max="3073" width="2.7109375" style="19" customWidth="1"/>
    <col min="3074" max="3074" width="3.5703125" style="19" customWidth="1"/>
    <col min="3075" max="3319" width="9.28515625" style="19"/>
    <col min="3320" max="3320" width="8.7109375" style="19" customWidth="1"/>
    <col min="3321" max="3321" width="9.7109375" style="19" customWidth="1"/>
    <col min="3322" max="3322" width="14.42578125" style="19" customWidth="1"/>
    <col min="3323" max="3323" width="7.28515625" style="19" customWidth="1"/>
    <col min="3324" max="3324" width="5.5703125" style="19" customWidth="1"/>
    <col min="3325" max="3325" width="9" style="19" customWidth="1"/>
    <col min="3326" max="3327" width="9.7109375" style="19" customWidth="1"/>
    <col min="3328" max="3328" width="11.28515625" style="19" customWidth="1"/>
    <col min="3329" max="3329" width="2.7109375" style="19" customWidth="1"/>
    <col min="3330" max="3330" width="3.5703125" style="19" customWidth="1"/>
    <col min="3331" max="3575" width="9.28515625" style="19"/>
    <col min="3576" max="3576" width="8.7109375" style="19" customWidth="1"/>
    <col min="3577" max="3577" width="9.7109375" style="19" customWidth="1"/>
    <col min="3578" max="3578" width="14.42578125" style="19" customWidth="1"/>
    <col min="3579" max="3579" width="7.28515625" style="19" customWidth="1"/>
    <col min="3580" max="3580" width="5.5703125" style="19" customWidth="1"/>
    <col min="3581" max="3581" width="9" style="19" customWidth="1"/>
    <col min="3582" max="3583" width="9.7109375" style="19" customWidth="1"/>
    <col min="3584" max="3584" width="11.28515625" style="19" customWidth="1"/>
    <col min="3585" max="3585" width="2.7109375" style="19" customWidth="1"/>
    <col min="3586" max="3586" width="3.5703125" style="19" customWidth="1"/>
    <col min="3587" max="3831" width="9.28515625" style="19"/>
    <col min="3832" max="3832" width="8.7109375" style="19" customWidth="1"/>
    <col min="3833" max="3833" width="9.7109375" style="19" customWidth="1"/>
    <col min="3834" max="3834" width="14.42578125" style="19" customWidth="1"/>
    <col min="3835" max="3835" width="7.28515625" style="19" customWidth="1"/>
    <col min="3836" max="3836" width="5.5703125" style="19" customWidth="1"/>
    <col min="3837" max="3837" width="9" style="19" customWidth="1"/>
    <col min="3838" max="3839" width="9.7109375" style="19" customWidth="1"/>
    <col min="3840" max="3840" width="11.28515625" style="19" customWidth="1"/>
    <col min="3841" max="3841" width="2.7109375" style="19" customWidth="1"/>
    <col min="3842" max="3842" width="3.5703125" style="19" customWidth="1"/>
    <col min="3843" max="4087" width="9.28515625" style="19"/>
    <col min="4088" max="4088" width="8.7109375" style="19" customWidth="1"/>
    <col min="4089" max="4089" width="9.7109375" style="19" customWidth="1"/>
    <col min="4090" max="4090" width="14.42578125" style="19" customWidth="1"/>
    <col min="4091" max="4091" width="7.28515625" style="19" customWidth="1"/>
    <col min="4092" max="4092" width="5.5703125" style="19" customWidth="1"/>
    <col min="4093" max="4093" width="9" style="19" customWidth="1"/>
    <col min="4094" max="4095" width="9.7109375" style="19" customWidth="1"/>
    <col min="4096" max="4096" width="11.28515625" style="19" customWidth="1"/>
    <col min="4097" max="4097" width="2.7109375" style="19" customWidth="1"/>
    <col min="4098" max="4098" width="3.5703125" style="19" customWidth="1"/>
    <col min="4099" max="4343" width="9.28515625" style="19"/>
    <col min="4344" max="4344" width="8.7109375" style="19" customWidth="1"/>
    <col min="4345" max="4345" width="9.7109375" style="19" customWidth="1"/>
    <col min="4346" max="4346" width="14.42578125" style="19" customWidth="1"/>
    <col min="4347" max="4347" width="7.28515625" style="19" customWidth="1"/>
    <col min="4348" max="4348" width="5.5703125" style="19" customWidth="1"/>
    <col min="4349" max="4349" width="9" style="19" customWidth="1"/>
    <col min="4350" max="4351" width="9.7109375" style="19" customWidth="1"/>
    <col min="4352" max="4352" width="11.28515625" style="19" customWidth="1"/>
    <col min="4353" max="4353" width="2.7109375" style="19" customWidth="1"/>
    <col min="4354" max="4354" width="3.5703125" style="19" customWidth="1"/>
    <col min="4355" max="4599" width="9.28515625" style="19"/>
    <col min="4600" max="4600" width="8.7109375" style="19" customWidth="1"/>
    <col min="4601" max="4601" width="9.7109375" style="19" customWidth="1"/>
    <col min="4602" max="4602" width="14.42578125" style="19" customWidth="1"/>
    <col min="4603" max="4603" width="7.28515625" style="19" customWidth="1"/>
    <col min="4604" max="4604" width="5.5703125" style="19" customWidth="1"/>
    <col min="4605" max="4605" width="9" style="19" customWidth="1"/>
    <col min="4606" max="4607" width="9.7109375" style="19" customWidth="1"/>
    <col min="4608" max="4608" width="11.28515625" style="19" customWidth="1"/>
    <col min="4609" max="4609" width="2.7109375" style="19" customWidth="1"/>
    <col min="4610" max="4610" width="3.5703125" style="19" customWidth="1"/>
    <col min="4611" max="4855" width="9.28515625" style="19"/>
    <col min="4856" max="4856" width="8.7109375" style="19" customWidth="1"/>
    <col min="4857" max="4857" width="9.7109375" style="19" customWidth="1"/>
    <col min="4858" max="4858" width="14.42578125" style="19" customWidth="1"/>
    <col min="4859" max="4859" width="7.28515625" style="19" customWidth="1"/>
    <col min="4860" max="4860" width="5.5703125" style="19" customWidth="1"/>
    <col min="4861" max="4861" width="9" style="19" customWidth="1"/>
    <col min="4862" max="4863" width="9.7109375" style="19" customWidth="1"/>
    <col min="4864" max="4864" width="11.28515625" style="19" customWidth="1"/>
    <col min="4865" max="4865" width="2.7109375" style="19" customWidth="1"/>
    <col min="4866" max="4866" width="3.5703125" style="19" customWidth="1"/>
    <col min="4867" max="5111" width="9.28515625" style="19"/>
    <col min="5112" max="5112" width="8.7109375" style="19" customWidth="1"/>
    <col min="5113" max="5113" width="9.7109375" style="19" customWidth="1"/>
    <col min="5114" max="5114" width="14.42578125" style="19" customWidth="1"/>
    <col min="5115" max="5115" width="7.28515625" style="19" customWidth="1"/>
    <col min="5116" max="5116" width="5.5703125" style="19" customWidth="1"/>
    <col min="5117" max="5117" width="9" style="19" customWidth="1"/>
    <col min="5118" max="5119" width="9.7109375" style="19" customWidth="1"/>
    <col min="5120" max="5120" width="11.28515625" style="19" customWidth="1"/>
    <col min="5121" max="5121" width="2.7109375" style="19" customWidth="1"/>
    <col min="5122" max="5122" width="3.5703125" style="19" customWidth="1"/>
    <col min="5123" max="5367" width="9.28515625" style="19"/>
    <col min="5368" max="5368" width="8.7109375" style="19" customWidth="1"/>
    <col min="5369" max="5369" width="9.7109375" style="19" customWidth="1"/>
    <col min="5370" max="5370" width="14.42578125" style="19" customWidth="1"/>
    <col min="5371" max="5371" width="7.28515625" style="19" customWidth="1"/>
    <col min="5372" max="5372" width="5.5703125" style="19" customWidth="1"/>
    <col min="5373" max="5373" width="9" style="19" customWidth="1"/>
    <col min="5374" max="5375" width="9.7109375" style="19" customWidth="1"/>
    <col min="5376" max="5376" width="11.28515625" style="19" customWidth="1"/>
    <col min="5377" max="5377" width="2.7109375" style="19" customWidth="1"/>
    <col min="5378" max="5378" width="3.5703125" style="19" customWidth="1"/>
    <col min="5379" max="5623" width="9.28515625" style="19"/>
    <col min="5624" max="5624" width="8.7109375" style="19" customWidth="1"/>
    <col min="5625" max="5625" width="9.7109375" style="19" customWidth="1"/>
    <col min="5626" max="5626" width="14.42578125" style="19" customWidth="1"/>
    <col min="5627" max="5627" width="7.28515625" style="19" customWidth="1"/>
    <col min="5628" max="5628" width="5.5703125" style="19" customWidth="1"/>
    <col min="5629" max="5629" width="9" style="19" customWidth="1"/>
    <col min="5630" max="5631" width="9.7109375" style="19" customWidth="1"/>
    <col min="5632" max="5632" width="11.28515625" style="19" customWidth="1"/>
    <col min="5633" max="5633" width="2.7109375" style="19" customWidth="1"/>
    <col min="5634" max="5634" width="3.5703125" style="19" customWidth="1"/>
    <col min="5635" max="5879" width="9.28515625" style="19"/>
    <col min="5880" max="5880" width="8.7109375" style="19" customWidth="1"/>
    <col min="5881" max="5881" width="9.7109375" style="19" customWidth="1"/>
    <col min="5882" max="5882" width="14.42578125" style="19" customWidth="1"/>
    <col min="5883" max="5883" width="7.28515625" style="19" customWidth="1"/>
    <col min="5884" max="5884" width="5.5703125" style="19" customWidth="1"/>
    <col min="5885" max="5885" width="9" style="19" customWidth="1"/>
    <col min="5886" max="5887" width="9.7109375" style="19" customWidth="1"/>
    <col min="5888" max="5888" width="11.28515625" style="19" customWidth="1"/>
    <col min="5889" max="5889" width="2.7109375" style="19" customWidth="1"/>
    <col min="5890" max="5890" width="3.5703125" style="19" customWidth="1"/>
    <col min="5891" max="6135" width="9.28515625" style="19"/>
    <col min="6136" max="6136" width="8.7109375" style="19" customWidth="1"/>
    <col min="6137" max="6137" width="9.7109375" style="19" customWidth="1"/>
    <col min="6138" max="6138" width="14.42578125" style="19" customWidth="1"/>
    <col min="6139" max="6139" width="7.28515625" style="19" customWidth="1"/>
    <col min="6140" max="6140" width="5.5703125" style="19" customWidth="1"/>
    <col min="6141" max="6141" width="9" style="19" customWidth="1"/>
    <col min="6142" max="6143" width="9.7109375" style="19" customWidth="1"/>
    <col min="6144" max="6144" width="11.28515625" style="19" customWidth="1"/>
    <col min="6145" max="6145" width="2.7109375" style="19" customWidth="1"/>
    <col min="6146" max="6146" width="3.5703125" style="19" customWidth="1"/>
    <col min="6147" max="6391" width="9.28515625" style="19"/>
    <col min="6392" max="6392" width="8.7109375" style="19" customWidth="1"/>
    <col min="6393" max="6393" width="9.7109375" style="19" customWidth="1"/>
    <col min="6394" max="6394" width="14.42578125" style="19" customWidth="1"/>
    <col min="6395" max="6395" width="7.28515625" style="19" customWidth="1"/>
    <col min="6396" max="6396" width="5.5703125" style="19" customWidth="1"/>
    <col min="6397" max="6397" width="9" style="19" customWidth="1"/>
    <col min="6398" max="6399" width="9.7109375" style="19" customWidth="1"/>
    <col min="6400" max="6400" width="11.28515625" style="19" customWidth="1"/>
    <col min="6401" max="6401" width="2.7109375" style="19" customWidth="1"/>
    <col min="6402" max="6402" width="3.5703125" style="19" customWidth="1"/>
    <col min="6403" max="6647" width="9.28515625" style="19"/>
    <col min="6648" max="6648" width="8.7109375" style="19" customWidth="1"/>
    <col min="6649" max="6649" width="9.7109375" style="19" customWidth="1"/>
    <col min="6650" max="6650" width="14.42578125" style="19" customWidth="1"/>
    <col min="6651" max="6651" width="7.28515625" style="19" customWidth="1"/>
    <col min="6652" max="6652" width="5.5703125" style="19" customWidth="1"/>
    <col min="6653" max="6653" width="9" style="19" customWidth="1"/>
    <col min="6654" max="6655" width="9.7109375" style="19" customWidth="1"/>
    <col min="6656" max="6656" width="11.28515625" style="19" customWidth="1"/>
    <col min="6657" max="6657" width="2.7109375" style="19" customWidth="1"/>
    <col min="6658" max="6658" width="3.5703125" style="19" customWidth="1"/>
    <col min="6659" max="6903" width="9.28515625" style="19"/>
    <col min="6904" max="6904" width="8.7109375" style="19" customWidth="1"/>
    <col min="6905" max="6905" width="9.7109375" style="19" customWidth="1"/>
    <col min="6906" max="6906" width="14.42578125" style="19" customWidth="1"/>
    <col min="6907" max="6907" width="7.28515625" style="19" customWidth="1"/>
    <col min="6908" max="6908" width="5.5703125" style="19" customWidth="1"/>
    <col min="6909" max="6909" width="9" style="19" customWidth="1"/>
    <col min="6910" max="6911" width="9.7109375" style="19" customWidth="1"/>
    <col min="6912" max="6912" width="11.28515625" style="19" customWidth="1"/>
    <col min="6913" max="6913" width="2.7109375" style="19" customWidth="1"/>
    <col min="6914" max="6914" width="3.5703125" style="19" customWidth="1"/>
    <col min="6915" max="7159" width="9.28515625" style="19"/>
    <col min="7160" max="7160" width="8.7109375" style="19" customWidth="1"/>
    <col min="7161" max="7161" width="9.7109375" style="19" customWidth="1"/>
    <col min="7162" max="7162" width="14.42578125" style="19" customWidth="1"/>
    <col min="7163" max="7163" width="7.28515625" style="19" customWidth="1"/>
    <col min="7164" max="7164" width="5.5703125" style="19" customWidth="1"/>
    <col min="7165" max="7165" width="9" style="19" customWidth="1"/>
    <col min="7166" max="7167" width="9.7109375" style="19" customWidth="1"/>
    <col min="7168" max="7168" width="11.28515625" style="19" customWidth="1"/>
    <col min="7169" max="7169" width="2.7109375" style="19" customWidth="1"/>
    <col min="7170" max="7170" width="3.5703125" style="19" customWidth="1"/>
    <col min="7171" max="7415" width="9.28515625" style="19"/>
    <col min="7416" max="7416" width="8.7109375" style="19" customWidth="1"/>
    <col min="7417" max="7417" width="9.7109375" style="19" customWidth="1"/>
    <col min="7418" max="7418" width="14.42578125" style="19" customWidth="1"/>
    <col min="7419" max="7419" width="7.28515625" style="19" customWidth="1"/>
    <col min="7420" max="7420" width="5.5703125" style="19" customWidth="1"/>
    <col min="7421" max="7421" width="9" style="19" customWidth="1"/>
    <col min="7422" max="7423" width="9.7109375" style="19" customWidth="1"/>
    <col min="7424" max="7424" width="11.28515625" style="19" customWidth="1"/>
    <col min="7425" max="7425" width="2.7109375" style="19" customWidth="1"/>
    <col min="7426" max="7426" width="3.5703125" style="19" customWidth="1"/>
    <col min="7427" max="7671" width="9.28515625" style="19"/>
    <col min="7672" max="7672" width="8.7109375" style="19" customWidth="1"/>
    <col min="7673" max="7673" width="9.7109375" style="19" customWidth="1"/>
    <col min="7674" max="7674" width="14.42578125" style="19" customWidth="1"/>
    <col min="7675" max="7675" width="7.28515625" style="19" customWidth="1"/>
    <col min="7676" max="7676" width="5.5703125" style="19" customWidth="1"/>
    <col min="7677" max="7677" width="9" style="19" customWidth="1"/>
    <col min="7678" max="7679" width="9.7109375" style="19" customWidth="1"/>
    <col min="7680" max="7680" width="11.28515625" style="19" customWidth="1"/>
    <col min="7681" max="7681" width="2.7109375" style="19" customWidth="1"/>
    <col min="7682" max="7682" width="3.5703125" style="19" customWidth="1"/>
    <col min="7683" max="7927" width="9.28515625" style="19"/>
    <col min="7928" max="7928" width="8.7109375" style="19" customWidth="1"/>
    <col min="7929" max="7929" width="9.7109375" style="19" customWidth="1"/>
    <col min="7930" max="7930" width="14.42578125" style="19" customWidth="1"/>
    <col min="7931" max="7931" width="7.28515625" style="19" customWidth="1"/>
    <col min="7932" max="7932" width="5.5703125" style="19" customWidth="1"/>
    <col min="7933" max="7933" width="9" style="19" customWidth="1"/>
    <col min="7934" max="7935" width="9.7109375" style="19" customWidth="1"/>
    <col min="7936" max="7936" width="11.28515625" style="19" customWidth="1"/>
    <col min="7937" max="7937" width="2.7109375" style="19" customWidth="1"/>
    <col min="7938" max="7938" width="3.5703125" style="19" customWidth="1"/>
    <col min="7939" max="8183" width="9.28515625" style="19"/>
    <col min="8184" max="8184" width="8.7109375" style="19" customWidth="1"/>
    <col min="8185" max="8185" width="9.7109375" style="19" customWidth="1"/>
    <col min="8186" max="8186" width="14.42578125" style="19" customWidth="1"/>
    <col min="8187" max="8187" width="7.28515625" style="19" customWidth="1"/>
    <col min="8188" max="8188" width="5.5703125" style="19" customWidth="1"/>
    <col min="8189" max="8189" width="9" style="19" customWidth="1"/>
    <col min="8190" max="8191" width="9.7109375" style="19" customWidth="1"/>
    <col min="8192" max="8192" width="11.28515625" style="19" customWidth="1"/>
    <col min="8193" max="8193" width="2.7109375" style="19" customWidth="1"/>
    <col min="8194" max="8194" width="3.5703125" style="19" customWidth="1"/>
    <col min="8195" max="8439" width="9.28515625" style="19"/>
    <col min="8440" max="8440" width="8.7109375" style="19" customWidth="1"/>
    <col min="8441" max="8441" width="9.7109375" style="19" customWidth="1"/>
    <col min="8442" max="8442" width="14.42578125" style="19" customWidth="1"/>
    <col min="8443" max="8443" width="7.28515625" style="19" customWidth="1"/>
    <col min="8444" max="8444" width="5.5703125" style="19" customWidth="1"/>
    <col min="8445" max="8445" width="9" style="19" customWidth="1"/>
    <col min="8446" max="8447" width="9.7109375" style="19" customWidth="1"/>
    <col min="8448" max="8448" width="11.28515625" style="19" customWidth="1"/>
    <col min="8449" max="8449" width="2.7109375" style="19" customWidth="1"/>
    <col min="8450" max="8450" width="3.5703125" style="19" customWidth="1"/>
    <col min="8451" max="8695" width="9.28515625" style="19"/>
    <col min="8696" max="8696" width="8.7109375" style="19" customWidth="1"/>
    <col min="8697" max="8697" width="9.7109375" style="19" customWidth="1"/>
    <col min="8698" max="8698" width="14.42578125" style="19" customWidth="1"/>
    <col min="8699" max="8699" width="7.28515625" style="19" customWidth="1"/>
    <col min="8700" max="8700" width="5.5703125" style="19" customWidth="1"/>
    <col min="8701" max="8701" width="9" style="19" customWidth="1"/>
    <col min="8702" max="8703" width="9.7109375" style="19" customWidth="1"/>
    <col min="8704" max="8704" width="11.28515625" style="19" customWidth="1"/>
    <col min="8705" max="8705" width="2.7109375" style="19" customWidth="1"/>
    <col min="8706" max="8706" width="3.5703125" style="19" customWidth="1"/>
    <col min="8707" max="8951" width="9.28515625" style="19"/>
    <col min="8952" max="8952" width="8.7109375" style="19" customWidth="1"/>
    <col min="8953" max="8953" width="9.7109375" style="19" customWidth="1"/>
    <col min="8954" max="8954" width="14.42578125" style="19" customWidth="1"/>
    <col min="8955" max="8955" width="7.28515625" style="19" customWidth="1"/>
    <col min="8956" max="8956" width="5.5703125" style="19" customWidth="1"/>
    <col min="8957" max="8957" width="9" style="19" customWidth="1"/>
    <col min="8958" max="8959" width="9.7109375" style="19" customWidth="1"/>
    <col min="8960" max="8960" width="11.28515625" style="19" customWidth="1"/>
    <col min="8961" max="8961" width="2.7109375" style="19" customWidth="1"/>
    <col min="8962" max="8962" width="3.5703125" style="19" customWidth="1"/>
    <col min="8963" max="9207" width="9.28515625" style="19"/>
    <col min="9208" max="9208" width="8.7109375" style="19" customWidth="1"/>
    <col min="9209" max="9209" width="9.7109375" style="19" customWidth="1"/>
    <col min="9210" max="9210" width="14.42578125" style="19" customWidth="1"/>
    <col min="9211" max="9211" width="7.28515625" style="19" customWidth="1"/>
    <col min="9212" max="9212" width="5.5703125" style="19" customWidth="1"/>
    <col min="9213" max="9213" width="9" style="19" customWidth="1"/>
    <col min="9214" max="9215" width="9.7109375" style="19" customWidth="1"/>
    <col min="9216" max="9216" width="11.28515625" style="19" customWidth="1"/>
    <col min="9217" max="9217" width="2.7109375" style="19" customWidth="1"/>
    <col min="9218" max="9218" width="3.5703125" style="19" customWidth="1"/>
    <col min="9219" max="9463" width="9.28515625" style="19"/>
    <col min="9464" max="9464" width="8.7109375" style="19" customWidth="1"/>
    <col min="9465" max="9465" width="9.7109375" style="19" customWidth="1"/>
    <col min="9466" max="9466" width="14.42578125" style="19" customWidth="1"/>
    <col min="9467" max="9467" width="7.28515625" style="19" customWidth="1"/>
    <col min="9468" max="9468" width="5.5703125" style="19" customWidth="1"/>
    <col min="9469" max="9469" width="9" style="19" customWidth="1"/>
    <col min="9470" max="9471" width="9.7109375" style="19" customWidth="1"/>
    <col min="9472" max="9472" width="11.28515625" style="19" customWidth="1"/>
    <col min="9473" max="9473" width="2.7109375" style="19" customWidth="1"/>
    <col min="9474" max="9474" width="3.5703125" style="19" customWidth="1"/>
    <col min="9475" max="9719" width="9.28515625" style="19"/>
    <col min="9720" max="9720" width="8.7109375" style="19" customWidth="1"/>
    <col min="9721" max="9721" width="9.7109375" style="19" customWidth="1"/>
    <col min="9722" max="9722" width="14.42578125" style="19" customWidth="1"/>
    <col min="9723" max="9723" width="7.28515625" style="19" customWidth="1"/>
    <col min="9724" max="9724" width="5.5703125" style="19" customWidth="1"/>
    <col min="9725" max="9725" width="9" style="19" customWidth="1"/>
    <col min="9726" max="9727" width="9.7109375" style="19" customWidth="1"/>
    <col min="9728" max="9728" width="11.28515625" style="19" customWidth="1"/>
    <col min="9729" max="9729" width="2.7109375" style="19" customWidth="1"/>
    <col min="9730" max="9730" width="3.5703125" style="19" customWidth="1"/>
    <col min="9731" max="9975" width="9.28515625" style="19"/>
    <col min="9976" max="9976" width="8.7109375" style="19" customWidth="1"/>
    <col min="9977" max="9977" width="9.7109375" style="19" customWidth="1"/>
    <col min="9978" max="9978" width="14.42578125" style="19" customWidth="1"/>
    <col min="9979" max="9979" width="7.28515625" style="19" customWidth="1"/>
    <col min="9980" max="9980" width="5.5703125" style="19" customWidth="1"/>
    <col min="9981" max="9981" width="9" style="19" customWidth="1"/>
    <col min="9982" max="9983" width="9.7109375" style="19" customWidth="1"/>
    <col min="9984" max="9984" width="11.28515625" style="19" customWidth="1"/>
    <col min="9985" max="9985" width="2.7109375" style="19" customWidth="1"/>
    <col min="9986" max="9986" width="3.5703125" style="19" customWidth="1"/>
    <col min="9987" max="10231" width="9.28515625" style="19"/>
    <col min="10232" max="10232" width="8.7109375" style="19" customWidth="1"/>
    <col min="10233" max="10233" width="9.7109375" style="19" customWidth="1"/>
    <col min="10234" max="10234" width="14.42578125" style="19" customWidth="1"/>
    <col min="10235" max="10235" width="7.28515625" style="19" customWidth="1"/>
    <col min="10236" max="10236" width="5.5703125" style="19" customWidth="1"/>
    <col min="10237" max="10237" width="9" style="19" customWidth="1"/>
    <col min="10238" max="10239" width="9.7109375" style="19" customWidth="1"/>
    <col min="10240" max="10240" width="11.28515625" style="19" customWidth="1"/>
    <col min="10241" max="10241" width="2.7109375" style="19" customWidth="1"/>
    <col min="10242" max="10242" width="3.5703125" style="19" customWidth="1"/>
    <col min="10243" max="10487" width="9.28515625" style="19"/>
    <col min="10488" max="10488" width="8.7109375" style="19" customWidth="1"/>
    <col min="10489" max="10489" width="9.7109375" style="19" customWidth="1"/>
    <col min="10490" max="10490" width="14.42578125" style="19" customWidth="1"/>
    <col min="10491" max="10491" width="7.28515625" style="19" customWidth="1"/>
    <col min="10492" max="10492" width="5.5703125" style="19" customWidth="1"/>
    <col min="10493" max="10493" width="9" style="19" customWidth="1"/>
    <col min="10494" max="10495" width="9.7109375" style="19" customWidth="1"/>
    <col min="10496" max="10496" width="11.28515625" style="19" customWidth="1"/>
    <col min="10497" max="10497" width="2.7109375" style="19" customWidth="1"/>
    <col min="10498" max="10498" width="3.5703125" style="19" customWidth="1"/>
    <col min="10499" max="10743" width="9.28515625" style="19"/>
    <col min="10744" max="10744" width="8.7109375" style="19" customWidth="1"/>
    <col min="10745" max="10745" width="9.7109375" style="19" customWidth="1"/>
    <col min="10746" max="10746" width="14.42578125" style="19" customWidth="1"/>
    <col min="10747" max="10747" width="7.28515625" style="19" customWidth="1"/>
    <col min="10748" max="10748" width="5.5703125" style="19" customWidth="1"/>
    <col min="10749" max="10749" width="9" style="19" customWidth="1"/>
    <col min="10750" max="10751" width="9.7109375" style="19" customWidth="1"/>
    <col min="10752" max="10752" width="11.28515625" style="19" customWidth="1"/>
    <col min="10753" max="10753" width="2.7109375" style="19" customWidth="1"/>
    <col min="10754" max="10754" width="3.5703125" style="19" customWidth="1"/>
    <col min="10755" max="10999" width="9.28515625" style="19"/>
    <col min="11000" max="11000" width="8.7109375" style="19" customWidth="1"/>
    <col min="11001" max="11001" width="9.7109375" style="19" customWidth="1"/>
    <col min="11002" max="11002" width="14.42578125" style="19" customWidth="1"/>
    <col min="11003" max="11003" width="7.28515625" style="19" customWidth="1"/>
    <col min="11004" max="11004" width="5.5703125" style="19" customWidth="1"/>
    <col min="11005" max="11005" width="9" style="19" customWidth="1"/>
    <col min="11006" max="11007" width="9.7109375" style="19" customWidth="1"/>
    <col min="11008" max="11008" width="11.28515625" style="19" customWidth="1"/>
    <col min="11009" max="11009" width="2.7109375" style="19" customWidth="1"/>
    <col min="11010" max="11010" width="3.5703125" style="19" customWidth="1"/>
    <col min="11011" max="11255" width="9.28515625" style="19"/>
    <col min="11256" max="11256" width="8.7109375" style="19" customWidth="1"/>
    <col min="11257" max="11257" width="9.7109375" style="19" customWidth="1"/>
    <col min="11258" max="11258" width="14.42578125" style="19" customWidth="1"/>
    <col min="11259" max="11259" width="7.28515625" style="19" customWidth="1"/>
    <col min="11260" max="11260" width="5.5703125" style="19" customWidth="1"/>
    <col min="11261" max="11261" width="9" style="19" customWidth="1"/>
    <col min="11262" max="11263" width="9.7109375" style="19" customWidth="1"/>
    <col min="11264" max="11264" width="11.28515625" style="19" customWidth="1"/>
    <col min="11265" max="11265" width="2.7109375" style="19" customWidth="1"/>
    <col min="11266" max="11266" width="3.5703125" style="19" customWidth="1"/>
    <col min="11267" max="11511" width="9.28515625" style="19"/>
    <col min="11512" max="11512" width="8.7109375" style="19" customWidth="1"/>
    <col min="11513" max="11513" width="9.7109375" style="19" customWidth="1"/>
    <col min="11514" max="11514" width="14.42578125" style="19" customWidth="1"/>
    <col min="11515" max="11515" width="7.28515625" style="19" customWidth="1"/>
    <col min="11516" max="11516" width="5.5703125" style="19" customWidth="1"/>
    <col min="11517" max="11517" width="9" style="19" customWidth="1"/>
    <col min="11518" max="11519" width="9.7109375" style="19" customWidth="1"/>
    <col min="11520" max="11520" width="11.28515625" style="19" customWidth="1"/>
    <col min="11521" max="11521" width="2.7109375" style="19" customWidth="1"/>
    <col min="11522" max="11522" width="3.5703125" style="19" customWidth="1"/>
    <col min="11523" max="11767" width="9.28515625" style="19"/>
    <col min="11768" max="11768" width="8.7109375" style="19" customWidth="1"/>
    <col min="11769" max="11769" width="9.7109375" style="19" customWidth="1"/>
    <col min="11770" max="11770" width="14.42578125" style="19" customWidth="1"/>
    <col min="11771" max="11771" width="7.28515625" style="19" customWidth="1"/>
    <col min="11772" max="11772" width="5.5703125" style="19" customWidth="1"/>
    <col min="11773" max="11773" width="9" style="19" customWidth="1"/>
    <col min="11774" max="11775" width="9.7109375" style="19" customWidth="1"/>
    <col min="11776" max="11776" width="11.28515625" style="19" customWidth="1"/>
    <col min="11777" max="11777" width="2.7109375" style="19" customWidth="1"/>
    <col min="11778" max="11778" width="3.5703125" style="19" customWidth="1"/>
    <col min="11779" max="12023" width="9.28515625" style="19"/>
    <col min="12024" max="12024" width="8.7109375" style="19" customWidth="1"/>
    <col min="12025" max="12025" width="9.7109375" style="19" customWidth="1"/>
    <col min="12026" max="12026" width="14.42578125" style="19" customWidth="1"/>
    <col min="12027" max="12027" width="7.28515625" style="19" customWidth="1"/>
    <col min="12028" max="12028" width="5.5703125" style="19" customWidth="1"/>
    <col min="12029" max="12029" width="9" style="19" customWidth="1"/>
    <col min="12030" max="12031" width="9.7109375" style="19" customWidth="1"/>
    <col min="12032" max="12032" width="11.28515625" style="19" customWidth="1"/>
    <col min="12033" max="12033" width="2.7109375" style="19" customWidth="1"/>
    <col min="12034" max="12034" width="3.5703125" style="19" customWidth="1"/>
    <col min="12035" max="12279" width="9.28515625" style="19"/>
    <col min="12280" max="12280" width="8.7109375" style="19" customWidth="1"/>
    <col min="12281" max="12281" width="9.7109375" style="19" customWidth="1"/>
    <col min="12282" max="12282" width="14.42578125" style="19" customWidth="1"/>
    <col min="12283" max="12283" width="7.28515625" style="19" customWidth="1"/>
    <col min="12284" max="12284" width="5.5703125" style="19" customWidth="1"/>
    <col min="12285" max="12285" width="9" style="19" customWidth="1"/>
    <col min="12286" max="12287" width="9.7109375" style="19" customWidth="1"/>
    <col min="12288" max="12288" width="11.28515625" style="19" customWidth="1"/>
    <col min="12289" max="12289" width="2.7109375" style="19" customWidth="1"/>
    <col min="12290" max="12290" width="3.5703125" style="19" customWidth="1"/>
    <col min="12291" max="12535" width="9.28515625" style="19"/>
    <col min="12536" max="12536" width="8.7109375" style="19" customWidth="1"/>
    <col min="12537" max="12537" width="9.7109375" style="19" customWidth="1"/>
    <col min="12538" max="12538" width="14.42578125" style="19" customWidth="1"/>
    <col min="12539" max="12539" width="7.28515625" style="19" customWidth="1"/>
    <col min="12540" max="12540" width="5.5703125" style="19" customWidth="1"/>
    <col min="12541" max="12541" width="9" style="19" customWidth="1"/>
    <col min="12542" max="12543" width="9.7109375" style="19" customWidth="1"/>
    <col min="12544" max="12544" width="11.28515625" style="19" customWidth="1"/>
    <col min="12545" max="12545" width="2.7109375" style="19" customWidth="1"/>
    <col min="12546" max="12546" width="3.5703125" style="19" customWidth="1"/>
    <col min="12547" max="12791" width="9.28515625" style="19"/>
    <col min="12792" max="12792" width="8.7109375" style="19" customWidth="1"/>
    <col min="12793" max="12793" width="9.7109375" style="19" customWidth="1"/>
    <col min="12794" max="12794" width="14.42578125" style="19" customWidth="1"/>
    <col min="12795" max="12795" width="7.28515625" style="19" customWidth="1"/>
    <col min="12796" max="12796" width="5.5703125" style="19" customWidth="1"/>
    <col min="12797" max="12797" width="9" style="19" customWidth="1"/>
    <col min="12798" max="12799" width="9.7109375" style="19" customWidth="1"/>
    <col min="12800" max="12800" width="11.28515625" style="19" customWidth="1"/>
    <col min="12801" max="12801" width="2.7109375" style="19" customWidth="1"/>
    <col min="12802" max="12802" width="3.5703125" style="19" customWidth="1"/>
    <col min="12803" max="13047" width="9.28515625" style="19"/>
    <col min="13048" max="13048" width="8.7109375" style="19" customWidth="1"/>
    <col min="13049" max="13049" width="9.7109375" style="19" customWidth="1"/>
    <col min="13050" max="13050" width="14.42578125" style="19" customWidth="1"/>
    <col min="13051" max="13051" width="7.28515625" style="19" customWidth="1"/>
    <col min="13052" max="13052" width="5.5703125" style="19" customWidth="1"/>
    <col min="13053" max="13053" width="9" style="19" customWidth="1"/>
    <col min="13054" max="13055" width="9.7109375" style="19" customWidth="1"/>
    <col min="13056" max="13056" width="11.28515625" style="19" customWidth="1"/>
    <col min="13057" max="13057" width="2.7109375" style="19" customWidth="1"/>
    <col min="13058" max="13058" width="3.5703125" style="19" customWidth="1"/>
    <col min="13059" max="13303" width="9.28515625" style="19"/>
    <col min="13304" max="13304" width="8.7109375" style="19" customWidth="1"/>
    <col min="13305" max="13305" width="9.7109375" style="19" customWidth="1"/>
    <col min="13306" max="13306" width="14.42578125" style="19" customWidth="1"/>
    <col min="13307" max="13307" width="7.28515625" style="19" customWidth="1"/>
    <col min="13308" max="13308" width="5.5703125" style="19" customWidth="1"/>
    <col min="13309" max="13309" width="9" style="19" customWidth="1"/>
    <col min="13310" max="13311" width="9.7109375" style="19" customWidth="1"/>
    <col min="13312" max="13312" width="11.28515625" style="19" customWidth="1"/>
    <col min="13313" max="13313" width="2.7109375" style="19" customWidth="1"/>
    <col min="13314" max="13314" width="3.5703125" style="19" customWidth="1"/>
    <col min="13315" max="13559" width="9.28515625" style="19"/>
    <col min="13560" max="13560" width="8.7109375" style="19" customWidth="1"/>
    <col min="13561" max="13561" width="9.7109375" style="19" customWidth="1"/>
    <col min="13562" max="13562" width="14.42578125" style="19" customWidth="1"/>
    <col min="13563" max="13563" width="7.28515625" style="19" customWidth="1"/>
    <col min="13564" max="13564" width="5.5703125" style="19" customWidth="1"/>
    <col min="13565" max="13565" width="9" style="19" customWidth="1"/>
    <col min="13566" max="13567" width="9.7109375" style="19" customWidth="1"/>
    <col min="13568" max="13568" width="11.28515625" style="19" customWidth="1"/>
    <col min="13569" max="13569" width="2.7109375" style="19" customWidth="1"/>
    <col min="13570" max="13570" width="3.5703125" style="19" customWidth="1"/>
    <col min="13571" max="13815" width="9.28515625" style="19"/>
    <col min="13816" max="13816" width="8.7109375" style="19" customWidth="1"/>
    <col min="13817" max="13817" width="9.7109375" style="19" customWidth="1"/>
    <col min="13818" max="13818" width="14.42578125" style="19" customWidth="1"/>
    <col min="13819" max="13819" width="7.28515625" style="19" customWidth="1"/>
    <col min="13820" max="13820" width="5.5703125" style="19" customWidth="1"/>
    <col min="13821" max="13821" width="9" style="19" customWidth="1"/>
    <col min="13822" max="13823" width="9.7109375" style="19" customWidth="1"/>
    <col min="13824" max="13824" width="11.28515625" style="19" customWidth="1"/>
    <col min="13825" max="13825" width="2.7109375" style="19" customWidth="1"/>
    <col min="13826" max="13826" width="3.5703125" style="19" customWidth="1"/>
    <col min="13827" max="14071" width="9.28515625" style="19"/>
    <col min="14072" max="14072" width="8.7109375" style="19" customWidth="1"/>
    <col min="14073" max="14073" width="9.7109375" style="19" customWidth="1"/>
    <col min="14074" max="14074" width="14.42578125" style="19" customWidth="1"/>
    <col min="14075" max="14075" width="7.28515625" style="19" customWidth="1"/>
    <col min="14076" max="14076" width="5.5703125" style="19" customWidth="1"/>
    <col min="14077" max="14077" width="9" style="19" customWidth="1"/>
    <col min="14078" max="14079" width="9.7109375" style="19" customWidth="1"/>
    <col min="14080" max="14080" width="11.28515625" style="19" customWidth="1"/>
    <col min="14081" max="14081" width="2.7109375" style="19" customWidth="1"/>
    <col min="14082" max="14082" width="3.5703125" style="19" customWidth="1"/>
    <col min="14083" max="14327" width="9.28515625" style="19"/>
    <col min="14328" max="14328" width="8.7109375" style="19" customWidth="1"/>
    <col min="14329" max="14329" width="9.7109375" style="19" customWidth="1"/>
    <col min="14330" max="14330" width="14.42578125" style="19" customWidth="1"/>
    <col min="14331" max="14331" width="7.28515625" style="19" customWidth="1"/>
    <col min="14332" max="14332" width="5.5703125" style="19" customWidth="1"/>
    <col min="14333" max="14333" width="9" style="19" customWidth="1"/>
    <col min="14334" max="14335" width="9.7109375" style="19" customWidth="1"/>
    <col min="14336" max="14336" width="11.28515625" style="19" customWidth="1"/>
    <col min="14337" max="14337" width="2.7109375" style="19" customWidth="1"/>
    <col min="14338" max="14338" width="3.5703125" style="19" customWidth="1"/>
    <col min="14339" max="14583" width="9.28515625" style="19"/>
    <col min="14584" max="14584" width="8.7109375" style="19" customWidth="1"/>
    <col min="14585" max="14585" width="9.7109375" style="19" customWidth="1"/>
    <col min="14586" max="14586" width="14.42578125" style="19" customWidth="1"/>
    <col min="14587" max="14587" width="7.28515625" style="19" customWidth="1"/>
    <col min="14588" max="14588" width="5.5703125" style="19" customWidth="1"/>
    <col min="14589" max="14589" width="9" style="19" customWidth="1"/>
    <col min="14590" max="14591" width="9.7109375" style="19" customWidth="1"/>
    <col min="14592" max="14592" width="11.28515625" style="19" customWidth="1"/>
    <col min="14593" max="14593" width="2.7109375" style="19" customWidth="1"/>
    <col min="14594" max="14594" width="3.5703125" style="19" customWidth="1"/>
    <col min="14595" max="14839" width="9.28515625" style="19"/>
    <col min="14840" max="14840" width="8.7109375" style="19" customWidth="1"/>
    <col min="14841" max="14841" width="9.7109375" style="19" customWidth="1"/>
    <col min="14842" max="14842" width="14.42578125" style="19" customWidth="1"/>
    <col min="14843" max="14843" width="7.28515625" style="19" customWidth="1"/>
    <col min="14844" max="14844" width="5.5703125" style="19" customWidth="1"/>
    <col min="14845" max="14845" width="9" style="19" customWidth="1"/>
    <col min="14846" max="14847" width="9.7109375" style="19" customWidth="1"/>
    <col min="14848" max="14848" width="11.28515625" style="19" customWidth="1"/>
    <col min="14849" max="14849" width="2.7109375" style="19" customWidth="1"/>
    <col min="14850" max="14850" width="3.5703125" style="19" customWidth="1"/>
    <col min="14851" max="15095" width="9.28515625" style="19"/>
    <col min="15096" max="15096" width="8.7109375" style="19" customWidth="1"/>
    <col min="15097" max="15097" width="9.7109375" style="19" customWidth="1"/>
    <col min="15098" max="15098" width="14.42578125" style="19" customWidth="1"/>
    <col min="15099" max="15099" width="7.28515625" style="19" customWidth="1"/>
    <col min="15100" max="15100" width="5.5703125" style="19" customWidth="1"/>
    <col min="15101" max="15101" width="9" style="19" customWidth="1"/>
    <col min="15102" max="15103" width="9.7109375" style="19" customWidth="1"/>
    <col min="15104" max="15104" width="11.28515625" style="19" customWidth="1"/>
    <col min="15105" max="15105" width="2.7109375" style="19" customWidth="1"/>
    <col min="15106" max="15106" width="3.5703125" style="19" customWidth="1"/>
    <col min="15107" max="15351" width="9.28515625" style="19"/>
    <col min="15352" max="15352" width="8.7109375" style="19" customWidth="1"/>
    <col min="15353" max="15353" width="9.7109375" style="19" customWidth="1"/>
    <col min="15354" max="15354" width="14.42578125" style="19" customWidth="1"/>
    <col min="15355" max="15355" width="7.28515625" style="19" customWidth="1"/>
    <col min="15356" max="15356" width="5.5703125" style="19" customWidth="1"/>
    <col min="15357" max="15357" width="9" style="19" customWidth="1"/>
    <col min="15358" max="15359" width="9.7109375" style="19" customWidth="1"/>
    <col min="15360" max="15360" width="11.28515625" style="19" customWidth="1"/>
    <col min="15361" max="15361" width="2.7109375" style="19" customWidth="1"/>
    <col min="15362" max="15362" width="3.5703125" style="19" customWidth="1"/>
    <col min="15363" max="15607" width="9.28515625" style="19"/>
    <col min="15608" max="15608" width="8.7109375" style="19" customWidth="1"/>
    <col min="15609" max="15609" width="9.7109375" style="19" customWidth="1"/>
    <col min="15610" max="15610" width="14.42578125" style="19" customWidth="1"/>
    <col min="15611" max="15611" width="7.28515625" style="19" customWidth="1"/>
    <col min="15612" max="15612" width="5.5703125" style="19" customWidth="1"/>
    <col min="15613" max="15613" width="9" style="19" customWidth="1"/>
    <col min="15614" max="15615" width="9.7109375" style="19" customWidth="1"/>
    <col min="15616" max="15616" width="11.28515625" style="19" customWidth="1"/>
    <col min="15617" max="15617" width="2.7109375" style="19" customWidth="1"/>
    <col min="15618" max="15618" width="3.5703125" style="19" customWidth="1"/>
    <col min="15619" max="15863" width="9.28515625" style="19"/>
    <col min="15864" max="15864" width="8.7109375" style="19" customWidth="1"/>
    <col min="15865" max="15865" width="9.7109375" style="19" customWidth="1"/>
    <col min="15866" max="15866" width="14.42578125" style="19" customWidth="1"/>
    <col min="15867" max="15867" width="7.28515625" style="19" customWidth="1"/>
    <col min="15868" max="15868" width="5.5703125" style="19" customWidth="1"/>
    <col min="15869" max="15869" width="9" style="19" customWidth="1"/>
    <col min="15870" max="15871" width="9.7109375" style="19" customWidth="1"/>
    <col min="15872" max="15872" width="11.28515625" style="19" customWidth="1"/>
    <col min="15873" max="15873" width="2.7109375" style="19" customWidth="1"/>
    <col min="15874" max="15874" width="3.5703125" style="19" customWidth="1"/>
    <col min="15875" max="16119" width="9.28515625" style="19"/>
    <col min="16120" max="16120" width="8.7109375" style="19" customWidth="1"/>
    <col min="16121" max="16121" width="9.7109375" style="19" customWidth="1"/>
    <col min="16122" max="16122" width="14.42578125" style="19" customWidth="1"/>
    <col min="16123" max="16123" width="7.28515625" style="19" customWidth="1"/>
    <col min="16124" max="16124" width="5.5703125" style="19" customWidth="1"/>
    <col min="16125" max="16125" width="9" style="19" customWidth="1"/>
    <col min="16126" max="16127" width="9.7109375" style="19" customWidth="1"/>
    <col min="16128" max="16128" width="11.28515625" style="19" customWidth="1"/>
    <col min="16129" max="16129" width="2.7109375" style="19" customWidth="1"/>
    <col min="16130" max="16130" width="3.5703125" style="19" customWidth="1"/>
    <col min="16131" max="16384" width="9.28515625" style="19"/>
  </cols>
  <sheetData>
    <row r="1" spans="1:26" ht="46.5" customHeight="1" x14ac:dyDescent="0.25">
      <c r="A1" s="180" t="s">
        <v>168</v>
      </c>
      <c r="B1" s="180"/>
      <c r="C1" s="180"/>
      <c r="D1" s="180"/>
      <c r="E1" s="180"/>
      <c r="F1" s="180"/>
      <c r="G1" s="180"/>
      <c r="H1" s="180"/>
    </row>
    <row r="2" spans="1:26" ht="16.5" customHeight="1" x14ac:dyDescent="0.25">
      <c r="A2" s="123" t="s">
        <v>0</v>
      </c>
      <c r="B2" s="123"/>
      <c r="C2" s="123"/>
      <c r="D2" s="123"/>
      <c r="E2" s="123"/>
      <c r="F2" s="123"/>
      <c r="G2" s="123"/>
      <c r="H2" s="123"/>
    </row>
    <row r="3" spans="1:26" x14ac:dyDescent="0.25">
      <c r="A3" s="144" t="s">
        <v>1</v>
      </c>
      <c r="B3" s="144"/>
      <c r="C3" s="144"/>
      <c r="D3" s="144"/>
      <c r="E3" s="144" t="str">
        <f ca="1">TEXT(TODAY(),"DD/MM/YYYY")</f>
        <v>12/08/2025</v>
      </c>
      <c r="F3" s="144"/>
      <c r="G3" s="144"/>
      <c r="H3" s="144"/>
    </row>
    <row r="4" spans="1:26" ht="15" customHeight="1" x14ac:dyDescent="0.25">
      <c r="A4" s="144" t="s">
        <v>2</v>
      </c>
      <c r="B4" s="144"/>
      <c r="C4" s="144"/>
      <c r="D4" s="144"/>
      <c r="E4" s="144" t="s">
        <v>234</v>
      </c>
      <c r="F4" s="144"/>
      <c r="G4" s="144"/>
      <c r="H4" s="144"/>
    </row>
    <row r="5" spans="1:26" x14ac:dyDescent="0.25">
      <c r="A5" s="144" t="s">
        <v>3</v>
      </c>
      <c r="B5" s="144"/>
      <c r="C5" s="144"/>
      <c r="D5" s="144"/>
      <c r="E5" s="181">
        <v>45880</v>
      </c>
      <c r="F5" s="144"/>
      <c r="G5" s="144"/>
      <c r="H5" s="144"/>
    </row>
    <row r="6" spans="1:26" ht="16.5" customHeight="1" x14ac:dyDescent="0.25">
      <c r="A6" s="144" t="s">
        <v>4</v>
      </c>
      <c r="B6" s="144"/>
      <c r="C6" s="144"/>
      <c r="D6" s="144"/>
      <c r="E6" s="144" t="s">
        <v>235</v>
      </c>
      <c r="F6" s="144"/>
      <c r="G6" s="144"/>
      <c r="H6" s="144"/>
    </row>
    <row r="7" spans="1:26" ht="15" customHeight="1" x14ac:dyDescent="0.25">
      <c r="A7" s="144" t="s">
        <v>5</v>
      </c>
      <c r="B7" s="144"/>
      <c r="C7" s="144"/>
      <c r="D7" s="144"/>
      <c r="E7" s="144" t="str">
        <f>E6</f>
        <v>HGP Community Pvt. Ltd.</v>
      </c>
      <c r="F7" s="144"/>
      <c r="G7" s="144"/>
      <c r="H7" s="144"/>
    </row>
    <row r="8" spans="1:26" x14ac:dyDescent="0.25">
      <c r="A8" s="144" t="s">
        <v>6</v>
      </c>
      <c r="B8" s="144"/>
      <c r="C8" s="144"/>
      <c r="D8" s="144"/>
      <c r="E8" s="101" t="s">
        <v>236</v>
      </c>
      <c r="F8" s="101"/>
      <c r="G8" s="101"/>
      <c r="H8" s="101"/>
    </row>
    <row r="9" spans="1:26" x14ac:dyDescent="0.25">
      <c r="A9" s="144" t="s">
        <v>171</v>
      </c>
      <c r="B9" s="144"/>
      <c r="C9" s="144"/>
      <c r="D9" s="144"/>
      <c r="E9" s="144" t="s">
        <v>304</v>
      </c>
      <c r="F9" s="144"/>
      <c r="G9" s="144"/>
      <c r="H9" s="144"/>
    </row>
    <row r="10" spans="1:26" x14ac:dyDescent="0.25">
      <c r="A10" s="144" t="s">
        <v>172</v>
      </c>
      <c r="B10" s="144"/>
      <c r="C10" s="144"/>
      <c r="D10" s="144"/>
      <c r="E10" s="144" t="s">
        <v>305</v>
      </c>
      <c r="F10" s="144"/>
      <c r="G10" s="144"/>
      <c r="H10" s="144"/>
    </row>
    <row r="11" spans="1:26" x14ac:dyDescent="0.25">
      <c r="A11" s="144" t="s">
        <v>7</v>
      </c>
      <c r="B11" s="144"/>
      <c r="C11" s="144"/>
      <c r="D11" s="144"/>
      <c r="E11" s="144" t="s">
        <v>237</v>
      </c>
      <c r="F11" s="144"/>
      <c r="G11" s="144"/>
      <c r="H11" s="144"/>
    </row>
    <row r="12" spans="1:26" hidden="1" x14ac:dyDescent="0.25">
      <c r="A12" s="144" t="s">
        <v>174</v>
      </c>
      <c r="B12" s="144"/>
      <c r="C12" s="144"/>
      <c r="D12" s="144"/>
      <c r="E12" s="144"/>
      <c r="F12" s="144"/>
      <c r="G12" s="144"/>
      <c r="H12" s="144"/>
      <c r="S12" s="50" t="s">
        <v>181</v>
      </c>
      <c r="T12" s="50" t="s">
        <v>191</v>
      </c>
      <c r="U12" s="50" t="s">
        <v>175</v>
      </c>
      <c r="V12" s="50" t="s">
        <v>196</v>
      </c>
      <c r="W12" s="50" t="s">
        <v>214</v>
      </c>
      <c r="X12"/>
      <c r="Y12" t="s">
        <v>196</v>
      </c>
      <c r="Z12" t="e">
        <f ca="1">OFFSET($S$12,1,MATCH($G19,$S$12:$W$12,0)-1,15,1)</f>
        <v>#VALUE!</v>
      </c>
    </row>
    <row r="13" spans="1:26" x14ac:dyDescent="0.25">
      <c r="A13" s="125" t="s">
        <v>8</v>
      </c>
      <c r="B13" s="125"/>
      <c r="C13" s="125"/>
      <c r="D13" s="125"/>
      <c r="E13" s="143" t="s">
        <v>229</v>
      </c>
      <c r="F13" s="143"/>
      <c r="G13" s="143"/>
      <c r="H13" s="143"/>
      <c r="S13" s="50" t="s">
        <v>182</v>
      </c>
      <c r="T13" s="50" t="s">
        <v>189</v>
      </c>
      <c r="U13" s="50" t="s">
        <v>211</v>
      </c>
      <c r="V13" s="50" t="s">
        <v>197</v>
      </c>
      <c r="W13" s="50" t="s">
        <v>215</v>
      </c>
      <c r="X13"/>
      <c r="Y13"/>
      <c r="Z13"/>
    </row>
    <row r="14" spans="1:26" x14ac:dyDescent="0.25">
      <c r="A14" s="125" t="s">
        <v>9</v>
      </c>
      <c r="B14" s="125"/>
      <c r="C14" s="125"/>
      <c r="D14" s="125"/>
      <c r="E14" s="143" t="s">
        <v>238</v>
      </c>
      <c r="F14" s="144"/>
      <c r="G14" s="144"/>
      <c r="H14" s="144"/>
      <c r="I14" s="120" t="e">
        <f ca="1">OFFSET($D$4,1,MATCH($J12,$D$4:$H$4,0)-1,15,1)</f>
        <v>#N/A</v>
      </c>
      <c r="J14" s="121"/>
      <c r="K14" s="121"/>
      <c r="L14" s="121"/>
      <c r="M14" s="121"/>
      <c r="N14" s="121"/>
      <c r="O14" s="121"/>
      <c r="P14" s="121"/>
      <c r="S14" s="50" t="s">
        <v>183</v>
      </c>
      <c r="T14" s="50" t="s">
        <v>190</v>
      </c>
      <c r="U14" s="50" t="s">
        <v>212</v>
      </c>
      <c r="V14" s="50" t="s">
        <v>198</v>
      </c>
      <c r="W14" s="50" t="s">
        <v>228</v>
      </c>
      <c r="X14"/>
      <c r="Y14"/>
      <c r="Z14"/>
    </row>
    <row r="15" spans="1:26" ht="48.75" customHeight="1" x14ac:dyDescent="0.25">
      <c r="A15" s="143" t="s">
        <v>10</v>
      </c>
      <c r="B15" s="143"/>
      <c r="C15" s="143" t="str">
        <f>CONCATENATE((IF(OR(E8="",E8="NA"),"",E8)),", ",(IF(OR(A16="",A16="NA"),"",A16)),".",(IF(OR(C16="",C16="NA"),"",C16)),", near ",(IF(OR(C21="",C21="NA"),"",C21)),", ",(IF(OR(C18="",C18="NA"),"",C18)),", ",(IF(OR(C17="",C17="NA"),"",C17)),", ",(IF(OR(G18="",G18="NA"),"",G18)),", ",(IF(OR(C19="",C19="NA"),"",C19)),", ",(IF(OR(C20="",C20="NA"),"",C20)),", ",(IF(OR(G19="",G19="NA"),"",G19))," - ",(IF(OR(G20="",G20="NA"),"",G20)),".")</f>
        <v>Empress Hill A B C And D Wings, CTS No.22A/9 &amp; Sector - XI A, near Hiranandani Highland, High St Road, Hiranandani Gardens, Powai, Vikhroli West, Mumbai, Mumbai - 400076.</v>
      </c>
      <c r="D15" s="143"/>
      <c r="E15" s="143"/>
      <c r="F15" s="143"/>
      <c r="G15" s="143"/>
      <c r="H15" s="143"/>
      <c r="S15" s="50" t="s">
        <v>184</v>
      </c>
      <c r="T15" s="50" t="s">
        <v>192</v>
      </c>
      <c r="U15" s="50" t="s">
        <v>213</v>
      </c>
      <c r="V15" s="50" t="s">
        <v>199</v>
      </c>
      <c r="W15" s="50" t="s">
        <v>216</v>
      </c>
      <c r="X15"/>
      <c r="Y15"/>
      <c r="Z15"/>
    </row>
    <row r="16" spans="1:26" x14ac:dyDescent="0.25">
      <c r="A16" s="143" t="s">
        <v>177</v>
      </c>
      <c r="B16" s="143"/>
      <c r="C16" s="143" t="s">
        <v>239</v>
      </c>
      <c r="D16" s="143"/>
      <c r="E16" s="143"/>
      <c r="F16" s="143"/>
      <c r="G16" s="143"/>
      <c r="H16" s="143"/>
      <c r="S16" s="50" t="s">
        <v>185</v>
      </c>
      <c r="T16" s="50" t="s">
        <v>193</v>
      </c>
      <c r="U16" s="50"/>
      <c r="V16" s="50" t="s">
        <v>200</v>
      </c>
      <c r="W16" s="50" t="s">
        <v>217</v>
      </c>
      <c r="X16"/>
      <c r="Y16"/>
      <c r="Z16"/>
    </row>
    <row r="17" spans="1:26" ht="15.75" customHeight="1" x14ac:dyDescent="0.25">
      <c r="A17" s="143" t="s">
        <v>166</v>
      </c>
      <c r="B17" s="143"/>
      <c r="C17" s="143" t="s">
        <v>243</v>
      </c>
      <c r="D17" s="143"/>
      <c r="E17" s="143"/>
      <c r="F17" s="143"/>
      <c r="G17" s="143"/>
      <c r="H17" s="143"/>
      <c r="S17" s="50" t="s">
        <v>186</v>
      </c>
      <c r="T17" s="50" t="s">
        <v>191</v>
      </c>
      <c r="U17" s="50"/>
      <c r="V17" s="50" t="s">
        <v>201</v>
      </c>
      <c r="W17" s="50" t="s">
        <v>218</v>
      </c>
      <c r="X17"/>
      <c r="Y17"/>
      <c r="Z17"/>
    </row>
    <row r="18" spans="1:26" ht="15.75" customHeight="1" x14ac:dyDescent="0.25">
      <c r="A18" s="143" t="s">
        <v>11</v>
      </c>
      <c r="B18" s="143"/>
      <c r="C18" s="144" t="s">
        <v>244</v>
      </c>
      <c r="D18" s="144"/>
      <c r="E18" s="143" t="s">
        <v>73</v>
      </c>
      <c r="F18" s="143"/>
      <c r="G18" s="143" t="s">
        <v>240</v>
      </c>
      <c r="H18" s="143"/>
      <c r="S18" s="50" t="s">
        <v>187</v>
      </c>
      <c r="T18" s="50" t="s">
        <v>194</v>
      </c>
      <c r="U18" s="50"/>
      <c r="V18" s="50" t="s">
        <v>202</v>
      </c>
      <c r="W18" s="50" t="s">
        <v>219</v>
      </c>
      <c r="X18"/>
      <c r="Y18"/>
      <c r="Z18"/>
    </row>
    <row r="19" spans="1:26" x14ac:dyDescent="0.25">
      <c r="A19" s="144" t="s">
        <v>13</v>
      </c>
      <c r="B19" s="144"/>
      <c r="C19" s="143" t="s">
        <v>278</v>
      </c>
      <c r="D19" s="143"/>
      <c r="E19" s="143" t="s">
        <v>12</v>
      </c>
      <c r="F19" s="143"/>
      <c r="G19" s="182" t="s">
        <v>175</v>
      </c>
      <c r="H19" s="182"/>
      <c r="S19" s="50" t="s">
        <v>188</v>
      </c>
      <c r="T19" s="50" t="s">
        <v>195</v>
      </c>
      <c r="U19" s="50"/>
      <c r="V19" s="50" t="s">
        <v>203</v>
      </c>
      <c r="W19" s="50" t="s">
        <v>220</v>
      </c>
      <c r="X19"/>
      <c r="Y19"/>
      <c r="Z19"/>
    </row>
    <row r="20" spans="1:26" x14ac:dyDescent="0.25">
      <c r="A20" s="144" t="s">
        <v>74</v>
      </c>
      <c r="B20" s="144"/>
      <c r="C20" s="143" t="s">
        <v>175</v>
      </c>
      <c r="D20" s="143"/>
      <c r="E20" s="143" t="s">
        <v>14</v>
      </c>
      <c r="F20" s="143"/>
      <c r="G20" s="143">
        <v>400076</v>
      </c>
      <c r="H20" s="143"/>
      <c r="S20" s="50"/>
      <c r="T20" s="50"/>
      <c r="U20" s="50"/>
      <c r="V20" s="50" t="s">
        <v>204</v>
      </c>
      <c r="W20" s="50" t="s">
        <v>221</v>
      </c>
      <c r="X20"/>
      <c r="Y20"/>
      <c r="Z20"/>
    </row>
    <row r="21" spans="1:26" ht="32.25" customHeight="1" x14ac:dyDescent="0.25">
      <c r="A21" s="144" t="s">
        <v>124</v>
      </c>
      <c r="B21" s="144"/>
      <c r="C21" s="143" t="s">
        <v>245</v>
      </c>
      <c r="D21" s="143"/>
      <c r="E21" s="143" t="s">
        <v>15</v>
      </c>
      <c r="F21" s="143"/>
      <c r="G21" s="143" t="s">
        <v>246</v>
      </c>
      <c r="H21" s="143"/>
      <c r="S21" s="50"/>
      <c r="T21" s="50"/>
      <c r="U21" s="50"/>
      <c r="V21" s="50" t="s">
        <v>205</v>
      </c>
      <c r="W21" s="50" t="s">
        <v>222</v>
      </c>
      <c r="X21"/>
      <c r="Y21"/>
      <c r="Z21"/>
    </row>
    <row r="22" spans="1:26" ht="15" customHeight="1" x14ac:dyDescent="0.25">
      <c r="A22" s="132" t="s">
        <v>76</v>
      </c>
      <c r="B22" s="132"/>
      <c r="C22" s="132"/>
      <c r="D22" s="132"/>
      <c r="E22" s="144" t="s">
        <v>16</v>
      </c>
      <c r="F22" s="144"/>
      <c r="G22" s="144"/>
      <c r="H22" s="144"/>
      <c r="S22" s="50"/>
      <c r="T22" s="50"/>
      <c r="U22" s="50"/>
      <c r="V22" s="50" t="s">
        <v>206</v>
      </c>
      <c r="W22" s="50" t="s">
        <v>223</v>
      </c>
      <c r="X22"/>
      <c r="Y22"/>
      <c r="Z22"/>
    </row>
    <row r="23" spans="1:26" ht="18.75" customHeight="1" x14ac:dyDescent="0.25">
      <c r="A23" s="132"/>
      <c r="B23" s="132"/>
      <c r="C23" s="132"/>
      <c r="D23" s="132"/>
      <c r="E23" s="144"/>
      <c r="F23" s="144"/>
      <c r="G23" s="144"/>
      <c r="H23" s="144"/>
      <c r="S23" s="50"/>
      <c r="T23" s="50"/>
      <c r="U23" s="50"/>
      <c r="V23" s="50" t="s">
        <v>207</v>
      </c>
      <c r="W23" s="50" t="s">
        <v>224</v>
      </c>
      <c r="X23"/>
      <c r="Y23"/>
      <c r="Z23"/>
    </row>
    <row r="24" spans="1:26" ht="15" customHeight="1" x14ac:dyDescent="0.25">
      <c r="A24" s="132" t="s">
        <v>17</v>
      </c>
      <c r="B24" s="132"/>
      <c r="C24" s="132"/>
      <c r="D24" s="132"/>
      <c r="E24" s="143" t="s">
        <v>18</v>
      </c>
      <c r="F24" s="143"/>
      <c r="G24" s="143"/>
      <c r="H24" s="143"/>
      <c r="S24" s="50"/>
      <c r="T24" s="50"/>
      <c r="U24" s="50"/>
      <c r="V24" s="50" t="s">
        <v>208</v>
      </c>
      <c r="W24" s="50" t="s">
        <v>225</v>
      </c>
      <c r="X24"/>
      <c r="Y24"/>
      <c r="Z24"/>
    </row>
    <row r="25" spans="1:26" ht="15" customHeight="1" x14ac:dyDescent="0.25">
      <c r="A25" s="125" t="s">
        <v>19</v>
      </c>
      <c r="B25" s="125"/>
      <c r="C25" s="125"/>
      <c r="D25" s="125"/>
      <c r="E25" s="143" t="str">
        <f>IF(AND(G19="Mumbai"),"Upper Class","Middle Class")</f>
        <v>Upper Class</v>
      </c>
      <c r="F25" s="143"/>
      <c r="G25" s="143"/>
      <c r="H25" s="143"/>
      <c r="S25" s="50"/>
      <c r="T25" s="50"/>
      <c r="U25" s="50"/>
      <c r="V25" s="50" t="s">
        <v>209</v>
      </c>
      <c r="W25" s="50" t="s">
        <v>226</v>
      </c>
      <c r="X25"/>
      <c r="Y25"/>
      <c r="Z25"/>
    </row>
    <row r="26" spans="1:26" x14ac:dyDescent="0.25">
      <c r="A26" s="125" t="s">
        <v>20</v>
      </c>
      <c r="B26" s="125"/>
      <c r="C26" s="125"/>
      <c r="D26" s="125"/>
      <c r="E26" s="143" t="s">
        <v>21</v>
      </c>
      <c r="F26" s="143"/>
      <c r="G26" s="143"/>
      <c r="H26" s="143"/>
      <c r="S26" s="50"/>
      <c r="T26" s="50"/>
      <c r="U26" s="50"/>
      <c r="V26" s="50" t="s">
        <v>210</v>
      </c>
      <c r="W26" s="50" t="s">
        <v>227</v>
      </c>
      <c r="X26"/>
      <c r="Y26"/>
      <c r="Z26"/>
    </row>
    <row r="27" spans="1:26" ht="15.75" customHeight="1" x14ac:dyDescent="0.25">
      <c r="A27" s="125" t="s">
        <v>22</v>
      </c>
      <c r="B27" s="125"/>
      <c r="C27" s="125"/>
      <c r="D27" s="125"/>
      <c r="E27" s="143" t="str">
        <f>IF(AND(G19="Mumbai"),"Developed","Developing")</f>
        <v>Developed</v>
      </c>
      <c r="F27" s="143"/>
      <c r="G27" s="143"/>
      <c r="H27" s="143"/>
    </row>
    <row r="28" spans="1:26" x14ac:dyDescent="0.25">
      <c r="A28" s="125" t="s">
        <v>23</v>
      </c>
      <c r="B28" s="125"/>
      <c r="C28" s="125"/>
      <c r="D28" s="125"/>
      <c r="E28" s="143" t="s">
        <v>24</v>
      </c>
      <c r="F28" s="143"/>
      <c r="G28" s="143"/>
      <c r="H28" s="143"/>
    </row>
    <row r="29" spans="1:26" ht="15.75" customHeight="1" x14ac:dyDescent="0.25">
      <c r="A29" s="125" t="s">
        <v>81</v>
      </c>
      <c r="B29" s="125"/>
      <c r="C29" s="125"/>
      <c r="D29" s="125"/>
      <c r="E29" s="143" t="s">
        <v>82</v>
      </c>
      <c r="F29" s="143"/>
      <c r="G29" s="143"/>
      <c r="H29" s="143"/>
    </row>
    <row r="30" spans="1:26" ht="15" customHeight="1" x14ac:dyDescent="0.25">
      <c r="A30" s="125" t="s">
        <v>32</v>
      </c>
      <c r="B30" s="125"/>
      <c r="C30" s="125"/>
      <c r="D30" s="125"/>
      <c r="E30" s="143" t="str">
        <f>IF(AND(ISNUMBER(SEARCH("Flat",D60)),ISNUMBER(SEARCH("Shop",D60)),ISNUMBER(SEARCH("Office",D60))),"Residential + Commercial",IF(AND(ISNUMBER(SEARCH("Flat",D60)),ISNUMBER(SEARCH("Shop",D60))),"Residential + Commercial",IF(AND(ISNUMBER(SEARCH("Flat",D60)),ISNUMBER(SEARCH("Office",D60))),"Residential + Commercial",IF(AND(ISNUMBER(SEARCH("Shop",D60)),ISNUMBER(SEARCH("Office",D60))),"Commercial",IF(ISNUMBER(SEARCH("Shop",D60)),"Commercial",IF(ISNUMBER(SEARCH("Office",D60)),"Commercial",IF(ISNUMBER(SEARCH("Flat",D60)),"Residential")))))))</f>
        <v>Residential</v>
      </c>
      <c r="F30" s="143"/>
      <c r="G30" s="143"/>
      <c r="H30" s="143"/>
    </row>
    <row r="31" spans="1:26" ht="15.75" customHeight="1" x14ac:dyDescent="0.25">
      <c r="A31" s="125" t="s">
        <v>93</v>
      </c>
      <c r="B31" s="125"/>
      <c r="C31" s="125"/>
      <c r="D31" s="125"/>
      <c r="E31" s="143" t="s">
        <v>33</v>
      </c>
      <c r="F31" s="143"/>
      <c r="G31" s="143"/>
      <c r="H31" s="143"/>
    </row>
    <row r="32" spans="1:26" s="20" customFormat="1" x14ac:dyDescent="0.25">
      <c r="A32" s="194" t="s">
        <v>94</v>
      </c>
      <c r="B32" s="194"/>
      <c r="C32" s="191" t="s">
        <v>176</v>
      </c>
      <c r="D32" s="192"/>
      <c r="E32" s="193"/>
      <c r="F32" s="191" t="s">
        <v>30</v>
      </c>
      <c r="G32" s="192"/>
      <c r="H32" s="193"/>
    </row>
    <row r="33" spans="1:10" s="20" customFormat="1" x14ac:dyDescent="0.25">
      <c r="A33" s="187" t="s">
        <v>25</v>
      </c>
      <c r="B33" s="187" t="s">
        <v>29</v>
      </c>
      <c r="C33" s="188" t="s">
        <v>248</v>
      </c>
      <c r="D33" s="189"/>
      <c r="E33" s="190"/>
      <c r="F33" s="188" t="s">
        <v>247</v>
      </c>
      <c r="G33" s="189"/>
      <c r="H33" s="190"/>
    </row>
    <row r="34" spans="1:10" x14ac:dyDescent="0.25">
      <c r="A34" s="187" t="s">
        <v>26</v>
      </c>
      <c r="B34" s="187" t="s">
        <v>29</v>
      </c>
      <c r="C34" s="188" t="s">
        <v>251</v>
      </c>
      <c r="D34" s="189"/>
      <c r="E34" s="190"/>
      <c r="F34" s="188" t="s">
        <v>277</v>
      </c>
      <c r="G34" s="189"/>
      <c r="H34" s="190"/>
    </row>
    <row r="35" spans="1:10" s="20" customFormat="1" x14ac:dyDescent="0.25">
      <c r="A35" s="187" t="s">
        <v>28</v>
      </c>
      <c r="B35" s="187" t="s">
        <v>29</v>
      </c>
      <c r="C35" s="188" t="s">
        <v>249</v>
      </c>
      <c r="D35" s="189"/>
      <c r="E35" s="190"/>
      <c r="F35" s="188" t="s">
        <v>245</v>
      </c>
      <c r="G35" s="189"/>
      <c r="H35" s="190"/>
    </row>
    <row r="36" spans="1:10" x14ac:dyDescent="0.25">
      <c r="A36" s="187" t="s">
        <v>27</v>
      </c>
      <c r="B36" s="187" t="s">
        <v>29</v>
      </c>
      <c r="C36" s="188" t="s">
        <v>250</v>
      </c>
      <c r="D36" s="189"/>
      <c r="E36" s="190"/>
      <c r="F36" s="188" t="s">
        <v>244</v>
      </c>
      <c r="G36" s="189"/>
      <c r="H36" s="190"/>
    </row>
    <row r="37" spans="1:10" x14ac:dyDescent="0.25">
      <c r="A37" s="125" t="s">
        <v>31</v>
      </c>
      <c r="B37" s="125"/>
      <c r="C37" s="125"/>
      <c r="D37" s="125"/>
      <c r="E37" s="125"/>
      <c r="F37" s="125"/>
      <c r="G37" s="125"/>
      <c r="H37" s="125"/>
    </row>
    <row r="38" spans="1:10" ht="15.75" customHeight="1" x14ac:dyDescent="0.25">
      <c r="A38" s="125" t="s">
        <v>169</v>
      </c>
      <c r="B38" s="125"/>
      <c r="C38" s="177" t="s">
        <v>242</v>
      </c>
      <c r="D38" s="177"/>
      <c r="E38" s="177"/>
      <c r="F38" s="177"/>
      <c r="G38" s="177"/>
      <c r="H38" s="177"/>
    </row>
    <row r="39" spans="1:10" x14ac:dyDescent="0.25">
      <c r="A39" s="125" t="s">
        <v>165</v>
      </c>
      <c r="B39" s="125"/>
      <c r="C39" s="205" t="s">
        <v>241</v>
      </c>
      <c r="D39" s="143"/>
      <c r="E39" s="143"/>
      <c r="F39" s="143"/>
      <c r="G39" s="143"/>
      <c r="H39" s="143"/>
    </row>
    <row r="40" spans="1:10" x14ac:dyDescent="0.25">
      <c r="A40" s="177" t="s">
        <v>34</v>
      </c>
      <c r="B40" s="177"/>
      <c r="C40" s="177"/>
      <c r="D40" s="177"/>
      <c r="E40" s="177"/>
      <c r="F40" s="177"/>
      <c r="G40" s="177"/>
      <c r="H40" s="177"/>
    </row>
    <row r="41" spans="1:10" x14ac:dyDescent="0.25">
      <c r="A41" s="125" t="s">
        <v>35</v>
      </c>
      <c r="B41" s="125"/>
      <c r="C41" s="125"/>
      <c r="D41" s="125"/>
      <c r="E41" s="196">
        <v>54851.19</v>
      </c>
      <c r="F41" s="196"/>
      <c r="G41" s="196"/>
      <c r="H41" s="196"/>
    </row>
    <row r="42" spans="1:10" x14ac:dyDescent="0.25">
      <c r="A42" s="125" t="s">
        <v>36</v>
      </c>
      <c r="B42" s="125"/>
      <c r="C42" s="125"/>
      <c r="D42" s="125"/>
      <c r="E42" s="195">
        <v>1</v>
      </c>
      <c r="F42" s="195"/>
      <c r="G42" s="195"/>
      <c r="H42" s="195"/>
    </row>
    <row r="43" spans="1:10" x14ac:dyDescent="0.25">
      <c r="A43" s="125" t="s">
        <v>37</v>
      </c>
      <c r="B43" s="125"/>
      <c r="C43" s="125"/>
      <c r="D43" s="125"/>
      <c r="E43" s="195">
        <f>E45/E41-E42</f>
        <v>1.3811472458482665</v>
      </c>
      <c r="F43" s="195"/>
      <c r="G43" s="195"/>
      <c r="H43" s="195"/>
    </row>
    <row r="44" spans="1:10" x14ac:dyDescent="0.25">
      <c r="A44" s="125" t="s">
        <v>38</v>
      </c>
      <c r="B44" s="125"/>
      <c r="C44" s="125"/>
      <c r="D44" s="125"/>
      <c r="E44" s="195">
        <f>E42+E43</f>
        <v>2.3811472458482665</v>
      </c>
      <c r="F44" s="195"/>
      <c r="G44" s="195"/>
      <c r="H44" s="195"/>
    </row>
    <row r="45" spans="1:10" x14ac:dyDescent="0.25">
      <c r="A45" s="125" t="s">
        <v>92</v>
      </c>
      <c r="B45" s="125"/>
      <c r="C45" s="125"/>
      <c r="D45" s="125"/>
      <c r="E45" s="199">
        <v>130608.76</v>
      </c>
      <c r="F45" s="199"/>
      <c r="G45" s="199"/>
      <c r="H45" s="199"/>
      <c r="I45" s="19">
        <f>E45/54851.19</f>
        <v>2.3811472458482665</v>
      </c>
    </row>
    <row r="46" spans="1:10" x14ac:dyDescent="0.25">
      <c r="A46" s="144" t="s">
        <v>39</v>
      </c>
      <c r="B46" s="144"/>
      <c r="C46" s="144"/>
      <c r="D46" s="144"/>
      <c r="E46" s="144" t="s">
        <v>253</v>
      </c>
      <c r="F46" s="144"/>
      <c r="G46" s="144"/>
      <c r="H46" s="144"/>
      <c r="J46" s="19">
        <f>2.31+2.31</f>
        <v>4.62</v>
      </c>
    </row>
    <row r="47" spans="1:10" x14ac:dyDescent="0.25">
      <c r="A47" s="177" t="s">
        <v>40</v>
      </c>
      <c r="B47" s="177"/>
      <c r="C47" s="177"/>
      <c r="D47" s="177"/>
      <c r="E47" s="177"/>
      <c r="F47" s="177"/>
      <c r="G47" s="177"/>
      <c r="H47" s="177"/>
    </row>
    <row r="48" spans="1:10" ht="33.75" customHeight="1" x14ac:dyDescent="0.25">
      <c r="A48" s="137" t="s">
        <v>153</v>
      </c>
      <c r="B48" s="138"/>
      <c r="C48" s="206" t="s">
        <v>252</v>
      </c>
      <c r="D48" s="207"/>
      <c r="E48" s="207"/>
      <c r="F48" s="207"/>
      <c r="G48" s="207"/>
      <c r="H48" s="208"/>
    </row>
    <row r="49" spans="1:14" ht="32.25" customHeight="1" x14ac:dyDescent="0.25">
      <c r="A49" s="137" t="s">
        <v>41</v>
      </c>
      <c r="B49" s="138"/>
      <c r="C49" s="137" t="s">
        <v>293</v>
      </c>
      <c r="D49" s="139"/>
      <c r="E49" s="138"/>
      <c r="F49" s="18" t="s">
        <v>42</v>
      </c>
      <c r="G49" s="140">
        <v>45743</v>
      </c>
      <c r="H49" s="141"/>
    </row>
    <row r="50" spans="1:14" ht="31.5" customHeight="1" x14ac:dyDescent="0.25">
      <c r="A50" s="137" t="s">
        <v>43</v>
      </c>
      <c r="B50" s="138"/>
      <c r="C50" s="137" t="str">
        <f>C49</f>
        <v>P-8119/2021/(22 A/9)/S Ward/POWAI/337/3/Amend</v>
      </c>
      <c r="D50" s="139"/>
      <c r="E50" s="138"/>
      <c r="F50" s="18" t="s">
        <v>42</v>
      </c>
      <c r="G50" s="140">
        <f>G49</f>
        <v>45743</v>
      </c>
      <c r="H50" s="141"/>
    </row>
    <row r="51" spans="1:14" s="21" customFormat="1" ht="32.25" customHeight="1" x14ac:dyDescent="0.25">
      <c r="A51" s="183" t="s">
        <v>157</v>
      </c>
      <c r="B51" s="184"/>
      <c r="C51" s="137" t="s">
        <v>290</v>
      </c>
      <c r="D51" s="139"/>
      <c r="E51" s="138"/>
      <c r="F51" s="18" t="s">
        <v>42</v>
      </c>
      <c r="G51" s="140">
        <v>45792</v>
      </c>
      <c r="H51" s="141"/>
    </row>
    <row r="52" spans="1:14" s="21" customFormat="1" ht="115.9" customHeight="1" x14ac:dyDescent="0.25">
      <c r="A52" s="185"/>
      <c r="B52" s="186"/>
      <c r="C52" s="137" t="s">
        <v>291</v>
      </c>
      <c r="D52" s="139"/>
      <c r="E52" s="138"/>
      <c r="F52" s="18" t="s">
        <v>123</v>
      </c>
      <c r="G52" s="140">
        <v>45933</v>
      </c>
      <c r="H52" s="141"/>
    </row>
    <row r="53" spans="1:14" s="21" customFormat="1" ht="32.25" hidden="1" customHeight="1" x14ac:dyDescent="0.25">
      <c r="A53" s="183" t="s">
        <v>157</v>
      </c>
      <c r="B53" s="184"/>
      <c r="C53" s="137" t="s">
        <v>282</v>
      </c>
      <c r="D53" s="139"/>
      <c r="E53" s="138"/>
      <c r="F53" s="18" t="s">
        <v>42</v>
      </c>
      <c r="G53" s="140">
        <v>45447</v>
      </c>
      <c r="H53" s="141"/>
    </row>
    <row r="54" spans="1:14" s="21" customFormat="1" ht="127.9" hidden="1" customHeight="1" x14ac:dyDescent="0.25">
      <c r="A54" s="185"/>
      <c r="B54" s="186"/>
      <c r="C54" s="137" t="s">
        <v>283</v>
      </c>
      <c r="D54" s="139"/>
      <c r="E54" s="138"/>
      <c r="F54" s="18" t="s">
        <v>123</v>
      </c>
      <c r="G54" s="140">
        <v>45811</v>
      </c>
      <c r="H54" s="141"/>
    </row>
    <row r="55" spans="1:14" s="21" customFormat="1" ht="32.25" hidden="1" customHeight="1" x14ac:dyDescent="0.25">
      <c r="A55" s="183"/>
      <c r="B55" s="184"/>
      <c r="C55" s="137" t="s">
        <v>284</v>
      </c>
      <c r="D55" s="139"/>
      <c r="E55" s="138"/>
      <c r="F55" s="18" t="s">
        <v>42</v>
      </c>
      <c r="G55" s="140">
        <v>45461</v>
      </c>
      <c r="H55" s="141"/>
    </row>
    <row r="56" spans="1:14" s="21" customFormat="1" ht="157.15" hidden="1" customHeight="1" x14ac:dyDescent="0.25">
      <c r="A56" s="185"/>
      <c r="B56" s="186"/>
      <c r="C56" s="137" t="s">
        <v>285</v>
      </c>
      <c r="D56" s="139"/>
      <c r="E56" s="138"/>
      <c r="F56" s="18" t="s">
        <v>123</v>
      </c>
      <c r="G56" s="140">
        <v>45568</v>
      </c>
      <c r="H56" s="141"/>
    </row>
    <row r="57" spans="1:14" x14ac:dyDescent="0.25">
      <c r="A57" s="126" t="s">
        <v>44</v>
      </c>
      <c r="B57" s="127"/>
      <c r="C57" s="126" t="s">
        <v>106</v>
      </c>
      <c r="D57" s="128"/>
      <c r="E57" s="127"/>
      <c r="F57" s="42" t="s">
        <v>42</v>
      </c>
      <c r="G57" s="145" t="s">
        <v>29</v>
      </c>
      <c r="H57" s="146"/>
    </row>
    <row r="58" spans="1:14" x14ac:dyDescent="0.25">
      <c r="A58" s="142" t="s">
        <v>46</v>
      </c>
      <c r="B58" s="142"/>
      <c r="C58" s="142"/>
      <c r="D58" s="142"/>
      <c r="E58" s="142"/>
      <c r="F58" s="142"/>
      <c r="G58" s="142"/>
      <c r="H58" s="142"/>
    </row>
    <row r="59" spans="1:14" x14ac:dyDescent="0.25">
      <c r="A59" s="132" t="s">
        <v>91</v>
      </c>
      <c r="B59" s="132"/>
      <c r="C59" s="132"/>
      <c r="D59" s="125">
        <v>53308.25</v>
      </c>
      <c r="E59" s="125"/>
      <c r="F59" s="125"/>
      <c r="G59" s="125"/>
      <c r="H59" s="125"/>
    </row>
    <row r="60" spans="1:14" x14ac:dyDescent="0.25">
      <c r="A60" s="143" t="s">
        <v>47</v>
      </c>
      <c r="B60" s="144"/>
      <c r="C60" s="144"/>
      <c r="D60" s="144" t="s">
        <v>300</v>
      </c>
      <c r="E60" s="144"/>
      <c r="F60" s="144"/>
      <c r="G60" s="144"/>
      <c r="H60" s="144"/>
      <c r="I60" s="22"/>
    </row>
    <row r="61" spans="1:14" x14ac:dyDescent="0.25">
      <c r="A61" s="147" t="s">
        <v>48</v>
      </c>
      <c r="B61" s="148"/>
      <c r="C61" s="201"/>
      <c r="D61" s="134" t="s">
        <v>294</v>
      </c>
      <c r="E61" s="200"/>
      <c r="F61" s="200"/>
      <c r="G61" s="200"/>
      <c r="H61" s="200"/>
    </row>
    <row r="62" spans="1:14" ht="15.75" customHeight="1" x14ac:dyDescent="0.25">
      <c r="A62" s="147" t="s">
        <v>89</v>
      </c>
      <c r="B62" s="148"/>
      <c r="C62" s="148"/>
      <c r="D62" s="143" t="s">
        <v>294</v>
      </c>
      <c r="E62" s="144"/>
      <c r="F62" s="144"/>
      <c r="G62" s="144"/>
      <c r="H62" s="144"/>
    </row>
    <row r="63" spans="1:14" ht="15.75" customHeight="1" x14ac:dyDescent="0.25">
      <c r="A63" s="125" t="s">
        <v>45</v>
      </c>
      <c r="B63" s="125"/>
      <c r="C63" s="125"/>
      <c r="D63" s="197" t="s">
        <v>254</v>
      </c>
      <c r="E63" s="197"/>
      <c r="F63" s="197"/>
      <c r="G63" s="197"/>
      <c r="H63" s="197"/>
      <c r="J63" s="23"/>
      <c r="K63" s="22"/>
      <c r="N63" s="22"/>
    </row>
    <row r="64" spans="1:14" ht="15.75" customHeight="1" x14ac:dyDescent="0.25">
      <c r="A64" s="125" t="s">
        <v>87</v>
      </c>
      <c r="B64" s="125"/>
      <c r="C64" s="125"/>
      <c r="D64" s="198" t="str">
        <f>(IF(G57="NA","60 Years After Completion",IF(G57&lt;&gt;"NA",""&amp;60-ROUNDDOWN((E3-G57)/360,0)&amp;" Years"," ")))</f>
        <v>60 Years After Completion</v>
      </c>
      <c r="E64" s="198"/>
      <c r="F64" s="198"/>
      <c r="G64" s="198"/>
      <c r="H64" s="198"/>
      <c r="N64" s="22"/>
    </row>
    <row r="65" spans="1:14" ht="15.75" customHeight="1" x14ac:dyDescent="0.25">
      <c r="A65" s="125" t="s">
        <v>88</v>
      </c>
      <c r="B65" s="125"/>
      <c r="C65" s="125"/>
      <c r="D65" s="132" t="s">
        <v>24</v>
      </c>
      <c r="E65" s="132"/>
      <c r="F65" s="132"/>
      <c r="G65" s="132"/>
      <c r="H65" s="132"/>
      <c r="J65" s="24"/>
      <c r="K65" s="24"/>
    </row>
    <row r="66" spans="1:14" ht="47.25" customHeight="1" x14ac:dyDescent="0.25">
      <c r="A66" s="144" t="s">
        <v>256</v>
      </c>
      <c r="B66" s="144"/>
      <c r="C66" s="144"/>
      <c r="D66" s="143" t="s">
        <v>255</v>
      </c>
      <c r="E66" s="132"/>
      <c r="F66" s="132"/>
      <c r="G66" s="132"/>
      <c r="H66" s="132"/>
    </row>
    <row r="67" spans="1:14" x14ac:dyDescent="0.25">
      <c r="A67" s="132" t="s">
        <v>150</v>
      </c>
      <c r="B67" s="132"/>
      <c r="C67" s="132"/>
      <c r="D67" s="132" t="s">
        <v>29</v>
      </c>
      <c r="E67" s="132"/>
      <c r="F67" s="132"/>
      <c r="G67" s="132"/>
      <c r="H67" s="132"/>
      <c r="I67" s="25"/>
      <c r="J67" s="25"/>
      <c r="K67" s="25"/>
      <c r="L67" s="25"/>
      <c r="M67" s="25"/>
      <c r="N67" s="25"/>
    </row>
    <row r="68" spans="1:14" ht="15.75" customHeight="1" x14ac:dyDescent="0.25">
      <c r="A68" s="133" t="s">
        <v>86</v>
      </c>
      <c r="B68" s="133"/>
      <c r="C68" s="133"/>
      <c r="D68" s="134" t="str">
        <f ca="1">(IF(G74&gt;95%,"Nothing",IF(G74&gt;0%,"Cement, Aggregate, Steel, etc",IF(G74=0%,"Work not yet Started"))))</f>
        <v>Cement, Aggregate, Steel, etc</v>
      </c>
      <c r="E68" s="134"/>
      <c r="F68" s="134"/>
      <c r="G68" s="134"/>
      <c r="H68" s="134"/>
      <c r="J68" s="24"/>
    </row>
    <row r="69" spans="1:14" ht="33.75" customHeight="1" thickBot="1" x14ac:dyDescent="0.3">
      <c r="A69" s="149" t="s">
        <v>119</v>
      </c>
      <c r="B69" s="149"/>
      <c r="C69" s="149"/>
      <c r="D69" s="134" t="str">
        <f ca="1">(IF(D68="Nothing","Yes",IF(D68="Cement, Aggregate, Steel, etc","Under Construction",IF(D68="Work not yet Started","Work not yet Started"))))</f>
        <v>Under Construction</v>
      </c>
      <c r="E69" s="134"/>
      <c r="F69" s="134" t="str">
        <f ca="1">(IF(D68="Nothing","Yes",IF(D68="Cement, Aggregate, Steel, etc","Under Construction",IF(D68="Work not yet Started","Work not yet Started"))))</f>
        <v>Under Construction</v>
      </c>
      <c r="G69" s="134"/>
      <c r="H69" s="134"/>
    </row>
    <row r="70" spans="1:14" ht="15.75" customHeight="1" x14ac:dyDescent="0.25">
      <c r="A70" s="95" t="s">
        <v>142</v>
      </c>
      <c r="B70" s="96"/>
      <c r="C70" s="97" t="s">
        <v>301</v>
      </c>
      <c r="D70" s="98"/>
      <c r="E70" s="98"/>
      <c r="F70" s="98"/>
      <c r="G70" s="98"/>
      <c r="H70" s="99"/>
      <c r="I70" s="44" t="str">
        <f ca="1">IF(D83=100%,"All work Completed. Possession granted to the Building.",IF(D82=100%,"All work Completed, Waiting for OC",I71&amp;""&amp;I72&amp;""&amp;J71&amp;""&amp;J70&amp;" "&amp;J72))</f>
        <v>Excavation, Plinth Completed, RCC upto 15 Slab, Brickwork upto 14 Floor, Internal Plaster upto 10.5 Floor, External Plaster upto 9.1 Floor Completed</v>
      </c>
      <c r="J70" s="45" t="str">
        <f ca="1">(IF(C76=(D71+F71+H71),"",IF(C76&gt;0,", RCC upto "&amp;C76&amp;" Slab","")))&amp;(IF(C77=H71,"",IF(C77&gt;0,", Brickwork upto "&amp;C77&amp;" Floor","")))&amp;(IF(C78=H71,"",IF(C78&gt;0,", Internal Plaster upto "&amp;C78&amp;" Floor","")))&amp;(IF(C79=H71,"",IF(C79&gt;0,", External Plaster upto "&amp;C79&amp;" Floor","")))&amp;(IF(C80=H71,"",IF(C80&gt;0,", Flooring upto "&amp;C80&amp;" Floor","")))&amp;(IF(C81=H71,"",IF(C81&gt;0,", Painting upto "&amp;C81&amp;" Floor","")))&amp;(IF(C82=H71,"",IF(C82&gt;0,", Finishing upto "&amp;C82&amp;" Floor","")))&amp;(IF(C83=H71,"",IF(C83&gt;0,", Possession upto "&amp;C83&amp;" Floor","")))</f>
        <v>, RCC upto 15 Slab, Brickwork upto 14 Floor, Internal Plaster upto 10.5 Floor, External Plaster upto 9.1 Floor</v>
      </c>
    </row>
    <row r="71" spans="1:14" x14ac:dyDescent="0.25">
      <c r="A71" s="16" t="s">
        <v>144</v>
      </c>
      <c r="B71" s="48">
        <f>IF(AND(ISNUMBER(SEARCH("1B",C70))),1,IF(AND(ISNUMBER(SEARCH("2B",C70))),2,IF(AND(ISNUMBER(SEARCH("3B",C70))),3,IF(AND(ISNUMBER(SEARCH("4B",C70))),4,IF(ISNUMBER(SEARCH("5B",C70)),5,0)))))</f>
        <v>3</v>
      </c>
      <c r="C71" s="48" t="s">
        <v>72</v>
      </c>
      <c r="D71" s="48">
        <v>1</v>
      </c>
      <c r="E71" s="48" t="s">
        <v>71</v>
      </c>
      <c r="F71" s="48">
        <v>0</v>
      </c>
      <c r="G71" s="48" t="s">
        <v>80</v>
      </c>
      <c r="H71" s="17">
        <f ca="1">--TRIM(RIGHT(SUBSTITUTE(LEFT(C70,_xlfn.AGGREGATE(16,6,FIND({0,1,2,3,4,5,6,7,8,9},C70,ROW(INDIRECT("1:"&amp;LEN(C70)))),1))," ",REPT(" ",LEN(C70))),LEN(C70)))</f>
        <v>22</v>
      </c>
      <c r="I71" s="46" t="str">
        <f ca="1">IF(D74=100%,"Excavation","")&amp;IF(D75=100%,", Plinth","")&amp;IF(D76=100%,", RCC Slab","")&amp;IF(D77=100%,", Brickwork","")&amp;IF(D78=100%,", Internal Plaster","")&amp;IF(D79=100%,", External Plaster","")&amp;IF(D80=100%,", Flooring","")&amp;IF(D81=100%,", Painting","")&amp;IF(D82=100%,", Building common Amenities","")</f>
        <v>Excavation, Plinth</v>
      </c>
      <c r="J71" s="47" t="str">
        <f ca="1">(IF(C74=0,"Work not yet Started.",IF(D74=25%,"Piling work in process",IF(D74=50%,"Excavation work in process",IF(D74=100%,"","0")))))&amp;(IF(C75=0%,"",IF(C75=J76,", Footing work is process",IF(C75=J77,", Footing work Completed",IF(C75=J78,", 1st Basement Completed",IF(C75=J79,", 1st &amp; 2nd Basement Completed",IF(C75=J80,", 1st to 3rd Basement Completed",IF(C75=J81,", 1st to 4th Basement Completed",IF(C75=J82,", Plinth work is process",IF(C75=J83,"","0"))))))))))</f>
        <v/>
      </c>
    </row>
    <row r="72" spans="1:14" ht="34.9" customHeight="1" x14ac:dyDescent="0.25">
      <c r="A72" s="100" t="s">
        <v>90</v>
      </c>
      <c r="B72" s="101"/>
      <c r="C72" s="102" t="str">
        <f ca="1">I70</f>
        <v>Excavation, Plinth Completed, RCC upto 15 Slab, Brickwork upto 14 Floor, Internal Plaster upto 10.5 Floor, External Plaster upto 9.1 Floor Completed</v>
      </c>
      <c r="D72" s="102"/>
      <c r="E72" s="102"/>
      <c r="F72" s="102"/>
      <c r="G72" s="102"/>
      <c r="H72" s="103"/>
      <c r="I72" s="46" t="str">
        <f ca="1">IF(I71&lt;&gt;""," Completed","")</f>
        <v xml:space="preserve"> Completed</v>
      </c>
      <c r="J72" s="47" t="str">
        <f ca="1">IF(J70&lt;&gt;"","Completed","")</f>
        <v>Completed</v>
      </c>
    </row>
    <row r="73" spans="1:14" ht="15.75" customHeight="1" x14ac:dyDescent="0.25">
      <c r="A73" s="104" t="s">
        <v>49</v>
      </c>
      <c r="B73" s="105"/>
      <c r="C73" s="53" t="s">
        <v>141</v>
      </c>
      <c r="D73" s="53" t="s">
        <v>83</v>
      </c>
      <c r="E73" s="106" t="s">
        <v>85</v>
      </c>
      <c r="F73" s="106"/>
      <c r="G73" s="106" t="s">
        <v>84</v>
      </c>
      <c r="H73" s="107"/>
      <c r="I73" s="14" t="s">
        <v>143</v>
      </c>
      <c r="J73" s="26">
        <f ca="1">H71*25%</f>
        <v>5.5</v>
      </c>
    </row>
    <row r="74" spans="1:14" x14ac:dyDescent="0.25">
      <c r="A74" s="104" t="s">
        <v>130</v>
      </c>
      <c r="B74" s="105"/>
      <c r="C74" s="53">
        <f ca="1">J75</f>
        <v>22</v>
      </c>
      <c r="D74" s="54">
        <f ca="1">((100/H71)*C74)/100</f>
        <v>1.0000000000000002</v>
      </c>
      <c r="E74" s="108">
        <f ca="1">(((C75/H71*10)+(40/(D71+F71+H71)*C76)+(7.5/(H71)*C77)+(7.5/(H71)*C78)+(10/H71*C79)+(10/H71*C80)+(5/H71*C81)+(5/H71*C82)+(5/H71*C83))/100)</f>
        <v>0.48575592885375485</v>
      </c>
      <c r="F74" s="109"/>
      <c r="G74" s="108">
        <f ca="1">((((C74/H71)*20)+((C75/H71)*25)+(30/(H71+F71+D71)*C76)+(5/H71*C77)+(5/H71*C78)+(5/H71*C79)+(5/H71*C80)+(0/H71*C81)+(0/H71*C82)+(5/H71*C83))/100)</f>
        <v>0.72201581027667983</v>
      </c>
      <c r="H74" s="114"/>
      <c r="I74" s="14" t="s">
        <v>101</v>
      </c>
      <c r="J74" s="27">
        <f ca="1">H71*50%</f>
        <v>11</v>
      </c>
    </row>
    <row r="75" spans="1:14" x14ac:dyDescent="0.25">
      <c r="A75" s="104" t="s">
        <v>50</v>
      </c>
      <c r="B75" s="105"/>
      <c r="C75" s="55">
        <f ca="1">J83</f>
        <v>22</v>
      </c>
      <c r="D75" s="54">
        <f ca="1">((100/H71)*C75)/100</f>
        <v>1.0000000000000002</v>
      </c>
      <c r="E75" s="110"/>
      <c r="F75" s="111"/>
      <c r="G75" s="110"/>
      <c r="H75" s="115"/>
      <c r="I75" s="14" t="s">
        <v>102</v>
      </c>
      <c r="J75" s="27">
        <f ca="1">H71</f>
        <v>22</v>
      </c>
    </row>
    <row r="76" spans="1:14" ht="15.75" customHeight="1" x14ac:dyDescent="0.25">
      <c r="A76" s="104" t="s">
        <v>131</v>
      </c>
      <c r="B76" s="105"/>
      <c r="C76" s="53">
        <v>15</v>
      </c>
      <c r="D76" s="54">
        <f ca="1">((100/(D71+F71+H71))*C76)/100</f>
        <v>0.65217391304347827</v>
      </c>
      <c r="E76" s="110"/>
      <c r="F76" s="111"/>
      <c r="G76" s="110"/>
      <c r="H76" s="115"/>
      <c r="I76" s="14" t="s">
        <v>103</v>
      </c>
      <c r="J76" s="28">
        <f ca="1">(IF(B71&gt;1,(H71/(B71+2)),H71/4))</f>
        <v>4.4000000000000004</v>
      </c>
    </row>
    <row r="77" spans="1:14" ht="15.75" customHeight="1" x14ac:dyDescent="0.25">
      <c r="A77" s="104" t="s">
        <v>138</v>
      </c>
      <c r="B77" s="105" t="s">
        <v>132</v>
      </c>
      <c r="C77" s="53">
        <f>C76-F71-D71</f>
        <v>14</v>
      </c>
      <c r="D77" s="54">
        <f ca="1">((100/H71)*C77)/100</f>
        <v>0.63636363636363635</v>
      </c>
      <c r="E77" s="110"/>
      <c r="F77" s="111"/>
      <c r="G77" s="110"/>
      <c r="H77" s="115"/>
      <c r="I77" s="14" t="s">
        <v>104</v>
      </c>
      <c r="J77" s="28">
        <f ca="1">(IF(B71&gt;1,(H71/(B71+2)+J76),H71/4+J76))</f>
        <v>8.8000000000000007</v>
      </c>
    </row>
    <row r="78" spans="1:14" ht="15.75" customHeight="1" x14ac:dyDescent="0.25">
      <c r="A78" s="104" t="s">
        <v>139</v>
      </c>
      <c r="B78" s="105" t="s">
        <v>132</v>
      </c>
      <c r="C78" s="55">
        <f>C77*0.75</f>
        <v>10.5</v>
      </c>
      <c r="D78" s="54">
        <f ca="1">((100/H71)*C78)/100</f>
        <v>0.47727272727272735</v>
      </c>
      <c r="E78" s="110"/>
      <c r="F78" s="111"/>
      <c r="G78" s="110"/>
      <c r="H78" s="115"/>
      <c r="I78" s="14" t="s">
        <v>148</v>
      </c>
      <c r="J78" s="28">
        <f ca="1">(IF(B71&gt;1,(H71/(B71+2)+J77),0))</f>
        <v>13.200000000000001</v>
      </c>
    </row>
    <row r="79" spans="1:14" ht="15" customHeight="1" x14ac:dyDescent="0.25">
      <c r="A79" s="104" t="s">
        <v>137</v>
      </c>
      <c r="B79" s="105" t="s">
        <v>134</v>
      </c>
      <c r="C79" s="55">
        <f>C77*0.65</f>
        <v>9.1</v>
      </c>
      <c r="D79" s="54">
        <f ca="1">((100/(H71))*C79)/100</f>
        <v>0.41363636363636369</v>
      </c>
      <c r="E79" s="110"/>
      <c r="F79" s="111"/>
      <c r="G79" s="110"/>
      <c r="H79" s="115"/>
      <c r="I79" s="14" t="s">
        <v>145</v>
      </c>
      <c r="J79" s="28">
        <f ca="1">(IF(B71&gt;2,(H71/(B71+2)+J78),0))</f>
        <v>17.600000000000001</v>
      </c>
    </row>
    <row r="80" spans="1:14" ht="15.75" customHeight="1" x14ac:dyDescent="0.25">
      <c r="A80" s="104" t="s">
        <v>133</v>
      </c>
      <c r="B80" s="105" t="s">
        <v>133</v>
      </c>
      <c r="C80" s="53">
        <v>0</v>
      </c>
      <c r="D80" s="54">
        <f ca="1">((100/H71)*C80)/100</f>
        <v>0</v>
      </c>
      <c r="E80" s="110"/>
      <c r="F80" s="111"/>
      <c r="G80" s="110"/>
      <c r="H80" s="115"/>
      <c r="I80" s="14" t="s">
        <v>146</v>
      </c>
      <c r="J80" s="29">
        <f>(IF(B71&gt;3,(H71/(B71+2)+J79),0))</f>
        <v>0</v>
      </c>
    </row>
    <row r="81" spans="1:16" ht="15.75" customHeight="1" x14ac:dyDescent="0.25">
      <c r="A81" s="104" t="s">
        <v>140</v>
      </c>
      <c r="B81" s="105"/>
      <c r="C81" s="53">
        <v>0</v>
      </c>
      <c r="D81" s="54">
        <f ca="1">((100/H71)*C81)/100</f>
        <v>0</v>
      </c>
      <c r="E81" s="110"/>
      <c r="F81" s="111"/>
      <c r="G81" s="110"/>
      <c r="H81" s="115"/>
      <c r="I81" s="14" t="s">
        <v>147</v>
      </c>
      <c r="J81" s="28">
        <f>(IF(B71&gt;4,(H71/(B71+2)+J80),0))</f>
        <v>0</v>
      </c>
      <c r="L81" s="58" t="s">
        <v>273</v>
      </c>
      <c r="M81" s="58" t="s">
        <v>274</v>
      </c>
      <c r="N81" s="58" t="s">
        <v>275</v>
      </c>
      <c r="O81" s="58"/>
    </row>
    <row r="82" spans="1:16" ht="15.75" customHeight="1" x14ac:dyDescent="0.25">
      <c r="A82" s="104" t="s">
        <v>135</v>
      </c>
      <c r="B82" s="105" t="s">
        <v>135</v>
      </c>
      <c r="C82" s="53">
        <v>0</v>
      </c>
      <c r="D82" s="54">
        <f ca="1">((100/(H71))*C82)/100</f>
        <v>0</v>
      </c>
      <c r="E82" s="110"/>
      <c r="F82" s="111"/>
      <c r="G82" s="110"/>
      <c r="H82" s="115"/>
      <c r="I82" s="14" t="s">
        <v>149</v>
      </c>
      <c r="J82" s="28">
        <f>(IF(B71=1,(H71/(B71+3)+J77),IF(B71=0,(H71/4+J77),IF(B71&gt;1,0))))</f>
        <v>0</v>
      </c>
      <c r="L82" s="61">
        <f>AVERAGE(J144,J280)</f>
        <v>30106.902882272036</v>
      </c>
      <c r="M82" s="58">
        <v>28500</v>
      </c>
      <c r="N82" s="61">
        <f>35000/1.55</f>
        <v>22580.645161290322</v>
      </c>
      <c r="O82" s="58">
        <f>35000/1.6</f>
        <v>21875</v>
      </c>
      <c r="P82" s="19">
        <f>40000/1.6</f>
        <v>25000</v>
      </c>
    </row>
    <row r="83" spans="1:16" ht="16.5" thickBot="1" x14ac:dyDescent="0.3">
      <c r="A83" s="117" t="s">
        <v>136</v>
      </c>
      <c r="B83" s="118"/>
      <c r="C83" s="56">
        <v>0</v>
      </c>
      <c r="D83" s="57">
        <f ca="1">((100/(H71))*C83)/100</f>
        <v>0</v>
      </c>
      <c r="E83" s="112"/>
      <c r="F83" s="113"/>
      <c r="G83" s="112"/>
      <c r="H83" s="116"/>
      <c r="I83" s="15" t="s">
        <v>105</v>
      </c>
      <c r="J83" s="30">
        <f ca="1">(IF(B71&gt;1.5,(H71/(B71+2)+J77+MAX(0,J78-J77)+MAX(0,J79-J78)+MAX(0,J80-J79)+MAX(0,J81-J80)+MAX(0,J82-J81)),IF(B71=1,(H71/(B71+3)+J82),IF(B71=0,H71/4+J82))))</f>
        <v>22</v>
      </c>
    </row>
    <row r="84" spans="1:16" ht="15.6" customHeight="1" x14ac:dyDescent="0.25">
      <c r="A84" s="95" t="s">
        <v>142</v>
      </c>
      <c r="B84" s="96"/>
      <c r="C84" s="97" t="s">
        <v>302</v>
      </c>
      <c r="D84" s="98"/>
      <c r="E84" s="98"/>
      <c r="F84" s="98"/>
      <c r="G84" s="98"/>
      <c r="H84" s="99"/>
      <c r="I84" s="44" t="str">
        <f ca="1">IF(D97=100%,"All work Completed. Possession granted to the Building.",IF(D96=100%,"All work Completed, Waiting for OC",I85&amp;""&amp;I86&amp;""&amp;J85&amp;""&amp;J84&amp;" "&amp;J86))</f>
        <v>Excavation, Plinth Completed, RCC upto 18 Slab, Brickwork upto 17 Floor, Internal Plaster upto 12.75 Floor, External Plaster upto 11.9 Floor Completed</v>
      </c>
      <c r="J84" s="45" t="str">
        <f ca="1">(IF(C90=(D85+F85+H85),"",IF(C90&gt;0,", RCC upto "&amp;C90&amp;" Slab","")))&amp;(IF(C91=H85,"",IF(C91&gt;0,", Brickwork upto "&amp;C91&amp;" Floor","")))&amp;(IF(C92=H85,"",IF(C92&gt;0,", Internal Plaster upto "&amp;C92&amp;" Floor","")))&amp;(IF(C93=H85,"",IF(C93&gt;0,", External Plaster upto "&amp;C93&amp;" Floor","")))&amp;(IF(C94=H85,"",IF(C94&gt;0,", Flooring upto "&amp;C94&amp;" Floor","")))&amp;(IF(C95=H85,"",IF(C95&gt;0,", Painting upto "&amp;C95&amp;" Floor","")))&amp;(IF(C96=H85,"",IF(C96&gt;0,", Finishing upto "&amp;C96&amp;" Floor","")))&amp;(IF(C97=H85,"",IF(C97&gt;0,", Possession upto "&amp;C97&amp;" Floor","")))</f>
        <v>, RCC upto 18 Slab, Brickwork upto 17 Floor, Internal Plaster upto 12.75 Floor, External Plaster upto 11.9 Floor</v>
      </c>
    </row>
    <row r="85" spans="1:16" x14ac:dyDescent="0.25">
      <c r="A85" s="16" t="s">
        <v>144</v>
      </c>
      <c r="B85" s="48">
        <f>IF(AND(ISNUMBER(SEARCH("1B",C84))),1,IF(AND(ISNUMBER(SEARCH("2B",C84))),2,IF(AND(ISNUMBER(SEARCH("3B",C84))),3,IF(AND(ISNUMBER(SEARCH("4B",C84))),4,IF(ISNUMBER(SEARCH("5B",C84)),5,0)))))</f>
        <v>3</v>
      </c>
      <c r="C85" s="48" t="s">
        <v>72</v>
      </c>
      <c r="D85" s="48">
        <v>1</v>
      </c>
      <c r="E85" s="48" t="s">
        <v>71</v>
      </c>
      <c r="F85" s="48">
        <v>0</v>
      </c>
      <c r="G85" s="48" t="s">
        <v>80</v>
      </c>
      <c r="H85" s="17">
        <f ca="1">--TRIM(RIGHT(SUBSTITUTE(LEFT(C84,_xlfn.AGGREGATE(16,6,FIND({0,1,2,3,4,5,6,7,8,9},C84,ROW(INDIRECT("1:"&amp;LEN(C84)))),1))," ",REPT(" ",LEN(C84))),LEN(C84)))</f>
        <v>22</v>
      </c>
      <c r="I85" s="46" t="str">
        <f ca="1">IF(D88=100%,"Excavation","")&amp;IF(D89=100%,", Plinth","")&amp;IF(D90=100%,", RCC Slab","")&amp;IF(D91=100%,", Brickwork","")&amp;IF(D92=100%,", Internal Plaster","")&amp;IF(D93=100%,", External Plaster","")&amp;IF(D94=100%,", Flooring","")&amp;IF(D95=100%,", Painting","")&amp;IF(D96=100%,", Building common Amenities","")</f>
        <v>Excavation, Plinth</v>
      </c>
      <c r="J85" s="47" t="str">
        <f ca="1">(IF(C88=0,"Work not yet Started.",IF(D88=25%,"Piling work in process",IF(D88=50%,"Excavation work in process",IF(D88=100%,"","0")))))&amp;(IF(C89=0%,"",IF(C89=J90,", Footing work is process",IF(C89=J91,", Footing work Completed",IF(C89=J92,", 1st Basement Completed",IF(C89=J93,", 1st &amp; 2nd Basement Completed",IF(C89=J94,", 1st to 3rd Basement Completed",IF(C89=J95,", 1st to 4th Basement Completed",IF(C89=J96,", Plinth work is process",IF(C89=J97,"","0"))))))))))</f>
        <v/>
      </c>
      <c r="K85" s="63"/>
      <c r="L85" s="63"/>
    </row>
    <row r="86" spans="1:16" ht="36.6" customHeight="1" x14ac:dyDescent="0.25">
      <c r="A86" s="100" t="s">
        <v>90</v>
      </c>
      <c r="B86" s="101"/>
      <c r="C86" s="102" t="str">
        <f ca="1">I84</f>
        <v>Excavation, Plinth Completed, RCC upto 18 Slab, Brickwork upto 17 Floor, Internal Plaster upto 12.75 Floor, External Plaster upto 11.9 Floor Completed</v>
      </c>
      <c r="D86" s="102"/>
      <c r="E86" s="102"/>
      <c r="F86" s="102"/>
      <c r="G86" s="102"/>
      <c r="H86" s="103"/>
      <c r="I86" s="46" t="str">
        <f ca="1">IF(I85&lt;&gt;""," Completed","")</f>
        <v xml:space="preserve"> Completed</v>
      </c>
      <c r="J86" s="47" t="str">
        <f ca="1">IF(J84&lt;&gt;"","Completed","")</f>
        <v>Completed</v>
      </c>
      <c r="K86" s="58"/>
      <c r="L86" s="58"/>
      <c r="M86" s="58"/>
    </row>
    <row r="87" spans="1:16" x14ac:dyDescent="0.25">
      <c r="A87" s="104" t="s">
        <v>49</v>
      </c>
      <c r="B87" s="105"/>
      <c r="C87" s="53" t="s">
        <v>141</v>
      </c>
      <c r="D87" s="53" t="s">
        <v>83</v>
      </c>
      <c r="E87" s="106" t="s">
        <v>85</v>
      </c>
      <c r="F87" s="106"/>
      <c r="G87" s="106" t="s">
        <v>84</v>
      </c>
      <c r="H87" s="107"/>
      <c r="I87" s="14" t="s">
        <v>143</v>
      </c>
      <c r="J87" s="26">
        <f ca="1">H85*25%</f>
        <v>5.5</v>
      </c>
      <c r="K87" s="58"/>
      <c r="L87" s="58"/>
      <c r="M87" s="58"/>
    </row>
    <row r="88" spans="1:16" s="31" customFormat="1" x14ac:dyDescent="0.25">
      <c r="A88" s="104" t="s">
        <v>130</v>
      </c>
      <c r="B88" s="105"/>
      <c r="C88" s="53">
        <f ca="1">J89</f>
        <v>22</v>
      </c>
      <c r="D88" s="54">
        <f ca="1">((100/H85)*C88)/100</f>
        <v>1.0000000000000002</v>
      </c>
      <c r="E88" s="108">
        <f ca="1">(((C89/H85*10)+(40/(D85+F85+H85)*C90)+(7.5/(H85)*C91)+(7.5/(H85)*C92)+(10/H85*C93)+(10/H85*C94)+(5/H85*C95)+(5/H85*C96)+(5/H85*C97))/100)</f>
        <v>0.56855484189723315</v>
      </c>
      <c r="F88" s="109"/>
      <c r="G88" s="108">
        <f ca="1">((((C88/H85)*20)+((C89/H85)*25)+(30/(H85+F85+D85)*C90)+(5/H85*C91)+(5/H85*C92)+(5/H85*C93)+(5/H85*C94)+(0/H85*C95)+(0/H85*C96)+(5/H85*C97))/100)</f>
        <v>0.77944169960474297</v>
      </c>
      <c r="H88" s="114"/>
      <c r="I88" s="14" t="s">
        <v>101</v>
      </c>
      <c r="J88" s="27">
        <f ca="1">H85*50%</f>
        <v>11</v>
      </c>
      <c r="K88" s="59"/>
      <c r="L88" s="59"/>
      <c r="M88" s="59"/>
    </row>
    <row r="89" spans="1:16" s="31" customFormat="1" x14ac:dyDescent="0.25">
      <c r="A89" s="104" t="s">
        <v>50</v>
      </c>
      <c r="B89" s="105"/>
      <c r="C89" s="55">
        <f ca="1">J97</f>
        <v>22</v>
      </c>
      <c r="D89" s="54">
        <f ca="1">((100/H85)*C89)/100</f>
        <v>1.0000000000000002</v>
      </c>
      <c r="E89" s="110"/>
      <c r="F89" s="111"/>
      <c r="G89" s="110"/>
      <c r="H89" s="115"/>
      <c r="I89" s="14" t="s">
        <v>102</v>
      </c>
      <c r="J89" s="27">
        <f ca="1">H85</f>
        <v>22</v>
      </c>
      <c r="K89" s="59"/>
      <c r="L89" s="59"/>
      <c r="M89" s="59"/>
    </row>
    <row r="90" spans="1:16" s="31" customFormat="1" x14ac:dyDescent="0.25">
      <c r="A90" s="104" t="s">
        <v>131</v>
      </c>
      <c r="B90" s="105"/>
      <c r="C90" s="53">
        <v>18</v>
      </c>
      <c r="D90" s="54">
        <f ca="1">((100/(D85+F85+H85))*C90)/100</f>
        <v>0.78260869565217395</v>
      </c>
      <c r="E90" s="110"/>
      <c r="F90" s="111"/>
      <c r="G90" s="110"/>
      <c r="H90" s="115"/>
      <c r="I90" s="14" t="s">
        <v>103</v>
      </c>
      <c r="J90" s="28">
        <f ca="1">(IF(B85&gt;1,(H85/(B85+2)),H85/4))</f>
        <v>4.4000000000000004</v>
      </c>
      <c r="K90" s="59"/>
      <c r="L90" s="59"/>
      <c r="M90" s="59"/>
    </row>
    <row r="91" spans="1:16" s="31" customFormat="1" x14ac:dyDescent="0.25">
      <c r="A91" s="104" t="s">
        <v>138</v>
      </c>
      <c r="B91" s="105" t="s">
        <v>132</v>
      </c>
      <c r="C91" s="53">
        <f>C90-F85-D85</f>
        <v>17</v>
      </c>
      <c r="D91" s="54">
        <f ca="1">((100/H85)*C91)/100</f>
        <v>0.77272727272727282</v>
      </c>
      <c r="E91" s="110"/>
      <c r="F91" s="111"/>
      <c r="G91" s="110"/>
      <c r="H91" s="115"/>
      <c r="I91" s="14" t="s">
        <v>104</v>
      </c>
      <c r="J91" s="28">
        <f ca="1">(IF(B85&gt;1,(H85/(B85+2)+J90),H85/4+J90))</f>
        <v>8.8000000000000007</v>
      </c>
      <c r="K91" s="59"/>
      <c r="L91" s="59"/>
      <c r="M91" s="59"/>
    </row>
    <row r="92" spans="1:16" s="31" customFormat="1" x14ac:dyDescent="0.25">
      <c r="A92" s="104" t="s">
        <v>139</v>
      </c>
      <c r="B92" s="105" t="s">
        <v>132</v>
      </c>
      <c r="C92" s="55">
        <f>C91*0.75</f>
        <v>12.75</v>
      </c>
      <c r="D92" s="54">
        <f ca="1">((100/H85)*C92)/100</f>
        <v>0.57954545454545459</v>
      </c>
      <c r="E92" s="110"/>
      <c r="F92" s="111"/>
      <c r="G92" s="110"/>
      <c r="H92" s="115"/>
      <c r="I92" s="14" t="s">
        <v>148</v>
      </c>
      <c r="J92" s="28">
        <f ca="1">(IF(B85&gt;1,(H85/(B85+2)+J91),0))</f>
        <v>13.200000000000001</v>
      </c>
      <c r="K92" s="59"/>
      <c r="L92" s="59"/>
      <c r="M92" s="59"/>
    </row>
    <row r="93" spans="1:16" s="31" customFormat="1" x14ac:dyDescent="0.25">
      <c r="A93" s="104" t="s">
        <v>137</v>
      </c>
      <c r="B93" s="105" t="s">
        <v>134</v>
      </c>
      <c r="C93" s="55">
        <f>C91*0.7</f>
        <v>11.899999999999999</v>
      </c>
      <c r="D93" s="54">
        <f ca="1">((100/(H85))*C93)/100</f>
        <v>0.54090909090909089</v>
      </c>
      <c r="E93" s="110"/>
      <c r="F93" s="111"/>
      <c r="G93" s="110"/>
      <c r="H93" s="115"/>
      <c r="I93" s="14" t="s">
        <v>145</v>
      </c>
      <c r="J93" s="28">
        <f ca="1">(IF(B85&gt;2,(H85/(B85+2)+J92),0))</f>
        <v>17.600000000000001</v>
      </c>
      <c r="K93" s="59"/>
      <c r="L93" s="59"/>
      <c r="M93" s="59"/>
    </row>
    <row r="94" spans="1:16" s="31" customFormat="1" x14ac:dyDescent="0.25">
      <c r="A94" s="104" t="s">
        <v>133</v>
      </c>
      <c r="B94" s="105" t="s">
        <v>133</v>
      </c>
      <c r="C94" s="53">
        <v>0</v>
      </c>
      <c r="D94" s="54">
        <f ca="1">((100/H85)*C94)/100</f>
        <v>0</v>
      </c>
      <c r="E94" s="110"/>
      <c r="F94" s="111"/>
      <c r="G94" s="110"/>
      <c r="H94" s="115"/>
      <c r="I94" s="14" t="s">
        <v>146</v>
      </c>
      <c r="J94" s="29">
        <f>(IF(B85&gt;3,(H85/(B85+2)+J93),0))</f>
        <v>0</v>
      </c>
      <c r="K94" s="59"/>
      <c r="L94" s="59"/>
      <c r="M94" s="59"/>
    </row>
    <row r="95" spans="1:16" s="31" customFormat="1" x14ac:dyDescent="0.25">
      <c r="A95" s="104" t="s">
        <v>140</v>
      </c>
      <c r="B95" s="105"/>
      <c r="C95" s="53">
        <v>0</v>
      </c>
      <c r="D95" s="54">
        <f ca="1">((100/H85)*C95)/100</f>
        <v>0</v>
      </c>
      <c r="E95" s="110"/>
      <c r="F95" s="111"/>
      <c r="G95" s="110"/>
      <c r="H95" s="115"/>
      <c r="I95" s="14" t="s">
        <v>147</v>
      </c>
      <c r="J95" s="28">
        <f>(IF(B85&gt;4,(H85/(B85+2)+J94),0))</f>
        <v>0</v>
      </c>
      <c r="K95" s="59"/>
      <c r="L95" s="59"/>
      <c r="M95" s="59"/>
    </row>
    <row r="96" spans="1:16" x14ac:dyDescent="0.25">
      <c r="A96" s="104" t="s">
        <v>135</v>
      </c>
      <c r="B96" s="105" t="s">
        <v>135</v>
      </c>
      <c r="C96" s="53">
        <v>0</v>
      </c>
      <c r="D96" s="54">
        <f ca="1">((100/(H85))*C96)/100</f>
        <v>0</v>
      </c>
      <c r="E96" s="110"/>
      <c r="F96" s="111"/>
      <c r="G96" s="110"/>
      <c r="H96" s="115"/>
      <c r="I96" s="14" t="s">
        <v>149</v>
      </c>
      <c r="J96" s="28">
        <f>(IF(B85=1,(H85/(B85+3)+J91),IF(B85=0,(H85/4+J91),IF(B85&gt;1,0))))</f>
        <v>0</v>
      </c>
      <c r="K96" s="58"/>
      <c r="L96" s="58"/>
      <c r="M96" s="58"/>
    </row>
    <row r="97" spans="1:13" s="32" customFormat="1" ht="16.5" thickBot="1" x14ac:dyDescent="0.3">
      <c r="A97" s="117" t="s">
        <v>136</v>
      </c>
      <c r="B97" s="118"/>
      <c r="C97" s="56">
        <v>0</v>
      </c>
      <c r="D97" s="57">
        <f ca="1">((100/(H85))*C97)/100</f>
        <v>0</v>
      </c>
      <c r="E97" s="112"/>
      <c r="F97" s="113"/>
      <c r="G97" s="112"/>
      <c r="H97" s="116"/>
      <c r="I97" s="15" t="s">
        <v>105</v>
      </c>
      <c r="J97" s="30">
        <f ca="1">(IF(B85&gt;1.5,(H85/(B85+2)+J91+MAX(0,J92-J91)+MAX(0,J93-J92)+MAX(0,J94-J93)+MAX(0,J95-J94)+MAX(0,J96-J95)),IF(B85=1,(H85/(B85+3)+J96),IF(B85=0,H85/4+J96))))</f>
        <v>22</v>
      </c>
      <c r="K97" s="60"/>
      <c r="L97" s="60"/>
      <c r="M97" s="60"/>
    </row>
    <row r="98" spans="1:13" s="33" customFormat="1" ht="15.75" customHeight="1" x14ac:dyDescent="0.25">
      <c r="A98" s="209" t="s">
        <v>159</v>
      </c>
      <c r="B98" s="209"/>
      <c r="C98" s="209"/>
      <c r="D98" s="209"/>
      <c r="E98" s="209"/>
      <c r="F98" s="136" t="s">
        <v>163</v>
      </c>
      <c r="G98" s="136"/>
      <c r="H98" s="136"/>
      <c r="I98" s="62" t="s">
        <v>280</v>
      </c>
      <c r="J98" s="19"/>
    </row>
    <row r="99" spans="1:13" s="33" customFormat="1" ht="15.75" customHeight="1" x14ac:dyDescent="0.25">
      <c r="A99" s="125" t="s">
        <v>161</v>
      </c>
      <c r="B99" s="125"/>
      <c r="C99" s="125"/>
      <c r="D99" s="125"/>
      <c r="E99" s="125"/>
      <c r="F99" s="122">
        <v>35000</v>
      </c>
      <c r="G99" s="122"/>
      <c r="H99" s="122"/>
      <c r="I99" s="33" t="s">
        <v>288</v>
      </c>
      <c r="J99" s="63"/>
    </row>
    <row r="100" spans="1:13" s="33" customFormat="1" hidden="1" x14ac:dyDescent="0.25">
      <c r="A100" s="125" t="s">
        <v>160</v>
      </c>
      <c r="B100" s="125"/>
      <c r="C100" s="125"/>
      <c r="D100" s="125"/>
      <c r="E100" s="125"/>
      <c r="F100" s="122"/>
      <c r="G100" s="122"/>
      <c r="H100" s="122"/>
      <c r="I100" s="58"/>
      <c r="J100" s="58"/>
    </row>
    <row r="101" spans="1:13" s="33" customFormat="1" hidden="1" x14ac:dyDescent="0.25">
      <c r="A101" s="125" t="s">
        <v>162</v>
      </c>
      <c r="B101" s="125"/>
      <c r="C101" s="125"/>
      <c r="D101" s="125"/>
      <c r="E101" s="125"/>
      <c r="F101" s="122"/>
      <c r="G101" s="122"/>
      <c r="H101" s="122"/>
      <c r="I101" s="58"/>
      <c r="J101" s="58"/>
    </row>
    <row r="102" spans="1:13" s="33" customFormat="1" x14ac:dyDescent="0.25">
      <c r="A102" s="125" t="s">
        <v>279</v>
      </c>
      <c r="B102" s="125"/>
      <c r="C102" s="125"/>
      <c r="D102" s="125"/>
      <c r="E102" s="125"/>
      <c r="F102" s="122">
        <v>100</v>
      </c>
      <c r="G102" s="122"/>
      <c r="H102" s="122"/>
      <c r="I102" s="59"/>
      <c r="J102" s="59"/>
    </row>
    <row r="103" spans="1:13" s="33" customFormat="1" hidden="1" x14ac:dyDescent="0.25">
      <c r="A103" s="125" t="s">
        <v>95</v>
      </c>
      <c r="B103" s="125"/>
      <c r="C103" s="125"/>
      <c r="D103" s="125"/>
      <c r="E103" s="125"/>
      <c r="F103" s="122"/>
      <c r="G103" s="122"/>
      <c r="H103" s="122"/>
      <c r="I103" s="59"/>
      <c r="J103" s="59"/>
    </row>
    <row r="104" spans="1:13" s="33" customFormat="1" ht="15.75" hidden="1" customHeight="1" x14ac:dyDescent="0.25">
      <c r="A104" s="125" t="s">
        <v>96</v>
      </c>
      <c r="B104" s="125"/>
      <c r="C104" s="125"/>
      <c r="D104" s="125"/>
      <c r="E104" s="125"/>
      <c r="F104" s="122"/>
      <c r="G104" s="122"/>
      <c r="H104" s="122"/>
      <c r="I104" s="59"/>
      <c r="J104" s="59"/>
    </row>
    <row r="105" spans="1:13" s="33" customFormat="1" hidden="1" x14ac:dyDescent="0.25">
      <c r="A105" s="125" t="s">
        <v>164</v>
      </c>
      <c r="B105" s="125"/>
      <c r="C105" s="125"/>
      <c r="D105" s="125"/>
      <c r="E105" s="125"/>
      <c r="F105" s="122"/>
      <c r="G105" s="122"/>
      <c r="H105" s="122"/>
      <c r="I105" s="59"/>
      <c r="J105" s="59"/>
    </row>
    <row r="106" spans="1:13" s="33" customFormat="1" hidden="1" x14ac:dyDescent="0.25">
      <c r="A106" s="125" t="s">
        <v>97</v>
      </c>
      <c r="B106" s="125"/>
      <c r="C106" s="125"/>
      <c r="D106" s="125"/>
      <c r="E106" s="125"/>
      <c r="F106" s="122"/>
      <c r="G106" s="122"/>
      <c r="H106" s="122"/>
      <c r="I106" s="59"/>
      <c r="J106" s="59"/>
    </row>
    <row r="107" spans="1:13" s="33" customFormat="1" hidden="1" x14ac:dyDescent="0.25">
      <c r="A107" s="125" t="s">
        <v>98</v>
      </c>
      <c r="B107" s="125"/>
      <c r="C107" s="125"/>
      <c r="D107" s="125"/>
      <c r="E107" s="125"/>
      <c r="F107" s="122"/>
      <c r="G107" s="122"/>
      <c r="H107" s="122"/>
      <c r="I107" s="59"/>
      <c r="J107" s="59"/>
    </row>
    <row r="108" spans="1:13" s="33" customFormat="1" hidden="1" x14ac:dyDescent="0.25">
      <c r="A108" s="125" t="s">
        <v>99</v>
      </c>
      <c r="B108" s="125"/>
      <c r="C108" s="125"/>
      <c r="D108" s="125"/>
      <c r="E108" s="125"/>
      <c r="F108" s="122"/>
      <c r="G108" s="122"/>
      <c r="H108" s="122"/>
      <c r="I108" s="59"/>
      <c r="J108" s="59"/>
    </row>
    <row r="109" spans="1:13" s="33" customFormat="1" hidden="1" x14ac:dyDescent="0.25">
      <c r="A109" s="125" t="s">
        <v>100</v>
      </c>
      <c r="B109" s="125"/>
      <c r="C109" s="125"/>
      <c r="D109" s="125"/>
      <c r="E109" s="125"/>
      <c r="F109" s="122"/>
      <c r="G109" s="122"/>
      <c r="H109" s="122"/>
      <c r="I109" s="59"/>
      <c r="J109" s="59"/>
    </row>
    <row r="110" spans="1:13" s="33" customFormat="1" ht="16.5" customHeight="1" x14ac:dyDescent="0.25">
      <c r="A110" s="125" t="s">
        <v>51</v>
      </c>
      <c r="B110" s="125"/>
      <c r="C110" s="125"/>
      <c r="D110" s="125"/>
      <c r="E110" s="125"/>
      <c r="F110" s="122">
        <v>1500000</v>
      </c>
      <c r="G110" s="122"/>
      <c r="H110" s="122"/>
      <c r="I110" s="58"/>
      <c r="J110" s="58"/>
    </row>
    <row r="111" spans="1:13" s="32" customFormat="1" x14ac:dyDescent="0.25">
      <c r="A111" s="177" t="s">
        <v>52</v>
      </c>
      <c r="B111" s="177"/>
      <c r="C111" s="177"/>
      <c r="D111" s="177"/>
      <c r="E111" s="177"/>
      <c r="F111" s="122">
        <f>F99*0.8</f>
        <v>28000</v>
      </c>
      <c r="G111" s="122"/>
      <c r="H111" s="122"/>
      <c r="I111" s="60"/>
      <c r="J111" s="60"/>
    </row>
    <row r="112" spans="1:13" hidden="1" x14ac:dyDescent="0.25">
      <c r="A112" s="171" t="s">
        <v>75</v>
      </c>
      <c r="B112" s="171"/>
      <c r="C112" s="171"/>
      <c r="D112" s="171"/>
      <c r="E112" s="171"/>
      <c r="F112" s="171"/>
      <c r="G112" s="171"/>
      <c r="H112" s="171"/>
      <c r="I112" s="33"/>
      <c r="J112" s="33"/>
    </row>
    <row r="113" spans="1:14" ht="47.25" hidden="1" customHeight="1" x14ac:dyDescent="0.25">
      <c r="A113" s="124" t="s">
        <v>53</v>
      </c>
      <c r="B113" s="124"/>
      <c r="C113" s="131" t="s">
        <v>78</v>
      </c>
      <c r="D113" s="131"/>
      <c r="E113" s="129" t="s">
        <v>54</v>
      </c>
      <c r="F113" s="129"/>
      <c r="G113" s="124" t="s">
        <v>55</v>
      </c>
      <c r="H113" s="124"/>
      <c r="I113" s="33"/>
      <c r="J113" s="33"/>
    </row>
    <row r="114" spans="1:14" s="35" customFormat="1" hidden="1" x14ac:dyDescent="0.25">
      <c r="A114" s="130"/>
      <c r="B114" s="130"/>
      <c r="C114" s="178"/>
      <c r="D114" s="178"/>
      <c r="E114" s="179"/>
      <c r="F114" s="179"/>
      <c r="G114" s="166"/>
      <c r="H114" s="166"/>
      <c r="I114" s="33"/>
      <c r="J114" s="33"/>
    </row>
    <row r="115" spans="1:14" s="35" customFormat="1" hidden="1" x14ac:dyDescent="0.25">
      <c r="A115" s="130"/>
      <c r="B115" s="130"/>
      <c r="C115" s="178"/>
      <c r="D115" s="178"/>
      <c r="E115" s="179"/>
      <c r="F115" s="179"/>
      <c r="G115" s="166"/>
      <c r="H115" s="166"/>
      <c r="I115" s="33"/>
      <c r="J115" s="33"/>
    </row>
    <row r="116" spans="1:14" s="35" customFormat="1" hidden="1" x14ac:dyDescent="0.25">
      <c r="A116" s="171" t="s">
        <v>152</v>
      </c>
      <c r="B116" s="171"/>
      <c r="C116" s="131"/>
      <c r="D116" s="131"/>
      <c r="E116" s="129"/>
      <c r="F116" s="129"/>
      <c r="G116" s="124"/>
      <c r="H116" s="124"/>
      <c r="I116" s="33"/>
      <c r="J116" s="33"/>
      <c r="L116" s="78"/>
      <c r="M116" s="78"/>
      <c r="N116" s="34"/>
    </row>
    <row r="117" spans="1:14" s="35" customFormat="1" x14ac:dyDescent="0.25">
      <c r="A117" s="171" t="s">
        <v>70</v>
      </c>
      <c r="B117" s="171"/>
      <c r="C117" s="171"/>
      <c r="D117" s="171"/>
      <c r="E117" s="171"/>
      <c r="F117" s="171"/>
      <c r="G117" s="171"/>
      <c r="H117" s="171"/>
      <c r="I117" s="33"/>
      <c r="J117" s="33"/>
      <c r="L117" s="78"/>
      <c r="M117" s="78"/>
      <c r="N117" s="34"/>
    </row>
    <row r="118" spans="1:14" s="35" customFormat="1" x14ac:dyDescent="0.25">
      <c r="A118" s="124" t="s">
        <v>53</v>
      </c>
      <c r="B118" s="124"/>
      <c r="C118" s="131" t="s">
        <v>78</v>
      </c>
      <c r="D118" s="131"/>
      <c r="E118" s="129" t="s">
        <v>54</v>
      </c>
      <c r="F118" s="129"/>
      <c r="G118" s="124" t="s">
        <v>55</v>
      </c>
      <c r="H118" s="124"/>
      <c r="I118" s="33"/>
      <c r="J118" s="33"/>
      <c r="L118" s="78"/>
      <c r="M118" s="78"/>
      <c r="N118" s="34"/>
    </row>
    <row r="119" spans="1:14" s="35" customFormat="1" x14ac:dyDescent="0.25">
      <c r="A119" s="130" t="s">
        <v>259</v>
      </c>
      <c r="B119" s="130"/>
      <c r="C119" s="174">
        <f>COUNT(D141,D143:D144)+COUNT(D146:D149)*11+COUNT(D151,D153:D154)+COUNT(D156:D159)*3+COUNT(D161,D163:D164)+COUNT(D166:D169)*4+COUNT(D171,D173:D174)</f>
        <v>84</v>
      </c>
      <c r="D119" s="174"/>
      <c r="E119" s="174">
        <f>SUM(D141,D143:D144)+SUM(D146:D149)*11+SUM(D151,D153:D154)+SUM(D156:D159)*3+SUM(D161,D163:D164)+SUM(D166:D169)*4+SUM(D171,D173:D174)</f>
        <v>118585.55746439997</v>
      </c>
      <c r="F119" s="174"/>
      <c r="G119" s="174">
        <f>SUM(F141,F143:F144)+SUM(F146:F149)*11+SUM(F151,F153:F154)+SUM(F156:F159)*3+SUM(F161,F163:F164)+SUM(F166:F169)*4+SUM(F171,F173:F174)</f>
        <v>177878.33619659999</v>
      </c>
      <c r="H119" s="174"/>
      <c r="I119" s="33"/>
      <c r="J119" s="33"/>
      <c r="L119" s="78"/>
      <c r="M119" s="78"/>
      <c r="N119" s="34"/>
    </row>
    <row r="120" spans="1:14" s="35" customFormat="1" x14ac:dyDescent="0.25">
      <c r="A120" s="130" t="s">
        <v>264</v>
      </c>
      <c r="B120" s="130"/>
      <c r="C120" s="174">
        <f>COUNT(D179:D182)+COUNT(D184:D187)*11+COUNT(D190:D192)+COUNT(D194:D197)*3+COUNT(D200:D202)+COUNT(D204:D207)*4+COUNT(D211:D212)</f>
        <v>84</v>
      </c>
      <c r="D120" s="174"/>
      <c r="E120" s="174">
        <f>SUM(D179:D182)+SUM(D184:D187)*11+SUM(D190:D192)+SUM(D194:D197)*3+SUM(D200:D202)+SUM(D204:D207)*4+SUM(D211:D212)</f>
        <v>109675.36960379999</v>
      </c>
      <c r="F120" s="174"/>
      <c r="G120" s="174">
        <f>SUM(F179:F182)+SUM(F184:F187)*11+SUM(F190:F192)+SUM(F194:F197)*3+SUM(F200:F202)+SUM(F204:F207)*4+SUM(F211:F212)</f>
        <v>164513.05440569998</v>
      </c>
      <c r="H120" s="174"/>
      <c r="I120" s="33"/>
      <c r="J120" s="33"/>
      <c r="N120" s="34"/>
    </row>
    <row r="121" spans="1:14" x14ac:dyDescent="0.25">
      <c r="A121" s="130" t="s">
        <v>265</v>
      </c>
      <c r="B121" s="130"/>
      <c r="C121" s="174">
        <f>COUNT(D217:D220)+COUNT(D222:D225)*11+COUNT(D227,D229:D230)+COUNT(D232:D235)*3+COUNT(D237,D239:D240)+COUNT(D242:D245)*4+COUNT(D249:D250)</f>
        <v>84</v>
      </c>
      <c r="D121" s="174"/>
      <c r="E121" s="174">
        <f>SUM(D217:D220)+SUM(D222:D225)*11+SUM(D227,D229:D230)+SUM(D232:D235)*3+SUM(D237,D239:D240)+SUM(D242:D245)*4+SUM(D249:D250)</f>
        <v>104702.2683993</v>
      </c>
      <c r="F121" s="174"/>
      <c r="G121" s="174">
        <f>SUM(F217:F220)+SUM(F222:F225)*11+SUM(F227,F229:F230)+SUM(F232:F235)*3+SUM(F237,F239:F240)+SUM(F242:F245)*4+SUM(F249:F250)</f>
        <v>157053.40259895002</v>
      </c>
      <c r="H121" s="174"/>
      <c r="I121" s="33"/>
      <c r="J121" s="33"/>
    </row>
    <row r="122" spans="1:14" s="35" customFormat="1" x14ac:dyDescent="0.25">
      <c r="A122" s="130" t="s">
        <v>266</v>
      </c>
      <c r="B122" s="130"/>
      <c r="C122" s="174">
        <f>COUNT(D255:D259)+COUNT(D261:D265)*11+COUNT(D268:D271)+COUNT(D273:D277)*3+COUNT(D280:D283)+COUNT(D285:D289)*4+COUNT(D292:D295)</f>
        <v>107</v>
      </c>
      <c r="D122" s="174"/>
      <c r="E122" s="174">
        <f>SUM(D255:D259)+SUM(D261:D265)*11+SUM(D268:D271)+SUM(D273:D277)*3+SUM(D280:D283)+SUM(D285:D289)*4+SUM(D292:D295)</f>
        <v>137477.57953409999</v>
      </c>
      <c r="F122" s="174"/>
      <c r="G122" s="174">
        <f>SUM(F255:F259)+SUM(F261:F265)*11+SUM(F268:F271)+SUM(F273:F277)*3+SUM(F280:F283)+SUM(F285:F289)*4+SUM(F292:F295)</f>
        <v>206216.36930115003</v>
      </c>
      <c r="H122" s="174"/>
      <c r="I122" s="33"/>
      <c r="J122" s="33"/>
    </row>
    <row r="123" spans="1:14" s="35" customFormat="1" x14ac:dyDescent="0.25">
      <c r="A123" s="171" t="s">
        <v>152</v>
      </c>
      <c r="B123" s="171"/>
      <c r="C123" s="159">
        <f>SUM(C119:C122)</f>
        <v>359</v>
      </c>
      <c r="D123" s="131"/>
      <c r="E123" s="135">
        <f>SUM(E119:E122)</f>
        <v>470440.77500159992</v>
      </c>
      <c r="F123" s="135"/>
      <c r="G123" s="124">
        <f>SUM(G119:G122)</f>
        <v>705661.16250239999</v>
      </c>
      <c r="H123" s="124"/>
      <c r="I123" s="33"/>
      <c r="J123" s="33"/>
    </row>
    <row r="124" spans="1:14" s="35" customFormat="1" ht="16.5" hidden="1" thickBot="1" x14ac:dyDescent="0.3">
      <c r="A124" s="172" t="s">
        <v>170</v>
      </c>
      <c r="B124" s="173"/>
      <c r="C124" s="167">
        <f>C116+C123</f>
        <v>359</v>
      </c>
      <c r="D124" s="167"/>
      <c r="E124" s="168">
        <f>E116+E123</f>
        <v>470440.77500159992</v>
      </c>
      <c r="F124" s="168"/>
      <c r="G124" s="169">
        <f>G116+G123</f>
        <v>705661.16250239999</v>
      </c>
      <c r="H124" s="170"/>
      <c r="I124" s="33"/>
      <c r="J124" s="33"/>
    </row>
    <row r="125" spans="1:14" s="35" customFormat="1" x14ac:dyDescent="0.25">
      <c r="A125" s="136" t="s">
        <v>56</v>
      </c>
      <c r="B125" s="136"/>
      <c r="C125" s="136"/>
      <c r="D125" s="136"/>
      <c r="E125" s="136"/>
      <c r="F125" s="136"/>
      <c r="G125" s="136"/>
      <c r="H125" s="136"/>
      <c r="I125" s="32"/>
      <c r="J125" s="32"/>
    </row>
    <row r="126" spans="1:14" s="35" customFormat="1" x14ac:dyDescent="0.25">
      <c r="A126" s="123" t="s">
        <v>286</v>
      </c>
      <c r="B126" s="123"/>
      <c r="C126" s="123"/>
      <c r="D126" s="123"/>
      <c r="E126" s="123"/>
      <c r="F126" s="123"/>
      <c r="G126" s="123"/>
      <c r="H126" s="123"/>
      <c r="I126" s="19"/>
      <c r="J126" s="19"/>
    </row>
    <row r="127" spans="1:14" s="35" customFormat="1" ht="15.6" hidden="1" customHeight="1" x14ac:dyDescent="0.25">
      <c r="A127" s="151" t="s">
        <v>121</v>
      </c>
      <c r="B127" s="151" t="s">
        <v>178</v>
      </c>
      <c r="C127" s="151" t="s">
        <v>57</v>
      </c>
      <c r="D127" s="151" t="s">
        <v>58</v>
      </c>
      <c r="E127" s="153" t="s">
        <v>158</v>
      </c>
      <c r="F127" s="41" t="s">
        <v>151</v>
      </c>
      <c r="G127" s="155" t="s">
        <v>60</v>
      </c>
      <c r="H127" s="156"/>
      <c r="I127" s="19"/>
      <c r="J127" s="19"/>
      <c r="L127" s="78"/>
      <c r="M127" s="78"/>
      <c r="N127" s="34"/>
    </row>
    <row r="128" spans="1:14" s="35" customFormat="1" ht="15.75" hidden="1" customHeight="1" x14ac:dyDescent="0.25">
      <c r="A128" s="152"/>
      <c r="B128" s="152"/>
      <c r="C128" s="152"/>
      <c r="D128" s="152"/>
      <c r="E128" s="154"/>
      <c r="F128" s="13">
        <v>0.45</v>
      </c>
      <c r="G128" s="157"/>
      <c r="H128" s="158"/>
      <c r="K128" s="35">
        <f>(J141+J144)/2</f>
        <v>32349.101898069894</v>
      </c>
      <c r="L128" s="78"/>
      <c r="M128" s="78"/>
      <c r="N128" s="34"/>
    </row>
    <row r="129" spans="1:14" s="35" customFormat="1" ht="15.75" hidden="1" customHeight="1" x14ac:dyDescent="0.25">
      <c r="A129" s="87" t="s">
        <v>120</v>
      </c>
      <c r="B129" s="88"/>
      <c r="C129" s="88"/>
      <c r="D129" s="88"/>
      <c r="E129" s="88"/>
      <c r="F129" s="88"/>
      <c r="G129" s="88"/>
      <c r="H129" s="89"/>
      <c r="J129" s="34"/>
      <c r="L129" s="78"/>
      <c r="M129" s="78"/>
      <c r="N129" s="34"/>
    </row>
    <row r="130" spans="1:14" s="35" customFormat="1" ht="15.75" hidden="1" customHeight="1" x14ac:dyDescent="0.25">
      <c r="A130" s="66">
        <v>1</v>
      </c>
      <c r="B130" s="67"/>
      <c r="C130" s="40"/>
      <c r="D130" s="40"/>
      <c r="E130" s="40">
        <v>0</v>
      </c>
      <c r="F130" s="40">
        <f>(D130+E130)*(($F$128)+1)</f>
        <v>0</v>
      </c>
      <c r="G130" s="66" t="str">
        <f>A129</f>
        <v>Ground Floor</v>
      </c>
      <c r="H130" s="67"/>
      <c r="I130" s="34"/>
      <c r="L130" s="78"/>
      <c r="M130" s="78"/>
      <c r="N130" s="34"/>
    </row>
    <row r="131" spans="1:14" s="35" customFormat="1" hidden="1" x14ac:dyDescent="0.25">
      <c r="A131" s="66">
        <f t="shared" ref="A131:A133" si="0">A130+1</f>
        <v>2</v>
      </c>
      <c r="B131" s="67"/>
      <c r="C131" s="40"/>
      <c r="D131" s="40"/>
      <c r="E131" s="40">
        <v>0</v>
      </c>
      <c r="F131" s="40">
        <f t="shared" ref="F131:F133" si="1">(D131+E131)*(($F$128)+1)</f>
        <v>0</v>
      </c>
      <c r="G131" s="66" t="str">
        <f t="shared" ref="G131:G133" si="2">G130</f>
        <v>Ground Floor</v>
      </c>
      <c r="H131" s="67"/>
      <c r="I131" s="34"/>
    </row>
    <row r="132" spans="1:14" s="35" customFormat="1" ht="15.75" hidden="1" customHeight="1" x14ac:dyDescent="0.25">
      <c r="A132" s="66">
        <f t="shared" si="0"/>
        <v>3</v>
      </c>
      <c r="B132" s="67"/>
      <c r="C132" s="40"/>
      <c r="D132" s="40"/>
      <c r="E132" s="40">
        <v>0</v>
      </c>
      <c r="F132" s="40">
        <f t="shared" si="1"/>
        <v>0</v>
      </c>
      <c r="G132" s="66" t="str">
        <f t="shared" si="2"/>
        <v>Ground Floor</v>
      </c>
      <c r="H132" s="67"/>
      <c r="I132" s="34"/>
      <c r="L132" s="78"/>
      <c r="M132" s="78"/>
      <c r="N132" s="34"/>
    </row>
    <row r="133" spans="1:14" s="35" customFormat="1" ht="15.75" hidden="1" customHeight="1" x14ac:dyDescent="0.25">
      <c r="A133" s="66">
        <f t="shared" si="0"/>
        <v>4</v>
      </c>
      <c r="B133" s="67"/>
      <c r="C133" s="40"/>
      <c r="D133" s="40"/>
      <c r="E133" s="40">
        <v>0</v>
      </c>
      <c r="F133" s="40">
        <f t="shared" si="1"/>
        <v>0</v>
      </c>
      <c r="G133" s="66" t="str">
        <f t="shared" si="2"/>
        <v>Ground Floor</v>
      </c>
      <c r="H133" s="67"/>
      <c r="I133" s="34"/>
      <c r="L133" s="78"/>
      <c r="M133" s="78"/>
      <c r="N133" s="34"/>
    </row>
    <row r="134" spans="1:14" s="35" customFormat="1" ht="15.75" hidden="1" customHeight="1" x14ac:dyDescent="0.25">
      <c r="A134" s="66"/>
      <c r="B134" s="74"/>
      <c r="C134" s="74"/>
      <c r="D134" s="74"/>
      <c r="E134" s="74"/>
      <c r="F134" s="74"/>
      <c r="G134" s="74"/>
      <c r="H134" s="67"/>
      <c r="I134" s="34"/>
      <c r="L134" s="78"/>
      <c r="M134" s="78"/>
      <c r="N134" s="34"/>
    </row>
    <row r="135" spans="1:14" s="35" customFormat="1" ht="31.9" customHeight="1" x14ac:dyDescent="0.25">
      <c r="A135" s="155" t="s">
        <v>122</v>
      </c>
      <c r="B135" s="151" t="s">
        <v>179</v>
      </c>
      <c r="C135" s="151" t="s">
        <v>57</v>
      </c>
      <c r="D135" s="151" t="s">
        <v>58</v>
      </c>
      <c r="E135" s="153" t="s">
        <v>59</v>
      </c>
      <c r="F135" s="41" t="s">
        <v>151</v>
      </c>
      <c r="G135" s="155" t="s">
        <v>60</v>
      </c>
      <c r="H135" s="156"/>
      <c r="I135" s="34"/>
      <c r="J135" s="19"/>
      <c r="L135" s="78"/>
      <c r="M135" s="78"/>
      <c r="N135" s="34"/>
    </row>
    <row r="136" spans="1:14" s="35" customFormat="1" x14ac:dyDescent="0.25">
      <c r="A136" s="157"/>
      <c r="B136" s="152"/>
      <c r="C136" s="152"/>
      <c r="D136" s="152"/>
      <c r="E136" s="154"/>
      <c r="F136" s="13">
        <v>0.5</v>
      </c>
      <c r="G136" s="157"/>
      <c r="H136" s="158"/>
      <c r="I136" s="34"/>
    </row>
    <row r="137" spans="1:14" s="35" customFormat="1" ht="15.75" customHeight="1" x14ac:dyDescent="0.25">
      <c r="A137" s="202" t="s">
        <v>259</v>
      </c>
      <c r="B137" s="203"/>
      <c r="C137" s="203"/>
      <c r="D137" s="203"/>
      <c r="E137" s="203"/>
      <c r="F137" s="203"/>
      <c r="G137" s="203"/>
      <c r="H137" s="204"/>
      <c r="J137" s="52">
        <v>10.763999999999999</v>
      </c>
      <c r="L137" s="78"/>
      <c r="M137" s="78"/>
      <c r="N137" s="34"/>
    </row>
    <row r="138" spans="1:14" s="35" customFormat="1" ht="15.75" customHeight="1" x14ac:dyDescent="0.25">
      <c r="A138" s="87" t="s">
        <v>257</v>
      </c>
      <c r="B138" s="88"/>
      <c r="C138" s="88"/>
      <c r="D138" s="88"/>
      <c r="E138" s="88"/>
      <c r="F138" s="88"/>
      <c r="G138" s="88"/>
      <c r="H138" s="89"/>
      <c r="J138" s="34"/>
      <c r="L138" s="78"/>
      <c r="M138" s="78"/>
      <c r="N138" s="34"/>
    </row>
    <row r="139" spans="1:14" s="35" customFormat="1" ht="15.75" customHeight="1" x14ac:dyDescent="0.25">
      <c r="A139" s="87" t="s">
        <v>258</v>
      </c>
      <c r="B139" s="88"/>
      <c r="C139" s="88"/>
      <c r="D139" s="88"/>
      <c r="E139" s="88"/>
      <c r="F139" s="88"/>
      <c r="G139" s="88"/>
      <c r="H139" s="89"/>
      <c r="J139" s="34"/>
      <c r="L139" s="78"/>
      <c r="M139" s="78"/>
      <c r="N139" s="34"/>
    </row>
    <row r="140" spans="1:14" s="35" customFormat="1" ht="15.75" customHeight="1" x14ac:dyDescent="0.25">
      <c r="A140" s="87" t="s">
        <v>260</v>
      </c>
      <c r="B140" s="88"/>
      <c r="C140" s="88"/>
      <c r="D140" s="88"/>
      <c r="E140" s="88"/>
      <c r="F140" s="88"/>
      <c r="G140" s="88"/>
      <c r="H140" s="89"/>
      <c r="J140" s="34"/>
      <c r="L140" s="78"/>
      <c r="M140" s="78"/>
      <c r="N140" s="34"/>
    </row>
    <row r="141" spans="1:14" s="35" customFormat="1" x14ac:dyDescent="0.25">
      <c r="A141" s="66">
        <v>1</v>
      </c>
      <c r="B141" s="67"/>
      <c r="C141" s="40" t="s">
        <v>261</v>
      </c>
      <c r="D141" s="52">
        <f>(146.73+1.54*2.425+1.54*2.125+2.125*1.16)*10.764</f>
        <v>1681.3583279999998</v>
      </c>
      <c r="E141" s="40">
        <v>0</v>
      </c>
      <c r="F141" s="40">
        <f>D141*(($F$136)+1)+(IF(E141&lt;101,E141,IF(E141&lt;201,E141/2,IF(E141&lt;=301,E141/3,E141/4))))</f>
        <v>2522.0374919999995</v>
      </c>
      <c r="G141" s="68" t="str">
        <f>A140</f>
        <v>1st Floor for Residential</v>
      </c>
      <c r="H141" s="69"/>
      <c r="I141" s="51">
        <f>1.83*1.685+4.5*3.53+3.68*5.26+2.68*3.98+1.62*1.905+4.305*3.08+1.63*1.385+2.505*1.605+4.905*3.38+0.899*1.505+1.855*2.23+2.83*1.905+3.08*3.945+3.23*4.999+1.386*1.529+1.533*0.6+1.607*2.505+2.009*0.929+1.605*2.505+1.54*2.425+1.54*2.125+2.125*1.161</f>
        <v>149.79793000000004</v>
      </c>
      <c r="J141" s="35">
        <f>88500000/F141</f>
        <v>35090.675805068495</v>
      </c>
    </row>
    <row r="142" spans="1:14" s="35" customFormat="1" ht="15.75" customHeight="1" x14ac:dyDescent="0.25">
      <c r="A142" s="66">
        <f t="shared" ref="A142:A144" si="3">A141+1</f>
        <v>2</v>
      </c>
      <c r="B142" s="67"/>
      <c r="C142" s="66" t="s">
        <v>263</v>
      </c>
      <c r="D142" s="74"/>
      <c r="E142" s="74"/>
      <c r="F142" s="67"/>
      <c r="G142" s="70"/>
      <c r="H142" s="71"/>
      <c r="I142" s="34"/>
      <c r="L142" s="78"/>
      <c r="M142" s="78"/>
      <c r="N142" s="34"/>
    </row>
    <row r="143" spans="1:14" s="35" customFormat="1" ht="15.75" customHeight="1" x14ac:dyDescent="0.25">
      <c r="A143" s="66">
        <f t="shared" si="3"/>
        <v>3</v>
      </c>
      <c r="B143" s="67"/>
      <c r="C143" s="40" t="s">
        <v>261</v>
      </c>
      <c r="D143" s="52">
        <f>(142.04+5.245*1.69+2.425*1.54)*10.764</f>
        <v>1664.5293521999997</v>
      </c>
      <c r="E143" s="40">
        <v>0</v>
      </c>
      <c r="F143" s="40">
        <f>D143*(($F$136)+1)+(IF(E143&lt;101,E143,IF(E143&lt;201,E143/2,IF(E143&lt;=301,E143/3,E143/4))))</f>
        <v>2496.7940282999998</v>
      </c>
      <c r="G143" s="70"/>
      <c r="H143" s="71"/>
      <c r="I143" s="34"/>
      <c r="L143" s="78"/>
      <c r="M143" s="78"/>
      <c r="N143" s="34"/>
    </row>
    <row r="144" spans="1:14" s="35" customFormat="1" ht="15.75" customHeight="1" x14ac:dyDescent="0.25">
      <c r="A144" s="66">
        <f t="shared" si="3"/>
        <v>4</v>
      </c>
      <c r="B144" s="67"/>
      <c r="C144" s="40" t="s">
        <v>262</v>
      </c>
      <c r="D144" s="52">
        <f>(98.17+1.54*2.425+1.54*2.425)*10.764</f>
        <v>1137.0981959999999</v>
      </c>
      <c r="E144" s="40">
        <v>0</v>
      </c>
      <c r="F144" s="40">
        <f>D144*(($F$136)+1)+(IF(E144&lt;101,E144,IF(E144&lt;201,E144/2,IF(E144&lt;=301,E144/3,E144/4))))</f>
        <v>1705.6472939999999</v>
      </c>
      <c r="G144" s="72"/>
      <c r="H144" s="73"/>
      <c r="I144" s="34"/>
      <c r="J144" s="34">
        <f>50500000/F144</f>
        <v>29607.527991071292</v>
      </c>
      <c r="L144" s="78"/>
      <c r="M144" s="78"/>
      <c r="N144" s="34"/>
    </row>
    <row r="145" spans="1:14" s="35" customFormat="1" ht="15.75" customHeight="1" x14ac:dyDescent="0.25">
      <c r="A145" s="87" t="s">
        <v>268</v>
      </c>
      <c r="B145" s="88"/>
      <c r="C145" s="88"/>
      <c r="D145" s="88"/>
      <c r="E145" s="88"/>
      <c r="F145" s="88"/>
      <c r="G145" s="88"/>
      <c r="H145" s="89"/>
      <c r="J145" s="34"/>
      <c r="L145" s="78"/>
      <c r="M145" s="78"/>
      <c r="N145" s="34"/>
    </row>
    <row r="146" spans="1:14" s="35" customFormat="1" x14ac:dyDescent="0.25">
      <c r="A146" s="66">
        <v>1</v>
      </c>
      <c r="B146" s="67"/>
      <c r="C146" s="40" t="s">
        <v>261</v>
      </c>
      <c r="D146" s="52">
        <f>(146.73+1.54*2.425+1.54*2.125+2.125*1.16)*10.764</f>
        <v>1681.3583279999998</v>
      </c>
      <c r="E146" s="40">
        <v>0</v>
      </c>
      <c r="F146" s="40">
        <f>D146*(($F$136)+1)+(IF(E146&lt;101,E146,IF(E146&lt;201,E146/2,IF(E146&lt;=301,E146/3,E146/4))))</f>
        <v>2522.0374919999995</v>
      </c>
      <c r="G146" s="68" t="str">
        <f>A145</f>
        <v>2nd to 7th, 9th to 13th Floor</v>
      </c>
      <c r="H146" s="69"/>
      <c r="I146" s="34"/>
      <c r="J146" s="34"/>
    </row>
    <row r="147" spans="1:14" s="35" customFormat="1" ht="15.75" customHeight="1" x14ac:dyDescent="0.25">
      <c r="A147" s="66">
        <f t="shared" ref="A147:A149" si="4">A146+1</f>
        <v>2</v>
      </c>
      <c r="B147" s="67"/>
      <c r="C147" s="40" t="s">
        <v>262</v>
      </c>
      <c r="D147" s="52">
        <f>(98.86+2.425*1.54)*10.764</f>
        <v>1104.327198</v>
      </c>
      <c r="E147" s="40">
        <v>0</v>
      </c>
      <c r="F147" s="40">
        <f>D147*(($F$136)+1)+(IF(E147&lt;101,E147,IF(E147&lt;201,E147/2,IF(E147&lt;=301,E147/3,E147/4))))</f>
        <v>1656.4907969999999</v>
      </c>
      <c r="G147" s="70" t="str">
        <f t="shared" ref="G147:G149" si="5">G146</f>
        <v>2nd to 7th, 9th to 13th Floor</v>
      </c>
      <c r="H147" s="71"/>
      <c r="I147" s="34"/>
      <c r="L147" s="78"/>
      <c r="M147" s="78"/>
      <c r="N147" s="34"/>
    </row>
    <row r="148" spans="1:14" s="35" customFormat="1" ht="15.75" customHeight="1" x14ac:dyDescent="0.25">
      <c r="A148" s="66">
        <f t="shared" si="4"/>
        <v>3</v>
      </c>
      <c r="B148" s="67"/>
      <c r="C148" s="40" t="s">
        <v>261</v>
      </c>
      <c r="D148" s="52">
        <f>(142.04+5.245*1.69+2.425*1.54)*10.764</f>
        <v>1664.5293521999997</v>
      </c>
      <c r="E148" s="40">
        <v>0</v>
      </c>
      <c r="F148" s="40">
        <f>D148*(($F$136)+1)+(IF(E148&lt;101,E148,IF(E148&lt;201,E148/2,IF(E148&lt;=301,E148/3,E148/4))))</f>
        <v>2496.7940282999998</v>
      </c>
      <c r="G148" s="70" t="str">
        <f t="shared" si="5"/>
        <v>2nd to 7th, 9th to 13th Floor</v>
      </c>
      <c r="H148" s="71"/>
      <c r="I148" s="34"/>
      <c r="L148" s="78"/>
      <c r="M148" s="78"/>
      <c r="N148" s="34"/>
    </row>
    <row r="149" spans="1:14" s="35" customFormat="1" ht="15.75" customHeight="1" x14ac:dyDescent="0.25">
      <c r="A149" s="66">
        <f t="shared" si="4"/>
        <v>4</v>
      </c>
      <c r="B149" s="67"/>
      <c r="C149" s="40" t="s">
        <v>262</v>
      </c>
      <c r="D149" s="52">
        <f>(98.17+1.54*2.425+1.54*2.425)*10.764</f>
        <v>1137.0981959999999</v>
      </c>
      <c r="E149" s="40">
        <v>0</v>
      </c>
      <c r="F149" s="40">
        <f>D149*(($F$136)+1)+(IF(E149&lt;101,E149,IF(E149&lt;201,E149/2,IF(E149&lt;=301,E149/3,E149/4))))</f>
        <v>1705.6472939999999</v>
      </c>
      <c r="G149" s="72" t="str">
        <f t="shared" si="5"/>
        <v>2nd to 7th, 9th to 13th Floor</v>
      </c>
      <c r="H149" s="73"/>
      <c r="I149" s="34"/>
      <c r="L149" s="78"/>
      <c r="M149" s="78"/>
      <c r="N149" s="34"/>
    </row>
    <row r="150" spans="1:14" s="35" customFormat="1" ht="15.75" customHeight="1" x14ac:dyDescent="0.25">
      <c r="A150" s="87" t="s">
        <v>269</v>
      </c>
      <c r="B150" s="88"/>
      <c r="C150" s="88"/>
      <c r="D150" s="88"/>
      <c r="E150" s="88"/>
      <c r="F150" s="88"/>
      <c r="G150" s="88"/>
      <c r="H150" s="89"/>
      <c r="J150" s="34"/>
      <c r="L150" s="78"/>
      <c r="M150" s="78"/>
      <c r="N150" s="34"/>
    </row>
    <row r="151" spans="1:14" s="35" customFormat="1" x14ac:dyDescent="0.25">
      <c r="A151" s="66">
        <v>1</v>
      </c>
      <c r="B151" s="67"/>
      <c r="C151" s="40" t="s">
        <v>261</v>
      </c>
      <c r="D151" s="52">
        <f>(146.73+1.54*2.425+1.54*2.125+2.125*1.16)*10.764</f>
        <v>1681.3583279999998</v>
      </c>
      <c r="E151" s="40">
        <v>0</v>
      </c>
      <c r="F151" s="40">
        <f>D151*(($F$136)+1)+(IF(E151&lt;101,E151,IF(E151&lt;201,E151/2,IF(E151&lt;=301,E151/3,E151/4))))</f>
        <v>2522.0374919999995</v>
      </c>
      <c r="G151" s="68" t="str">
        <f>A150</f>
        <v>8th Floor (Part Refuge Area)</v>
      </c>
      <c r="H151" s="69"/>
      <c r="I151" s="34"/>
    </row>
    <row r="152" spans="1:14" s="35" customFormat="1" ht="15.75" customHeight="1" x14ac:dyDescent="0.25">
      <c r="A152" s="66">
        <f t="shared" ref="A152:A154" si="6">A151+1</f>
        <v>2</v>
      </c>
      <c r="B152" s="67"/>
      <c r="C152" s="66" t="s">
        <v>270</v>
      </c>
      <c r="D152" s="74"/>
      <c r="E152" s="74"/>
      <c r="F152" s="67"/>
      <c r="G152" s="70" t="str">
        <f t="shared" ref="G152:G154" si="7">G151</f>
        <v>8th Floor (Part Refuge Area)</v>
      </c>
      <c r="H152" s="71"/>
      <c r="I152" s="34"/>
      <c r="L152" s="78"/>
      <c r="M152" s="78"/>
      <c r="N152" s="34"/>
    </row>
    <row r="153" spans="1:14" s="35" customFormat="1" ht="15.75" customHeight="1" x14ac:dyDescent="0.25">
      <c r="A153" s="66">
        <f t="shared" si="6"/>
        <v>3</v>
      </c>
      <c r="B153" s="67"/>
      <c r="C153" s="40" t="s">
        <v>261</v>
      </c>
      <c r="D153" s="52">
        <f>(142.04+5.245*1.69+2.425*1.54)*10.764</f>
        <v>1664.5293521999997</v>
      </c>
      <c r="E153" s="40">
        <v>0</v>
      </c>
      <c r="F153" s="40">
        <f>D153*(($F$136)+1)+(IF(E153&lt;101,E153,IF(E153&lt;201,E153/2,IF(E153&lt;=301,E153/3,E153/4))))</f>
        <v>2496.7940282999998</v>
      </c>
      <c r="G153" s="70" t="str">
        <f t="shared" si="7"/>
        <v>8th Floor (Part Refuge Area)</v>
      </c>
      <c r="H153" s="71"/>
      <c r="I153" s="34"/>
      <c r="L153" s="78"/>
      <c r="M153" s="78"/>
      <c r="N153" s="34"/>
    </row>
    <row r="154" spans="1:14" s="35" customFormat="1" ht="15.75" customHeight="1" x14ac:dyDescent="0.25">
      <c r="A154" s="66">
        <f t="shared" si="6"/>
        <v>4</v>
      </c>
      <c r="B154" s="67"/>
      <c r="C154" s="40" t="s">
        <v>262</v>
      </c>
      <c r="D154" s="52">
        <f>(98.17+1.54*2.425+1.54*2.425)*10.764</f>
        <v>1137.0981959999999</v>
      </c>
      <c r="E154" s="40">
        <v>0</v>
      </c>
      <c r="F154" s="40">
        <f>D154*(($F$136)+1)+(IF(E154&lt;101,E154,IF(E154&lt;201,E154/2,IF(E154&lt;=301,E154/3,E154/4))))</f>
        <v>1705.6472939999999</v>
      </c>
      <c r="G154" s="72" t="str">
        <f t="shared" si="7"/>
        <v>8th Floor (Part Refuge Area)</v>
      </c>
      <c r="H154" s="73"/>
      <c r="I154" s="34"/>
      <c r="L154" s="78"/>
      <c r="M154" s="78"/>
      <c r="N154" s="34"/>
    </row>
    <row r="155" spans="1:14" s="35" customFormat="1" ht="15.75" customHeight="1" x14ac:dyDescent="0.25">
      <c r="A155" s="87" t="s">
        <v>271</v>
      </c>
      <c r="B155" s="88"/>
      <c r="C155" s="88"/>
      <c r="D155" s="88"/>
      <c r="E155" s="88"/>
      <c r="F155" s="88"/>
      <c r="G155" s="88"/>
      <c r="H155" s="89"/>
      <c r="J155" s="34"/>
      <c r="L155" s="78"/>
      <c r="M155" s="78"/>
      <c r="N155" s="34"/>
    </row>
    <row r="156" spans="1:14" s="35" customFormat="1" x14ac:dyDescent="0.25">
      <c r="A156" s="66">
        <v>1</v>
      </c>
      <c r="B156" s="67"/>
      <c r="C156" s="40" t="s">
        <v>261</v>
      </c>
      <c r="D156" s="52">
        <f>(146.73+1.54*2.425+1.54*2.125+2.125*1.16)*10.764</f>
        <v>1681.3583279999998</v>
      </c>
      <c r="E156" s="40">
        <v>0</v>
      </c>
      <c r="F156" s="40">
        <f>D156*(($F$136)+1)+(IF(E156&lt;101,E156,IF(E156&lt;201,E156/2,IF(E156&lt;=301,E156/3,E156/4))))</f>
        <v>2522.0374919999995</v>
      </c>
      <c r="G156" s="68" t="str">
        <f>A155</f>
        <v>14th, 16th &amp; 17th Floor</v>
      </c>
      <c r="H156" s="69"/>
      <c r="I156" s="34"/>
    </row>
    <row r="157" spans="1:14" s="35" customFormat="1" x14ac:dyDescent="0.25">
      <c r="A157" s="66">
        <f t="shared" ref="A157:A159" si="8">A156+1</f>
        <v>2</v>
      </c>
      <c r="B157" s="67"/>
      <c r="C157" s="40" t="s">
        <v>262</v>
      </c>
      <c r="D157" s="52">
        <f>(99.24+2.625*1.54)*10.764</f>
        <v>1111.7328299999999</v>
      </c>
      <c r="E157" s="40">
        <v>0</v>
      </c>
      <c r="F157" s="40">
        <f>D157*(($F$136)+1)+(IF(E157&lt;101,E157,IF(E157&lt;201,E157/2,IF(E157&lt;=301,E157/3,E157/4))))</f>
        <v>1667.5992449999999</v>
      </c>
      <c r="G157" s="70" t="str">
        <f t="shared" ref="G157:G159" si="9">G156</f>
        <v>14th, 16th &amp; 17th Floor</v>
      </c>
      <c r="H157" s="71"/>
      <c r="I157" s="34"/>
    </row>
    <row r="158" spans="1:14" s="35" customFormat="1" x14ac:dyDescent="0.25">
      <c r="A158" s="66">
        <f t="shared" si="8"/>
        <v>3</v>
      </c>
      <c r="B158" s="67"/>
      <c r="C158" s="40" t="s">
        <v>261</v>
      </c>
      <c r="D158" s="52">
        <f>(142.04+5.245*1.69+2.425*1.54)*10.764</f>
        <v>1664.5293521999997</v>
      </c>
      <c r="E158" s="40">
        <v>0</v>
      </c>
      <c r="F158" s="40">
        <f>D158*(($F$136)+1)+(IF(E158&lt;101,E158,IF(E158&lt;201,E158/2,IF(E158&lt;=301,E158/3,E158/4))))</f>
        <v>2496.7940282999998</v>
      </c>
      <c r="G158" s="70" t="str">
        <f t="shared" si="9"/>
        <v>14th, 16th &amp; 17th Floor</v>
      </c>
      <c r="H158" s="71"/>
      <c r="I158" s="34"/>
    </row>
    <row r="159" spans="1:14" s="35" customFormat="1" x14ac:dyDescent="0.25">
      <c r="A159" s="66">
        <f t="shared" si="8"/>
        <v>4</v>
      </c>
      <c r="B159" s="67"/>
      <c r="C159" s="40" t="s">
        <v>262</v>
      </c>
      <c r="D159" s="52">
        <f>(98.17+1.54*2.425+1.54*2.425)*10.764</f>
        <v>1137.0981959999999</v>
      </c>
      <c r="E159" s="40">
        <v>0</v>
      </c>
      <c r="F159" s="40">
        <f>D159*(($F$136)+1)+(IF(E159&lt;101,E159,IF(E159&lt;201,E159/2,IF(E159&lt;=301,E159/3,E159/4))))</f>
        <v>1705.6472939999999</v>
      </c>
      <c r="G159" s="72" t="str">
        <f t="shared" si="9"/>
        <v>14th, 16th &amp; 17th Floor</v>
      </c>
      <c r="H159" s="73"/>
      <c r="I159" s="34"/>
    </row>
    <row r="160" spans="1:14" s="35" customFormat="1" ht="15.75" customHeight="1" x14ac:dyDescent="0.25">
      <c r="A160" s="87" t="s">
        <v>272</v>
      </c>
      <c r="B160" s="88"/>
      <c r="C160" s="88"/>
      <c r="D160" s="88"/>
      <c r="E160" s="88"/>
      <c r="F160" s="88"/>
      <c r="G160" s="88"/>
      <c r="H160" s="89"/>
      <c r="J160" s="34"/>
      <c r="L160" s="78"/>
      <c r="M160" s="78"/>
      <c r="N160" s="34"/>
    </row>
    <row r="161" spans="1:14" s="35" customFormat="1" ht="15.75" customHeight="1" x14ac:dyDescent="0.25">
      <c r="A161" s="66">
        <v>1</v>
      </c>
      <c r="B161" s="67"/>
      <c r="C161" s="40" t="s">
        <v>261</v>
      </c>
      <c r="D161" s="52">
        <f>(146.73+1.54*2.425+1.54*2.125+2.125*1.16)*10.764</f>
        <v>1681.3583279999998</v>
      </c>
      <c r="E161" s="40">
        <v>0</v>
      </c>
      <c r="F161" s="40">
        <f>D161*(($F$136)+1)+(IF(E161&lt;101,E161,IF(E161&lt;201,E161/2,IF(E161&lt;=301,E161/3,E161/4))))</f>
        <v>2522.0374919999995</v>
      </c>
      <c r="G161" s="68" t="str">
        <f>A160</f>
        <v>15th Floor (Part Refuge Area)</v>
      </c>
      <c r="H161" s="69"/>
      <c r="I161" s="34"/>
      <c r="L161" s="78"/>
      <c r="M161" s="78"/>
      <c r="N161" s="34"/>
    </row>
    <row r="162" spans="1:14" s="35" customFormat="1" ht="15.75" customHeight="1" x14ac:dyDescent="0.25">
      <c r="A162" s="66">
        <f t="shared" ref="A162:A164" si="10">A161+1</f>
        <v>2</v>
      </c>
      <c r="B162" s="67"/>
      <c r="C162" s="66" t="s">
        <v>270</v>
      </c>
      <c r="D162" s="74"/>
      <c r="E162" s="74"/>
      <c r="F162" s="67"/>
      <c r="G162" s="70" t="str">
        <f t="shared" ref="G162:G164" si="11">G161</f>
        <v>15th Floor (Part Refuge Area)</v>
      </c>
      <c r="H162" s="71"/>
      <c r="I162" s="34"/>
      <c r="L162" s="78"/>
      <c r="M162" s="78"/>
      <c r="N162" s="34"/>
    </row>
    <row r="163" spans="1:14" s="35" customFormat="1" ht="15.75" customHeight="1" x14ac:dyDescent="0.25">
      <c r="A163" s="66">
        <f t="shared" si="10"/>
        <v>3</v>
      </c>
      <c r="B163" s="67"/>
      <c r="C163" s="40" t="s">
        <v>261</v>
      </c>
      <c r="D163" s="52">
        <f>(142.04+5.245*1.69+2.425*1.54)*10.764</f>
        <v>1664.5293521999997</v>
      </c>
      <c r="E163" s="40">
        <v>0</v>
      </c>
      <c r="F163" s="40">
        <f>D163*(($F$136)+1)+(IF(E163&lt;101,E163,IF(E163&lt;201,E163/2,IF(E163&lt;=301,E163/3,E163/4))))</f>
        <v>2496.7940282999998</v>
      </c>
      <c r="G163" s="70" t="str">
        <f t="shared" si="11"/>
        <v>15th Floor (Part Refuge Area)</v>
      </c>
      <c r="H163" s="71"/>
      <c r="I163" s="34"/>
      <c r="L163" s="78"/>
      <c r="M163" s="78"/>
      <c r="N163" s="34"/>
    </row>
    <row r="164" spans="1:14" s="35" customFormat="1" ht="15.75" customHeight="1" x14ac:dyDescent="0.25">
      <c r="A164" s="66">
        <f t="shared" si="10"/>
        <v>4</v>
      </c>
      <c r="B164" s="67"/>
      <c r="C164" s="40" t="s">
        <v>262</v>
      </c>
      <c r="D164" s="52">
        <f>(98.17+1.54*2.425+1.54*2.425)*10.764</f>
        <v>1137.0981959999999</v>
      </c>
      <c r="E164" s="40">
        <v>0</v>
      </c>
      <c r="F164" s="40">
        <f>D164*(($F$136)+1)+(IF(E164&lt;101,E164,IF(E164&lt;201,E164/2,IF(E164&lt;=301,E164/3,E164/4))))</f>
        <v>1705.6472939999999</v>
      </c>
      <c r="G164" s="72" t="str">
        <f t="shared" si="11"/>
        <v>15th Floor (Part Refuge Area)</v>
      </c>
      <c r="H164" s="73"/>
      <c r="I164" s="34"/>
    </row>
    <row r="165" spans="1:14" s="35" customFormat="1" ht="15.75" customHeight="1" x14ac:dyDescent="0.25">
      <c r="A165" s="87" t="s">
        <v>295</v>
      </c>
      <c r="B165" s="88"/>
      <c r="C165" s="88"/>
      <c r="D165" s="88"/>
      <c r="E165" s="88"/>
      <c r="F165" s="88"/>
      <c r="G165" s="88"/>
      <c r="H165" s="89"/>
      <c r="J165" s="34"/>
      <c r="L165" s="78"/>
      <c r="M165" s="78"/>
      <c r="N165" s="34"/>
    </row>
    <row r="166" spans="1:14" s="35" customFormat="1" ht="15.75" customHeight="1" x14ac:dyDescent="0.25">
      <c r="A166" s="66">
        <v>1</v>
      </c>
      <c r="B166" s="67"/>
      <c r="C166" s="40" t="s">
        <v>261</v>
      </c>
      <c r="D166" s="52">
        <f>(146.73+1.54*2.425+1.54*2.125+2.125*1.16)*10.764</f>
        <v>1681.3583279999998</v>
      </c>
      <c r="E166" s="40">
        <v>0</v>
      </c>
      <c r="F166" s="40">
        <f>D166*(($F$136)+1)+(IF(E166&lt;101,E166,IF(E166&lt;201,E166/2,IF(E166&lt;=301,E166/3,E166/4))))</f>
        <v>2522.0374919999995</v>
      </c>
      <c r="G166" s="68" t="str">
        <f>A165</f>
        <v>18th to 21st Floor</v>
      </c>
      <c r="H166" s="69"/>
      <c r="I166" s="34"/>
      <c r="L166" s="78"/>
      <c r="M166" s="78"/>
      <c r="N166" s="34"/>
    </row>
    <row r="167" spans="1:14" s="35" customFormat="1" ht="15.75" customHeight="1" x14ac:dyDescent="0.25">
      <c r="A167" s="66">
        <f t="shared" ref="A167:A169" si="12">A166+1</f>
        <v>2</v>
      </c>
      <c r="B167" s="67"/>
      <c r="C167" s="40" t="s">
        <v>262</v>
      </c>
      <c r="D167" s="52">
        <f>(99.94+2.625*1.54)*10.764</f>
        <v>1119.2676300000001</v>
      </c>
      <c r="E167" s="40">
        <v>0</v>
      </c>
      <c r="F167" s="40">
        <f>D167*(($F$136)+1)+(IF(E167&lt;101,E167,IF(E167&lt;201,E167/2,IF(E167&lt;=301,E167/3,E167/4))))</f>
        <v>1678.901445</v>
      </c>
      <c r="G167" s="70" t="str">
        <f t="shared" ref="G167:G169" si="13">G166</f>
        <v>18th to 21st Floor</v>
      </c>
      <c r="H167" s="71"/>
      <c r="I167" s="34"/>
      <c r="L167" s="78"/>
      <c r="M167" s="78"/>
      <c r="N167" s="34"/>
    </row>
    <row r="168" spans="1:14" s="35" customFormat="1" ht="15.75" customHeight="1" x14ac:dyDescent="0.25">
      <c r="A168" s="66">
        <f t="shared" si="12"/>
        <v>3</v>
      </c>
      <c r="B168" s="67"/>
      <c r="C168" s="40" t="s">
        <v>261</v>
      </c>
      <c r="D168" s="52">
        <f>(142.04+5.245*1.69+2.425*1.54)*10.764</f>
        <v>1664.5293521999997</v>
      </c>
      <c r="E168" s="40">
        <v>0</v>
      </c>
      <c r="F168" s="40">
        <f>D168*(($F$136)+1)+(IF(E168&lt;101,E168,IF(E168&lt;201,E168/2,IF(E168&lt;=301,E168/3,E168/4))))</f>
        <v>2496.7940282999998</v>
      </c>
      <c r="G168" s="70" t="str">
        <f t="shared" si="13"/>
        <v>18th to 21st Floor</v>
      </c>
      <c r="H168" s="71"/>
      <c r="I168" s="34"/>
      <c r="L168" s="78"/>
      <c r="M168" s="78"/>
      <c r="N168" s="34"/>
    </row>
    <row r="169" spans="1:14" s="35" customFormat="1" ht="15.75" customHeight="1" x14ac:dyDescent="0.25">
      <c r="A169" s="66">
        <f t="shared" si="12"/>
        <v>4</v>
      </c>
      <c r="B169" s="67"/>
      <c r="C169" s="40" t="s">
        <v>262</v>
      </c>
      <c r="D169" s="52">
        <f>(98.17+1.54*2.425+1.54*2.425)*10.764</f>
        <v>1137.0981959999999</v>
      </c>
      <c r="E169" s="40">
        <v>0</v>
      </c>
      <c r="F169" s="40">
        <f>D169*(($F$136)+1)+(IF(E169&lt;101,E169,IF(E169&lt;201,E169/2,IF(E169&lt;=301,E169/3,E169/4))))</f>
        <v>1705.6472939999999</v>
      </c>
      <c r="G169" s="72" t="str">
        <f t="shared" si="13"/>
        <v>18th to 21st Floor</v>
      </c>
      <c r="H169" s="73"/>
      <c r="I169" s="34"/>
    </row>
    <row r="170" spans="1:14" s="35" customFormat="1" ht="15.75" customHeight="1" x14ac:dyDescent="0.25">
      <c r="A170" s="87" t="s">
        <v>296</v>
      </c>
      <c r="B170" s="88"/>
      <c r="C170" s="88"/>
      <c r="D170" s="88"/>
      <c r="E170" s="88"/>
      <c r="F170" s="88"/>
      <c r="G170" s="88"/>
      <c r="H170" s="89"/>
      <c r="J170" s="34"/>
      <c r="L170" s="78"/>
      <c r="M170" s="78"/>
      <c r="N170" s="34"/>
    </row>
    <row r="171" spans="1:14" s="35" customFormat="1" ht="15.75" customHeight="1" x14ac:dyDescent="0.25">
      <c r="A171" s="66">
        <v>1</v>
      </c>
      <c r="B171" s="67"/>
      <c r="C171" s="40" t="s">
        <v>261</v>
      </c>
      <c r="D171" s="52">
        <f>(146.73+1.54*2.425+1.54*2.125+2.125*1.16)*10.764</f>
        <v>1681.3583279999998</v>
      </c>
      <c r="E171" s="40">
        <v>0</v>
      </c>
      <c r="F171" s="40">
        <f>D171*(($F$136)+1)+(IF(E171&lt;101,E171,IF(E171&lt;201,E171/2,IF(E171&lt;=301,E171/3,E171/4))))</f>
        <v>2522.0374919999995</v>
      </c>
      <c r="G171" s="68" t="str">
        <f>A170</f>
        <v>22nd Floor (Part Terrace Area)</v>
      </c>
      <c r="H171" s="69"/>
      <c r="I171" s="34"/>
      <c r="L171" s="78"/>
      <c r="M171" s="78"/>
      <c r="N171" s="34"/>
    </row>
    <row r="172" spans="1:14" s="35" customFormat="1" ht="15.75" customHeight="1" x14ac:dyDescent="0.25">
      <c r="A172" s="66">
        <f t="shared" ref="A172:A174" si="14">A171+1</f>
        <v>2</v>
      </c>
      <c r="B172" s="67"/>
      <c r="C172" s="66" t="s">
        <v>297</v>
      </c>
      <c r="D172" s="74"/>
      <c r="E172" s="74"/>
      <c r="F172" s="67"/>
      <c r="G172" s="70" t="str">
        <f t="shared" ref="G172:G174" si="15">G171</f>
        <v>22nd Floor (Part Terrace Area)</v>
      </c>
      <c r="H172" s="71"/>
      <c r="I172" s="34"/>
      <c r="L172" s="78"/>
      <c r="M172" s="78"/>
      <c r="N172" s="34"/>
    </row>
    <row r="173" spans="1:14" s="35" customFormat="1" ht="15.75" customHeight="1" x14ac:dyDescent="0.25">
      <c r="A173" s="66">
        <f t="shared" si="14"/>
        <v>3</v>
      </c>
      <c r="B173" s="67"/>
      <c r="C173" s="40" t="s">
        <v>261</v>
      </c>
      <c r="D173" s="52">
        <f>(142.04+5.245*1.69+2.425*1.54)*10.764</f>
        <v>1664.5293521999997</v>
      </c>
      <c r="E173" s="40">
        <v>0</v>
      </c>
      <c r="F173" s="40">
        <f>D173*(($F$136)+1)+(IF(E173&lt;101,E173,IF(E173&lt;201,E173/2,IF(E173&lt;=301,E173/3,E173/4))))</f>
        <v>2496.7940282999998</v>
      </c>
      <c r="G173" s="70" t="str">
        <f t="shared" si="15"/>
        <v>22nd Floor (Part Terrace Area)</v>
      </c>
      <c r="H173" s="71"/>
      <c r="I173" s="34"/>
      <c r="L173" s="78"/>
      <c r="M173" s="78"/>
      <c r="N173" s="34"/>
    </row>
    <row r="174" spans="1:14" s="35" customFormat="1" ht="15.75" customHeight="1" x14ac:dyDescent="0.25">
      <c r="A174" s="66">
        <f t="shared" si="14"/>
        <v>4</v>
      </c>
      <c r="B174" s="67"/>
      <c r="C174" s="40" t="s">
        <v>262</v>
      </c>
      <c r="D174" s="52">
        <f>(98.17+1.54*2.425+1.54*2.425)*10.764</f>
        <v>1137.0981959999999</v>
      </c>
      <c r="E174" s="40">
        <v>0</v>
      </c>
      <c r="F174" s="40">
        <f>D174*(($F$136)+1)+(IF(E174&lt;101,E174,IF(E174&lt;201,E174/2,IF(E174&lt;=301,E174/3,E174/4))))</f>
        <v>1705.6472939999999</v>
      </c>
      <c r="G174" s="72" t="str">
        <f t="shared" si="15"/>
        <v>22nd Floor (Part Terrace Area)</v>
      </c>
      <c r="H174" s="73"/>
      <c r="I174" s="34"/>
    </row>
    <row r="175" spans="1:14" s="35" customFormat="1" ht="15.75" customHeight="1" x14ac:dyDescent="0.25">
      <c r="A175" s="202" t="s">
        <v>264</v>
      </c>
      <c r="B175" s="203"/>
      <c r="C175" s="203"/>
      <c r="D175" s="203"/>
      <c r="E175" s="203"/>
      <c r="F175" s="203"/>
      <c r="G175" s="203"/>
      <c r="H175" s="204"/>
      <c r="J175" s="34"/>
      <c r="L175" s="78"/>
      <c r="M175" s="78"/>
      <c r="N175" s="34"/>
    </row>
    <row r="176" spans="1:14" s="35" customFormat="1" ht="15.75" customHeight="1" x14ac:dyDescent="0.25">
      <c r="A176" s="87" t="s">
        <v>257</v>
      </c>
      <c r="B176" s="88"/>
      <c r="C176" s="88"/>
      <c r="D176" s="88"/>
      <c r="E176" s="88"/>
      <c r="F176" s="88"/>
      <c r="G176" s="88"/>
      <c r="H176" s="89"/>
      <c r="J176" s="34"/>
      <c r="L176" s="78"/>
      <c r="M176" s="78"/>
      <c r="N176" s="34"/>
    </row>
    <row r="177" spans="1:14" s="35" customFormat="1" ht="15.75" customHeight="1" x14ac:dyDescent="0.25">
      <c r="A177" s="87" t="s">
        <v>258</v>
      </c>
      <c r="B177" s="88"/>
      <c r="C177" s="88"/>
      <c r="D177" s="88"/>
      <c r="E177" s="88"/>
      <c r="F177" s="88"/>
      <c r="G177" s="88"/>
      <c r="H177" s="89"/>
      <c r="J177" s="34"/>
      <c r="L177" s="78"/>
      <c r="M177" s="78"/>
      <c r="N177" s="34"/>
    </row>
    <row r="178" spans="1:14" s="35" customFormat="1" ht="15.75" customHeight="1" x14ac:dyDescent="0.25">
      <c r="A178" s="87" t="s">
        <v>260</v>
      </c>
      <c r="B178" s="88"/>
      <c r="C178" s="88"/>
      <c r="D178" s="88"/>
      <c r="E178" s="88"/>
      <c r="F178" s="88"/>
      <c r="G178" s="88"/>
      <c r="H178" s="89"/>
      <c r="J178" s="34"/>
      <c r="L178" s="78"/>
      <c r="M178" s="78"/>
      <c r="N178" s="34"/>
    </row>
    <row r="179" spans="1:14" s="35" customFormat="1" ht="15.75" customHeight="1" x14ac:dyDescent="0.25">
      <c r="A179" s="79">
        <v>1</v>
      </c>
      <c r="B179" s="80"/>
      <c r="C179" s="64" t="s">
        <v>267</v>
      </c>
      <c r="D179" s="65">
        <f>(79.03+2.425*1.54)*10.764</f>
        <v>890.87707799999998</v>
      </c>
      <c r="E179" s="64">
        <v>0</v>
      </c>
      <c r="F179" s="64">
        <f>D179*(($F$136)+1)+(IF(E179&lt;101,E179,IF(E179&lt;201,E179/2,IF(E179&lt;=301,E179/3,E179/4))))</f>
        <v>1336.315617</v>
      </c>
      <c r="G179" s="81" t="str">
        <f>A178</f>
        <v>1st Floor for Residential</v>
      </c>
      <c r="H179" s="83"/>
      <c r="I179" s="34"/>
    </row>
    <row r="180" spans="1:14" s="35" customFormat="1" ht="15.75" customHeight="1" x14ac:dyDescent="0.25">
      <c r="A180" s="79">
        <f t="shared" ref="A180:A182" si="16">A179+1</f>
        <v>2</v>
      </c>
      <c r="B180" s="80"/>
      <c r="C180" s="64" t="s">
        <v>267</v>
      </c>
      <c r="D180" s="65">
        <f>(83.97+4.625*1.54)*10.764</f>
        <v>980.51966999999991</v>
      </c>
      <c r="E180" s="64">
        <v>0</v>
      </c>
      <c r="F180" s="64">
        <f>D180*(($F$136)+1)+(IF(E180&lt;101,E180,IF(E180&lt;201,E180/2,IF(E180&lt;=301,E180/3,E180/4))))</f>
        <v>1470.779505</v>
      </c>
      <c r="G180" s="90" t="str">
        <f t="shared" ref="G180:G182" si="17">G179</f>
        <v>1st Floor for Residential</v>
      </c>
      <c r="H180" s="91"/>
      <c r="I180" s="34"/>
      <c r="L180" s="78"/>
      <c r="M180" s="78"/>
      <c r="N180" s="34"/>
    </row>
    <row r="181" spans="1:14" s="35" customFormat="1" ht="15.75" customHeight="1" x14ac:dyDescent="0.25">
      <c r="A181" s="79">
        <f t="shared" si="16"/>
        <v>3</v>
      </c>
      <c r="B181" s="80"/>
      <c r="C181" s="64" t="s">
        <v>262</v>
      </c>
      <c r="D181" s="65">
        <f>(119.78+5.1*1.69+2.425*1.24)*10.764</f>
        <v>1414.4541839999999</v>
      </c>
      <c r="E181" s="64">
        <v>0</v>
      </c>
      <c r="F181" s="64">
        <f>D181*(($F$136)+1)+(IF(E181&lt;101,E181,IF(E181&lt;201,E181/2,IF(E181&lt;=301,E181/3,E181/4))))</f>
        <v>2121.6812759999998</v>
      </c>
      <c r="G181" s="90" t="str">
        <f t="shared" si="17"/>
        <v>1st Floor for Residential</v>
      </c>
      <c r="H181" s="91"/>
      <c r="I181" s="34"/>
      <c r="L181" s="78"/>
      <c r="M181" s="78"/>
      <c r="N181" s="34"/>
    </row>
    <row r="182" spans="1:14" s="35" customFormat="1" ht="15.75" customHeight="1" x14ac:dyDescent="0.25">
      <c r="A182" s="79">
        <f t="shared" si="16"/>
        <v>4</v>
      </c>
      <c r="B182" s="80"/>
      <c r="C182" s="64" t="s">
        <v>262</v>
      </c>
      <c r="D182" s="65">
        <f>(119.79+1.425*1.24+5.1*1.69)*10.764</f>
        <v>1401.2144639999997</v>
      </c>
      <c r="E182" s="64">
        <v>0</v>
      </c>
      <c r="F182" s="64">
        <f>D182*(($F$136)+1)+(IF(E182&lt;101,E182,IF(E182&lt;201,E182/2,IF(E182&lt;=301,E182/3,E182/4))))</f>
        <v>2101.8216959999995</v>
      </c>
      <c r="G182" s="84" t="str">
        <f t="shared" si="17"/>
        <v>1st Floor for Residential</v>
      </c>
      <c r="H182" s="86"/>
      <c r="I182" s="34"/>
      <c r="L182" s="78"/>
      <c r="M182" s="78"/>
      <c r="N182" s="34"/>
    </row>
    <row r="183" spans="1:14" s="35" customFormat="1" ht="15.75" customHeight="1" x14ac:dyDescent="0.25">
      <c r="A183" s="92" t="s">
        <v>268</v>
      </c>
      <c r="B183" s="93"/>
      <c r="C183" s="93"/>
      <c r="D183" s="93"/>
      <c r="E183" s="93"/>
      <c r="F183" s="93"/>
      <c r="G183" s="93"/>
      <c r="H183" s="94"/>
      <c r="J183" s="34"/>
      <c r="L183" s="78"/>
      <c r="M183" s="78"/>
      <c r="N183" s="34"/>
    </row>
    <row r="184" spans="1:14" s="35" customFormat="1" ht="15.75" customHeight="1" x14ac:dyDescent="0.25">
      <c r="A184" s="79">
        <v>1</v>
      </c>
      <c r="B184" s="80"/>
      <c r="C184" s="64" t="s">
        <v>262</v>
      </c>
      <c r="D184" s="65">
        <f>(98.86+2.425*1.54)*10.764</f>
        <v>1104.327198</v>
      </c>
      <c r="E184" s="64">
        <v>0</v>
      </c>
      <c r="F184" s="64">
        <f>D184*(($F$136)+1)+(IF(E184&lt;101,E184,IF(E184&lt;201,E184/2,IF(E184&lt;=301,E184/3,E184/4))))</f>
        <v>1656.4907969999999</v>
      </c>
      <c r="G184" s="81" t="str">
        <f>A183</f>
        <v>2nd to 7th, 9th to 13th Floor</v>
      </c>
      <c r="H184" s="83"/>
      <c r="I184" s="34"/>
    </row>
    <row r="185" spans="1:14" s="35" customFormat="1" ht="15.75" customHeight="1" x14ac:dyDescent="0.25">
      <c r="A185" s="79">
        <f t="shared" ref="A185:A187" si="18">A184+1</f>
        <v>2</v>
      </c>
      <c r="B185" s="80"/>
      <c r="C185" s="64" t="s">
        <v>262</v>
      </c>
      <c r="D185" s="65">
        <f>(104.32+4.625*1.54)*10.764</f>
        <v>1199.5670699999998</v>
      </c>
      <c r="E185" s="64">
        <v>0</v>
      </c>
      <c r="F185" s="64">
        <f>D185*(($F$136)+1)+(IF(E185&lt;101,E185,IF(E185&lt;201,E185/2,IF(E185&lt;=301,E185/3,E185/4))))</f>
        <v>1799.3506049999996</v>
      </c>
      <c r="G185" s="90" t="str">
        <f t="shared" ref="G185:G187" si="19">G184</f>
        <v>2nd to 7th, 9th to 13th Floor</v>
      </c>
      <c r="H185" s="91"/>
      <c r="I185" s="34"/>
      <c r="L185" s="78"/>
      <c r="M185" s="78"/>
      <c r="N185" s="34"/>
    </row>
    <row r="186" spans="1:14" s="35" customFormat="1" ht="15.75" customHeight="1" x14ac:dyDescent="0.25">
      <c r="A186" s="79">
        <f t="shared" si="18"/>
        <v>3</v>
      </c>
      <c r="B186" s="80"/>
      <c r="C186" s="64" t="s">
        <v>262</v>
      </c>
      <c r="D186" s="65">
        <f>(119.78+5.1*1.69+2.425*1.24)*10.764</f>
        <v>1414.4541839999999</v>
      </c>
      <c r="E186" s="64">
        <v>0</v>
      </c>
      <c r="F186" s="64">
        <f>D186*(($F$136)+1)+(IF(E186&lt;101,E186,IF(E186&lt;201,E186/2,IF(E186&lt;=301,E186/3,E186/4))))</f>
        <v>2121.6812759999998</v>
      </c>
      <c r="G186" s="90" t="str">
        <f t="shared" si="19"/>
        <v>2nd to 7th, 9th to 13th Floor</v>
      </c>
      <c r="H186" s="91"/>
      <c r="I186" s="34"/>
      <c r="L186" s="78"/>
      <c r="M186" s="78"/>
      <c r="N186" s="34"/>
    </row>
    <row r="187" spans="1:14" s="35" customFormat="1" ht="15.75" customHeight="1" x14ac:dyDescent="0.25">
      <c r="A187" s="79">
        <f t="shared" si="18"/>
        <v>4</v>
      </c>
      <c r="B187" s="80"/>
      <c r="C187" s="64" t="s">
        <v>262</v>
      </c>
      <c r="D187" s="65">
        <f>(119.79+5.1*1.69+1.425*1.24)*10.764</f>
        <v>1401.2144639999997</v>
      </c>
      <c r="E187" s="64">
        <v>0</v>
      </c>
      <c r="F187" s="64">
        <f>D187*(($F$136)+1)+(IF(E187&lt;101,E187,IF(E187&lt;201,E187/2,IF(E187&lt;=301,E187/3,E187/4))))</f>
        <v>2101.8216959999995</v>
      </c>
      <c r="G187" s="84" t="str">
        <f t="shared" si="19"/>
        <v>2nd to 7th, 9th to 13th Floor</v>
      </c>
      <c r="H187" s="86"/>
      <c r="I187" s="34"/>
      <c r="L187" s="78"/>
      <c r="M187" s="78"/>
      <c r="N187" s="34"/>
    </row>
    <row r="188" spans="1:14" s="35" customFormat="1" ht="15.75" customHeight="1" x14ac:dyDescent="0.25">
      <c r="A188" s="92" t="s">
        <v>269</v>
      </c>
      <c r="B188" s="93"/>
      <c r="C188" s="93"/>
      <c r="D188" s="93"/>
      <c r="E188" s="93"/>
      <c r="F188" s="93"/>
      <c r="G188" s="93"/>
      <c r="H188" s="94"/>
      <c r="J188" s="34"/>
      <c r="L188" s="78"/>
      <c r="M188" s="78"/>
      <c r="N188" s="34"/>
    </row>
    <row r="189" spans="1:14" s="35" customFormat="1" ht="15.75" customHeight="1" x14ac:dyDescent="0.25">
      <c r="A189" s="79">
        <v>1</v>
      </c>
      <c r="B189" s="80"/>
      <c r="C189" s="79" t="s">
        <v>270</v>
      </c>
      <c r="D189" s="119"/>
      <c r="E189" s="119"/>
      <c r="F189" s="80"/>
      <c r="G189" s="81" t="str">
        <f>A188</f>
        <v>8th Floor (Part Refuge Area)</v>
      </c>
      <c r="H189" s="83"/>
      <c r="I189" s="34"/>
    </row>
    <row r="190" spans="1:14" s="35" customFormat="1" ht="15.75" customHeight="1" x14ac:dyDescent="0.25">
      <c r="A190" s="79">
        <f t="shared" ref="A190:A192" si="20">A189+1</f>
        <v>2</v>
      </c>
      <c r="B190" s="80"/>
      <c r="C190" s="64" t="s">
        <v>262</v>
      </c>
      <c r="D190" s="65">
        <f>(1.12*1.48+4.6*3.18+3.38*4.43+3.88*2.505+3.08*4.455+1.085*1.025+3.08*4.305+3.23*4.605+1.605*2.505+1.455*2.505+1.605*2.505+2.175*0.9+1.605*1.605+4.625*1.54)*10.764</f>
        <v>1154.8407663</v>
      </c>
      <c r="E190" s="64">
        <v>0</v>
      </c>
      <c r="F190" s="64">
        <f>D190*(($F$136)+1)+(IF(E190&lt;101,E190,IF(E190&lt;201,E190/2,IF(E190&lt;=301,E190/3,E190/4))))</f>
        <v>1732.2611494500002</v>
      </c>
      <c r="G190" s="90" t="str">
        <f t="shared" ref="G190:G192" si="21">G189</f>
        <v>8th Floor (Part Refuge Area)</v>
      </c>
      <c r="H190" s="91"/>
      <c r="I190" s="34"/>
      <c r="L190" s="78"/>
      <c r="M190" s="78"/>
      <c r="N190" s="34"/>
    </row>
    <row r="191" spans="1:14" s="35" customFormat="1" ht="15.75" customHeight="1" x14ac:dyDescent="0.25">
      <c r="A191" s="79">
        <f t="shared" si="20"/>
        <v>3</v>
      </c>
      <c r="B191" s="80"/>
      <c r="C191" s="64" t="s">
        <v>262</v>
      </c>
      <c r="D191" s="65">
        <f>(119.78+5.1*1.69+2.425*1.24)*10.764</f>
        <v>1414.4541839999999</v>
      </c>
      <c r="E191" s="64">
        <v>0</v>
      </c>
      <c r="F191" s="64">
        <f>D191*(($F$136)+1)+(IF(E191&lt;101,E191,IF(E191&lt;201,E191/2,IF(E191&lt;=301,E191/3,E191/4))))</f>
        <v>2121.6812759999998</v>
      </c>
      <c r="G191" s="90" t="str">
        <f t="shared" si="21"/>
        <v>8th Floor (Part Refuge Area)</v>
      </c>
      <c r="H191" s="91"/>
      <c r="I191" s="34"/>
      <c r="L191" s="78"/>
      <c r="M191" s="78"/>
      <c r="N191" s="34"/>
    </row>
    <row r="192" spans="1:14" s="35" customFormat="1" ht="15.75" customHeight="1" x14ac:dyDescent="0.25">
      <c r="A192" s="79">
        <f t="shared" si="20"/>
        <v>4</v>
      </c>
      <c r="B192" s="80"/>
      <c r="C192" s="64" t="s">
        <v>262</v>
      </c>
      <c r="D192" s="65">
        <f>(119.79+5.1*1.69+1.425*1.24)*10.764</f>
        <v>1401.2144639999997</v>
      </c>
      <c r="E192" s="64">
        <v>0</v>
      </c>
      <c r="F192" s="64">
        <f>D192*(($F$136)+1)+(IF(E192&lt;101,E192,IF(E192&lt;201,E192/2,IF(E192&lt;=301,E192/3,E192/4))))</f>
        <v>2101.8216959999995</v>
      </c>
      <c r="G192" s="84" t="str">
        <f t="shared" si="21"/>
        <v>8th Floor (Part Refuge Area)</v>
      </c>
      <c r="H192" s="86"/>
      <c r="I192" s="34"/>
      <c r="L192" s="78"/>
      <c r="M192" s="78"/>
      <c r="N192" s="34"/>
    </row>
    <row r="193" spans="1:14" s="35" customFormat="1" ht="15.75" customHeight="1" x14ac:dyDescent="0.25">
      <c r="A193" s="92" t="s">
        <v>271</v>
      </c>
      <c r="B193" s="93"/>
      <c r="C193" s="93"/>
      <c r="D193" s="93"/>
      <c r="E193" s="93"/>
      <c r="F193" s="93"/>
      <c r="G193" s="93"/>
      <c r="H193" s="94"/>
      <c r="J193" s="34"/>
      <c r="L193" s="78"/>
      <c r="M193" s="78"/>
      <c r="N193" s="34"/>
    </row>
    <row r="194" spans="1:14" s="35" customFormat="1" x14ac:dyDescent="0.25">
      <c r="A194" s="79">
        <v>1</v>
      </c>
      <c r="B194" s="80"/>
      <c r="C194" s="64" t="s">
        <v>262</v>
      </c>
      <c r="D194" s="65">
        <f>(99.25+2.125*1.54+2.425*1.54)*10.764</f>
        <v>1143.7503479999998</v>
      </c>
      <c r="E194" s="64">
        <v>0</v>
      </c>
      <c r="F194" s="64">
        <f>D194*(($F$136)+1)+(IF(E194&lt;101,E194,IF(E194&lt;201,E194/2,IF(E194&lt;=301,E194/3,E194/4))))</f>
        <v>1715.6255219999998</v>
      </c>
      <c r="G194" s="81" t="str">
        <f>A193</f>
        <v>14th, 16th &amp; 17th Floor</v>
      </c>
      <c r="H194" s="83"/>
      <c r="I194" s="34"/>
    </row>
    <row r="195" spans="1:14" s="35" customFormat="1" x14ac:dyDescent="0.25">
      <c r="A195" s="79">
        <f t="shared" ref="A195:A197" si="22">A194+1</f>
        <v>2</v>
      </c>
      <c r="B195" s="80"/>
      <c r="C195" s="64" t="s">
        <v>262</v>
      </c>
      <c r="D195" s="65">
        <f>(110.41+4.625*1.54+2.425*1.24)*10.764</f>
        <v>1297.4871779999999</v>
      </c>
      <c r="E195" s="64">
        <v>0</v>
      </c>
      <c r="F195" s="64">
        <f>D195*(($F$136)+1)+(IF(E195&lt;101,E195,IF(E195&lt;201,E195/2,IF(E195&lt;=301,E195/3,E195/4))))</f>
        <v>1946.2307669999998</v>
      </c>
      <c r="G195" s="90" t="str">
        <f t="shared" ref="G195:G197" si="23">G194</f>
        <v>14th, 16th &amp; 17th Floor</v>
      </c>
      <c r="H195" s="91"/>
      <c r="I195" s="34"/>
      <c r="J195" s="35">
        <f>495000000/F195</f>
        <v>254337.77350206696</v>
      </c>
    </row>
    <row r="196" spans="1:14" s="35" customFormat="1" x14ac:dyDescent="0.25">
      <c r="A196" s="79">
        <f t="shared" si="22"/>
        <v>3</v>
      </c>
      <c r="B196" s="80"/>
      <c r="C196" s="64" t="s">
        <v>262</v>
      </c>
      <c r="D196" s="65">
        <f>(119.78+5.1*1.69+2.425*1.24)*10.764</f>
        <v>1414.4541839999999</v>
      </c>
      <c r="E196" s="64">
        <v>0</v>
      </c>
      <c r="F196" s="64">
        <f>D196*(($F$136)+1)+(IF(E196&lt;101,E196,IF(E196&lt;201,E196/2,IF(E196&lt;=301,E196/3,E196/4))))</f>
        <v>2121.6812759999998</v>
      </c>
      <c r="G196" s="90" t="str">
        <f t="shared" si="23"/>
        <v>14th, 16th &amp; 17th Floor</v>
      </c>
      <c r="H196" s="91"/>
      <c r="I196" s="34"/>
    </row>
    <row r="197" spans="1:14" s="35" customFormat="1" x14ac:dyDescent="0.25">
      <c r="A197" s="79">
        <f t="shared" si="22"/>
        <v>4</v>
      </c>
      <c r="B197" s="80"/>
      <c r="C197" s="64" t="s">
        <v>262</v>
      </c>
      <c r="D197" s="65">
        <f>(119.79+5.1*1.69+1.425*1.24)*10.764</f>
        <v>1401.2144639999997</v>
      </c>
      <c r="E197" s="64">
        <v>0</v>
      </c>
      <c r="F197" s="64">
        <f>D197*(($F$136)+1)+(IF(E197&lt;101,E197,IF(E197&lt;201,E197/2,IF(E197&lt;=301,E197/3,E197/4))))</f>
        <v>2101.8216959999995</v>
      </c>
      <c r="G197" s="84" t="str">
        <f t="shared" si="23"/>
        <v>14th, 16th &amp; 17th Floor</v>
      </c>
      <c r="H197" s="86"/>
      <c r="I197" s="34"/>
    </row>
    <row r="198" spans="1:14" s="35" customFormat="1" ht="15.75" customHeight="1" x14ac:dyDescent="0.25">
      <c r="A198" s="92" t="s">
        <v>272</v>
      </c>
      <c r="B198" s="93"/>
      <c r="C198" s="93"/>
      <c r="D198" s="93"/>
      <c r="E198" s="93"/>
      <c r="F198" s="93"/>
      <c r="G198" s="93"/>
      <c r="H198" s="94"/>
      <c r="J198" s="34"/>
      <c r="L198" s="78"/>
      <c r="M198" s="78"/>
      <c r="N198" s="34"/>
    </row>
    <row r="199" spans="1:14" s="35" customFormat="1" ht="15.75" customHeight="1" x14ac:dyDescent="0.25">
      <c r="A199" s="79">
        <v>1</v>
      </c>
      <c r="B199" s="80"/>
      <c r="C199" s="79" t="s">
        <v>270</v>
      </c>
      <c r="D199" s="119"/>
      <c r="E199" s="119"/>
      <c r="F199" s="80"/>
      <c r="G199" s="81" t="str">
        <f>A198</f>
        <v>15th Floor (Part Refuge Area)</v>
      </c>
      <c r="H199" s="83"/>
      <c r="I199" s="34"/>
      <c r="L199" s="78"/>
      <c r="M199" s="78"/>
      <c r="N199" s="34"/>
    </row>
    <row r="200" spans="1:14" s="35" customFormat="1" ht="15.75" customHeight="1" x14ac:dyDescent="0.25">
      <c r="A200" s="79">
        <f t="shared" ref="A200:A202" si="24">A199+1</f>
        <v>2</v>
      </c>
      <c r="B200" s="80"/>
      <c r="C200" s="64" t="s">
        <v>262</v>
      </c>
      <c r="D200" s="65">
        <f>(1.12*1.48+4.6*3.18+3.38*4.43+3.88*2.505+3.08*4.455+1.085*1.025+3.08*4.305+3.23*4.605+3.03*2.505+1.605*2.505+1.455*2.505+1.605*2.505+2.175*0.9+1.605*1.605+4.625*1.54+2.425*1.24)*10.764</f>
        <v>1268.9084889000001</v>
      </c>
      <c r="E200" s="64">
        <v>0</v>
      </c>
      <c r="F200" s="64">
        <f>D200*(($F$136)+1)+(IF(E200&lt;101,E200,IF(E200&lt;201,E200/2,IF(E200&lt;=301,E200/3,E200/4))))</f>
        <v>1903.3627333500001</v>
      </c>
      <c r="G200" s="90" t="str">
        <f t="shared" ref="G200:G202" si="25">G199</f>
        <v>15th Floor (Part Refuge Area)</v>
      </c>
      <c r="H200" s="91"/>
      <c r="I200" s="34"/>
      <c r="L200" s="78"/>
      <c r="M200" s="78"/>
      <c r="N200" s="34"/>
    </row>
    <row r="201" spans="1:14" s="35" customFormat="1" ht="15.75" customHeight="1" x14ac:dyDescent="0.25">
      <c r="A201" s="79">
        <f t="shared" si="24"/>
        <v>3</v>
      </c>
      <c r="B201" s="80"/>
      <c r="C201" s="64" t="s">
        <v>262</v>
      </c>
      <c r="D201" s="65">
        <f>(119.78+5.1*1.69+2.425*1.24)*10.764</f>
        <v>1414.4541839999999</v>
      </c>
      <c r="E201" s="64">
        <v>0</v>
      </c>
      <c r="F201" s="64">
        <f>D201*(($F$136)+1)+(IF(E201&lt;101,E201,IF(E201&lt;201,E201/2,IF(E201&lt;=301,E201/3,E201/4))))</f>
        <v>2121.6812759999998</v>
      </c>
      <c r="G201" s="90" t="str">
        <f t="shared" si="25"/>
        <v>15th Floor (Part Refuge Area)</v>
      </c>
      <c r="H201" s="91"/>
      <c r="I201" s="34"/>
      <c r="L201" s="78"/>
      <c r="M201" s="78"/>
      <c r="N201" s="34"/>
    </row>
    <row r="202" spans="1:14" s="35" customFormat="1" ht="15.75" customHeight="1" x14ac:dyDescent="0.25">
      <c r="A202" s="79">
        <f t="shared" si="24"/>
        <v>4</v>
      </c>
      <c r="B202" s="80"/>
      <c r="C202" s="64" t="s">
        <v>262</v>
      </c>
      <c r="D202" s="65">
        <f>(119.79+5.1*1.69+1.425*1.24)*10.764</f>
        <v>1401.2144639999997</v>
      </c>
      <c r="E202" s="64">
        <v>0</v>
      </c>
      <c r="F202" s="64">
        <f>D202*(($F$136)+1)+(IF(E202&lt;101,E202,IF(E202&lt;201,E202/2,IF(E202&lt;=301,E202/3,E202/4))))</f>
        <v>2101.8216959999995</v>
      </c>
      <c r="G202" s="84" t="str">
        <f t="shared" si="25"/>
        <v>15th Floor (Part Refuge Area)</v>
      </c>
      <c r="H202" s="86"/>
      <c r="I202" s="34"/>
    </row>
    <row r="203" spans="1:14" s="35" customFormat="1" ht="15.75" customHeight="1" x14ac:dyDescent="0.25">
      <c r="A203" s="92" t="s">
        <v>295</v>
      </c>
      <c r="B203" s="93"/>
      <c r="C203" s="93"/>
      <c r="D203" s="93"/>
      <c r="E203" s="93"/>
      <c r="F203" s="93"/>
      <c r="G203" s="93"/>
      <c r="H203" s="94"/>
      <c r="J203" s="34"/>
      <c r="L203" s="78"/>
      <c r="M203" s="78"/>
      <c r="N203" s="34"/>
    </row>
    <row r="204" spans="1:14" s="35" customFormat="1" ht="15.75" customHeight="1" x14ac:dyDescent="0.25">
      <c r="A204" s="79">
        <v>1</v>
      </c>
      <c r="B204" s="80"/>
      <c r="C204" s="64" t="s">
        <v>262</v>
      </c>
      <c r="D204" s="65">
        <f>(99.93+5.82*1.54+2.125*1.94)*10.764</f>
        <v>1216.4966892</v>
      </c>
      <c r="E204" s="64">
        <v>0</v>
      </c>
      <c r="F204" s="64">
        <f>D204*(($F$136)+1)+(IF(E204&lt;101,E204,IF(E204&lt;201,E204/2,IF(E204&lt;=301,E204/3,E204/4))))</f>
        <v>1824.7450337999999</v>
      </c>
      <c r="G204" s="81" t="str">
        <f>A203</f>
        <v>18th to 21st Floor</v>
      </c>
      <c r="H204" s="83"/>
      <c r="I204" s="34"/>
      <c r="L204" s="78"/>
      <c r="M204" s="78"/>
      <c r="N204" s="34"/>
    </row>
    <row r="205" spans="1:14" s="35" customFormat="1" ht="15.75" customHeight="1" x14ac:dyDescent="0.25">
      <c r="A205" s="79">
        <f t="shared" ref="A205:A207" si="26">A204+1</f>
        <v>2</v>
      </c>
      <c r="B205" s="80"/>
      <c r="C205" s="64" t="s">
        <v>262</v>
      </c>
      <c r="D205" s="65">
        <f>(110.81+5.82*1.54+2.375*2.265)*10.764</f>
        <v>1347.1380116999999</v>
      </c>
      <c r="E205" s="64">
        <v>0</v>
      </c>
      <c r="F205" s="64">
        <f>D205*(($F$136)+1)+(IF(E205&lt;101,E205,IF(E205&lt;201,E205/2,IF(E205&lt;=301,E205/3,E205/4))))</f>
        <v>2020.7070175499998</v>
      </c>
      <c r="G205" s="90" t="str">
        <f t="shared" ref="G205:G207" si="27">G204</f>
        <v>18th to 21st Floor</v>
      </c>
      <c r="H205" s="91"/>
      <c r="I205" s="34"/>
      <c r="L205" s="78"/>
      <c r="M205" s="78"/>
      <c r="N205" s="34"/>
    </row>
    <row r="206" spans="1:14" s="35" customFormat="1" ht="15.75" customHeight="1" x14ac:dyDescent="0.25">
      <c r="A206" s="79">
        <f t="shared" si="26"/>
        <v>3</v>
      </c>
      <c r="B206" s="80"/>
      <c r="C206" s="64" t="s">
        <v>262</v>
      </c>
      <c r="D206" s="65">
        <f>(120.09+6.125*1.69+2.425*2.115)*10.764</f>
        <v>1459.2768254999999</v>
      </c>
      <c r="E206" s="64">
        <v>0</v>
      </c>
      <c r="F206" s="64">
        <f>D206*(($F$136)+1)+(IF(E206&lt;101,E206,IF(E206&lt;201,E206/2,IF(E206&lt;=301,E206/3,E206/4))))</f>
        <v>2188.9152382499997</v>
      </c>
      <c r="G206" s="90" t="str">
        <f t="shared" si="27"/>
        <v>18th to 21st Floor</v>
      </c>
      <c r="H206" s="91"/>
      <c r="I206" s="34"/>
      <c r="L206" s="78"/>
      <c r="M206" s="78"/>
      <c r="N206" s="34"/>
    </row>
    <row r="207" spans="1:14" s="35" customFormat="1" ht="15.75" customHeight="1" x14ac:dyDescent="0.25">
      <c r="A207" s="79">
        <f t="shared" si="26"/>
        <v>4</v>
      </c>
      <c r="B207" s="80"/>
      <c r="C207" s="64" t="s">
        <v>262</v>
      </c>
      <c r="D207" s="65">
        <f>(120.09+6.125*1.69+2.425*2.115)*10.764</f>
        <v>1459.2768254999999</v>
      </c>
      <c r="E207" s="64">
        <v>0</v>
      </c>
      <c r="F207" s="64">
        <f>D207*(($F$136)+1)+(IF(E207&lt;101,E207,IF(E207&lt;201,E207/2,IF(E207&lt;=301,E207/3,E207/4))))</f>
        <v>2188.9152382499997</v>
      </c>
      <c r="G207" s="84" t="str">
        <f t="shared" si="27"/>
        <v>18th to 21st Floor</v>
      </c>
      <c r="H207" s="86"/>
      <c r="I207" s="34"/>
    </row>
    <row r="208" spans="1:14" s="35" customFormat="1" ht="15.75" customHeight="1" x14ac:dyDescent="0.25">
      <c r="A208" s="92" t="s">
        <v>296</v>
      </c>
      <c r="B208" s="93"/>
      <c r="C208" s="93"/>
      <c r="D208" s="93"/>
      <c r="E208" s="93"/>
      <c r="F208" s="93"/>
      <c r="G208" s="93"/>
      <c r="H208" s="94"/>
      <c r="J208" s="34"/>
      <c r="L208" s="78"/>
      <c r="M208" s="78"/>
      <c r="N208" s="34"/>
    </row>
    <row r="209" spans="1:14" s="35" customFormat="1" ht="15.75" customHeight="1" x14ac:dyDescent="0.25">
      <c r="A209" s="79">
        <v>1</v>
      </c>
      <c r="B209" s="80"/>
      <c r="C209" s="81" t="s">
        <v>297</v>
      </c>
      <c r="D209" s="82"/>
      <c r="E209" s="82"/>
      <c r="F209" s="83"/>
      <c r="G209" s="81" t="str">
        <f>A208</f>
        <v>22nd Floor (Part Terrace Area)</v>
      </c>
      <c r="H209" s="83"/>
      <c r="I209" s="34"/>
      <c r="L209" s="78"/>
      <c r="M209" s="78"/>
      <c r="N209" s="34"/>
    </row>
    <row r="210" spans="1:14" s="35" customFormat="1" ht="15.75" customHeight="1" x14ac:dyDescent="0.25">
      <c r="A210" s="79">
        <f t="shared" ref="A210:A212" si="28">A209+1</f>
        <v>2</v>
      </c>
      <c r="B210" s="80"/>
      <c r="C210" s="84"/>
      <c r="D210" s="85"/>
      <c r="E210" s="85"/>
      <c r="F210" s="86"/>
      <c r="G210" s="90" t="str">
        <f t="shared" ref="G210:G212" si="29">G209</f>
        <v>22nd Floor (Part Terrace Area)</v>
      </c>
      <c r="H210" s="91"/>
      <c r="I210" s="34"/>
      <c r="L210" s="78"/>
      <c r="M210" s="78"/>
      <c r="N210" s="34"/>
    </row>
    <row r="211" spans="1:14" s="35" customFormat="1" ht="15.75" customHeight="1" x14ac:dyDescent="0.25">
      <c r="A211" s="79">
        <f t="shared" si="28"/>
        <v>3</v>
      </c>
      <c r="B211" s="80"/>
      <c r="C211" s="64" t="s">
        <v>262</v>
      </c>
      <c r="D211" s="65">
        <f>(120.09+6.125*1.69+2.425*2.115)*10.764</f>
        <v>1459.2768254999999</v>
      </c>
      <c r="E211" s="64">
        <v>0</v>
      </c>
      <c r="F211" s="64">
        <f>D211*(($F$136)+1)+(IF(E211&lt;101,E211,IF(E211&lt;201,E211/2,IF(E211&lt;=301,E211/3,E211/4))))</f>
        <v>2188.9152382499997</v>
      </c>
      <c r="G211" s="90" t="str">
        <f t="shared" si="29"/>
        <v>22nd Floor (Part Terrace Area)</v>
      </c>
      <c r="H211" s="91"/>
      <c r="I211" s="34"/>
      <c r="L211" s="78"/>
      <c r="M211" s="78"/>
      <c r="N211" s="34"/>
    </row>
    <row r="212" spans="1:14" s="35" customFormat="1" ht="15.75" customHeight="1" x14ac:dyDescent="0.25">
      <c r="A212" s="79">
        <f t="shared" si="28"/>
        <v>4</v>
      </c>
      <c r="B212" s="80"/>
      <c r="C212" s="64" t="s">
        <v>262</v>
      </c>
      <c r="D212" s="65">
        <f>(120.09+6.125*1.69+2.425*2.115)*10.764</f>
        <v>1459.2768254999999</v>
      </c>
      <c r="E212" s="64">
        <v>0</v>
      </c>
      <c r="F212" s="64">
        <f>D212*(($F$136)+1)+(IF(E212&lt;101,E212,IF(E212&lt;201,E212/2,IF(E212&lt;=301,E212/3,E212/4))))</f>
        <v>2188.9152382499997</v>
      </c>
      <c r="G212" s="84" t="str">
        <f t="shared" si="29"/>
        <v>22nd Floor (Part Terrace Area)</v>
      </c>
      <c r="H212" s="86"/>
      <c r="I212" s="34"/>
    </row>
    <row r="213" spans="1:14" s="35" customFormat="1" ht="15.75" customHeight="1" x14ac:dyDescent="0.25">
      <c r="A213" s="202" t="s">
        <v>265</v>
      </c>
      <c r="B213" s="203"/>
      <c r="C213" s="203"/>
      <c r="D213" s="203"/>
      <c r="E213" s="203"/>
      <c r="F213" s="203"/>
      <c r="G213" s="203"/>
      <c r="H213" s="204"/>
      <c r="J213" s="34"/>
      <c r="L213" s="78"/>
      <c r="M213" s="78"/>
      <c r="N213" s="34"/>
    </row>
    <row r="214" spans="1:14" s="35" customFormat="1" ht="15.75" customHeight="1" x14ac:dyDescent="0.25">
      <c r="A214" s="87" t="s">
        <v>257</v>
      </c>
      <c r="B214" s="88"/>
      <c r="C214" s="88"/>
      <c r="D214" s="88"/>
      <c r="E214" s="88"/>
      <c r="F214" s="88"/>
      <c r="G214" s="88"/>
      <c r="H214" s="89"/>
      <c r="J214" s="34"/>
      <c r="L214" s="78"/>
      <c r="M214" s="78"/>
      <c r="N214" s="34"/>
    </row>
    <row r="215" spans="1:14" s="35" customFormat="1" ht="15.75" customHeight="1" x14ac:dyDescent="0.25">
      <c r="A215" s="87" t="s">
        <v>258</v>
      </c>
      <c r="B215" s="88"/>
      <c r="C215" s="88"/>
      <c r="D215" s="88"/>
      <c r="E215" s="88"/>
      <c r="F215" s="88"/>
      <c r="G215" s="88"/>
      <c r="H215" s="89"/>
      <c r="J215" s="34"/>
      <c r="L215" s="78"/>
      <c r="M215" s="78"/>
      <c r="N215" s="34"/>
    </row>
    <row r="216" spans="1:14" s="35" customFormat="1" ht="15.75" customHeight="1" x14ac:dyDescent="0.25">
      <c r="A216" s="87" t="s">
        <v>260</v>
      </c>
      <c r="B216" s="88"/>
      <c r="C216" s="88"/>
      <c r="D216" s="88"/>
      <c r="E216" s="88"/>
      <c r="F216" s="88"/>
      <c r="G216" s="88"/>
      <c r="H216" s="89"/>
      <c r="J216" s="34"/>
      <c r="L216" s="78"/>
      <c r="M216" s="78"/>
      <c r="N216" s="34"/>
    </row>
    <row r="217" spans="1:14" s="35" customFormat="1" ht="15.75" customHeight="1" x14ac:dyDescent="0.25">
      <c r="A217" s="79">
        <v>1</v>
      </c>
      <c r="B217" s="80"/>
      <c r="C217" s="64" t="s">
        <v>267</v>
      </c>
      <c r="D217" s="65">
        <f>(84.11+4.64*1.54)*10.764</f>
        <v>982.27527839999993</v>
      </c>
      <c r="E217" s="64">
        <v>0</v>
      </c>
      <c r="F217" s="64">
        <f>D217*(($F$136)+1)+(IF(E217&lt;101,E217,IF(E217&lt;201,E217/2,IF(E217&lt;=301,E217/3,E217/4))))</f>
        <v>1473.4129175999999</v>
      </c>
      <c r="G217" s="81" t="str">
        <f>A216</f>
        <v>1st Floor for Residential</v>
      </c>
      <c r="H217" s="83"/>
      <c r="I217" s="34"/>
    </row>
    <row r="218" spans="1:14" s="35" customFormat="1" ht="15.75" customHeight="1" x14ac:dyDescent="0.25">
      <c r="A218" s="79">
        <f t="shared" ref="A218:A220" si="30">A217+1</f>
        <v>2</v>
      </c>
      <c r="B218" s="80"/>
      <c r="C218" s="64" t="s">
        <v>267</v>
      </c>
      <c r="D218" s="65">
        <f>(78.89+2.425*1.59)*10.764</f>
        <v>890.675253</v>
      </c>
      <c r="E218" s="64">
        <v>0</v>
      </c>
      <c r="F218" s="64">
        <f>D218*(($F$136)+1)+(IF(E218&lt;101,E218,IF(E218&lt;201,E218/2,IF(E218&lt;=301,E218/3,E218/4))))</f>
        <v>1336.0128795000001</v>
      </c>
      <c r="G218" s="90" t="str">
        <f t="shared" ref="G218:G220" si="31">G217</f>
        <v>1st Floor for Residential</v>
      </c>
      <c r="H218" s="91"/>
      <c r="I218" s="34"/>
      <c r="L218" s="78"/>
      <c r="M218" s="78"/>
      <c r="N218" s="34"/>
    </row>
    <row r="219" spans="1:14" s="35" customFormat="1" ht="15.75" customHeight="1" x14ac:dyDescent="0.25">
      <c r="A219" s="79">
        <f t="shared" si="30"/>
        <v>3</v>
      </c>
      <c r="B219" s="80"/>
      <c r="C219" s="64" t="s">
        <v>262</v>
      </c>
      <c r="D219" s="65">
        <f>(110.52+4.64*1.54+2.425*1.24)*10.764</f>
        <v>1298.9198664</v>
      </c>
      <c r="E219" s="64">
        <v>0</v>
      </c>
      <c r="F219" s="64">
        <f>D219*(($F$136)+1)+(IF(E219&lt;101,E219,IF(E219&lt;201,E219/2,IF(E219&lt;=301,E219/3,E219/4))))</f>
        <v>1948.3797996000001</v>
      </c>
      <c r="G219" s="90" t="str">
        <f t="shared" si="31"/>
        <v>1st Floor for Residential</v>
      </c>
      <c r="H219" s="91"/>
      <c r="I219" s="34"/>
      <c r="L219" s="78"/>
      <c r="M219" s="78"/>
      <c r="N219" s="34"/>
    </row>
    <row r="220" spans="1:14" s="35" customFormat="1" ht="15.75" customHeight="1" x14ac:dyDescent="0.25">
      <c r="A220" s="79">
        <f t="shared" si="30"/>
        <v>4</v>
      </c>
      <c r="B220" s="80"/>
      <c r="C220" s="64" t="s">
        <v>262</v>
      </c>
      <c r="D220" s="65">
        <f>(110.52+2.425*1.24+4.64*1.54)*10.764</f>
        <v>1298.9198664</v>
      </c>
      <c r="E220" s="64">
        <v>0</v>
      </c>
      <c r="F220" s="64">
        <f>D220*(($F$136)+1)+(IF(E220&lt;101,E220,IF(E220&lt;201,E220/2,IF(E220&lt;=301,E220/3,E220/4))))</f>
        <v>1948.3797996000001</v>
      </c>
      <c r="G220" s="84" t="str">
        <f t="shared" si="31"/>
        <v>1st Floor for Residential</v>
      </c>
      <c r="H220" s="86"/>
      <c r="I220" s="34"/>
      <c r="L220" s="78"/>
      <c r="M220" s="78"/>
      <c r="N220" s="34"/>
    </row>
    <row r="221" spans="1:14" s="35" customFormat="1" ht="15.75" customHeight="1" x14ac:dyDescent="0.25">
      <c r="A221" s="92" t="s">
        <v>268</v>
      </c>
      <c r="B221" s="93"/>
      <c r="C221" s="93"/>
      <c r="D221" s="93"/>
      <c r="E221" s="93"/>
      <c r="F221" s="93"/>
      <c r="G221" s="93"/>
      <c r="H221" s="94"/>
      <c r="J221" s="34"/>
      <c r="L221" s="78"/>
      <c r="M221" s="78"/>
      <c r="N221" s="34"/>
    </row>
    <row r="222" spans="1:14" s="35" customFormat="1" ht="15.75" customHeight="1" x14ac:dyDescent="0.25">
      <c r="A222" s="79">
        <v>1</v>
      </c>
      <c r="B222" s="80"/>
      <c r="C222" s="64" t="s">
        <v>262</v>
      </c>
      <c r="D222" s="65">
        <f>(104.32+4.64*1.54)*10.764</f>
        <v>1199.8157183999999</v>
      </c>
      <c r="E222" s="64">
        <v>0</v>
      </c>
      <c r="F222" s="64">
        <f>D222*(($F$136)+1)+(IF(E222&lt;101,E222,IF(E222&lt;201,E222/2,IF(E222&lt;=301,E222/3,E222/4))))</f>
        <v>1799.7235775999998</v>
      </c>
      <c r="G222" s="81" t="str">
        <f>A221</f>
        <v>2nd to 7th, 9th to 13th Floor</v>
      </c>
      <c r="H222" s="83"/>
      <c r="I222" s="34"/>
    </row>
    <row r="223" spans="1:14" s="35" customFormat="1" ht="15.75" customHeight="1" x14ac:dyDescent="0.25">
      <c r="A223" s="79">
        <f t="shared" ref="A223:A225" si="32">A222+1</f>
        <v>2</v>
      </c>
      <c r="B223" s="80"/>
      <c r="C223" s="64" t="s">
        <v>262</v>
      </c>
      <c r="D223" s="65">
        <f>(98.86+2.425*1.59)*10.764</f>
        <v>1105.632333</v>
      </c>
      <c r="E223" s="64">
        <v>0</v>
      </c>
      <c r="F223" s="64">
        <f>D223*(($F$136)+1)+(IF(E223&lt;101,E223,IF(E223&lt;201,E223/2,IF(E223&lt;=301,E223/3,E223/4))))</f>
        <v>1658.4484995</v>
      </c>
      <c r="G223" s="90" t="str">
        <f t="shared" ref="G223:G225" si="33">G222</f>
        <v>2nd to 7th, 9th to 13th Floor</v>
      </c>
      <c r="H223" s="91"/>
      <c r="I223" s="34"/>
      <c r="L223" s="78"/>
      <c r="M223" s="78"/>
      <c r="N223" s="34"/>
    </row>
    <row r="224" spans="1:14" s="35" customFormat="1" ht="15.75" customHeight="1" x14ac:dyDescent="0.25">
      <c r="A224" s="79">
        <f t="shared" si="32"/>
        <v>3</v>
      </c>
      <c r="B224" s="80"/>
      <c r="C224" s="64" t="s">
        <v>262</v>
      </c>
      <c r="D224" s="65">
        <f>(110.52+4.64*1.54+2.425*1.24)*10.764</f>
        <v>1298.9198664</v>
      </c>
      <c r="E224" s="64">
        <v>0</v>
      </c>
      <c r="F224" s="64">
        <f>D224*(($F$136)+1)+(IF(E224&lt;101,E224,IF(E224&lt;201,E224/2,IF(E224&lt;=301,E224/3,E224/4))))</f>
        <v>1948.3797996000001</v>
      </c>
      <c r="G224" s="90" t="str">
        <f t="shared" si="33"/>
        <v>2nd to 7th, 9th to 13th Floor</v>
      </c>
      <c r="H224" s="91"/>
      <c r="I224" s="34"/>
      <c r="L224" s="78"/>
      <c r="M224" s="78"/>
      <c r="N224" s="34"/>
    </row>
    <row r="225" spans="1:14" s="35" customFormat="1" ht="15.75" customHeight="1" x14ac:dyDescent="0.25">
      <c r="A225" s="79">
        <f t="shared" si="32"/>
        <v>4</v>
      </c>
      <c r="B225" s="80"/>
      <c r="C225" s="64" t="s">
        <v>262</v>
      </c>
      <c r="D225" s="65">
        <f>(110.52+4.64*1.54+2.425*1.24)*10.764</f>
        <v>1298.9198664</v>
      </c>
      <c r="E225" s="64">
        <v>0</v>
      </c>
      <c r="F225" s="64">
        <f>D225*(($F$136)+1)+(IF(E225&lt;101,E225,IF(E225&lt;201,E225/2,IF(E225&lt;=301,E225/3,E225/4))))</f>
        <v>1948.3797996000001</v>
      </c>
      <c r="G225" s="84" t="str">
        <f t="shared" si="33"/>
        <v>2nd to 7th, 9th to 13th Floor</v>
      </c>
      <c r="H225" s="86"/>
      <c r="I225" s="34"/>
      <c r="L225" s="78"/>
      <c r="M225" s="78"/>
      <c r="N225" s="34"/>
    </row>
    <row r="226" spans="1:14" s="35" customFormat="1" ht="15.75" customHeight="1" x14ac:dyDescent="0.25">
      <c r="A226" s="92" t="s">
        <v>269</v>
      </c>
      <c r="B226" s="93"/>
      <c r="C226" s="93"/>
      <c r="D226" s="93"/>
      <c r="E226" s="93"/>
      <c r="F226" s="93"/>
      <c r="G226" s="93"/>
      <c r="H226" s="94"/>
      <c r="J226" s="34"/>
      <c r="L226" s="78"/>
      <c r="M226" s="78"/>
      <c r="N226" s="34"/>
    </row>
    <row r="227" spans="1:14" s="35" customFormat="1" ht="15.75" customHeight="1" x14ac:dyDescent="0.25">
      <c r="A227" s="79">
        <v>1</v>
      </c>
      <c r="B227" s="80"/>
      <c r="C227" s="64" t="s">
        <v>262</v>
      </c>
      <c r="D227" s="65">
        <f>(104.32+4.64*1.54)*10.764</f>
        <v>1199.8157183999999</v>
      </c>
      <c r="E227" s="64">
        <v>0</v>
      </c>
      <c r="F227" s="64">
        <f>D227*(($F$136)+1)+(IF(E227&lt;101,E227,IF(E227&lt;201,E227/2,IF(E227&lt;=301,E227/3,E227/4))))</f>
        <v>1799.7235775999998</v>
      </c>
      <c r="G227" s="81" t="str">
        <f>A226</f>
        <v>8th Floor (Part Refuge Area)</v>
      </c>
      <c r="H227" s="83"/>
      <c r="I227" s="34"/>
    </row>
    <row r="228" spans="1:14" s="35" customFormat="1" ht="15.75" customHeight="1" x14ac:dyDescent="0.25">
      <c r="A228" s="79">
        <f t="shared" ref="A228:A230" si="34">A227+1</f>
        <v>2</v>
      </c>
      <c r="B228" s="80"/>
      <c r="C228" s="79" t="s">
        <v>270</v>
      </c>
      <c r="D228" s="119"/>
      <c r="E228" s="119"/>
      <c r="F228" s="80"/>
      <c r="G228" s="90" t="str">
        <f t="shared" ref="G228:G230" si="35">G227</f>
        <v>8th Floor (Part Refuge Area)</v>
      </c>
      <c r="H228" s="91"/>
      <c r="I228" s="34"/>
      <c r="L228" s="78"/>
      <c r="M228" s="78"/>
      <c r="N228" s="34"/>
    </row>
    <row r="229" spans="1:14" s="35" customFormat="1" ht="15.75" customHeight="1" x14ac:dyDescent="0.25">
      <c r="A229" s="79">
        <f t="shared" si="34"/>
        <v>3</v>
      </c>
      <c r="B229" s="80"/>
      <c r="C229" s="64" t="s">
        <v>262</v>
      </c>
      <c r="D229" s="65">
        <f>(110.52+4.64*1.54+2.425*1.24)*10.764</f>
        <v>1298.9198664</v>
      </c>
      <c r="E229" s="64">
        <v>0</v>
      </c>
      <c r="F229" s="64">
        <f>D229*(($F$136)+1)+(IF(E229&lt;101,E229,IF(E229&lt;201,E229/2,IF(E229&lt;=301,E229/3,E229/4))))</f>
        <v>1948.3797996000001</v>
      </c>
      <c r="G229" s="90" t="str">
        <f t="shared" si="35"/>
        <v>8th Floor (Part Refuge Area)</v>
      </c>
      <c r="H229" s="91"/>
      <c r="I229" s="34"/>
      <c r="L229" s="78"/>
      <c r="M229" s="78"/>
      <c r="N229" s="34"/>
    </row>
    <row r="230" spans="1:14" s="35" customFormat="1" ht="15.75" customHeight="1" x14ac:dyDescent="0.25">
      <c r="A230" s="79">
        <f t="shared" si="34"/>
        <v>4</v>
      </c>
      <c r="B230" s="80"/>
      <c r="C230" s="64" t="s">
        <v>262</v>
      </c>
      <c r="D230" s="65">
        <f>(110.52+4.64*1.54+2.425*1.24)*10.764</f>
        <v>1298.9198664</v>
      </c>
      <c r="E230" s="64">
        <v>0</v>
      </c>
      <c r="F230" s="64">
        <f>D230*(($F$136)+1)+(IF(E230&lt;101,E230,IF(E230&lt;201,E230/2,IF(E230&lt;=301,E230/3,E230/4))))</f>
        <v>1948.3797996000001</v>
      </c>
      <c r="G230" s="84" t="str">
        <f t="shared" si="35"/>
        <v>8th Floor (Part Refuge Area)</v>
      </c>
      <c r="H230" s="86"/>
      <c r="I230" s="34"/>
      <c r="L230" s="78"/>
      <c r="M230" s="78"/>
      <c r="N230" s="34"/>
    </row>
    <row r="231" spans="1:14" s="35" customFormat="1" ht="15.75" customHeight="1" x14ac:dyDescent="0.25">
      <c r="A231" s="92" t="s">
        <v>271</v>
      </c>
      <c r="B231" s="93"/>
      <c r="C231" s="93"/>
      <c r="D231" s="93"/>
      <c r="E231" s="93"/>
      <c r="F231" s="93"/>
      <c r="G231" s="93"/>
      <c r="H231" s="94"/>
      <c r="J231" s="34"/>
      <c r="L231" s="78"/>
      <c r="M231" s="78"/>
      <c r="N231" s="34"/>
    </row>
    <row r="232" spans="1:14" s="35" customFormat="1" x14ac:dyDescent="0.25">
      <c r="A232" s="79">
        <v>1</v>
      </c>
      <c r="B232" s="80"/>
      <c r="C232" s="64" t="s">
        <v>262</v>
      </c>
      <c r="D232" s="65">
        <f>(110.41+4.64*1.54+2.415*1.24)*10.764</f>
        <v>1297.6023528000001</v>
      </c>
      <c r="E232" s="64">
        <v>0</v>
      </c>
      <c r="F232" s="64">
        <f>D232*(($F$136)+1)+(IF(E232&lt;101,E232,IF(E232&lt;201,E232/2,IF(E232&lt;=301,E232/3,E232/4))))</f>
        <v>1946.4035292000001</v>
      </c>
      <c r="G232" s="81" t="str">
        <f>A231</f>
        <v>14th, 16th &amp; 17th Floor</v>
      </c>
      <c r="H232" s="83"/>
      <c r="I232" s="34"/>
    </row>
    <row r="233" spans="1:14" s="35" customFormat="1" x14ac:dyDescent="0.25">
      <c r="A233" s="79">
        <f t="shared" ref="A233:A235" si="36">A232+1</f>
        <v>2</v>
      </c>
      <c r="B233" s="80"/>
      <c r="C233" s="64" t="s">
        <v>262</v>
      </c>
      <c r="D233" s="65">
        <f>(99.25+2.425*1.54+2.125*1.54)*10.764</f>
        <v>1143.7503479999998</v>
      </c>
      <c r="E233" s="64">
        <v>0</v>
      </c>
      <c r="F233" s="64">
        <f>D233*(($F$136)+1)+(IF(E233&lt;101,E233,IF(E233&lt;201,E233/2,IF(E233&lt;=301,E233/3,E233/4))))</f>
        <v>1715.6255219999998</v>
      </c>
      <c r="G233" s="90" t="str">
        <f t="shared" ref="G233:G235" si="37">G232</f>
        <v>14th, 16th &amp; 17th Floor</v>
      </c>
      <c r="H233" s="91"/>
      <c r="I233" s="34"/>
    </row>
    <row r="234" spans="1:14" s="35" customFormat="1" x14ac:dyDescent="0.25">
      <c r="A234" s="79">
        <f t="shared" si="36"/>
        <v>3</v>
      </c>
      <c r="B234" s="80"/>
      <c r="C234" s="64" t="s">
        <v>262</v>
      </c>
      <c r="D234" s="65">
        <f>(110.52+4.64*1.54+2.425*1.24)*10.764</f>
        <v>1298.9198664</v>
      </c>
      <c r="E234" s="64">
        <v>0</v>
      </c>
      <c r="F234" s="64">
        <f>D234*(($F$136)+1)+(IF(E234&lt;101,E234,IF(E234&lt;201,E234/2,IF(E234&lt;=301,E234/3,E234/4))))</f>
        <v>1948.3797996000001</v>
      </c>
      <c r="G234" s="90" t="str">
        <f t="shared" si="37"/>
        <v>14th, 16th &amp; 17th Floor</v>
      </c>
      <c r="H234" s="91"/>
      <c r="I234" s="34"/>
    </row>
    <row r="235" spans="1:14" s="35" customFormat="1" x14ac:dyDescent="0.25">
      <c r="A235" s="79">
        <f t="shared" si="36"/>
        <v>4</v>
      </c>
      <c r="B235" s="80"/>
      <c r="C235" s="64" t="s">
        <v>262</v>
      </c>
      <c r="D235" s="65">
        <f>(110.52+4.64*1.54+2.425*1.24)*10.764</f>
        <v>1298.9198664</v>
      </c>
      <c r="E235" s="64">
        <v>0</v>
      </c>
      <c r="F235" s="64">
        <f>D235*(($F$136)+1)+(IF(E235&lt;101,E235,IF(E235&lt;201,E235/2,IF(E235&lt;=301,E235/3,E235/4))))</f>
        <v>1948.3797996000001</v>
      </c>
      <c r="G235" s="84" t="str">
        <f t="shared" si="37"/>
        <v>14th, 16th &amp; 17th Floor</v>
      </c>
      <c r="H235" s="86"/>
      <c r="I235" s="34"/>
    </row>
    <row r="236" spans="1:14" s="35" customFormat="1" ht="15.75" customHeight="1" x14ac:dyDescent="0.25">
      <c r="A236" s="92" t="s">
        <v>272</v>
      </c>
      <c r="B236" s="93"/>
      <c r="C236" s="93"/>
      <c r="D236" s="93"/>
      <c r="E236" s="93"/>
      <c r="F236" s="93"/>
      <c r="G236" s="93"/>
      <c r="H236" s="94"/>
      <c r="J236" s="34"/>
      <c r="L236" s="78"/>
      <c r="M236" s="78"/>
      <c r="N236" s="34"/>
    </row>
    <row r="237" spans="1:14" s="35" customFormat="1" ht="15.75" customHeight="1" x14ac:dyDescent="0.25">
      <c r="A237" s="79">
        <v>1</v>
      </c>
      <c r="B237" s="80"/>
      <c r="C237" s="64" t="s">
        <v>262</v>
      </c>
      <c r="D237" s="65">
        <f>(1.12*1.48+4.6*3.205+3.38*4.43+3.88*2.505+3.08*4.455+1.085*1.025+3.08*4.305+3.23*4.605+3.03*2.505+1.605*2.505+1.455*2.505+1.605*2.505+2.175*0.9+1.605*1.605+4.625*1.54+2.425*1.24)*10.764</f>
        <v>1270.1463489</v>
      </c>
      <c r="E237" s="64">
        <v>0</v>
      </c>
      <c r="F237" s="64">
        <f>D237*(($F$136)+1)+(IF(E237&lt;101,E237,IF(E237&lt;201,E237/2,IF(E237&lt;=301,E237/3,E237/4))))</f>
        <v>1905.2195233500001</v>
      </c>
      <c r="G237" s="81" t="str">
        <f>A236</f>
        <v>15th Floor (Part Refuge Area)</v>
      </c>
      <c r="H237" s="83"/>
      <c r="I237" s="34"/>
      <c r="L237" s="78"/>
      <c r="M237" s="78"/>
      <c r="N237" s="34"/>
    </row>
    <row r="238" spans="1:14" s="35" customFormat="1" ht="15.75" customHeight="1" x14ac:dyDescent="0.25">
      <c r="A238" s="79">
        <f t="shared" ref="A238:A240" si="38">A237+1</f>
        <v>2</v>
      </c>
      <c r="B238" s="80"/>
      <c r="C238" s="79" t="s">
        <v>270</v>
      </c>
      <c r="D238" s="119"/>
      <c r="E238" s="119"/>
      <c r="F238" s="80"/>
      <c r="G238" s="90" t="str">
        <f t="shared" ref="G238:G240" si="39">G237</f>
        <v>15th Floor (Part Refuge Area)</v>
      </c>
      <c r="H238" s="91"/>
      <c r="I238" s="34"/>
      <c r="L238" s="78"/>
      <c r="M238" s="78"/>
      <c r="N238" s="34"/>
    </row>
    <row r="239" spans="1:14" s="35" customFormat="1" ht="15.75" customHeight="1" x14ac:dyDescent="0.25">
      <c r="A239" s="79">
        <f t="shared" si="38"/>
        <v>3</v>
      </c>
      <c r="B239" s="80"/>
      <c r="C239" s="64" t="s">
        <v>262</v>
      </c>
      <c r="D239" s="65">
        <f>(110.52+4.64*1.54+2.425*1.24)*10.764</f>
        <v>1298.9198664</v>
      </c>
      <c r="E239" s="64">
        <v>0</v>
      </c>
      <c r="F239" s="64">
        <f>D239*(($F$136)+1)+(IF(E239&lt;101,E239,IF(E239&lt;201,E239/2,IF(E239&lt;=301,E239/3,E239/4))))</f>
        <v>1948.3797996000001</v>
      </c>
      <c r="G239" s="90" t="str">
        <f t="shared" si="39"/>
        <v>15th Floor (Part Refuge Area)</v>
      </c>
      <c r="H239" s="91"/>
      <c r="I239" s="34"/>
      <c r="L239" s="78"/>
      <c r="M239" s="78"/>
      <c r="N239" s="34"/>
    </row>
    <row r="240" spans="1:14" s="35" customFormat="1" ht="15.75" customHeight="1" x14ac:dyDescent="0.25">
      <c r="A240" s="79">
        <f t="shared" si="38"/>
        <v>4</v>
      </c>
      <c r="B240" s="80"/>
      <c r="C240" s="64" t="s">
        <v>262</v>
      </c>
      <c r="D240" s="65">
        <f>(110.52+4.64*1.54+2.425*1.24)*10.764</f>
        <v>1298.9198664</v>
      </c>
      <c r="E240" s="64">
        <v>0</v>
      </c>
      <c r="F240" s="64">
        <f>D240*(($F$136)+1)+(IF(E240&lt;101,E240,IF(E240&lt;201,E240/2,IF(E240&lt;=301,E240/3,E240/4))))</f>
        <v>1948.3797996000001</v>
      </c>
      <c r="G240" s="84" t="str">
        <f t="shared" si="39"/>
        <v>15th Floor (Part Refuge Area)</v>
      </c>
      <c r="H240" s="86"/>
      <c r="I240" s="34"/>
      <c r="L240" s="78"/>
      <c r="M240" s="78"/>
      <c r="N240" s="34"/>
    </row>
    <row r="241" spans="1:14" s="35" customFormat="1" ht="15.75" customHeight="1" x14ac:dyDescent="0.25">
      <c r="A241" s="92" t="s">
        <v>298</v>
      </c>
      <c r="B241" s="93"/>
      <c r="C241" s="93"/>
      <c r="D241" s="93"/>
      <c r="E241" s="93"/>
      <c r="F241" s="93"/>
      <c r="G241" s="93"/>
      <c r="H241" s="94"/>
      <c r="J241" s="34"/>
    </row>
    <row r="242" spans="1:14" s="35" customFormat="1" ht="15.75" customHeight="1" x14ac:dyDescent="0.25">
      <c r="A242" s="79">
        <v>1</v>
      </c>
      <c r="B242" s="80"/>
      <c r="C242" s="64" t="s">
        <v>262</v>
      </c>
      <c r="D242" s="65">
        <f>(110.81+5.82*1.54)*10.764</f>
        <v>1289.2344192</v>
      </c>
      <c r="E242" s="64">
        <v>0</v>
      </c>
      <c r="F242" s="64">
        <f>D242*(($F$136)+1)+(IF(E242&lt;101,E242,IF(E242&lt;201,E242/2,IF(E242&lt;=301,E242/3,E242/4))))</f>
        <v>1933.8516288000001</v>
      </c>
      <c r="G242" s="81" t="str">
        <f>A241</f>
        <v>18th to 21ST Floor</v>
      </c>
      <c r="H242" s="83"/>
      <c r="I242" s="34"/>
      <c r="L242" s="78"/>
      <c r="M242" s="78"/>
      <c r="N242" s="34"/>
    </row>
    <row r="243" spans="1:14" s="35" customFormat="1" ht="15.75" customHeight="1" x14ac:dyDescent="0.25">
      <c r="A243" s="79">
        <f t="shared" ref="A243:A245" si="40">A242+1</f>
        <v>2</v>
      </c>
      <c r="B243" s="80"/>
      <c r="C243" s="64" t="s">
        <v>262</v>
      </c>
      <c r="D243" s="65">
        <f>(99.93+5.82*1.54+2.125*1.94)*10.764</f>
        <v>1216.4966892</v>
      </c>
      <c r="E243" s="64">
        <v>0</v>
      </c>
      <c r="F243" s="64">
        <f>D243*(($F$136)+1)+(IF(E243&lt;101,E243,IF(E243&lt;201,E243/2,IF(E243&lt;=301,E243/3,E243/4))))</f>
        <v>1824.7450337999999</v>
      </c>
      <c r="G243" s="90" t="str">
        <f t="shared" ref="G243:G245" si="41">G242</f>
        <v>18th to 21ST Floor</v>
      </c>
      <c r="H243" s="91"/>
      <c r="I243" s="34"/>
      <c r="L243" s="78"/>
      <c r="M243" s="78"/>
      <c r="N243" s="34"/>
    </row>
    <row r="244" spans="1:14" s="35" customFormat="1" ht="15.75" customHeight="1" x14ac:dyDescent="0.25">
      <c r="A244" s="79">
        <f t="shared" si="40"/>
        <v>3</v>
      </c>
      <c r="B244" s="80"/>
      <c r="C244" s="64" t="s">
        <v>262</v>
      </c>
      <c r="D244" s="65">
        <f>(110.92+5.82*1.54+2.375*2.265)*10.764</f>
        <v>1348.3220517</v>
      </c>
      <c r="E244" s="64">
        <v>0</v>
      </c>
      <c r="F244" s="64">
        <f>D244*(($F$136)+1)+(IF(E244&lt;101,E244,IF(E244&lt;201,E244/2,IF(E244&lt;=301,E244/3,E244/4))))</f>
        <v>2022.48307755</v>
      </c>
      <c r="G244" s="90" t="str">
        <f t="shared" si="41"/>
        <v>18th to 21ST Floor</v>
      </c>
      <c r="H244" s="91"/>
      <c r="I244" s="34"/>
      <c r="L244" s="78"/>
      <c r="M244" s="78"/>
      <c r="N244" s="34"/>
    </row>
    <row r="245" spans="1:14" s="35" customFormat="1" ht="15.75" customHeight="1" x14ac:dyDescent="0.25">
      <c r="A245" s="79">
        <f t="shared" si="40"/>
        <v>4</v>
      </c>
      <c r="B245" s="80"/>
      <c r="C245" s="64" t="s">
        <v>262</v>
      </c>
      <c r="D245" s="65">
        <f>(110.92+5.82*1.54+2.375*2.265)*10.764</f>
        <v>1348.3220517</v>
      </c>
      <c r="E245" s="64">
        <v>0</v>
      </c>
      <c r="F245" s="64">
        <f>D245*(($F$136)+1)+(IF(E245&lt;101,E245,IF(E245&lt;201,E245/2,IF(E245&lt;=301,E245/3,E245/4))))</f>
        <v>2022.48307755</v>
      </c>
      <c r="G245" s="84" t="str">
        <f t="shared" si="41"/>
        <v>18th to 21ST Floor</v>
      </c>
      <c r="H245" s="86"/>
      <c r="I245" s="34"/>
      <c r="L245" s="78"/>
      <c r="M245" s="78"/>
      <c r="N245" s="34"/>
    </row>
    <row r="246" spans="1:14" s="35" customFormat="1" ht="15.75" customHeight="1" x14ac:dyDescent="0.25">
      <c r="A246" s="92" t="s">
        <v>296</v>
      </c>
      <c r="B246" s="93"/>
      <c r="C246" s="93"/>
      <c r="D246" s="93"/>
      <c r="E246" s="93"/>
      <c r="F246" s="93"/>
      <c r="G246" s="93"/>
      <c r="H246" s="94"/>
      <c r="J246" s="34"/>
    </row>
    <row r="247" spans="1:14" s="35" customFormat="1" ht="15.75" customHeight="1" x14ac:dyDescent="0.25">
      <c r="A247" s="79">
        <v>1</v>
      </c>
      <c r="B247" s="80"/>
      <c r="C247" s="81" t="s">
        <v>297</v>
      </c>
      <c r="D247" s="82"/>
      <c r="E247" s="82"/>
      <c r="F247" s="83"/>
      <c r="G247" s="81" t="str">
        <f>A246</f>
        <v>22nd Floor (Part Terrace Area)</v>
      </c>
      <c r="H247" s="83"/>
      <c r="I247" s="34"/>
      <c r="L247" s="78"/>
      <c r="M247" s="78"/>
      <c r="N247" s="34"/>
    </row>
    <row r="248" spans="1:14" s="35" customFormat="1" ht="15.75" customHeight="1" x14ac:dyDescent="0.25">
      <c r="A248" s="79">
        <f t="shared" ref="A248:A250" si="42">A247+1</f>
        <v>2</v>
      </c>
      <c r="B248" s="80"/>
      <c r="C248" s="84"/>
      <c r="D248" s="85"/>
      <c r="E248" s="85"/>
      <c r="F248" s="86"/>
      <c r="G248" s="90" t="str">
        <f t="shared" ref="G248:G250" si="43">G247</f>
        <v>22nd Floor (Part Terrace Area)</v>
      </c>
      <c r="H248" s="91"/>
      <c r="I248" s="34"/>
      <c r="L248" s="78"/>
      <c r="M248" s="78"/>
      <c r="N248" s="34"/>
    </row>
    <row r="249" spans="1:14" s="35" customFormat="1" ht="15.75" customHeight="1" x14ac:dyDescent="0.25">
      <c r="A249" s="79">
        <f t="shared" si="42"/>
        <v>3</v>
      </c>
      <c r="B249" s="80"/>
      <c r="C249" s="64" t="s">
        <v>262</v>
      </c>
      <c r="D249" s="65">
        <f>(110.92+4.64*1.5+2.89*2.65)*10.764</f>
        <v>1351.2964139999999</v>
      </c>
      <c r="E249" s="64">
        <v>0</v>
      </c>
      <c r="F249" s="64">
        <f>D249*(($F$136)+1)+(IF(E249&lt;101,E249,IF(E249&lt;201,E249/2,IF(E249&lt;=301,E249/3,E249/4))))</f>
        <v>2026.9446209999999</v>
      </c>
      <c r="G249" s="90" t="str">
        <f t="shared" si="43"/>
        <v>22nd Floor (Part Terrace Area)</v>
      </c>
      <c r="H249" s="91"/>
      <c r="I249" s="34"/>
      <c r="L249" s="78"/>
      <c r="M249" s="78"/>
      <c r="N249" s="34"/>
    </row>
    <row r="250" spans="1:14" s="35" customFormat="1" ht="15.75" customHeight="1" x14ac:dyDescent="0.25">
      <c r="A250" s="79">
        <f t="shared" si="42"/>
        <v>4</v>
      </c>
      <c r="B250" s="80"/>
      <c r="C250" s="64" t="s">
        <v>262</v>
      </c>
      <c r="D250" s="65">
        <f>(110.92+4.64*1.5+2.89*2.65)*10.764</f>
        <v>1351.2964139999999</v>
      </c>
      <c r="E250" s="64">
        <v>0</v>
      </c>
      <c r="F250" s="64">
        <f>D250*(($F$136)+1)+(IF(E250&lt;101,E250,IF(E250&lt;201,E250/2,IF(E250&lt;=301,E250/3,E250/4))))</f>
        <v>2026.9446209999999</v>
      </c>
      <c r="G250" s="84" t="str">
        <f t="shared" si="43"/>
        <v>22nd Floor (Part Terrace Area)</v>
      </c>
      <c r="H250" s="86"/>
      <c r="I250" s="34"/>
      <c r="L250" s="78"/>
      <c r="M250" s="78"/>
      <c r="N250" s="34"/>
    </row>
    <row r="251" spans="1:14" s="35" customFormat="1" ht="15.75" customHeight="1" x14ac:dyDescent="0.25">
      <c r="A251" s="202" t="s">
        <v>266</v>
      </c>
      <c r="B251" s="203"/>
      <c r="C251" s="203"/>
      <c r="D251" s="203"/>
      <c r="E251" s="203"/>
      <c r="F251" s="203"/>
      <c r="G251" s="203"/>
      <c r="H251" s="204"/>
      <c r="J251" s="34"/>
      <c r="L251" s="78"/>
      <c r="M251" s="78"/>
      <c r="N251" s="34"/>
    </row>
    <row r="252" spans="1:14" s="35" customFormat="1" ht="15.75" customHeight="1" x14ac:dyDescent="0.25">
      <c r="A252" s="87" t="s">
        <v>257</v>
      </c>
      <c r="B252" s="88"/>
      <c r="C252" s="88"/>
      <c r="D252" s="88"/>
      <c r="E252" s="88"/>
      <c r="F252" s="88"/>
      <c r="G252" s="88"/>
      <c r="H252" s="89"/>
      <c r="J252" s="34"/>
    </row>
    <row r="253" spans="1:14" s="35" customFormat="1" ht="15.75" customHeight="1" x14ac:dyDescent="0.25">
      <c r="A253" s="87" t="s">
        <v>258</v>
      </c>
      <c r="B253" s="88"/>
      <c r="C253" s="88"/>
      <c r="D253" s="88"/>
      <c r="E253" s="88"/>
      <c r="F253" s="88"/>
      <c r="G253" s="88"/>
      <c r="H253" s="89"/>
      <c r="J253" s="34"/>
      <c r="L253" s="78"/>
      <c r="M253" s="78"/>
      <c r="N253" s="34"/>
    </row>
    <row r="254" spans="1:14" s="35" customFormat="1" ht="15.75" customHeight="1" x14ac:dyDescent="0.25">
      <c r="A254" s="87" t="s">
        <v>260</v>
      </c>
      <c r="B254" s="88"/>
      <c r="C254" s="88"/>
      <c r="D254" s="88"/>
      <c r="E254" s="88"/>
      <c r="F254" s="88"/>
      <c r="G254" s="88"/>
      <c r="H254" s="89"/>
      <c r="J254" s="34"/>
      <c r="L254" s="78"/>
      <c r="M254" s="78"/>
      <c r="N254" s="34"/>
    </row>
    <row r="255" spans="1:14" s="35" customFormat="1" ht="15.75" customHeight="1" x14ac:dyDescent="0.25">
      <c r="A255" s="66">
        <v>1</v>
      </c>
      <c r="B255" s="67"/>
      <c r="C255" s="40" t="s">
        <v>267</v>
      </c>
      <c r="D255" s="52">
        <f>(78.77+2.425*1.54)*10.764</f>
        <v>888.07843799999989</v>
      </c>
      <c r="E255" s="40">
        <v>0</v>
      </c>
      <c r="F255" s="40">
        <f>D255*(($F$136)+1)+(IF(E255&lt;101,E255,IF(E255&lt;201,E255/2,IF(E255&lt;=301,E255/3,E255/4))))</f>
        <v>1332.1176569999998</v>
      </c>
      <c r="G255" s="68" t="str">
        <f>A254</f>
        <v>1st Floor for Residential</v>
      </c>
      <c r="H255" s="69"/>
      <c r="I255" s="34"/>
      <c r="L255" s="78"/>
      <c r="M255" s="78"/>
      <c r="N255" s="34"/>
    </row>
    <row r="256" spans="1:14" s="35" customFormat="1" ht="15.75" customHeight="1" x14ac:dyDescent="0.25">
      <c r="A256" s="66">
        <f t="shared" ref="A256:A259" si="44">A255+1</f>
        <v>2</v>
      </c>
      <c r="B256" s="67"/>
      <c r="C256" s="40" t="s">
        <v>267</v>
      </c>
      <c r="D256" s="52">
        <f>(96.56+2.425*1.54)*10.764</f>
        <v>1079.5699979999999</v>
      </c>
      <c r="E256" s="40">
        <v>0</v>
      </c>
      <c r="F256" s="40">
        <f>D256*(($F$136)+1)+(IF(E256&lt;101,E256,IF(E256&lt;201,E256/2,IF(E256&lt;=301,E256/3,E256/4))))</f>
        <v>1619.3549969999999</v>
      </c>
      <c r="G256" s="70"/>
      <c r="H256" s="71"/>
      <c r="I256" s="34"/>
      <c r="L256" s="78"/>
      <c r="M256" s="78"/>
      <c r="N256" s="34"/>
    </row>
    <row r="257" spans="1:14" s="35" customFormat="1" ht="15.75" customHeight="1" x14ac:dyDescent="0.25">
      <c r="A257" s="66">
        <f t="shared" si="44"/>
        <v>3</v>
      </c>
      <c r="B257" s="67"/>
      <c r="C257" s="40" t="s">
        <v>262</v>
      </c>
      <c r="D257" s="52">
        <f>(97.38+1.54*4.64)*10.764</f>
        <v>1125.1135583999999</v>
      </c>
      <c r="E257" s="40">
        <v>0</v>
      </c>
      <c r="F257" s="40">
        <f>D257*(($F$136)+1)+(IF(E257&lt;101,E257,IF(E257&lt;201,E257/2,IF(E257&lt;=301,E257/3,E257/4))))</f>
        <v>1687.6703375999998</v>
      </c>
      <c r="G257" s="70"/>
      <c r="H257" s="71"/>
      <c r="I257" s="34"/>
      <c r="L257" s="78"/>
      <c r="M257" s="78"/>
      <c r="N257" s="34"/>
    </row>
    <row r="258" spans="1:14" s="35" customFormat="1" ht="15.75" customHeight="1" x14ac:dyDescent="0.25">
      <c r="A258" s="66">
        <f t="shared" si="44"/>
        <v>4</v>
      </c>
      <c r="B258" s="67"/>
      <c r="C258" s="40" t="s">
        <v>262</v>
      </c>
      <c r="D258" s="52">
        <f>(124.01+2.425*1.54+4.775*1.54)*10.764</f>
        <v>1454.194872</v>
      </c>
      <c r="E258" s="40">
        <v>0</v>
      </c>
      <c r="F258" s="40">
        <f>D258*(($F$136)+1)+(IF(E258&lt;101,E258,IF(E258&lt;201,E258/2,IF(E258&lt;=301,E258/3,E258/4))))</f>
        <v>2181.292308</v>
      </c>
      <c r="G258" s="70"/>
      <c r="H258" s="71"/>
      <c r="I258" s="34"/>
    </row>
    <row r="259" spans="1:14" s="35" customFormat="1" ht="15.75" customHeight="1" x14ac:dyDescent="0.25">
      <c r="A259" s="66">
        <f t="shared" si="44"/>
        <v>5</v>
      </c>
      <c r="B259" s="67"/>
      <c r="C259" s="40" t="s">
        <v>262</v>
      </c>
      <c r="D259" s="52">
        <f>(111.01+4.64*1.54+2.425*1.24)*10.764</f>
        <v>1304.1942264000002</v>
      </c>
      <c r="E259" s="40">
        <v>0</v>
      </c>
      <c r="F259" s="40">
        <f>D259*(($F$136)+1)+(IF(E259&lt;101,E259,IF(E259&lt;201,E259/2,IF(E259&lt;=301,E259/3,E259/4))))</f>
        <v>1956.2913396000004</v>
      </c>
      <c r="G259" s="72"/>
      <c r="H259" s="73"/>
      <c r="I259" s="34"/>
      <c r="L259" s="78"/>
      <c r="M259" s="78"/>
      <c r="N259" s="34"/>
    </row>
    <row r="260" spans="1:14" s="35" customFormat="1" ht="15.75" customHeight="1" x14ac:dyDescent="0.25">
      <c r="A260" s="87" t="s">
        <v>268</v>
      </c>
      <c r="B260" s="88"/>
      <c r="C260" s="88"/>
      <c r="D260" s="88"/>
      <c r="E260" s="88"/>
      <c r="F260" s="88"/>
      <c r="G260" s="88"/>
      <c r="H260" s="89"/>
      <c r="J260" s="34"/>
      <c r="L260" s="78"/>
      <c r="M260" s="78"/>
      <c r="N260" s="34"/>
    </row>
    <row r="261" spans="1:14" s="35" customFormat="1" ht="15.75" customHeight="1" x14ac:dyDescent="0.25">
      <c r="A261" s="66">
        <v>1</v>
      </c>
      <c r="B261" s="67"/>
      <c r="C261" s="40" t="s">
        <v>262</v>
      </c>
      <c r="D261" s="52">
        <f>(99.62+2.425*1.54)*10.764</f>
        <v>1112.507838</v>
      </c>
      <c r="E261" s="40">
        <v>0</v>
      </c>
      <c r="F261" s="40">
        <f>D261*(($F$136)+1)+(IF(E261&lt;101,E261,IF(E261&lt;201,E261/2,IF(E261&lt;=301,E261/3,E261/4))))</f>
        <v>1668.761757</v>
      </c>
      <c r="G261" s="68" t="str">
        <f>A260</f>
        <v>2nd to 7th, 9th to 13th Floor</v>
      </c>
      <c r="H261" s="69"/>
      <c r="I261" s="34"/>
      <c r="L261" s="78"/>
      <c r="M261" s="78"/>
      <c r="N261" s="34"/>
    </row>
    <row r="262" spans="1:14" s="35" customFormat="1" ht="15.75" customHeight="1" x14ac:dyDescent="0.25">
      <c r="A262" s="66">
        <f t="shared" ref="A262:A265" si="45">A261+1</f>
        <v>2</v>
      </c>
      <c r="B262" s="67"/>
      <c r="C262" s="40" t="s">
        <v>262</v>
      </c>
      <c r="D262" s="52">
        <f>(118.22+4.775*1.54+2.425*1.54)*10.764</f>
        <v>1391.8713119999998</v>
      </c>
      <c r="E262" s="40">
        <v>0</v>
      </c>
      <c r="F262" s="40">
        <f>D262*(($F$136)+1)+(IF(E262&lt;101,E262,IF(E262&lt;201,E262/2,IF(E262&lt;=301,E262/3,E262/4))))</f>
        <v>2087.8069679999999</v>
      </c>
      <c r="G262" s="70"/>
      <c r="H262" s="71"/>
      <c r="I262" s="34"/>
      <c r="L262" s="78"/>
      <c r="M262" s="78"/>
      <c r="N262" s="34"/>
    </row>
    <row r="263" spans="1:14" s="35" customFormat="1" ht="15.75" customHeight="1" x14ac:dyDescent="0.25">
      <c r="A263" s="66">
        <f t="shared" si="45"/>
        <v>3</v>
      </c>
      <c r="B263" s="67"/>
      <c r="C263" s="40" t="s">
        <v>262</v>
      </c>
      <c r="D263" s="52">
        <f>(97.38+1.54*4.64)*10.764</f>
        <v>1125.1135583999999</v>
      </c>
      <c r="E263" s="40">
        <v>0</v>
      </c>
      <c r="F263" s="40">
        <f>D263*(($F$136)+1)+(IF(E263&lt;101,E263,IF(E263&lt;201,E263/2,IF(E263&lt;=301,E263/3,E263/4))))</f>
        <v>1687.6703375999998</v>
      </c>
      <c r="G263" s="70"/>
      <c r="H263" s="71"/>
      <c r="I263" s="34"/>
      <c r="L263" s="78"/>
      <c r="M263" s="78"/>
      <c r="N263" s="34"/>
    </row>
    <row r="264" spans="1:14" s="35" customFormat="1" ht="15.75" customHeight="1" x14ac:dyDescent="0.25">
      <c r="A264" s="66">
        <f t="shared" si="45"/>
        <v>4</v>
      </c>
      <c r="B264" s="67"/>
      <c r="C264" s="40" t="s">
        <v>262</v>
      </c>
      <c r="D264" s="52">
        <f>(124.01+4.775*1.54+2.425*1.54)*10.764</f>
        <v>1454.194872</v>
      </c>
      <c r="E264" s="40">
        <v>0</v>
      </c>
      <c r="F264" s="40">
        <f>D264*(($F$136)+1)+(IF(E264&lt;101,E264,IF(E264&lt;201,E264/2,IF(E264&lt;=301,E264/3,E264/4))))</f>
        <v>2181.292308</v>
      </c>
      <c r="G264" s="70"/>
      <c r="H264" s="71"/>
      <c r="I264" s="34"/>
    </row>
    <row r="265" spans="1:14" s="35" customFormat="1" ht="15.75" customHeight="1" x14ac:dyDescent="0.25">
      <c r="A265" s="66">
        <f t="shared" si="45"/>
        <v>5</v>
      </c>
      <c r="B265" s="67"/>
      <c r="C265" s="40" t="s">
        <v>262</v>
      </c>
      <c r="D265" s="52">
        <f>(111.01+4.64*1.54+2.425*1.24)*10.764</f>
        <v>1304.1942264000002</v>
      </c>
      <c r="E265" s="40">
        <v>0</v>
      </c>
      <c r="F265" s="40">
        <f>D265*(($F$136)+1)+(IF(E265&lt;101,E265,IF(E265&lt;201,E265/2,IF(E265&lt;=301,E265/3,E265/4))))</f>
        <v>1956.2913396000004</v>
      </c>
      <c r="G265" s="72"/>
      <c r="H265" s="73"/>
      <c r="I265" s="34"/>
      <c r="L265" s="78"/>
      <c r="M265" s="78"/>
      <c r="N265" s="34"/>
    </row>
    <row r="266" spans="1:14" s="35" customFormat="1" ht="15.75" customHeight="1" x14ac:dyDescent="0.25">
      <c r="A266" s="87" t="s">
        <v>269</v>
      </c>
      <c r="B266" s="88"/>
      <c r="C266" s="88"/>
      <c r="D266" s="88"/>
      <c r="E266" s="88"/>
      <c r="F266" s="88"/>
      <c r="G266" s="88"/>
      <c r="H266" s="89"/>
      <c r="J266" s="34"/>
      <c r="L266" s="78"/>
      <c r="M266" s="78"/>
      <c r="N266" s="34"/>
    </row>
    <row r="267" spans="1:14" s="35" customFormat="1" ht="15.75" customHeight="1" x14ac:dyDescent="0.25">
      <c r="A267" s="66">
        <v>1</v>
      </c>
      <c r="B267" s="67"/>
      <c r="C267" s="66" t="s">
        <v>270</v>
      </c>
      <c r="D267" s="74"/>
      <c r="E267" s="74"/>
      <c r="F267" s="67"/>
      <c r="G267" s="68" t="str">
        <f>A266</f>
        <v>8th Floor (Part Refuge Area)</v>
      </c>
      <c r="H267" s="69"/>
      <c r="I267" s="34"/>
      <c r="L267" s="78"/>
      <c r="M267" s="78"/>
      <c r="N267" s="34"/>
    </row>
    <row r="268" spans="1:14" s="35" customFormat="1" ht="15.75" customHeight="1" x14ac:dyDescent="0.25">
      <c r="A268" s="66">
        <f t="shared" ref="A268:A271" si="46">A267+1</f>
        <v>2</v>
      </c>
      <c r="B268" s="67"/>
      <c r="C268" s="40" t="s">
        <v>262</v>
      </c>
      <c r="D268" s="52">
        <f>(118.22+4.775*1.54+2.425*1.54)*10.764</f>
        <v>1391.8713119999998</v>
      </c>
      <c r="E268" s="40">
        <v>0</v>
      </c>
      <c r="F268" s="40">
        <f>D268*(($F$136)+1)+(IF(E268&lt;101,E268,IF(E268&lt;201,E268/2,IF(E268&lt;=301,E268/3,E268/4))))</f>
        <v>2087.8069679999999</v>
      </c>
      <c r="G268" s="70"/>
      <c r="H268" s="71"/>
      <c r="I268" s="34"/>
      <c r="L268" s="78"/>
      <c r="M268" s="78"/>
      <c r="N268" s="34"/>
    </row>
    <row r="269" spans="1:14" s="35" customFormat="1" ht="15.75" customHeight="1" x14ac:dyDescent="0.25">
      <c r="A269" s="66">
        <f t="shared" si="46"/>
        <v>3</v>
      </c>
      <c r="B269" s="67"/>
      <c r="C269" s="40" t="s">
        <v>262</v>
      </c>
      <c r="D269" s="52">
        <f>(97.38+1.54*4.64)*10.764</f>
        <v>1125.1135583999999</v>
      </c>
      <c r="E269" s="40">
        <v>0</v>
      </c>
      <c r="F269" s="40">
        <f>D269*(($F$136)+1)+(IF(E269&lt;101,E269,IF(E269&lt;201,E269/2,IF(E269&lt;=301,E269/3,E269/4))))</f>
        <v>1687.6703375999998</v>
      </c>
      <c r="G269" s="70"/>
      <c r="H269" s="71"/>
      <c r="I269" s="34"/>
      <c r="L269" s="78"/>
      <c r="M269" s="78"/>
      <c r="N269" s="34"/>
    </row>
    <row r="270" spans="1:14" s="35" customFormat="1" ht="15.75" customHeight="1" x14ac:dyDescent="0.25">
      <c r="A270" s="66">
        <f t="shared" si="46"/>
        <v>4</v>
      </c>
      <c r="B270" s="67"/>
      <c r="C270" s="40" t="s">
        <v>262</v>
      </c>
      <c r="D270" s="52">
        <f>(124.01+4.775*1.54+2.425*1.54)*10.764</f>
        <v>1454.194872</v>
      </c>
      <c r="E270" s="40">
        <v>0</v>
      </c>
      <c r="F270" s="40">
        <f>D270*(($F$136)+1)+(IF(E270&lt;101,E270,IF(E270&lt;201,E270/2,IF(E270&lt;=301,E270/3,E270/4))))</f>
        <v>2181.292308</v>
      </c>
      <c r="G270" s="70"/>
      <c r="H270" s="71"/>
      <c r="I270" s="34"/>
    </row>
    <row r="271" spans="1:14" s="35" customFormat="1" ht="15.75" customHeight="1" x14ac:dyDescent="0.25">
      <c r="A271" s="66">
        <f t="shared" si="46"/>
        <v>5</v>
      </c>
      <c r="B271" s="67"/>
      <c r="C271" s="40" t="s">
        <v>262</v>
      </c>
      <c r="D271" s="52">
        <f>(111.01+4.64*1.54+2.425*1.24)*10.764</f>
        <v>1304.1942264000002</v>
      </c>
      <c r="E271" s="40">
        <v>0</v>
      </c>
      <c r="F271" s="40">
        <f>D271*(($F$136)+1)+(IF(E271&lt;101,E271,IF(E271&lt;201,E271/2,IF(E271&lt;=301,E271/3,E271/4))))</f>
        <v>1956.2913396000004</v>
      </c>
      <c r="G271" s="72"/>
      <c r="H271" s="73"/>
      <c r="I271" s="34"/>
      <c r="L271" s="78"/>
      <c r="M271" s="78"/>
      <c r="N271" s="34"/>
    </row>
    <row r="272" spans="1:14" s="35" customFormat="1" ht="15.75" customHeight="1" x14ac:dyDescent="0.25">
      <c r="A272" s="87" t="s">
        <v>271</v>
      </c>
      <c r="B272" s="88"/>
      <c r="C272" s="88"/>
      <c r="D272" s="88"/>
      <c r="E272" s="88"/>
      <c r="F272" s="88"/>
      <c r="G272" s="88"/>
      <c r="H272" s="89"/>
      <c r="J272" s="34"/>
      <c r="L272" s="78"/>
      <c r="M272" s="78"/>
      <c r="N272" s="34"/>
    </row>
    <row r="273" spans="1:14" s="35" customFormat="1" ht="15.75" customHeight="1" x14ac:dyDescent="0.25">
      <c r="A273" s="66">
        <v>1</v>
      </c>
      <c r="B273" s="67"/>
      <c r="C273" s="40" t="s">
        <v>262</v>
      </c>
      <c r="D273" s="52">
        <f>(100.01+4.64*1.54)*10.764</f>
        <v>1153.4228783999999</v>
      </c>
      <c r="E273" s="40">
        <v>0</v>
      </c>
      <c r="F273" s="40">
        <f>D273*(($F$136)+1)+(IF(E273&lt;101,E273,IF(E273&lt;201,E273/2,IF(E273&lt;=301,E273/3,E273/4))))</f>
        <v>1730.1343176</v>
      </c>
      <c r="G273" s="68" t="str">
        <f>A272</f>
        <v>14th, 16th &amp; 17th Floor</v>
      </c>
      <c r="H273" s="69"/>
      <c r="I273" s="34"/>
      <c r="L273" s="78"/>
      <c r="M273" s="78"/>
      <c r="N273" s="34"/>
    </row>
    <row r="274" spans="1:14" s="35" customFormat="1" ht="22.9" customHeight="1" x14ac:dyDescent="0.25">
      <c r="A274" s="66">
        <f t="shared" ref="A274:A277" si="47">A273+1</f>
        <v>2</v>
      </c>
      <c r="B274" s="67"/>
      <c r="C274" s="40" t="s">
        <v>262</v>
      </c>
      <c r="D274" s="52">
        <f>(118.22+4.775*1.54+2.425*1.54)*10.764</f>
        <v>1391.8713119999998</v>
      </c>
      <c r="E274" s="40">
        <v>0</v>
      </c>
      <c r="F274" s="40">
        <f>D274*(($F$136)+1)+(IF(E274&lt;101,E274,IF(E274&lt;201,E274/2,IF(E274&lt;=301,E274/3,E274/4))))</f>
        <v>2087.8069679999999</v>
      </c>
      <c r="G274" s="70"/>
      <c r="H274" s="71"/>
      <c r="I274" s="34"/>
      <c r="L274" s="78"/>
      <c r="M274" s="78"/>
      <c r="N274" s="34"/>
    </row>
    <row r="275" spans="1:14" s="35" customFormat="1" ht="15.75" customHeight="1" x14ac:dyDescent="0.25">
      <c r="A275" s="66">
        <f t="shared" si="47"/>
        <v>3</v>
      </c>
      <c r="B275" s="67"/>
      <c r="C275" s="40" t="s">
        <v>262</v>
      </c>
      <c r="D275" s="52">
        <f>(97.38+1.54*4.64)*10.764</f>
        <v>1125.1135583999999</v>
      </c>
      <c r="E275" s="40">
        <v>0</v>
      </c>
      <c r="F275" s="40">
        <f>D275*(($F$136)+1)+(IF(E275&lt;101,E275,IF(E275&lt;201,E275/2,IF(E275&lt;=301,E275/3,E275/4))))</f>
        <v>1687.6703375999998</v>
      </c>
      <c r="G275" s="70"/>
      <c r="H275" s="71"/>
      <c r="I275" s="34"/>
      <c r="L275" s="78"/>
      <c r="M275" s="78"/>
      <c r="N275" s="34"/>
    </row>
    <row r="276" spans="1:14" s="35" customFormat="1" x14ac:dyDescent="0.25">
      <c r="A276" s="66">
        <f t="shared" si="47"/>
        <v>4</v>
      </c>
      <c r="B276" s="67"/>
      <c r="C276" s="40" t="s">
        <v>262</v>
      </c>
      <c r="D276" s="52">
        <f>(124.01+4.775*1.54+2.425*1.54)*10.764</f>
        <v>1454.194872</v>
      </c>
      <c r="E276" s="40">
        <v>0</v>
      </c>
      <c r="F276" s="40">
        <f>D276*(($F$136)+1)+(IF(E276&lt;101,E276,IF(E276&lt;201,E276/2,IF(E276&lt;=301,E276/3,E276/4))))</f>
        <v>2181.292308</v>
      </c>
      <c r="G276" s="70"/>
      <c r="H276" s="71"/>
      <c r="I276" s="34"/>
    </row>
    <row r="277" spans="1:14" s="35" customFormat="1" x14ac:dyDescent="0.25">
      <c r="A277" s="66">
        <f t="shared" si="47"/>
        <v>5</v>
      </c>
      <c r="B277" s="67"/>
      <c r="C277" s="40" t="s">
        <v>262</v>
      </c>
      <c r="D277" s="52">
        <f>(111.01+4.64*1.54+2.425*1.24)*10.764</f>
        <v>1304.1942264000002</v>
      </c>
      <c r="E277" s="40">
        <v>0</v>
      </c>
      <c r="F277" s="40">
        <f>D277*(($F$136)+1)+(IF(E277&lt;101,E277,IF(E277&lt;201,E277/2,IF(E277&lt;=301,E277/3,E277/4))))</f>
        <v>1956.2913396000004</v>
      </c>
      <c r="G277" s="72"/>
      <c r="H277" s="73"/>
      <c r="I277" s="34"/>
      <c r="L277" s="78"/>
      <c r="M277" s="78"/>
      <c r="N277" s="34"/>
    </row>
    <row r="278" spans="1:14" s="35" customFormat="1" x14ac:dyDescent="0.25">
      <c r="A278" s="87" t="s">
        <v>272</v>
      </c>
      <c r="B278" s="88"/>
      <c r="C278" s="88"/>
      <c r="D278" s="88"/>
      <c r="E278" s="88"/>
      <c r="F278" s="88"/>
      <c r="G278" s="88"/>
      <c r="H278" s="89"/>
      <c r="J278" s="34"/>
      <c r="L278" s="78"/>
      <c r="M278" s="78"/>
      <c r="N278" s="34"/>
    </row>
    <row r="279" spans="1:14" s="35" customFormat="1" x14ac:dyDescent="0.25">
      <c r="A279" s="66">
        <v>1</v>
      </c>
      <c r="B279" s="67"/>
      <c r="C279" s="66" t="s">
        <v>270</v>
      </c>
      <c r="D279" s="74"/>
      <c r="E279" s="74"/>
      <c r="F279" s="67"/>
      <c r="G279" s="68" t="str">
        <f>A278</f>
        <v>15th Floor (Part Refuge Area)</v>
      </c>
      <c r="H279" s="69"/>
      <c r="I279" s="34"/>
      <c r="L279" s="78"/>
      <c r="M279" s="78"/>
      <c r="N279" s="34"/>
    </row>
    <row r="280" spans="1:14" s="35" customFormat="1" x14ac:dyDescent="0.25">
      <c r="A280" s="66">
        <f t="shared" ref="A280:A283" si="48">A279+1</f>
        <v>2</v>
      </c>
      <c r="B280" s="67"/>
      <c r="C280" s="40" t="s">
        <v>262</v>
      </c>
      <c r="D280" s="52">
        <f>(118.22+4.775*1.54+2.425*1.54)*10.764</f>
        <v>1391.8713119999998</v>
      </c>
      <c r="E280" s="40">
        <v>0</v>
      </c>
      <c r="F280" s="40">
        <f>D280*(($F$136)+1)+(IF(E280&lt;101,E280,IF(E280&lt;201,E280/2,IF(E280&lt;=301,E280/3,E280/4))))</f>
        <v>2087.8069679999999</v>
      </c>
      <c r="G280" s="70"/>
      <c r="H280" s="71"/>
      <c r="I280" s="34"/>
      <c r="J280" s="34">
        <f>63900000/F280</f>
        <v>30606.277773472782</v>
      </c>
      <c r="L280" s="78"/>
      <c r="M280" s="78"/>
      <c r="N280" s="34"/>
    </row>
    <row r="281" spans="1:14" s="35" customFormat="1" x14ac:dyDescent="0.25">
      <c r="A281" s="66">
        <f t="shared" si="48"/>
        <v>3</v>
      </c>
      <c r="B281" s="67"/>
      <c r="C281" s="40" t="s">
        <v>262</v>
      </c>
      <c r="D281" s="52">
        <f>(97.38+1.54*4.64)*10.764</f>
        <v>1125.1135583999999</v>
      </c>
      <c r="E281" s="40">
        <v>0</v>
      </c>
      <c r="F281" s="40">
        <f>D281*(($F$136)+1)+(IF(E281&lt;101,E281,IF(E281&lt;201,E281/2,IF(E281&lt;=301,E281/3,E281/4))))</f>
        <v>1687.6703375999998</v>
      </c>
      <c r="G281" s="70"/>
      <c r="H281" s="71"/>
      <c r="I281" s="34"/>
      <c r="L281" s="78"/>
      <c r="M281" s="78"/>
    </row>
    <row r="282" spans="1:14" s="35" customFormat="1" x14ac:dyDescent="0.25">
      <c r="A282" s="66">
        <f t="shared" si="48"/>
        <v>4</v>
      </c>
      <c r="B282" s="67"/>
      <c r="C282" s="40" t="s">
        <v>262</v>
      </c>
      <c r="D282" s="52">
        <f>(124.01+4.775*1.54+2.425*1.54)*10.764</f>
        <v>1454.194872</v>
      </c>
      <c r="E282" s="40">
        <v>0</v>
      </c>
      <c r="F282" s="40">
        <f>D282*(($F$136)+1)+(IF(E282&lt;101,E282,IF(E282&lt;201,E282/2,IF(E282&lt;=301,E282/3,E282/4))))</f>
        <v>2181.292308</v>
      </c>
      <c r="G282" s="70"/>
      <c r="H282" s="71"/>
      <c r="I282" s="34"/>
      <c r="N282" s="34"/>
    </row>
    <row r="283" spans="1:14" s="35" customFormat="1" x14ac:dyDescent="0.25">
      <c r="A283" s="66">
        <f t="shared" si="48"/>
        <v>5</v>
      </c>
      <c r="B283" s="67"/>
      <c r="C283" s="40" t="s">
        <v>262</v>
      </c>
      <c r="D283" s="52">
        <f>(111.01+4.64*1.54+2.425*1.24)*10.764</f>
        <v>1304.1942264000002</v>
      </c>
      <c r="E283" s="40">
        <v>0</v>
      </c>
      <c r="F283" s="40">
        <f>D283*(($F$136)+1)+(IF(E283&lt;101,E283,IF(E283&lt;201,E283/2,IF(E283&lt;=301,E283/3,E283/4))))</f>
        <v>1956.2913396000004</v>
      </c>
      <c r="G283" s="72"/>
      <c r="H283" s="73"/>
      <c r="I283" s="34"/>
      <c r="N283" s="34"/>
    </row>
    <row r="284" spans="1:14" s="35" customFormat="1" x14ac:dyDescent="0.25">
      <c r="A284" s="87" t="s">
        <v>295</v>
      </c>
      <c r="B284" s="88"/>
      <c r="C284" s="88"/>
      <c r="D284" s="88"/>
      <c r="E284" s="88"/>
      <c r="F284" s="88"/>
      <c r="G284" s="88"/>
      <c r="H284" s="89"/>
      <c r="J284" s="34"/>
      <c r="N284" s="34"/>
    </row>
    <row r="285" spans="1:14" s="35" customFormat="1" x14ac:dyDescent="0.25">
      <c r="A285" s="66">
        <v>1</v>
      </c>
      <c r="B285" s="67"/>
      <c r="C285" s="40" t="s">
        <v>262</v>
      </c>
      <c r="D285" s="52">
        <f>(100.69+5.82*1.54+2.125*1.94)*10.764</f>
        <v>1224.6773292</v>
      </c>
      <c r="E285" s="40">
        <v>0</v>
      </c>
      <c r="F285" s="40">
        <f>D285*(($F$136)+1)+(IF(E285&lt;101,E285,IF(E285&lt;201,E285/2,IF(E285&lt;=301,E285/3,E285/4))))</f>
        <v>1837.0159938000002</v>
      </c>
      <c r="G285" s="68" t="str">
        <f>A284</f>
        <v>18th to 21st Floor</v>
      </c>
      <c r="H285" s="69"/>
      <c r="I285" s="34"/>
      <c r="N285" s="34"/>
    </row>
    <row r="286" spans="1:14" s="35" customFormat="1" x14ac:dyDescent="0.25">
      <c r="A286" s="66">
        <f t="shared" ref="A286:A289" si="49">A285+1</f>
        <v>2</v>
      </c>
      <c r="B286" s="67"/>
      <c r="C286" s="40" t="s">
        <v>262</v>
      </c>
      <c r="D286" s="52">
        <f>(118.22+4.775*1.54+2.425*1.54)*10.764</f>
        <v>1391.8713119999998</v>
      </c>
      <c r="E286" s="40">
        <v>0</v>
      </c>
      <c r="F286" s="40">
        <f>D286*(($F$136)+1)+(IF(E286&lt;101,E286,IF(E286&lt;201,E286/2,IF(E286&lt;=301,E286/3,E286/4))))</f>
        <v>2087.8069679999999</v>
      </c>
      <c r="G286" s="70"/>
      <c r="H286" s="71"/>
      <c r="I286" s="34"/>
      <c r="N286" s="34"/>
    </row>
    <row r="287" spans="1:14" s="35" customFormat="1" ht="15.75" customHeight="1" x14ac:dyDescent="0.25">
      <c r="A287" s="66">
        <f t="shared" si="49"/>
        <v>3</v>
      </c>
      <c r="B287" s="67"/>
      <c r="C287" s="40" t="s">
        <v>262</v>
      </c>
      <c r="D287" s="52">
        <f>(97.38+1.54*4.64)*10.764</f>
        <v>1125.1135583999999</v>
      </c>
      <c r="E287" s="40">
        <v>0</v>
      </c>
      <c r="F287" s="40">
        <f>D287*(($F$136)+1)+(IF(E287&lt;101,E287,IF(E287&lt;201,E287/2,IF(E287&lt;=301,E287/3,E287/4))))</f>
        <v>1687.6703375999998</v>
      </c>
      <c r="G287" s="70"/>
      <c r="H287" s="71"/>
      <c r="I287" s="34"/>
    </row>
    <row r="288" spans="1:14" s="35" customFormat="1" x14ac:dyDescent="0.25">
      <c r="A288" s="66">
        <f t="shared" si="49"/>
        <v>4</v>
      </c>
      <c r="B288" s="67"/>
      <c r="C288" s="40" t="s">
        <v>262</v>
      </c>
      <c r="D288" s="52">
        <f>(124.01+4.775*1.54+2.425*1.54)*10.764</f>
        <v>1454.194872</v>
      </c>
      <c r="E288" s="40">
        <v>0</v>
      </c>
      <c r="F288" s="40">
        <f>D288*(($F$136)+1)+(IF(E288&lt;101,E288,IF(E288&lt;201,E288/2,IF(E288&lt;=301,E288/3,E288/4))))</f>
        <v>2181.292308</v>
      </c>
      <c r="G288" s="70"/>
      <c r="H288" s="71"/>
      <c r="I288" s="34"/>
    </row>
    <row r="289" spans="1:14" s="35" customFormat="1" x14ac:dyDescent="0.25">
      <c r="A289" s="66">
        <f t="shared" si="49"/>
        <v>5</v>
      </c>
      <c r="B289" s="67"/>
      <c r="C289" s="40" t="s">
        <v>262</v>
      </c>
      <c r="D289" s="52">
        <f>(111.41+5.82*1.54+2.375*2.265)*10.764</f>
        <v>1353.5964116999999</v>
      </c>
      <c r="E289" s="40">
        <v>0</v>
      </c>
      <c r="F289" s="40">
        <f>D289*(($F$136)+1)+(IF(E289&lt;101,E289,IF(E289&lt;201,E289/2,IF(E289&lt;=301,E289/3,E289/4))))</f>
        <v>2030.3946175499998</v>
      </c>
      <c r="G289" s="72"/>
      <c r="H289" s="73"/>
      <c r="I289" s="34"/>
    </row>
    <row r="290" spans="1:14" s="35" customFormat="1" x14ac:dyDescent="0.25">
      <c r="A290" s="87" t="s">
        <v>296</v>
      </c>
      <c r="B290" s="88"/>
      <c r="C290" s="88"/>
      <c r="D290" s="88"/>
      <c r="E290" s="88"/>
      <c r="F290" s="88"/>
      <c r="G290" s="88"/>
      <c r="H290" s="89"/>
      <c r="J290" s="34"/>
      <c r="N290" s="34"/>
    </row>
    <row r="291" spans="1:14" s="35" customFormat="1" x14ac:dyDescent="0.25">
      <c r="A291" s="66">
        <v>1</v>
      </c>
      <c r="B291" s="67"/>
      <c r="C291" s="66" t="s">
        <v>297</v>
      </c>
      <c r="D291" s="74"/>
      <c r="E291" s="74"/>
      <c r="F291" s="67"/>
      <c r="G291" s="68" t="str">
        <f>A290</f>
        <v>22nd Floor (Part Terrace Area)</v>
      </c>
      <c r="H291" s="69"/>
      <c r="I291" s="34"/>
      <c r="N291" s="34"/>
    </row>
    <row r="292" spans="1:14" s="35" customFormat="1" x14ac:dyDescent="0.25">
      <c r="A292" s="66">
        <f t="shared" ref="A292:A295" si="50">A291+1</f>
        <v>2</v>
      </c>
      <c r="B292" s="67"/>
      <c r="C292" s="40" t="s">
        <v>262</v>
      </c>
      <c r="D292" s="52">
        <f>(118.22+4.775*1.54+2.425*1.54)*10.764</f>
        <v>1391.8713119999998</v>
      </c>
      <c r="E292" s="40">
        <v>0</v>
      </c>
      <c r="F292" s="40">
        <f>D292*(($F$136)+1)+(IF(E292&lt;101,E292,IF(E292&lt;201,E292/2,IF(E292&lt;=301,E292/3,E292/4))))</f>
        <v>2087.8069679999999</v>
      </c>
      <c r="G292" s="70"/>
      <c r="H292" s="71"/>
      <c r="I292" s="34"/>
      <c r="N292" s="34"/>
    </row>
    <row r="293" spans="1:14" s="35" customFormat="1" ht="15.75" customHeight="1" x14ac:dyDescent="0.25">
      <c r="A293" s="66">
        <f t="shared" si="50"/>
        <v>3</v>
      </c>
      <c r="B293" s="67"/>
      <c r="C293" s="40" t="s">
        <v>262</v>
      </c>
      <c r="D293" s="52">
        <f>(97.38+1.54*4.64)*10.764</f>
        <v>1125.1135583999999</v>
      </c>
      <c r="E293" s="40">
        <v>0</v>
      </c>
      <c r="F293" s="40">
        <f>D293*(($F$136)+1)+(IF(E293&lt;101,E293,IF(E293&lt;201,E293/2,IF(E293&lt;=301,E293/3,E293/4))))</f>
        <v>1687.6703375999998</v>
      </c>
      <c r="G293" s="70"/>
      <c r="H293" s="71"/>
      <c r="I293" s="34"/>
    </row>
    <row r="294" spans="1:14" s="35" customFormat="1" x14ac:dyDescent="0.25">
      <c r="A294" s="66">
        <f t="shared" si="50"/>
        <v>4</v>
      </c>
      <c r="B294" s="67"/>
      <c r="C294" s="40" t="s">
        <v>262</v>
      </c>
      <c r="D294" s="52">
        <f>(124.01+4.775*1.54+2.425*1.54)*10.764</f>
        <v>1454.194872</v>
      </c>
      <c r="E294" s="40">
        <v>0</v>
      </c>
      <c r="F294" s="40">
        <f>D294*(($F$136)+1)+(IF(E294&lt;101,E294,IF(E294&lt;201,E294/2,IF(E294&lt;=301,E294/3,E294/4))))</f>
        <v>2181.292308</v>
      </c>
      <c r="G294" s="70"/>
      <c r="H294" s="71"/>
      <c r="I294" s="34"/>
    </row>
    <row r="295" spans="1:14" s="35" customFormat="1" x14ac:dyDescent="0.25">
      <c r="A295" s="66">
        <f t="shared" si="50"/>
        <v>5</v>
      </c>
      <c r="B295" s="67"/>
      <c r="C295" s="40" t="s">
        <v>262</v>
      </c>
      <c r="D295" s="52">
        <f>(111.41+5.82*1.54+2.375*2.265)*10.764</f>
        <v>1353.5964116999999</v>
      </c>
      <c r="E295" s="40">
        <v>0</v>
      </c>
      <c r="F295" s="40">
        <f>D295*(($F$136)+1)+(IF(E295&lt;101,E295,IF(E295&lt;201,E295/2,IF(E295&lt;=301,E295/3,E295/4))))</f>
        <v>2030.3946175499998</v>
      </c>
      <c r="G295" s="72"/>
      <c r="H295" s="73"/>
      <c r="I295" s="34"/>
    </row>
    <row r="296" spans="1:14" x14ac:dyDescent="0.25">
      <c r="A296" s="210" t="s">
        <v>68</v>
      </c>
      <c r="B296" s="210"/>
      <c r="C296" s="210"/>
      <c r="D296" s="210"/>
      <c r="E296" s="210"/>
      <c r="F296" s="210"/>
      <c r="G296" s="210"/>
      <c r="H296" s="210"/>
      <c r="I296" s="33"/>
      <c r="J296" s="33"/>
    </row>
    <row r="297" spans="1:14" x14ac:dyDescent="0.25">
      <c r="A297" s="43" t="s">
        <v>155</v>
      </c>
      <c r="B297" s="163" t="s">
        <v>289</v>
      </c>
      <c r="C297" s="164"/>
      <c r="D297" s="164"/>
      <c r="E297" s="164"/>
      <c r="F297" s="164"/>
      <c r="G297" s="164"/>
      <c r="H297" s="165"/>
      <c r="I297" s="33"/>
      <c r="J297" s="33"/>
    </row>
    <row r="298" spans="1:14" ht="15.75" customHeight="1" x14ac:dyDescent="0.25">
      <c r="A298" s="43" t="s">
        <v>155</v>
      </c>
      <c r="B298" s="163" t="str">
        <f>(IF(F135="Saleable area Loading :","We have considered Saleable area of Flats as per our Calculation.","We considered Saleable area of Flat as per Builder area Sheet."))</f>
        <v>We have considered Saleable area of Flats as per our Calculation.</v>
      </c>
      <c r="C298" s="164"/>
      <c r="D298" s="164"/>
      <c r="E298" s="164"/>
      <c r="F298" s="164"/>
      <c r="G298" s="164"/>
      <c r="H298" s="165"/>
      <c r="I298" s="33"/>
      <c r="J298" s="33"/>
    </row>
    <row r="299" spans="1:14" x14ac:dyDescent="0.25">
      <c r="A299" s="43" t="s">
        <v>155</v>
      </c>
      <c r="B299" s="163" t="str">
        <f>(IF(F127="Saleable area Loading :","We have considered Saleable area of Commercial as per our Calculation.","We considered Saleable area of Commercial as per Builder area Sheet."))</f>
        <v>We have considered Saleable area of Commercial as per our Calculation.</v>
      </c>
      <c r="C299" s="164"/>
      <c r="D299" s="164"/>
      <c r="E299" s="164"/>
      <c r="F299" s="164"/>
      <c r="G299" s="164"/>
      <c r="H299" s="165"/>
      <c r="I299" s="33"/>
      <c r="J299" s="33"/>
    </row>
    <row r="300" spans="1:14" x14ac:dyDescent="0.25">
      <c r="A300" s="43" t="s">
        <v>155</v>
      </c>
      <c r="B300" s="75" t="s">
        <v>125</v>
      </c>
      <c r="C300" s="76"/>
      <c r="D300" s="76"/>
      <c r="E300" s="76"/>
      <c r="F300" s="76"/>
      <c r="G300" s="76"/>
      <c r="H300" s="77"/>
      <c r="I300" s="33"/>
      <c r="J300" s="33"/>
    </row>
    <row r="301" spans="1:14" x14ac:dyDescent="0.25">
      <c r="A301" s="43" t="s">
        <v>155</v>
      </c>
      <c r="B301" s="75" t="s">
        <v>276</v>
      </c>
      <c r="C301" s="76"/>
      <c r="D301" s="76"/>
      <c r="E301" s="76"/>
      <c r="F301" s="76"/>
      <c r="G301" s="76"/>
      <c r="H301" s="77"/>
      <c r="I301" s="33"/>
      <c r="J301" s="33"/>
    </row>
    <row r="302" spans="1:14" x14ac:dyDescent="0.25">
      <c r="A302" s="43" t="s">
        <v>155</v>
      </c>
      <c r="B302" s="75" t="s">
        <v>154</v>
      </c>
      <c r="C302" s="76"/>
      <c r="D302" s="76"/>
      <c r="E302" s="76"/>
      <c r="F302" s="76"/>
      <c r="G302" s="76"/>
      <c r="H302" s="77"/>
      <c r="I302" s="33"/>
      <c r="J302" s="33"/>
    </row>
    <row r="303" spans="1:14" x14ac:dyDescent="0.25">
      <c r="A303" s="43" t="s">
        <v>155</v>
      </c>
      <c r="B303" s="75" t="s">
        <v>126</v>
      </c>
      <c r="C303" s="76"/>
      <c r="D303" s="76"/>
      <c r="E303" s="76"/>
      <c r="F303" s="76"/>
      <c r="G303" s="76"/>
      <c r="H303" s="77"/>
      <c r="I303" s="33"/>
      <c r="J303" s="33"/>
    </row>
    <row r="304" spans="1:14" ht="33.6" customHeight="1" x14ac:dyDescent="0.25">
      <c r="A304" s="43" t="s">
        <v>155</v>
      </c>
      <c r="B304" s="75" t="s">
        <v>156</v>
      </c>
      <c r="C304" s="76"/>
      <c r="D304" s="76"/>
      <c r="E304" s="76"/>
      <c r="F304" s="76"/>
      <c r="G304" s="76"/>
      <c r="H304" s="77"/>
      <c r="I304" s="33"/>
      <c r="J304" s="33"/>
    </row>
    <row r="305" spans="1:10" x14ac:dyDescent="0.25">
      <c r="A305" s="43" t="s">
        <v>155</v>
      </c>
      <c r="B305" s="75" t="s">
        <v>127</v>
      </c>
      <c r="C305" s="76"/>
      <c r="D305" s="76"/>
      <c r="E305" s="76"/>
      <c r="F305" s="76"/>
      <c r="G305" s="76"/>
      <c r="H305" s="77"/>
      <c r="I305" s="33"/>
      <c r="J305" s="33"/>
    </row>
    <row r="306" spans="1:10" x14ac:dyDescent="0.25">
      <c r="A306" s="43" t="s">
        <v>155</v>
      </c>
      <c r="B306" s="75" t="s">
        <v>281</v>
      </c>
      <c r="C306" s="76"/>
      <c r="D306" s="76"/>
      <c r="E306" s="76"/>
      <c r="F306" s="76"/>
      <c r="G306" s="76"/>
      <c r="H306" s="77"/>
      <c r="I306" s="33"/>
      <c r="J306" s="33"/>
    </row>
    <row r="307" spans="1:10" hidden="1" x14ac:dyDescent="0.25">
      <c r="A307" s="43" t="s">
        <v>155</v>
      </c>
      <c r="B307" s="160" t="s">
        <v>180</v>
      </c>
      <c r="C307" s="161"/>
      <c r="D307" s="161"/>
      <c r="E307" s="161"/>
      <c r="F307" s="161"/>
      <c r="G307" s="161"/>
      <c r="H307" s="162"/>
      <c r="I307" s="33"/>
      <c r="J307" s="33"/>
    </row>
    <row r="308" spans="1:10" x14ac:dyDescent="0.25">
      <c r="A308" s="43" t="s">
        <v>155</v>
      </c>
      <c r="B308" s="75" t="s">
        <v>287</v>
      </c>
      <c r="C308" s="76"/>
      <c r="D308" s="76"/>
      <c r="E308" s="76"/>
      <c r="F308" s="76"/>
      <c r="G308" s="76"/>
      <c r="H308" s="77"/>
      <c r="I308" s="33"/>
      <c r="J308" s="33"/>
    </row>
    <row r="309" spans="1:10" x14ac:dyDescent="0.25">
      <c r="A309" s="43" t="s">
        <v>155</v>
      </c>
      <c r="B309" s="75" t="s">
        <v>292</v>
      </c>
      <c r="C309" s="76"/>
      <c r="D309" s="76"/>
      <c r="E309" s="76"/>
      <c r="F309" s="76"/>
      <c r="G309" s="76"/>
      <c r="H309" s="77"/>
      <c r="I309" s="33"/>
      <c r="J309" s="33"/>
    </row>
    <row r="310" spans="1:10" x14ac:dyDescent="0.25">
      <c r="A310" s="43" t="s">
        <v>155</v>
      </c>
      <c r="B310" s="75" t="s">
        <v>299</v>
      </c>
      <c r="C310" s="76"/>
      <c r="D310" s="76"/>
      <c r="E310" s="76"/>
      <c r="F310" s="76"/>
      <c r="G310" s="76"/>
      <c r="H310" s="77"/>
      <c r="I310" s="33"/>
      <c r="J310" s="33"/>
    </row>
    <row r="311" spans="1:10" ht="31.5" hidden="1" customHeight="1" x14ac:dyDescent="0.25">
      <c r="A311" s="43" t="s">
        <v>155</v>
      </c>
      <c r="B311" s="75" t="s">
        <v>303</v>
      </c>
      <c r="C311" s="76"/>
      <c r="D311" s="76"/>
      <c r="E311" s="76"/>
      <c r="F311" s="76"/>
      <c r="G311" s="76"/>
      <c r="H311" s="77"/>
      <c r="I311" s="33"/>
      <c r="J311" s="33"/>
    </row>
    <row r="312" spans="1:10" x14ac:dyDescent="0.25">
      <c r="A312" s="142" t="s">
        <v>61</v>
      </c>
      <c r="B312" s="142"/>
      <c r="C312" s="142"/>
      <c r="D312" s="142"/>
      <c r="E312" s="142"/>
      <c r="F312" s="142"/>
      <c r="G312" s="142"/>
      <c r="H312" s="142"/>
    </row>
    <row r="313" spans="1:10" ht="15" customHeight="1" x14ac:dyDescent="0.25">
      <c r="A313" s="125" t="s">
        <v>62</v>
      </c>
      <c r="B313" s="125"/>
      <c r="C313" s="125"/>
      <c r="D313" s="125"/>
      <c r="E313" s="125"/>
      <c r="F313" s="125"/>
      <c r="G313" s="125"/>
      <c r="H313" s="125"/>
    </row>
    <row r="314" spans="1:10" x14ac:dyDescent="0.25">
      <c r="A314" s="150" t="s">
        <v>63</v>
      </c>
      <c r="B314" s="150"/>
      <c r="C314" s="150"/>
      <c r="D314" s="150"/>
      <c r="E314" s="150"/>
      <c r="F314" s="150"/>
      <c r="G314" s="150"/>
      <c r="H314" s="150"/>
    </row>
    <row r="315" spans="1:10" x14ac:dyDescent="0.25">
      <c r="A315" s="125" t="s">
        <v>64</v>
      </c>
      <c r="B315" s="125"/>
      <c r="C315" s="125"/>
      <c r="D315" s="125"/>
      <c r="E315" s="125"/>
      <c r="F315" s="125"/>
      <c r="G315" s="125"/>
      <c r="H315" s="125"/>
    </row>
    <row r="316" spans="1:10" x14ac:dyDescent="0.25">
      <c r="A316" s="125" t="s">
        <v>65</v>
      </c>
      <c r="B316" s="125"/>
      <c r="C316" s="125"/>
      <c r="D316" s="125"/>
      <c r="E316" s="125"/>
      <c r="F316" s="125"/>
      <c r="G316" s="125"/>
      <c r="H316" s="125"/>
    </row>
    <row r="317" spans="1:10" hidden="1" x14ac:dyDescent="0.25">
      <c r="A317" s="125" t="s">
        <v>128</v>
      </c>
      <c r="B317" s="125"/>
      <c r="C317" s="125"/>
      <c r="D317" s="125"/>
      <c r="E317" s="125"/>
      <c r="F317" s="125"/>
      <c r="G317" s="125"/>
      <c r="H317" s="125"/>
    </row>
    <row r="318" spans="1:10" hidden="1" x14ac:dyDescent="0.25">
      <c r="A318" s="132" t="s">
        <v>129</v>
      </c>
      <c r="B318" s="132"/>
      <c r="C318" s="132"/>
      <c r="D318" s="132"/>
      <c r="E318" s="132"/>
      <c r="F318" s="132"/>
      <c r="G318" s="132"/>
      <c r="H318" s="132"/>
    </row>
    <row r="319" spans="1:10" x14ac:dyDescent="0.25">
      <c r="A319" s="176" t="s">
        <v>77</v>
      </c>
      <c r="B319" s="176"/>
      <c r="C319" s="176" t="s">
        <v>307</v>
      </c>
      <c r="D319" s="176"/>
      <c r="E319" s="176" t="s">
        <v>107</v>
      </c>
      <c r="F319" s="176"/>
      <c r="G319" s="176" t="s">
        <v>306</v>
      </c>
      <c r="H319" s="176"/>
    </row>
    <row r="320" spans="1:10" x14ac:dyDescent="0.25">
      <c r="A320" s="175" t="s">
        <v>79</v>
      </c>
      <c r="B320" s="175"/>
      <c r="C320" s="175"/>
      <c r="D320" s="175"/>
      <c r="E320" s="175"/>
      <c r="F320" s="175"/>
      <c r="G320" s="175"/>
      <c r="H320" s="175"/>
    </row>
    <row r="321" spans="1:8" x14ac:dyDescent="0.25">
      <c r="A321" s="175"/>
      <c r="B321" s="175"/>
      <c r="C321" s="175"/>
      <c r="D321" s="175"/>
      <c r="E321" s="175"/>
      <c r="F321" s="175"/>
      <c r="G321" s="175"/>
      <c r="H321" s="175"/>
    </row>
    <row r="322" spans="1:8" x14ac:dyDescent="0.25">
      <c r="A322" s="175"/>
      <c r="B322" s="175"/>
      <c r="C322" s="175"/>
      <c r="D322" s="175"/>
      <c r="E322" s="175"/>
      <c r="F322" s="175"/>
      <c r="G322" s="175"/>
      <c r="H322" s="175"/>
    </row>
    <row r="323" spans="1:8" x14ac:dyDescent="0.25">
      <c r="A323" s="175"/>
      <c r="B323" s="175"/>
      <c r="C323" s="175"/>
      <c r="D323" s="175"/>
      <c r="E323" s="175"/>
      <c r="F323" s="175"/>
      <c r="G323" s="175"/>
      <c r="H323" s="175"/>
    </row>
    <row r="324" spans="1:8" x14ac:dyDescent="0.25">
      <c r="A324" s="36" t="s">
        <v>66</v>
      </c>
      <c r="B324" s="37"/>
      <c r="C324" s="37"/>
      <c r="D324" s="36" t="str">
        <f>E8</f>
        <v>Empress Hill A B C And D Wings</v>
      </c>
      <c r="F324" s="37"/>
      <c r="G324" s="37"/>
      <c r="H324" s="37"/>
    </row>
    <row r="325" spans="1:8" x14ac:dyDescent="0.25">
      <c r="A325" s="37"/>
      <c r="B325" s="37"/>
      <c r="C325" s="37"/>
      <c r="D325" s="37"/>
      <c r="E325" s="37"/>
      <c r="F325" s="37"/>
      <c r="G325" s="37"/>
      <c r="H325" s="37"/>
    </row>
    <row r="326" spans="1:8" x14ac:dyDescent="0.25">
      <c r="A326" s="37"/>
      <c r="B326" s="37"/>
      <c r="C326" s="37"/>
      <c r="D326" s="37"/>
      <c r="E326" s="37"/>
      <c r="F326" s="37"/>
      <c r="G326" s="37"/>
      <c r="H326" s="37"/>
    </row>
    <row r="366" spans="1:1" x14ac:dyDescent="0.25">
      <c r="A366" s="39" t="s">
        <v>167</v>
      </c>
    </row>
    <row r="408" spans="1:1" x14ac:dyDescent="0.25">
      <c r="A408" s="39" t="s">
        <v>67</v>
      </c>
    </row>
  </sheetData>
  <mergeCells count="637">
    <mergeCell ref="A51:B52"/>
    <mergeCell ref="C51:E51"/>
    <mergeCell ref="G51:H51"/>
    <mergeCell ref="C52:E52"/>
    <mergeCell ref="G52:H52"/>
    <mergeCell ref="B308:H308"/>
    <mergeCell ref="B309:H309"/>
    <mergeCell ref="L162:M162"/>
    <mergeCell ref="L166:M166"/>
    <mergeCell ref="A259:B259"/>
    <mergeCell ref="L240:M240"/>
    <mergeCell ref="G255:H259"/>
    <mergeCell ref="A145:H145"/>
    <mergeCell ref="A146:B146"/>
    <mergeCell ref="A252:H252"/>
    <mergeCell ref="A253:H253"/>
    <mergeCell ref="A216:H216"/>
    <mergeCell ref="A217:B217"/>
    <mergeCell ref="G217:H220"/>
    <mergeCell ref="L198:M198"/>
    <mergeCell ref="A218:B218"/>
    <mergeCell ref="L199:M199"/>
    <mergeCell ref="L160:M160"/>
    <mergeCell ref="A180:B180"/>
    <mergeCell ref="A159:B159"/>
    <mergeCell ref="L145:M145"/>
    <mergeCell ref="A165:H165"/>
    <mergeCell ref="A166:B166"/>
    <mergeCell ref="G166:H169"/>
    <mergeCell ref="L132:M132"/>
    <mergeCell ref="A147:B147"/>
    <mergeCell ref="L133:M133"/>
    <mergeCell ref="A148:B148"/>
    <mergeCell ref="L134:M134"/>
    <mergeCell ref="A149:B149"/>
    <mergeCell ref="L135:M135"/>
    <mergeCell ref="G146:H149"/>
    <mergeCell ref="L153:M153"/>
    <mergeCell ref="G156:H159"/>
    <mergeCell ref="L163:M163"/>
    <mergeCell ref="A139:H139"/>
    <mergeCell ref="L137:M137"/>
    <mergeCell ref="L152:M152"/>
    <mergeCell ref="A168:B168"/>
    <mergeCell ref="L154:M154"/>
    <mergeCell ref="A169:B169"/>
    <mergeCell ref="L155:M155"/>
    <mergeCell ref="A160:H160"/>
    <mergeCell ref="A234:B234"/>
    <mergeCell ref="L236:M236"/>
    <mergeCell ref="L239:M239"/>
    <mergeCell ref="A213:H213"/>
    <mergeCell ref="A214:H214"/>
    <mergeCell ref="A215:H215"/>
    <mergeCell ref="L186:M186"/>
    <mergeCell ref="A201:B201"/>
    <mergeCell ref="L187:M187"/>
    <mergeCell ref="A202:B202"/>
    <mergeCell ref="L188:M188"/>
    <mergeCell ref="A229:B229"/>
    <mergeCell ref="L215:M215"/>
    <mergeCell ref="L218:M218"/>
    <mergeCell ref="A55:B56"/>
    <mergeCell ref="C55:E55"/>
    <mergeCell ref="G55:H55"/>
    <mergeCell ref="C56:E56"/>
    <mergeCell ref="G56:H56"/>
    <mergeCell ref="A185:B185"/>
    <mergeCell ref="L165:M165"/>
    <mergeCell ref="L175:M175"/>
    <mergeCell ref="A190:B190"/>
    <mergeCell ref="L176:M176"/>
    <mergeCell ref="L185:M185"/>
    <mergeCell ref="A182:B182"/>
    <mergeCell ref="G179:H182"/>
    <mergeCell ref="A181:B181"/>
    <mergeCell ref="A143:B143"/>
    <mergeCell ref="L138:M138"/>
    <mergeCell ref="L139:M139"/>
    <mergeCell ref="L140:M140"/>
    <mergeCell ref="A155:H155"/>
    <mergeCell ref="L142:M142"/>
    <mergeCell ref="A157:B157"/>
    <mergeCell ref="L143:M143"/>
    <mergeCell ref="A158:B158"/>
    <mergeCell ref="L144:M144"/>
    <mergeCell ref="B301:H301"/>
    <mergeCell ref="A296:H296"/>
    <mergeCell ref="L244:M244"/>
    <mergeCell ref="L245:M245"/>
    <mergeCell ref="L278:M278"/>
    <mergeCell ref="L279:M279"/>
    <mergeCell ref="A262:B262"/>
    <mergeCell ref="B297:H297"/>
    <mergeCell ref="B298:H298"/>
    <mergeCell ref="A256:B256"/>
    <mergeCell ref="A257:B257"/>
    <mergeCell ref="L273:M273"/>
    <mergeCell ref="A288:B288"/>
    <mergeCell ref="L274:M274"/>
    <mergeCell ref="A289:B289"/>
    <mergeCell ref="L275:M275"/>
    <mergeCell ref="A266:H266"/>
    <mergeCell ref="A272:H272"/>
    <mergeCell ref="A273:B273"/>
    <mergeCell ref="G273:H277"/>
    <mergeCell ref="L259:M259"/>
    <mergeCell ref="A274:B274"/>
    <mergeCell ref="L260:M260"/>
    <mergeCell ref="A251:H251"/>
    <mergeCell ref="A39:B39"/>
    <mergeCell ref="C39:H39"/>
    <mergeCell ref="B304:H304"/>
    <mergeCell ref="A48:B48"/>
    <mergeCell ref="C48:H48"/>
    <mergeCell ref="B302:H302"/>
    <mergeCell ref="F100:H100"/>
    <mergeCell ref="A100:E100"/>
    <mergeCell ref="D127:D128"/>
    <mergeCell ref="A102:E102"/>
    <mergeCell ref="A121:B121"/>
    <mergeCell ref="A101:E101"/>
    <mergeCell ref="A98:E98"/>
    <mergeCell ref="F102:H102"/>
    <mergeCell ref="C121:D121"/>
    <mergeCell ref="E121:F121"/>
    <mergeCell ref="G121:H121"/>
    <mergeCell ref="C122:D122"/>
    <mergeCell ref="A144:B144"/>
    <mergeCell ref="A264:B264"/>
    <mergeCell ref="A265:B265"/>
    <mergeCell ref="A129:H129"/>
    <mergeCell ref="E127:E128"/>
    <mergeCell ref="B300:H300"/>
    <mergeCell ref="G127:H128"/>
    <mergeCell ref="A132:B132"/>
    <mergeCell ref="L251:M251"/>
    <mergeCell ref="L167:M167"/>
    <mergeCell ref="A187:B187"/>
    <mergeCell ref="L168:M168"/>
    <mergeCell ref="A221:H221"/>
    <mergeCell ref="A222:B222"/>
    <mergeCell ref="G222:H225"/>
    <mergeCell ref="L203:M203"/>
    <mergeCell ref="A223:B223"/>
    <mergeCell ref="L204:M204"/>
    <mergeCell ref="L161:M161"/>
    <mergeCell ref="L243:M243"/>
    <mergeCell ref="G184:H187"/>
    <mergeCell ref="A241:H241"/>
    <mergeCell ref="A242:B242"/>
    <mergeCell ref="G242:H245"/>
    <mergeCell ref="A184:B184"/>
    <mergeCell ref="A198:H198"/>
    <mergeCell ref="A199:B199"/>
    <mergeCell ref="C199:F199"/>
    <mergeCell ref="L242:M242"/>
    <mergeCell ref="A200:B200"/>
    <mergeCell ref="L129:M129"/>
    <mergeCell ref="A138:H138"/>
    <mergeCell ref="C114:D114"/>
    <mergeCell ref="E114:F114"/>
    <mergeCell ref="A83:B83"/>
    <mergeCell ref="A80:B80"/>
    <mergeCell ref="A156:B156"/>
    <mergeCell ref="L281:M281"/>
    <mergeCell ref="L130:M130"/>
    <mergeCell ref="C142:F142"/>
    <mergeCell ref="G141:H144"/>
    <mergeCell ref="A175:H175"/>
    <mergeCell ref="A176:H176"/>
    <mergeCell ref="A177:H177"/>
    <mergeCell ref="A178:H178"/>
    <mergeCell ref="A137:H137"/>
    <mergeCell ref="A140:H140"/>
    <mergeCell ref="A141:B141"/>
    <mergeCell ref="L127:M127"/>
    <mergeCell ref="A142:B142"/>
    <mergeCell ref="L128:M128"/>
    <mergeCell ref="A226:H226"/>
    <mergeCell ref="A227:B227"/>
    <mergeCell ref="G227:H230"/>
    <mergeCell ref="A44:D44"/>
    <mergeCell ref="F36:H36"/>
    <mergeCell ref="A46:D46"/>
    <mergeCell ref="A47:H47"/>
    <mergeCell ref="D61:H61"/>
    <mergeCell ref="A61:C61"/>
    <mergeCell ref="G50:H50"/>
    <mergeCell ref="L280:M280"/>
    <mergeCell ref="L277:M277"/>
    <mergeCell ref="A38:B38"/>
    <mergeCell ref="C38:H38"/>
    <mergeCell ref="A45:D45"/>
    <mergeCell ref="L119:M119"/>
    <mergeCell ref="L118:M118"/>
    <mergeCell ref="L117:M117"/>
    <mergeCell ref="L116:M116"/>
    <mergeCell ref="A81:B81"/>
    <mergeCell ref="C119:D119"/>
    <mergeCell ref="E119:F119"/>
    <mergeCell ref="G119:H119"/>
    <mergeCell ref="F105:H105"/>
    <mergeCell ref="G74:H83"/>
    <mergeCell ref="A82:B82"/>
    <mergeCell ref="A109:E109"/>
    <mergeCell ref="C33:E33"/>
    <mergeCell ref="A34:B34"/>
    <mergeCell ref="C34:E34"/>
    <mergeCell ref="F33:H33"/>
    <mergeCell ref="C50:E50"/>
    <mergeCell ref="F34:H34"/>
    <mergeCell ref="E42:H42"/>
    <mergeCell ref="A65:C65"/>
    <mergeCell ref="D65:H65"/>
    <mergeCell ref="A37:H37"/>
    <mergeCell ref="A36:B36"/>
    <mergeCell ref="C36:E36"/>
    <mergeCell ref="A41:D41"/>
    <mergeCell ref="E41:H41"/>
    <mergeCell ref="A40:H40"/>
    <mergeCell ref="A63:C63"/>
    <mergeCell ref="A64:C64"/>
    <mergeCell ref="D63:H63"/>
    <mergeCell ref="D64:H64"/>
    <mergeCell ref="A43:D43"/>
    <mergeCell ref="E43:H43"/>
    <mergeCell ref="E44:H44"/>
    <mergeCell ref="E45:H45"/>
    <mergeCell ref="E46:H46"/>
    <mergeCell ref="E26:H26"/>
    <mergeCell ref="A28:D28"/>
    <mergeCell ref="E28:H28"/>
    <mergeCell ref="A25:D25"/>
    <mergeCell ref="E25:H25"/>
    <mergeCell ref="A24:D24"/>
    <mergeCell ref="E24:H24"/>
    <mergeCell ref="A53:B54"/>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E19:F19"/>
    <mergeCell ref="G19:H19"/>
    <mergeCell ref="A20:B20"/>
    <mergeCell ref="C20:D20"/>
    <mergeCell ref="E20:F20"/>
    <mergeCell ref="G20:H20"/>
    <mergeCell ref="A21:B21"/>
    <mergeCell ref="C21:D21"/>
    <mergeCell ref="E21:F21"/>
    <mergeCell ref="G21:H21"/>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A18:B18"/>
    <mergeCell ref="C18:D18"/>
    <mergeCell ref="E18:F18"/>
    <mergeCell ref="G18:H18"/>
    <mergeCell ref="A19:B19"/>
    <mergeCell ref="C19:D19"/>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78:B78"/>
    <mergeCell ref="E122:F122"/>
    <mergeCell ref="G122:H122"/>
    <mergeCell ref="A103:E103"/>
    <mergeCell ref="F98:H98"/>
    <mergeCell ref="F103:H103"/>
    <mergeCell ref="F99:H99"/>
    <mergeCell ref="C72:H72"/>
    <mergeCell ref="A75:B75"/>
    <mergeCell ref="A77:B77"/>
    <mergeCell ref="E73:F73"/>
    <mergeCell ref="A74:B74"/>
    <mergeCell ref="G73:H73"/>
    <mergeCell ref="A99:E99"/>
    <mergeCell ref="A104:E104"/>
    <mergeCell ref="F104:H104"/>
    <mergeCell ref="A105:E105"/>
    <mergeCell ref="A107:E107"/>
    <mergeCell ref="F101:H101"/>
    <mergeCell ref="E74:F83"/>
    <mergeCell ref="G115:H115"/>
    <mergeCell ref="A116:B116"/>
    <mergeCell ref="C116:D116"/>
    <mergeCell ref="E116:F116"/>
    <mergeCell ref="A320:H323"/>
    <mergeCell ref="A319:B319"/>
    <mergeCell ref="E319:F319"/>
    <mergeCell ref="C319:D319"/>
    <mergeCell ref="G319:H319"/>
    <mergeCell ref="A112:H112"/>
    <mergeCell ref="A110:E110"/>
    <mergeCell ref="F110:H110"/>
    <mergeCell ref="A111:E111"/>
    <mergeCell ref="F111:H111"/>
    <mergeCell ref="A119:B119"/>
    <mergeCell ref="A114:B114"/>
    <mergeCell ref="A315:H315"/>
    <mergeCell ref="A117:H117"/>
    <mergeCell ref="A318:H318"/>
    <mergeCell ref="A316:H316"/>
    <mergeCell ref="A312:H312"/>
    <mergeCell ref="G118:H118"/>
    <mergeCell ref="C127:C128"/>
    <mergeCell ref="A135:A136"/>
    <mergeCell ref="G123:H123"/>
    <mergeCell ref="C115:D115"/>
    <mergeCell ref="E115:F115"/>
    <mergeCell ref="G116:H116"/>
    <mergeCell ref="A106:E106"/>
    <mergeCell ref="A134:H134"/>
    <mergeCell ref="G114:H114"/>
    <mergeCell ref="F106:H106"/>
    <mergeCell ref="C113:D113"/>
    <mergeCell ref="A152:B152"/>
    <mergeCell ref="A153:B153"/>
    <mergeCell ref="A154:B154"/>
    <mergeCell ref="C152:F152"/>
    <mergeCell ref="G151:H154"/>
    <mergeCell ref="C124:D124"/>
    <mergeCell ref="E124:F124"/>
    <mergeCell ref="G124:H124"/>
    <mergeCell ref="B127:B128"/>
    <mergeCell ref="A127:A128"/>
    <mergeCell ref="C135:C136"/>
    <mergeCell ref="B135:B136"/>
    <mergeCell ref="A123:B123"/>
    <mergeCell ref="A124:B124"/>
    <mergeCell ref="A120:B120"/>
    <mergeCell ref="C120:D120"/>
    <mergeCell ref="E120:F120"/>
    <mergeCell ref="G120:H120"/>
    <mergeCell ref="A133:B133"/>
    <mergeCell ref="A317:H317"/>
    <mergeCell ref="A314:H314"/>
    <mergeCell ref="A118:B118"/>
    <mergeCell ref="D135:D136"/>
    <mergeCell ref="E135:E136"/>
    <mergeCell ref="G135:H136"/>
    <mergeCell ref="A122:B122"/>
    <mergeCell ref="C123:D123"/>
    <mergeCell ref="A130:B130"/>
    <mergeCell ref="B307:H307"/>
    <mergeCell ref="A186:B186"/>
    <mergeCell ref="A260:H260"/>
    <mergeCell ref="A261:B261"/>
    <mergeCell ref="G261:H265"/>
    <mergeCell ref="A150:H150"/>
    <mergeCell ref="A151:B151"/>
    <mergeCell ref="A313:H313"/>
    <mergeCell ref="B306:H306"/>
    <mergeCell ref="G132:H132"/>
    <mergeCell ref="G130:H130"/>
    <mergeCell ref="G131:H131"/>
    <mergeCell ref="G133:H133"/>
    <mergeCell ref="B303:H303"/>
    <mergeCell ref="B299:H299"/>
    <mergeCell ref="A42:D42"/>
    <mergeCell ref="A79:B79"/>
    <mergeCell ref="A49:B49"/>
    <mergeCell ref="C49:E49"/>
    <mergeCell ref="C54:E54"/>
    <mergeCell ref="G54:H54"/>
    <mergeCell ref="G49:H49"/>
    <mergeCell ref="G53:H53"/>
    <mergeCell ref="A50:B50"/>
    <mergeCell ref="A58:H58"/>
    <mergeCell ref="A59:C59"/>
    <mergeCell ref="A60:C60"/>
    <mergeCell ref="D60:H60"/>
    <mergeCell ref="G57:H57"/>
    <mergeCell ref="C53:E53"/>
    <mergeCell ref="A62:C62"/>
    <mergeCell ref="D62:H62"/>
    <mergeCell ref="A66:C66"/>
    <mergeCell ref="D66:H66"/>
    <mergeCell ref="A69:C69"/>
    <mergeCell ref="A76:B76"/>
    <mergeCell ref="A72:B72"/>
    <mergeCell ref="A70:B70"/>
    <mergeCell ref="C70:H70"/>
    <mergeCell ref="I14:P14"/>
    <mergeCell ref="F109:H109"/>
    <mergeCell ref="F107:H107"/>
    <mergeCell ref="A126:H126"/>
    <mergeCell ref="G113:H113"/>
    <mergeCell ref="A108:E108"/>
    <mergeCell ref="A131:B131"/>
    <mergeCell ref="A57:B57"/>
    <mergeCell ref="C57:E57"/>
    <mergeCell ref="D59:H59"/>
    <mergeCell ref="F108:H108"/>
    <mergeCell ref="E113:F113"/>
    <mergeCell ref="A113:B113"/>
    <mergeCell ref="A115:B115"/>
    <mergeCell ref="C118:D118"/>
    <mergeCell ref="D67:H67"/>
    <mergeCell ref="A68:C68"/>
    <mergeCell ref="D69:H69"/>
    <mergeCell ref="A67:C67"/>
    <mergeCell ref="D68:H68"/>
    <mergeCell ref="A73:B73"/>
    <mergeCell ref="E123:F123"/>
    <mergeCell ref="E118:F118"/>
    <mergeCell ref="A125:H125"/>
    <mergeCell ref="A161:B161"/>
    <mergeCell ref="G161:H164"/>
    <mergeCell ref="G194:H197"/>
    <mergeCell ref="A183:H183"/>
    <mergeCell ref="A167:B167"/>
    <mergeCell ref="L223:M223"/>
    <mergeCell ref="A230:B230"/>
    <mergeCell ref="L216:M216"/>
    <mergeCell ref="C228:F228"/>
    <mergeCell ref="A228:B228"/>
    <mergeCell ref="L214:M214"/>
    <mergeCell ref="L213:M213"/>
    <mergeCell ref="A224:B224"/>
    <mergeCell ref="L205:M205"/>
    <mergeCell ref="A225:B225"/>
    <mergeCell ref="L206:M206"/>
    <mergeCell ref="L178:M178"/>
    <mergeCell ref="C189:F189"/>
    <mergeCell ref="L193:M193"/>
    <mergeCell ref="A192:B192"/>
    <mergeCell ref="A170:H170"/>
    <mergeCell ref="L170:M170"/>
    <mergeCell ref="A171:B171"/>
    <mergeCell ref="G171:H174"/>
    <mergeCell ref="L147:M147"/>
    <mergeCell ref="A162:B162"/>
    <mergeCell ref="L148:M148"/>
    <mergeCell ref="A163:B163"/>
    <mergeCell ref="L149:M149"/>
    <mergeCell ref="A164:B164"/>
    <mergeCell ref="L150:M150"/>
    <mergeCell ref="C162:F162"/>
    <mergeCell ref="G267:H271"/>
    <mergeCell ref="L253:M253"/>
    <mergeCell ref="A268:B268"/>
    <mergeCell ref="L254:M254"/>
    <mergeCell ref="A269:B269"/>
    <mergeCell ref="L255:M255"/>
    <mergeCell ref="A270:B270"/>
    <mergeCell ref="L256:M256"/>
    <mergeCell ref="A271:B271"/>
    <mergeCell ref="L257:M257"/>
    <mergeCell ref="C267:F267"/>
    <mergeCell ref="A267:B267"/>
    <mergeCell ref="A263:B263"/>
    <mergeCell ref="A258:B258"/>
    <mergeCell ref="A254:H254"/>
    <mergeCell ref="A255:B255"/>
    <mergeCell ref="L220:M220"/>
    <mergeCell ref="L221:M221"/>
    <mergeCell ref="A188:H188"/>
    <mergeCell ref="A189:B189"/>
    <mergeCell ref="G189:H192"/>
    <mergeCell ref="A193:H193"/>
    <mergeCell ref="A194:B194"/>
    <mergeCell ref="L191:M191"/>
    <mergeCell ref="A206:B206"/>
    <mergeCell ref="L192:M192"/>
    <mergeCell ref="A207:B207"/>
    <mergeCell ref="A219:B219"/>
    <mergeCell ref="L200:M200"/>
    <mergeCell ref="A220:B220"/>
    <mergeCell ref="L201:M201"/>
    <mergeCell ref="G199:H202"/>
    <mergeCell ref="L219:M219"/>
    <mergeCell ref="A277:B277"/>
    <mergeCell ref="L263:M263"/>
    <mergeCell ref="A238:B238"/>
    <mergeCell ref="C238:F238"/>
    <mergeCell ref="L224:M224"/>
    <mergeCell ref="A239:B239"/>
    <mergeCell ref="L225:M225"/>
    <mergeCell ref="A240:B240"/>
    <mergeCell ref="L226:M226"/>
    <mergeCell ref="L229:M229"/>
    <mergeCell ref="L230:M230"/>
    <mergeCell ref="A235:B235"/>
    <mergeCell ref="L238:M238"/>
    <mergeCell ref="L237:M237"/>
    <mergeCell ref="A231:H231"/>
    <mergeCell ref="A232:B232"/>
    <mergeCell ref="G232:H235"/>
    <mergeCell ref="A246:H246"/>
    <mergeCell ref="A247:B247"/>
    <mergeCell ref="G247:H250"/>
    <mergeCell ref="L231:M231"/>
    <mergeCell ref="A233:B233"/>
    <mergeCell ref="L228:M228"/>
    <mergeCell ref="A243:B243"/>
    <mergeCell ref="L266:M266"/>
    <mergeCell ref="B305:H305"/>
    <mergeCell ref="A283:B283"/>
    <mergeCell ref="L269:M269"/>
    <mergeCell ref="A236:H236"/>
    <mergeCell ref="A237:B237"/>
    <mergeCell ref="G237:H240"/>
    <mergeCell ref="A244:B244"/>
    <mergeCell ref="A245:B245"/>
    <mergeCell ref="A281:B281"/>
    <mergeCell ref="L267:M267"/>
    <mergeCell ref="A282:B282"/>
    <mergeCell ref="L268:M268"/>
    <mergeCell ref="A284:H284"/>
    <mergeCell ref="A285:B285"/>
    <mergeCell ref="G285:H289"/>
    <mergeCell ref="L271:M271"/>
    <mergeCell ref="A286:B286"/>
    <mergeCell ref="L272:M272"/>
    <mergeCell ref="A287:B287"/>
    <mergeCell ref="A275:B275"/>
    <mergeCell ref="L261:M261"/>
    <mergeCell ref="A276:B276"/>
    <mergeCell ref="L262:M262"/>
    <mergeCell ref="A84:B84"/>
    <mergeCell ref="C84:H84"/>
    <mergeCell ref="A86:B86"/>
    <mergeCell ref="C86:H86"/>
    <mergeCell ref="A87:B87"/>
    <mergeCell ref="E87:F87"/>
    <mergeCell ref="G87:H87"/>
    <mergeCell ref="A88:B88"/>
    <mergeCell ref="E88:F97"/>
    <mergeCell ref="G88:H97"/>
    <mergeCell ref="A89:B89"/>
    <mergeCell ref="A90:B90"/>
    <mergeCell ref="A91:B91"/>
    <mergeCell ref="A92:B92"/>
    <mergeCell ref="A93:B93"/>
    <mergeCell ref="A94:B94"/>
    <mergeCell ref="A95:B95"/>
    <mergeCell ref="A96:B96"/>
    <mergeCell ref="A97:B97"/>
    <mergeCell ref="L171:M171"/>
    <mergeCell ref="A172:B172"/>
    <mergeCell ref="L172:M172"/>
    <mergeCell ref="A173:B173"/>
    <mergeCell ref="L173:M173"/>
    <mergeCell ref="A174:B174"/>
    <mergeCell ref="C172:F172"/>
    <mergeCell ref="A208:H208"/>
    <mergeCell ref="L208:M208"/>
    <mergeCell ref="A191:B191"/>
    <mergeCell ref="L177:M177"/>
    <mergeCell ref="L180:M180"/>
    <mergeCell ref="A195:B195"/>
    <mergeCell ref="L181:M181"/>
    <mergeCell ref="A196:B196"/>
    <mergeCell ref="L182:M182"/>
    <mergeCell ref="A197:B197"/>
    <mergeCell ref="L183:M183"/>
    <mergeCell ref="A203:H203"/>
    <mergeCell ref="A204:B204"/>
    <mergeCell ref="G204:H207"/>
    <mergeCell ref="L190:M190"/>
    <mergeCell ref="A205:B205"/>
    <mergeCell ref="A179:B179"/>
    <mergeCell ref="A209:B209"/>
    <mergeCell ref="G209:H212"/>
    <mergeCell ref="L209:M209"/>
    <mergeCell ref="A210:B210"/>
    <mergeCell ref="L210:M210"/>
    <mergeCell ref="A211:B211"/>
    <mergeCell ref="L211:M211"/>
    <mergeCell ref="A212:B212"/>
    <mergeCell ref="C209:F210"/>
    <mergeCell ref="A291:B291"/>
    <mergeCell ref="G291:H295"/>
    <mergeCell ref="A292:B292"/>
    <mergeCell ref="A293:B293"/>
    <mergeCell ref="A294:B294"/>
    <mergeCell ref="A295:B295"/>
    <mergeCell ref="C291:F291"/>
    <mergeCell ref="B311:H311"/>
    <mergeCell ref="L247:M247"/>
    <mergeCell ref="A248:B248"/>
    <mergeCell ref="L248:M248"/>
    <mergeCell ref="A249:B249"/>
    <mergeCell ref="L249:M249"/>
    <mergeCell ref="A250:B250"/>
    <mergeCell ref="L250:M250"/>
    <mergeCell ref="C247:F248"/>
    <mergeCell ref="A290:H290"/>
    <mergeCell ref="A278:H278"/>
    <mergeCell ref="A279:B279"/>
    <mergeCell ref="B310:H310"/>
    <mergeCell ref="C279:F279"/>
    <mergeCell ref="G279:H283"/>
    <mergeCell ref="L265:M265"/>
    <mergeCell ref="A280:B280"/>
  </mergeCells>
  <dataValidations count="12">
    <dataValidation type="list" allowBlank="1" showInputMessage="1" showErrorMessage="1" sqref="E4:H4">
      <formula1>"Axis Goregaon,Axis Thane,Axis Badlapur,Axis Sanpada, PNB Thane"</formula1>
    </dataValidation>
    <dataValidation type="list" allowBlank="1" showInputMessage="1" showErrorMessage="1" sqref="A16:B16">
      <formula1>"CTS No,Survey No,Plot No,Gut No,FP No,"</formula1>
    </dataValidation>
    <dataValidation type="list" allowBlank="1" showInputMessage="1" showErrorMessage="1" sqref="G19:H19">
      <formula1>$S$12:$W$12</formula1>
    </dataValidation>
    <dataValidation type="list" allowBlank="1" showInputMessage="1" showErrorMessage="1" sqref="E127:E128">
      <formula1>"Attached Loft area,Attached Terrace area,Attached Mezzanine area"</formula1>
    </dataValidation>
    <dataValidation type="list" allowBlank="1" showInputMessage="1" showErrorMessage="1" sqref="F128 F136">
      <formula1>"45%,50%,55%,60%"</formula1>
    </dataValidation>
    <dataValidation type="list" allowBlank="1" showInputMessage="1" showErrorMessage="1" sqref="G319:H319">
      <formula1>"Shruti Tathare,Kunal Kadam,Pranita Mhatre,Shruti Fule,Pooja Kawale,Mansee Mohite,Anjali Kamble, Hitakshi Mhatre, Sachin Sawant"</formula1>
    </dataValidation>
    <dataValidation type="list" allowBlank="1" showInputMessage="1" showErrorMessage="1" sqref="F98:H98">
      <formula1>"On Saleable Area,On Builtup Area,On Carpet Area,On Plot Area"</formula1>
    </dataValidation>
    <dataValidation type="list" allowBlank="1" showInputMessage="1" showErrorMessage="1" sqref="F110:H110">
      <formula1>"100000,150000,200000,250000,300000,350000,400000,500000,600000,700000,800000,900000,1000000,1200000,1400000,1500000"</formula1>
    </dataValidation>
    <dataValidation type="list" allowBlank="1" showInputMessage="1" showErrorMessage="1" sqref="F127 F135">
      <formula1>"Saleable area Loading :,Builder Saleable area"</formula1>
    </dataValidation>
    <dataValidation type="list" allowBlank="1" showInputMessage="1" showErrorMessage="1" sqref="B127:B128">
      <formula1>"Shop No. (Sale Plan),Sale / Rehab,Sale / Mhada"</formula1>
    </dataValidation>
    <dataValidation type="list" allowBlank="1" showInputMessage="1" showErrorMessage="1" sqref="B135:B136">
      <formula1>"Flat No. (Sale Plan),Sale / Rehab,Sale / Mhada"</formula1>
    </dataValidation>
    <dataValidation type="list" allowBlank="1" showInputMessage="1" showErrorMessage="1" sqref="Y12">
      <formula1>$D$4:$H$4</formula1>
    </dataValidation>
  </dataValidations>
  <hyperlinks>
    <hyperlink ref="C39"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69" max="7" man="1"/>
    <brk id="323" max="7" man="1"/>
    <brk id="365" max="7" man="1"/>
    <brk id="40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1" zoomScale="130" zoomScaleNormal="130" workbookViewId="0">
      <selection activeCell="F15" sqref="F15"/>
    </sheetView>
  </sheetViews>
  <sheetFormatPr defaultColWidth="8.7109375" defaultRowHeight="15" x14ac:dyDescent="0.2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1" t="s">
        <v>108</v>
      </c>
      <c r="C3" s="211"/>
      <c r="D3" s="211"/>
      <c r="E3" s="211"/>
      <c r="F3" s="211"/>
      <c r="G3" s="211"/>
      <c r="H3" s="211"/>
    </row>
    <row r="4" spans="1:9" x14ac:dyDescent="0.25">
      <c r="A4" s="2"/>
      <c r="B4" s="3" t="s">
        <v>109</v>
      </c>
      <c r="C4" s="3" t="s">
        <v>110</v>
      </c>
      <c r="D4" s="3" t="s">
        <v>69</v>
      </c>
      <c r="E4" s="3" t="s">
        <v>111</v>
      </c>
      <c r="F4" s="3" t="s">
        <v>117</v>
      </c>
      <c r="G4" s="3" t="s">
        <v>118</v>
      </c>
      <c r="H4" s="3" t="s">
        <v>112</v>
      </c>
    </row>
    <row r="5" spans="1:9" ht="15" customHeight="1" x14ac:dyDescent="0.25">
      <c r="A5" s="2"/>
      <c r="B5" s="5" t="s">
        <v>113</v>
      </c>
      <c r="C5" s="6"/>
      <c r="D5" s="5"/>
      <c r="E5" s="5"/>
      <c r="F5" s="7">
        <f>E5*1.6</f>
        <v>0</v>
      </c>
      <c r="G5" s="7" t="e">
        <f>H5/F5</f>
        <v>#DIV/0!</v>
      </c>
      <c r="H5" s="8"/>
    </row>
    <row r="6" spans="1:9" x14ac:dyDescent="0.25">
      <c r="A6" s="2"/>
      <c r="B6" s="5" t="s">
        <v>113</v>
      </c>
      <c r="C6" s="9"/>
      <c r="D6" s="5"/>
      <c r="E6" s="5"/>
      <c r="F6" s="7">
        <f t="shared" ref="F6:F11" si="0">E6*1.6</f>
        <v>0</v>
      </c>
      <c r="G6" s="7" t="e">
        <f t="shared" ref="G6:G11" si="1">H6/F6</f>
        <v>#DIV/0!</v>
      </c>
      <c r="H6" s="8"/>
    </row>
    <row r="7" spans="1:9" ht="15" customHeight="1" x14ac:dyDescent="0.25">
      <c r="A7" s="2"/>
      <c r="B7" s="5" t="s">
        <v>113</v>
      </c>
      <c r="C7" s="6"/>
      <c r="D7" s="5"/>
      <c r="E7" s="5"/>
      <c r="F7" s="7">
        <f t="shared" si="0"/>
        <v>0</v>
      </c>
      <c r="G7" s="7" t="e">
        <f t="shared" si="1"/>
        <v>#DIV/0!</v>
      </c>
      <c r="H7" s="8"/>
    </row>
    <row r="8" spans="1:9" x14ac:dyDescent="0.25">
      <c r="A8" s="2"/>
      <c r="B8" s="5" t="s">
        <v>113</v>
      </c>
      <c r="C8" s="9"/>
      <c r="D8" s="5"/>
      <c r="E8" s="5"/>
      <c r="F8" s="7">
        <f t="shared" si="0"/>
        <v>0</v>
      </c>
      <c r="G8" s="7" t="e">
        <f t="shared" si="1"/>
        <v>#DIV/0!</v>
      </c>
      <c r="H8" s="8"/>
    </row>
    <row r="9" spans="1:9" ht="15" customHeight="1" x14ac:dyDescent="0.25">
      <c r="A9" s="2"/>
      <c r="B9" s="5" t="s">
        <v>113</v>
      </c>
      <c r="C9" s="9"/>
      <c r="D9" s="5"/>
      <c r="E9" s="5"/>
      <c r="F9" s="7">
        <f t="shared" si="0"/>
        <v>0</v>
      </c>
      <c r="G9" s="7" t="e">
        <f t="shared" si="1"/>
        <v>#DIV/0!</v>
      </c>
      <c r="H9" s="8"/>
    </row>
    <row r="10" spans="1:9" ht="15" customHeight="1" x14ac:dyDescent="0.25">
      <c r="A10" s="2"/>
      <c r="B10" s="5" t="s">
        <v>114</v>
      </c>
      <c r="C10" s="6"/>
      <c r="D10" s="5"/>
      <c r="E10" s="5"/>
      <c r="F10" s="7">
        <f t="shared" si="0"/>
        <v>0</v>
      </c>
      <c r="G10" s="7" t="e">
        <f t="shared" si="1"/>
        <v>#DIV/0!</v>
      </c>
      <c r="H10" s="8"/>
    </row>
    <row r="11" spans="1:9" ht="15" customHeight="1" x14ac:dyDescent="0.25">
      <c r="A11" s="2"/>
      <c r="B11" s="5" t="s">
        <v>114</v>
      </c>
      <c r="C11" s="6"/>
      <c r="D11" s="5"/>
      <c r="E11" s="5"/>
      <c r="F11" s="7">
        <f t="shared" si="0"/>
        <v>0</v>
      </c>
      <c r="G11" s="7" t="e">
        <f t="shared" si="1"/>
        <v>#DIV/0!</v>
      </c>
      <c r="H11" s="8"/>
    </row>
    <row r="12" spans="1:9" ht="15" customHeight="1" x14ac:dyDescent="0.25">
      <c r="A12" s="2"/>
      <c r="B12" s="10" t="s">
        <v>115</v>
      </c>
      <c r="C12" s="5"/>
      <c r="D12" s="5"/>
      <c r="E12" s="5"/>
      <c r="F12" s="5"/>
      <c r="G12" s="11" t="e">
        <f>AVERAGE(G5:G11)</f>
        <v>#DIV/0!</v>
      </c>
      <c r="H12" s="5"/>
    </row>
    <row r="13" spans="1:9" ht="15" customHeight="1" x14ac:dyDescent="0.25">
      <c r="B13" s="10" t="s">
        <v>116</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30"/>
  <sheetViews>
    <sheetView topLeftCell="A16" zoomScale="130" zoomScaleNormal="130" workbookViewId="0">
      <selection activeCell="C30" sqref="C30"/>
    </sheetView>
  </sheetViews>
  <sheetFormatPr defaultRowHeight="15" x14ac:dyDescent="0.25"/>
  <cols>
    <col min="4" max="4" width="11" bestFit="1" customWidth="1"/>
    <col min="5" max="5" width="10.42578125" bestFit="1" customWidth="1"/>
    <col min="8" max="8" width="10.5703125" bestFit="1" customWidth="1"/>
  </cols>
  <sheetData>
    <row r="3" spans="2:11" x14ac:dyDescent="0.25">
      <c r="J3">
        <v>1</v>
      </c>
      <c r="K3">
        <v>2</v>
      </c>
    </row>
    <row r="4" spans="2:11" x14ac:dyDescent="0.25">
      <c r="B4" s="49"/>
      <c r="C4" s="49" t="s">
        <v>12</v>
      </c>
      <c r="D4" s="50" t="s">
        <v>181</v>
      </c>
      <c r="E4" s="50" t="s">
        <v>191</v>
      </c>
      <c r="F4" s="50" t="s">
        <v>175</v>
      </c>
      <c r="G4" s="50" t="s">
        <v>196</v>
      </c>
      <c r="H4" s="50" t="s">
        <v>214</v>
      </c>
      <c r="J4" t="s">
        <v>196</v>
      </c>
      <c r="K4" t="s">
        <v>212</v>
      </c>
    </row>
    <row r="5" spans="2:11" x14ac:dyDescent="0.25">
      <c r="B5" s="49"/>
      <c r="C5" s="49"/>
      <c r="D5" s="50" t="s">
        <v>182</v>
      </c>
      <c r="E5" s="50" t="s">
        <v>189</v>
      </c>
      <c r="F5" s="50" t="s">
        <v>211</v>
      </c>
      <c r="G5" s="50" t="s">
        <v>197</v>
      </c>
      <c r="H5" s="50" t="s">
        <v>215</v>
      </c>
    </row>
    <row r="6" spans="2:11" x14ac:dyDescent="0.25">
      <c r="B6" s="49"/>
      <c r="C6" s="49"/>
      <c r="D6" s="50" t="s">
        <v>183</v>
      </c>
      <c r="E6" s="50" t="s">
        <v>190</v>
      </c>
      <c r="F6" s="50" t="s">
        <v>212</v>
      </c>
      <c r="G6" s="50" t="s">
        <v>198</v>
      </c>
      <c r="H6" s="50" t="s">
        <v>228</v>
      </c>
    </row>
    <row r="7" spans="2:11" x14ac:dyDescent="0.25">
      <c r="B7" s="49"/>
      <c r="C7" s="49"/>
      <c r="D7" s="50" t="s">
        <v>184</v>
      </c>
      <c r="E7" s="50" t="s">
        <v>192</v>
      </c>
      <c r="F7" s="50" t="s">
        <v>213</v>
      </c>
      <c r="G7" s="50" t="s">
        <v>199</v>
      </c>
      <c r="H7" s="50" t="s">
        <v>216</v>
      </c>
    </row>
    <row r="8" spans="2:11" x14ac:dyDescent="0.25">
      <c r="B8" s="49"/>
      <c r="C8" s="49"/>
      <c r="D8" s="50" t="s">
        <v>185</v>
      </c>
      <c r="E8" s="50" t="s">
        <v>193</v>
      </c>
      <c r="F8" s="50"/>
      <c r="G8" s="50" t="s">
        <v>200</v>
      </c>
      <c r="H8" s="50" t="s">
        <v>217</v>
      </c>
    </row>
    <row r="9" spans="2:11" x14ac:dyDescent="0.25">
      <c r="B9" s="49"/>
      <c r="C9" s="49"/>
      <c r="D9" s="50" t="s">
        <v>186</v>
      </c>
      <c r="E9" s="50" t="s">
        <v>191</v>
      </c>
      <c r="F9" s="50"/>
      <c r="G9" s="50" t="s">
        <v>201</v>
      </c>
      <c r="H9" s="50" t="s">
        <v>218</v>
      </c>
    </row>
    <row r="10" spans="2:11" x14ac:dyDescent="0.25">
      <c r="B10" s="49"/>
      <c r="C10" s="49"/>
      <c r="D10" s="50" t="s">
        <v>187</v>
      </c>
      <c r="E10" s="50" t="s">
        <v>194</v>
      </c>
      <c r="F10" s="50"/>
      <c r="G10" s="50" t="s">
        <v>202</v>
      </c>
      <c r="H10" s="50" t="s">
        <v>219</v>
      </c>
    </row>
    <row r="11" spans="2:11" x14ac:dyDescent="0.25">
      <c r="B11" s="49"/>
      <c r="C11" s="49"/>
      <c r="D11" s="50" t="s">
        <v>188</v>
      </c>
      <c r="E11" s="50" t="s">
        <v>195</v>
      </c>
      <c r="F11" s="50"/>
      <c r="G11" s="50" t="s">
        <v>203</v>
      </c>
      <c r="H11" s="50" t="s">
        <v>220</v>
      </c>
    </row>
    <row r="12" spans="2:11" x14ac:dyDescent="0.25">
      <c r="B12" s="49"/>
      <c r="C12" s="49"/>
      <c r="D12" s="50"/>
      <c r="E12" s="50"/>
      <c r="F12" s="50"/>
      <c r="G12" s="50" t="s">
        <v>204</v>
      </c>
      <c r="H12" s="50" t="s">
        <v>221</v>
      </c>
    </row>
    <row r="13" spans="2:11" x14ac:dyDescent="0.25">
      <c r="B13" s="49"/>
      <c r="C13" s="49"/>
      <c r="D13" s="50"/>
      <c r="E13" s="50"/>
      <c r="F13" s="50"/>
      <c r="G13" s="50" t="s">
        <v>205</v>
      </c>
      <c r="H13" s="50" t="s">
        <v>222</v>
      </c>
    </row>
    <row r="14" spans="2:11" x14ac:dyDescent="0.25">
      <c r="B14" s="49"/>
      <c r="C14" s="49"/>
      <c r="D14" s="50"/>
      <c r="E14" s="50"/>
      <c r="F14" s="50"/>
      <c r="G14" s="50" t="s">
        <v>206</v>
      </c>
      <c r="H14" s="50" t="s">
        <v>223</v>
      </c>
    </row>
    <row r="15" spans="2:11" x14ac:dyDescent="0.25">
      <c r="B15" s="49"/>
      <c r="C15" s="49"/>
      <c r="D15" s="50"/>
      <c r="E15" s="50"/>
      <c r="F15" s="50"/>
      <c r="G15" s="50" t="s">
        <v>207</v>
      </c>
      <c r="H15" s="50" t="s">
        <v>224</v>
      </c>
    </row>
    <row r="16" spans="2:11" x14ac:dyDescent="0.25">
      <c r="B16" s="49"/>
      <c r="C16" s="49"/>
      <c r="D16" s="50"/>
      <c r="E16" s="50"/>
      <c r="F16" s="50"/>
      <c r="G16" s="50" t="s">
        <v>208</v>
      </c>
      <c r="H16" s="50" t="s">
        <v>225</v>
      </c>
    </row>
    <row r="17" spans="2:8" x14ac:dyDescent="0.25">
      <c r="B17" s="49"/>
      <c r="C17" s="49"/>
      <c r="D17" s="50"/>
      <c r="E17" s="50"/>
      <c r="F17" s="50"/>
      <c r="G17" s="50" t="s">
        <v>209</v>
      </c>
      <c r="H17" s="50" t="s">
        <v>226</v>
      </c>
    </row>
    <row r="18" spans="2:8" x14ac:dyDescent="0.25">
      <c r="B18" s="49"/>
      <c r="C18" s="49"/>
      <c r="D18" s="50"/>
      <c r="E18" s="50"/>
      <c r="F18" s="50"/>
      <c r="G18" s="50" t="s">
        <v>210</v>
      </c>
      <c r="H18" s="50" t="s">
        <v>227</v>
      </c>
    </row>
    <row r="24" spans="2:8" x14ac:dyDescent="0.25">
      <c r="C24" t="s">
        <v>173</v>
      </c>
    </row>
    <row r="25" spans="2:8" x14ac:dyDescent="0.25">
      <c r="C25" t="s">
        <v>229</v>
      </c>
    </row>
    <row r="26" spans="2:8" x14ac:dyDescent="0.25">
      <c r="C26" t="s">
        <v>230</v>
      </c>
    </row>
    <row r="27" spans="2:8" x14ac:dyDescent="0.25">
      <c r="C27" t="s">
        <v>231</v>
      </c>
    </row>
    <row r="28" spans="2:8" x14ac:dyDescent="0.25">
      <c r="C28" t="s">
        <v>232</v>
      </c>
    </row>
    <row r="29" spans="2:8" x14ac:dyDescent="0.25">
      <c r="C29" t="s">
        <v>233</v>
      </c>
    </row>
    <row r="30" spans="2:8" x14ac:dyDescent="0.25">
      <c r="C30" t="s">
        <v>173</v>
      </c>
    </row>
  </sheetData>
  <dataValidations count="2">
    <dataValidation type="list" allowBlank="1" showInputMessage="1" showErrorMessage="1" sqref="J4">
      <formula1>$D$4:$H$4</formula1>
    </dataValidation>
    <dataValidation type="list" allowBlank="1" showInputMessage="1" showErrorMessage="1" sqref="K4">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2025-08-12T10:02:07Z</cp:lastPrinted>
  <dcterms:created xsi:type="dcterms:W3CDTF">2019-07-16T09:29:46Z</dcterms:created>
  <dcterms:modified xsi:type="dcterms:W3CDTF">2025-08-12T10:04:08Z</dcterms:modified>
</cp:coreProperties>
</file>