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s>
  <definedNames>
    <definedName name="_xlnm.Print_Area" localSheetId="0">Report!$A$1:$H$448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C90" i="1" s="1"/>
  <c r="C89" i="1" l="1"/>
  <c r="C74" i="1"/>
  <c r="C75" i="1" s="1"/>
  <c r="C76" i="1" s="1"/>
  <c r="F6" i="5" l="1"/>
  <c r="F7" i="5"/>
  <c r="F8" i="5"/>
  <c r="F9" i="5"/>
  <c r="F10" i="5"/>
  <c r="F11" i="5"/>
  <c r="F5" i="5"/>
  <c r="C81" i="1"/>
  <c r="I175" i="1"/>
  <c r="I170" i="1"/>
  <c r="K96" i="1" l="1"/>
  <c r="D273" i="1"/>
  <c r="D272" i="1"/>
  <c r="D269" i="1"/>
  <c r="D268" i="1"/>
  <c r="D267" i="1"/>
  <c r="D266" i="1"/>
  <c r="D265" i="1"/>
  <c r="D264" i="1"/>
  <c r="D262" i="1"/>
  <c r="D261" i="1"/>
  <c r="D257" i="1"/>
  <c r="D256" i="1"/>
  <c r="D255" i="1"/>
  <c r="D254" i="1"/>
  <c r="D253" i="1"/>
  <c r="D251" i="1"/>
  <c r="D250" i="1"/>
  <c r="D249" i="1"/>
  <c r="D248" i="1"/>
  <c r="D247" i="1"/>
  <c r="D246" i="1"/>
  <c r="D245" i="1"/>
  <c r="D244" i="1"/>
  <c r="D243" i="1"/>
  <c r="D242" i="1"/>
  <c r="D240" i="1"/>
  <c r="D238" i="1"/>
  <c r="D237" i="1"/>
  <c r="D236" i="1"/>
  <c r="D235" i="1"/>
  <c r="D234" i="1"/>
  <c r="D233" i="1"/>
  <c r="D231" i="1"/>
  <c r="D228" i="1"/>
  <c r="D227" i="1"/>
  <c r="D223" i="1"/>
  <c r="D222" i="1"/>
  <c r="D221" i="1"/>
  <c r="D220" i="1"/>
  <c r="D219" i="1"/>
  <c r="D218" i="1"/>
  <c r="D217" i="1"/>
  <c r="D216" i="1"/>
  <c r="D215" i="1"/>
  <c r="D213" i="1"/>
  <c r="D212" i="1"/>
  <c r="D207" i="1"/>
  <c r="D206" i="1"/>
  <c r="D205" i="1"/>
  <c r="D204" i="1"/>
  <c r="D203" i="1"/>
  <c r="D202" i="1"/>
  <c r="D201" i="1"/>
  <c r="D200" i="1"/>
  <c r="D198" i="1"/>
  <c r="D197" i="1"/>
  <c r="D196" i="1"/>
  <c r="D195" i="1"/>
  <c r="D194" i="1"/>
  <c r="D193" i="1"/>
  <c r="D192" i="1"/>
  <c r="D191" i="1"/>
  <c r="D190" i="1"/>
  <c r="D189" i="1"/>
  <c r="D188" i="1"/>
  <c r="D187" i="1"/>
  <c r="D186" i="1"/>
  <c r="D185" i="1"/>
  <c r="D182" i="1"/>
  <c r="D181" i="1"/>
  <c r="D180" i="1"/>
  <c r="D179" i="1"/>
  <c r="D178" i="1"/>
  <c r="D177" i="1"/>
  <c r="D176" i="1"/>
  <c r="D175" i="1"/>
  <c r="D174" i="1"/>
  <c r="D173" i="1"/>
  <c r="D171" i="1"/>
  <c r="D170" i="1"/>
  <c r="K170" i="1" s="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C116" i="1" l="1"/>
  <c r="C111" i="1"/>
  <c r="C112" i="1" s="1"/>
  <c r="E115" i="1"/>
  <c r="E116" i="1"/>
  <c r="C115" i="1"/>
  <c r="E111" i="1"/>
  <c r="E112" i="1" s="1"/>
  <c r="F272" i="1"/>
  <c r="F267" i="1"/>
  <c r="F265" i="1"/>
  <c r="F257" i="1"/>
  <c r="F255" i="1"/>
  <c r="F253" i="1"/>
  <c r="F250" i="1"/>
  <c r="F242" i="1"/>
  <c r="F238" i="1"/>
  <c r="F236" i="1"/>
  <c r="F234" i="1"/>
  <c r="F219" i="1"/>
  <c r="F218" i="1"/>
  <c r="F213" i="1"/>
  <c r="F207" i="1"/>
  <c r="F205" i="1"/>
  <c r="F203" i="1"/>
  <c r="F198" i="1"/>
  <c r="F197" i="1"/>
  <c r="F196" i="1"/>
  <c r="F194" i="1"/>
  <c r="F193" i="1"/>
  <c r="F192" i="1"/>
  <c r="F190" i="1"/>
  <c r="F189" i="1"/>
  <c r="F188" i="1"/>
  <c r="J188" i="1" s="1"/>
  <c r="F273" i="1"/>
  <c r="F269" i="1"/>
  <c r="F268" i="1"/>
  <c r="F266" i="1"/>
  <c r="A265" i="1"/>
  <c r="A266" i="1" s="1"/>
  <c r="A267" i="1" s="1"/>
  <c r="A268" i="1" s="1"/>
  <c r="A269" i="1" s="1"/>
  <c r="A270" i="1" s="1"/>
  <c r="A271" i="1" s="1"/>
  <c r="A272" i="1" s="1"/>
  <c r="A273" i="1" s="1"/>
  <c r="G264" i="1"/>
  <c r="F264" i="1"/>
  <c r="F228" i="1"/>
  <c r="F227" i="1"/>
  <c r="F223" i="1"/>
  <c r="F222" i="1"/>
  <c r="F221" i="1"/>
  <c r="F220" i="1"/>
  <c r="F217" i="1"/>
  <c r="F216" i="1"/>
  <c r="A216" i="1"/>
  <c r="A217" i="1" s="1"/>
  <c r="A218" i="1" s="1"/>
  <c r="A219" i="1" s="1"/>
  <c r="A220" i="1" s="1"/>
  <c r="A221" i="1" s="1"/>
  <c r="A222" i="1" s="1"/>
  <c r="A223" i="1" s="1"/>
  <c r="A224" i="1" s="1"/>
  <c r="A225" i="1" s="1"/>
  <c r="A226" i="1" s="1"/>
  <c r="A227" i="1" s="1"/>
  <c r="A228" i="1" s="1"/>
  <c r="G215" i="1"/>
  <c r="F215" i="1"/>
  <c r="F262" i="1"/>
  <c r="F261" i="1"/>
  <c r="F256" i="1"/>
  <c r="F254" i="1"/>
  <c r="A254" i="1"/>
  <c r="A255" i="1" s="1"/>
  <c r="A256" i="1" s="1"/>
  <c r="A257" i="1" s="1"/>
  <c r="A258" i="1" s="1"/>
  <c r="A259" i="1" s="1"/>
  <c r="A260" i="1" s="1"/>
  <c r="A261" i="1" s="1"/>
  <c r="A262" i="1" s="1"/>
  <c r="G253" i="1"/>
  <c r="F212" i="1"/>
  <c r="F206" i="1"/>
  <c r="F204" i="1"/>
  <c r="F202" i="1"/>
  <c r="F201" i="1"/>
  <c r="A201" i="1"/>
  <c r="A202" i="1" s="1"/>
  <c r="A203" i="1" s="1"/>
  <c r="A204" i="1" s="1"/>
  <c r="A205" i="1" s="1"/>
  <c r="A206" i="1" s="1"/>
  <c r="A207" i="1" s="1"/>
  <c r="A208" i="1" s="1"/>
  <c r="A209" i="1" s="1"/>
  <c r="A210" i="1" s="1"/>
  <c r="A211" i="1" s="1"/>
  <c r="A212" i="1" s="1"/>
  <c r="A213" i="1" s="1"/>
  <c r="G200" i="1"/>
  <c r="F200" i="1"/>
  <c r="F243" i="1"/>
  <c r="F251" i="1"/>
  <c r="F249" i="1"/>
  <c r="F248" i="1"/>
  <c r="F247" i="1"/>
  <c r="F246" i="1"/>
  <c r="F245" i="1"/>
  <c r="F244" i="1"/>
  <c r="J244" i="1" s="1"/>
  <c r="A243" i="1"/>
  <c r="A244" i="1" s="1"/>
  <c r="A245" i="1" s="1"/>
  <c r="A246" i="1" s="1"/>
  <c r="A247" i="1" s="1"/>
  <c r="A248" i="1" s="1"/>
  <c r="A249" i="1" s="1"/>
  <c r="A250" i="1" s="1"/>
  <c r="A251" i="1" s="1"/>
  <c r="G242" i="1"/>
  <c r="F187" i="1"/>
  <c r="J187" i="1" s="1"/>
  <c r="F195" i="1"/>
  <c r="F191" i="1"/>
  <c r="F186" i="1"/>
  <c r="A186" i="1"/>
  <c r="A187" i="1" s="1"/>
  <c r="A188" i="1" s="1"/>
  <c r="A189" i="1" s="1"/>
  <c r="A190" i="1" s="1"/>
  <c r="A191" i="1" s="1"/>
  <c r="A192" i="1" s="1"/>
  <c r="A193" i="1" s="1"/>
  <c r="A194" i="1" s="1"/>
  <c r="A195" i="1" s="1"/>
  <c r="A196" i="1" s="1"/>
  <c r="A197" i="1" s="1"/>
  <c r="A198" i="1" s="1"/>
  <c r="G185" i="1"/>
  <c r="F185" i="1"/>
  <c r="I231" i="1"/>
  <c r="F233" i="1"/>
  <c r="F240" i="1"/>
  <c r="F237" i="1"/>
  <c r="F235" i="1"/>
  <c r="A232" i="1"/>
  <c r="A233" i="1" s="1"/>
  <c r="A234" i="1" s="1"/>
  <c r="A235" i="1" s="1"/>
  <c r="A236" i="1" s="1"/>
  <c r="A237" i="1" s="1"/>
  <c r="A238" i="1" s="1"/>
  <c r="A239" i="1" s="1"/>
  <c r="A240" i="1" s="1"/>
  <c r="G231" i="1"/>
  <c r="F231" i="1"/>
  <c r="F182" i="1"/>
  <c r="F181" i="1"/>
  <c r="F180" i="1"/>
  <c r="F179" i="1"/>
  <c r="F178" i="1"/>
  <c r="F177" i="1"/>
  <c r="F176" i="1"/>
  <c r="F175" i="1"/>
  <c r="F174" i="1"/>
  <c r="J174" i="1" s="1"/>
  <c r="F161" i="1"/>
  <c r="F160" i="1"/>
  <c r="F158" i="1"/>
  <c r="F157" i="1"/>
  <c r="F156" i="1"/>
  <c r="F155" i="1"/>
  <c r="F153" i="1"/>
  <c r="F152" i="1"/>
  <c r="F149" i="1"/>
  <c r="F148" i="1"/>
  <c r="F145" i="1"/>
  <c r="F144" i="1"/>
  <c r="F140" i="1"/>
  <c r="F138" i="1"/>
  <c r="F136" i="1"/>
  <c r="F135" i="1"/>
  <c r="F134" i="1"/>
  <c r="F132" i="1"/>
  <c r="I127" i="1"/>
  <c r="F163" i="1"/>
  <c r="F162" i="1"/>
  <c r="F159" i="1"/>
  <c r="F154" i="1"/>
  <c r="F151" i="1"/>
  <c r="F150" i="1"/>
  <c r="F147" i="1"/>
  <c r="F146" i="1"/>
  <c r="F143" i="1"/>
  <c r="F142" i="1"/>
  <c r="F141" i="1"/>
  <c r="J141" i="1" s="1"/>
  <c r="F139" i="1"/>
  <c r="F137" i="1"/>
  <c r="F133" i="1"/>
  <c r="F131" i="1"/>
  <c r="C117" i="1" l="1"/>
  <c r="E117" i="1"/>
  <c r="J261" i="1"/>
  <c r="G116" i="1"/>
  <c r="Z12" i="1"/>
  <c r="I14" i="1"/>
  <c r="F170" i="1" l="1"/>
  <c r="F127" i="1"/>
  <c r="E118" i="1" l="1"/>
  <c r="C118" i="1"/>
  <c r="E43" i="1" l="1"/>
  <c r="E44" i="1" s="1"/>
  <c r="C15" i="1" l="1"/>
  <c r="E30" i="1" l="1"/>
  <c r="F171" i="1" l="1"/>
  <c r="F173" i="1"/>
  <c r="J173" i="1" s="1"/>
  <c r="J96" i="1" s="1"/>
  <c r="I96" i="1" s="1"/>
  <c r="A171" i="1"/>
  <c r="A172" i="1" s="1"/>
  <c r="A173" i="1" s="1"/>
  <c r="G170" i="1"/>
  <c r="G115" i="1" l="1"/>
  <c r="G117" i="1" s="1"/>
  <c r="A174" i="1"/>
  <c r="A175" i="1" s="1"/>
  <c r="A176" i="1" s="1"/>
  <c r="A177" i="1" s="1"/>
  <c r="A178" i="1" s="1"/>
  <c r="A179" i="1" s="1"/>
  <c r="A180" i="1" s="1"/>
  <c r="A181" i="1" s="1"/>
  <c r="A182" i="1" s="1"/>
  <c r="A183" i="1" s="1"/>
  <c r="F108" i="1"/>
  <c r="F128" i="1" l="1"/>
  <c r="F129" i="1"/>
  <c r="F130" i="1"/>
  <c r="G111" i="1" l="1"/>
  <c r="G112" i="1" s="1"/>
  <c r="G118" i="1" s="1"/>
  <c r="B300" i="1"/>
  <c r="A287" i="1"/>
  <c r="A281" i="1"/>
  <c r="A293" i="1"/>
  <c r="F297" i="1" l="1"/>
  <c r="F296" i="1"/>
  <c r="F295" i="1"/>
  <c r="F294" i="1"/>
  <c r="F293" i="1"/>
  <c r="F291" i="1"/>
  <c r="F290" i="1"/>
  <c r="F289" i="1"/>
  <c r="F288" i="1"/>
  <c r="F287" i="1"/>
  <c r="F285" i="1"/>
  <c r="F284" i="1"/>
  <c r="F283" i="1"/>
  <c r="F282" i="1"/>
  <c r="F281" i="1"/>
  <c r="F279" i="1"/>
  <c r="F278" i="1"/>
  <c r="F276" i="1"/>
  <c r="F275" i="1"/>
  <c r="F277" i="1"/>
  <c r="A288" i="1"/>
  <c r="A294" i="1"/>
  <c r="A282" i="1"/>
  <c r="B301" i="1" l="1"/>
  <c r="A295" i="1"/>
  <c r="A289" i="1"/>
  <c r="A283" i="1"/>
  <c r="G11" i="5" l="1"/>
  <c r="G10" i="5"/>
  <c r="G9" i="5"/>
  <c r="G8" i="5"/>
  <c r="G7" i="5"/>
  <c r="G6" i="5"/>
  <c r="G5" i="5"/>
  <c r="D323" i="1"/>
  <c r="G293" i="1"/>
  <c r="G294" i="1" s="1"/>
  <c r="G295" i="1" s="1"/>
  <c r="G296" i="1" s="1"/>
  <c r="G297" i="1" s="1"/>
  <c r="G287" i="1"/>
  <c r="G288" i="1" s="1"/>
  <c r="G289" i="1" s="1"/>
  <c r="G290" i="1" s="1"/>
  <c r="G291" i="1" s="1"/>
  <c r="G281" i="1"/>
  <c r="G282" i="1" s="1"/>
  <c r="G283" i="1" s="1"/>
  <c r="G284" i="1" s="1"/>
  <c r="G285" i="1" s="1"/>
  <c r="G275" i="1"/>
  <c r="G276" i="1" s="1"/>
  <c r="G277" i="1" s="1"/>
  <c r="G278" i="1" s="1"/>
  <c r="G279" i="1" s="1"/>
  <c r="A275" i="1"/>
  <c r="A276" i="1" s="1"/>
  <c r="A277" i="1" s="1"/>
  <c r="A278" i="1" s="1"/>
  <c r="A279" i="1" s="1"/>
  <c r="G127" i="1"/>
  <c r="B82" i="1"/>
  <c r="C67" i="1"/>
  <c r="B68" i="1" s="1"/>
  <c r="G50" i="1"/>
  <c r="C50" i="1"/>
  <c r="C51" i="1" s="1"/>
  <c r="E27" i="1"/>
  <c r="E25" i="1"/>
  <c r="E7" i="1"/>
  <c r="E3" i="1"/>
  <c r="A296" i="1"/>
  <c r="A290" i="1"/>
  <c r="A284" i="1"/>
  <c r="G12" i="5" l="1"/>
  <c r="D61" i="1"/>
  <c r="A291" i="1"/>
  <c r="H68" i="1"/>
  <c r="H82" i="1"/>
  <c r="A285" i="1"/>
  <c r="A297" i="1"/>
  <c r="J86" i="1" l="1"/>
  <c r="C85" i="1" s="1"/>
  <c r="D85" i="1" s="1"/>
  <c r="J84" i="1"/>
  <c r="J87" i="1"/>
  <c r="J88" i="1" s="1"/>
  <c r="J93" i="1" s="1"/>
  <c r="J81" i="1"/>
  <c r="J83" i="1" s="1"/>
  <c r="D89" i="1"/>
  <c r="D91" i="1"/>
  <c r="D94" i="1"/>
  <c r="D88" i="1"/>
  <c r="D92" i="1"/>
  <c r="D93" i="1"/>
  <c r="D90" i="1"/>
  <c r="J85" i="1"/>
  <c r="D80" i="1"/>
  <c r="D78" i="1"/>
  <c r="D77" i="1"/>
  <c r="D74" i="1"/>
  <c r="D76" i="1"/>
  <c r="J73" i="1"/>
  <c r="J74" i="1" s="1"/>
  <c r="J79" i="1" s="1"/>
  <c r="D79" i="1"/>
  <c r="J67" i="1"/>
  <c r="J69" i="1" s="1"/>
  <c r="D75" i="1"/>
  <c r="J71" i="1"/>
  <c r="J72" i="1"/>
  <c r="C71" i="1" s="1"/>
  <c r="D71" i="1" s="1"/>
  <c r="J70" i="1"/>
  <c r="J89" i="1"/>
  <c r="J90" i="1" s="1"/>
  <c r="J91" i="1" s="1"/>
  <c r="J92" i="1" s="1"/>
  <c r="J75" i="1"/>
  <c r="J76" i="1" s="1"/>
  <c r="J77" i="1" s="1"/>
  <c r="J78" i="1" s="1"/>
  <c r="D87" i="1"/>
  <c r="D73" i="1"/>
  <c r="J80" i="1" l="1"/>
  <c r="C72" i="1" s="1"/>
  <c r="G71" i="1" s="1"/>
  <c r="D65" i="1" s="1"/>
  <c r="D66" i="1" s="1"/>
  <c r="J94" i="1"/>
  <c r="C86" i="1" l="1"/>
  <c r="J82" i="1" s="1"/>
  <c r="J68" i="1"/>
  <c r="D72" i="1"/>
  <c r="I68" i="1" s="1"/>
  <c r="I69" i="1" s="1"/>
  <c r="E71" i="1"/>
  <c r="F66" i="1"/>
  <c r="G85" i="1" l="1"/>
  <c r="D86" i="1"/>
  <c r="I82" i="1" s="1"/>
  <c r="I83" i="1" s="1"/>
  <c r="E85" i="1"/>
  <c r="I67" i="1"/>
  <c r="C69" i="1" s="1"/>
  <c r="I81" i="1" l="1"/>
  <c r="C83"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<sst xmlns="http://schemas.openxmlformats.org/spreadsheetml/2006/main" count="601" uniqueCount="303">
  <si>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</si>
  <si>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</si>
  <si>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</si>
  <si>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</si>
  <si>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</si>
  <si>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</si>
  <si>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</si>
  <si>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</si>
  <si>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</si>
  <si>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</si>
  <si>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</si>
  <si>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</si>
  <si>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</si>
  <si>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</si>
  <si>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</si>
  <si>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</si>
  <si>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</si>
  <si>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</si>
  <si>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</si>
  <si>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</si>
  <si>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</si>
  <si>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</si>
  <si>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</si>
  <si>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</si>
  <si>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</si>
  <si>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</si>
  <si>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</si>
  <si>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</si>
  <si>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</si>
  <si>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</si>
  <si>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</si>
  <si>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</si>
  <si>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</si>
  <si>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</si>
  <si>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</si>
  <si>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</si>
  <si>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</si>
  <si>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</si>
  <si>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</si>
  <si>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</si>
  <si>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</si>
  <si>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</si>
  <si>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</si>
  <si>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</si>
  <si>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</si>
  <si>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</si>
  <si>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</si>
  <si>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</si>
  <si>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</si>
  <si>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</si>
  <si>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</si>
  <si>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</si>
  <si>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</si>
  <si>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</si>
  <si>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</si>
  <si>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</si>
  <si>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</si>
  <si>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</si>
  <si>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</si>
  <si>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</si>
  <si>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</si>
  <si>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</si>
  <si>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</si>
  <si>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</si>
  <si>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</si>
  <si>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</si>
  <si>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</si>
  <si>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</si>
  <si>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</si>
  <si>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</si>
  <si>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</si>
  <si>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</si>
  <si>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</si>
  <si>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</si>
  <si>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</si>
  <si>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</si>
  <si>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</si>
  <si>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</si>
  <si>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</si>
  <si>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</si>
  <si>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</si>
  <si>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</si>
  <si>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</si>
  <si>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</si>
  <si>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</si>
  <si>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</si>
  <si>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</si>
  <si>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</si>
  <si>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</si>
  <si>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</si>
  <si>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</si>
  <si>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</si>
  <si>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</si>
  <si>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</si>
  <si>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</si>
  <si>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</si>
  <si>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</si>
  <si>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</si>
  <si>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</si>
  <si>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</si>
  <si>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</si>
  <si>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</si>
  <si>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</si>
  <si>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</si>
  <si>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</si>
  <si>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</si>
  <si>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</si>
  <si>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</si>
  <si>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</si>
  <si>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</si>
  <si>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</si>
  <si>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</si>
  <si>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</si>
  <si>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</si>
  <si>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</si>
  <si>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</si>
  <si>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</si>
  <si>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</si>
  <si>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</si>
  <si>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</si>
  <si>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</si>
  <si>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</si>
  <si>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</si>
  <si>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</si>
  <si>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</si>
  <si>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</si>
  <si>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</si>
  <si>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</si>
  <si>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</si>
  <si>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</si>
  <si>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</si>
  <si>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</si>
  <si>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</si>
  <si>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</si>
  <si>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</si>
  <si>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</si>
  <si>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</si>
  <si>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</si>
  <si>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</si>
  <si>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</si>
  <si>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</si>
  <si>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</si>
  <si>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</si>
  <si>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</si>
  <si>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</si>
  <si>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</si>
  <si>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</si>
  <si>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</si>
  <si>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</si>
  <si>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</si>
  <si>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</si>
  <si>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</si>
  <si>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</si>
  <si>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</si>
  <si>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</si>
  <si>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</si>
  <si>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</si>
  <si>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</si>
  <si>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</si>
  <si>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</si>
  <si>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</si>
  <si>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</si>
  <si>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</si>
  <si>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</si>
  <si>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</si>
  <si>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</si>
  <si>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</si>
  <si>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</si>
  <si>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</si>
  <si>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</si>
  <si>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</si>
  <si>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</si>
  <si>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Mumbai</t>
  </si>
  <si>
    <t>As per Layout</t>
  </si>
  <si>
    <t xml:space="preserve">Details of Residential &amp; Commercials in Building   </t>
  </si>
  <si>
    <t>Floor Rise Rate from    Floor</t>
  </si>
  <si>
    <t>CTS No</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</si>
  <si>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</si>
  <si>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</si>
  <si>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</si>
  <si>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</si>
  <si>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</si>
  <si>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</si>
  <si>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</si>
  <si>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</si>
  <si>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</si>
  <si>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</si>
  <si>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</si>
  <si>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</si>
  <si>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</si>
  <si>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</si>
  <si>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</si>
  <si>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</si>
  <si>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</si>
  <si>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</si>
  <si>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</si>
  <si>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</si>
  <si>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</si>
  <si>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</si>
  <si>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</si>
  <si>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</si>
  <si>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</si>
  <si>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</si>
  <si>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</si>
  <si>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</si>
  <si>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</si>
  <si>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</si>
  <si>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</si>
  <si>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</si>
  <si>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</si>
  <si>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</si>
  <si>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</si>
  <si>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</si>
  <si>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</si>
  <si>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</si>
  <si>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</si>
  <si>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</si>
  <si>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</si>
  <si>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</si>
  <si>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</si>
  <si>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</si>
  <si>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</si>
  <si>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</si>
  <si>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</si>
  <si>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</si>
  <si>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</si>
  <si>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</si>
  <si>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</si>
  <si>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</si>
  <si>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</si>
  <si>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</si>
  <si>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</si>
  <si>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Sanpada</t>
  </si>
  <si>
    <t>North Property Developers LLP</t>
  </si>
  <si>
    <t>North Star</t>
  </si>
  <si>
    <t>Sale Building No. 06 (Wing A &amp; B)</t>
  </si>
  <si>
    <t>Slum Rehabilitation Authority (SRA)</t>
  </si>
  <si>
    <t>Borla</t>
  </si>
  <si>
    <t>https://goo.gl/maps/7Yn9NnjyzEhEWT8PA</t>
  </si>
  <si>
    <t>19.0598372,72.9138201</t>
  </si>
  <si>
    <t>Limboni Baug Road</t>
  </si>
  <si>
    <t>Limboni Baug, Nimoni Nagar</t>
  </si>
  <si>
    <t>1.5 KM from Govandi Railway Station</t>
  </si>
  <si>
    <t>M-E/MCGM/0004/20041011/AP/S-6</t>
  </si>
  <si>
    <t>As per RERA - 31/10/2025</t>
  </si>
  <si>
    <r>
      <t xml:space="preserve">Proposed Amenities :                                                                                                                                                                                                                         </t>
    </r>
    <r>
      <rPr>
        <b/>
        <sz val="12"/>
        <rFont val="Times New Roman"/>
        <family val="1"/>
      </rPr>
      <t xml:space="preserve">                                               </t>
    </r>
  </si>
  <si>
    <t>Bengaluru-Mumbai Highway</t>
  </si>
  <si>
    <t>Slum</t>
  </si>
  <si>
    <t>40M Wide Freeway</t>
  </si>
  <si>
    <t>12.20M Wide DP Road</t>
  </si>
  <si>
    <t>Other Plot</t>
  </si>
  <si>
    <t>9.15M Wide Road</t>
  </si>
  <si>
    <t>Wing A + B</t>
  </si>
  <si>
    <t>Shop</t>
  </si>
  <si>
    <t>Rehab</t>
  </si>
  <si>
    <t>Sale / Rehab</t>
  </si>
  <si>
    <t>Wing A</t>
  </si>
  <si>
    <t>1st Floor for Residential</t>
  </si>
  <si>
    <t>Fitness Center</t>
  </si>
  <si>
    <t>1BHK</t>
  </si>
  <si>
    <t>Wing B</t>
  </si>
  <si>
    <t>Double Height Entrance Lobby</t>
  </si>
  <si>
    <t>2nd to 7th, 9th to 14th, 16th to 21st, 23rd to 28th &amp; 30th to 33rd Floor</t>
  </si>
  <si>
    <t>8th, 15th &amp; 22nd Floor (Part Refuge Area)</t>
  </si>
  <si>
    <t>Refuge Area</t>
  </si>
  <si>
    <t>29th Floor (Part Refuge Area)</t>
  </si>
  <si>
    <t>We considered Gross carpet area = Net carpet.</t>
  </si>
  <si>
    <t>Wing A+B</t>
  </si>
  <si>
    <t>Flats - 762, Rehab Shops - 37</t>
  </si>
  <si>
    <t>Sale/ Rehab statement for Residential is not provided in latest approved floor plans.</t>
  </si>
  <si>
    <t>Online</t>
  </si>
  <si>
    <t>Squareyard</t>
  </si>
  <si>
    <t>Inspection</t>
  </si>
  <si>
    <t>MIS</t>
  </si>
  <si>
    <t>Gausiya Masjid</t>
  </si>
  <si>
    <t>Name of the Existing Buildings</t>
  </si>
  <si>
    <t>Panchsheel SRA CHS LTD, Ekta SRA CHS LTD, Gautamnagar SRA CHS, Viththal Krupa (B) SRA CHS, Jai Hanuman SRA CHS, Shree Sai CHS, Vitthakkrupa SRA CHS, Gautam Nagar (A) Colony SRA CHS</t>
  </si>
  <si>
    <t>7(Pt) &amp; Redevelopment of Buildings "Panchsheel SRA CHS LTD, Ekta SRA CHS LTD, Gautamnagar SRA CHS, Viththal Krupa (B) SRA CHS, Jai Hanuman SRA CHS, Shree Sai CHS, Vitthakkrupa SRA CHS, Gautam Nagar (A) Colony SRA CHS"</t>
  </si>
  <si>
    <t>Office No. 1031, Wing J, Akshar Business Park, Plot No. 03 Sector 25, Near APMC Market,
Vashi, Navi Mumbai, Maharashtra 400703 TEL: 022-46090378/79/80                                                                       
E mail : vsjcapf@gmail.com. Web site : www.vsjadon.com</t>
  </si>
  <si>
    <t>Mr. Jassi 8291846017 /Mr. Rahil 9767696398</t>
  </si>
  <si>
    <t>Govandi West</t>
  </si>
  <si>
    <t>02 Wings</t>
  </si>
  <si>
    <t>As the project is redevelopement project but rehab statement or rehab flats is not mentioned approved layout plan &amp; floor plan.</t>
  </si>
  <si>
    <t>Basement for Pump Room, Water Tanks &amp; Parking Pit</t>
  </si>
  <si>
    <t>Wing A Shops = 1-11 + 36, 37</t>
  </si>
  <si>
    <t>Wing B Shops = 12 - 25</t>
  </si>
  <si>
    <t>Ground Floor for Commercial, Society Office, Meter Room &amp; Parking</t>
  </si>
  <si>
    <t xml:space="preserve">Commercial Area Details (Rehab Shops) : </t>
  </si>
  <si>
    <t>Residential Area Details (Sale Flats) :</t>
  </si>
  <si>
    <t>Fitness Center, Yoga Area, Electrical Vehicle Charging, Gymnasium, Kids Play Area, Terrace Garden</t>
  </si>
  <si>
    <t>Sale Building No. 6 (Wing A &amp; B) = 1B + Gr/Stilt + 1st to 33rd Floor</t>
  </si>
  <si>
    <t>Sale Building No. 6 Wing A = 1B + Gr/Stilt + 1st to 33rd Floor</t>
  </si>
  <si>
    <t>Sale Building No. 6 Wing B = 1B + Gr/Stilt + 1st to 33rd Floor</t>
  </si>
  <si>
    <t>Slum/ PL Lokhande Marg</t>
  </si>
  <si>
    <t>Sale Building No. 6</t>
  </si>
  <si>
    <t>RERA Name &amp; No.</t>
  </si>
  <si>
    <t>Wing A &amp; B = P51800033438</t>
  </si>
  <si>
    <t>This CC is further extended upto 2nd upper floors of Wing A &amp; 4th upper floors of Wing B &amp; 3rd upper floors to 4th upper floors for RCC frame work only of Wing A as per approved amended plans dtd 07/01/2022.</t>
  </si>
  <si>
    <t>As the construction work goes beyond the CC permission of Wing A, Please provide revised approved CC.</t>
  </si>
  <si>
    <t>Jassi 8291846017</t>
  </si>
  <si>
    <t>Akash Kadam</t>
  </si>
  <si>
    <t>Shruti Tathare</t>
  </si>
  <si>
    <t>Wing A = Construction work is in process at the time of Visit. Internal visit was not allowed.
Wing B = Construction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</si>
</sst>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u/>
      <sz val="11"/>
      <color theme="4" tint="-0.249977111117893"/>
      <name val="Calibri"/>
      <family val="2"/>
    </font>
    <font>
      <sz val="12"/>
      <color theme="4" tint="-0.249977111117893"/>
      <name val="Times New Roman"/>
      <family val="1"/>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0" fontId="15" fillId="0" borderId="0" xfId="1" applyFont="1" applyAlignment="1">
      <alignment horizontal="center" vertical="center"/>
    </xf>
    <xf numFmtId="0" fontId="30" fillId="0" borderId="0" xfId="1" applyFont="1" applyAlignment="1">
      <alignment horizontal="center" vertical="center"/>
    </xf>
    <xf numFmtId="0" fontId="15" fillId="0" borderId="0" xfId="2" applyFont="1" applyAlignment="1">
      <alignment horizontal="center" vertical="center"/>
    </xf>
    <xf numFmtId="1" fontId="15" fillId="0" borderId="0" xfId="1" applyNumberFormat="1" applyFont="1" applyAlignment="1">
      <alignment horizontal="center" vertical="center"/>
    </xf>
    <xf numFmtId="0" fontId="7" fillId="0" borderId="0" xfId="1" applyFont="1" applyAlignment="1">
      <alignment horizontal="center" vertical="center"/>
    </xf>
    <xf numFmtId="1" fontId="12"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5" fillId="2" borderId="14" xfId="0" applyFont="1" applyFill="1" applyBorder="1"/>
    <xf numFmtId="0" fontId="26" fillId="0" borderId="8" xfId="0" applyFont="1" applyBorder="1"/>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1"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6" fillId="0" borderId="1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0" fontId="8" fillId="0" borderId="15"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top"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2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1" applyFont="1" applyBorder="1" applyAlignment="1">
      <alignment horizontal="center" vertical="center"/>
    </xf>
    <xf numFmtId="0" fontId="7" fillId="0" borderId="0" xfId="1" applyFont="1" applyBorder="1" applyAlignment="1">
      <alignment horizontal="center" vertical="center"/>
    </xf>
    <xf numFmtId="0" fontId="31" fillId="0" borderId="1" xfId="10" applyFont="1" applyFill="1" applyBorder="1" applyAlignment="1" applyProtection="1">
      <alignment horizontal="left" vertical="top" wrapText="1"/>
      <protection locked="0"/>
    </xf>
    <xf numFmtId="0" fontId="32" fillId="0" borderId="1" xfId="1" applyFont="1" applyBorder="1" applyAlignment="1" applyProtection="1">
      <alignment horizontal="left"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9" fillId="0" borderId="1" xfId="5" applyFont="1" applyBorder="1" applyAlignment="1">
      <alignment horizontal="left"/>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43290</xdr:colOff>
      <xdr:row>426</xdr:row>
      <xdr:rowOff>5380</xdr:rowOff>
    </xdr:from>
    <xdr:to>
      <xdr:col>6</xdr:col>
      <xdr:colOff>719585</xdr:colOff>
      <xdr:row>446</xdr:row>
      <xdr:rowOff>71198</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05290" y="84015880"/>
          <a:ext cx="4825882" cy="4041471"/>
        </a:xfrm>
        <a:prstGeom prst="rect">
          <a:avLst/>
        </a:prstGeom>
        <a:ln>
          <a:solidFill>
            <a:schemeClr val="tx1"/>
          </a:solidFill>
        </a:ln>
      </xdr:spPr>
    </xdr:pic>
    <xdr:clientData/>
  </xdr:twoCellAnchor>
  <xdr:twoCellAnchor editAs="oneCell">
    <xdr:from>
      <xdr:col>1</xdr:col>
      <xdr:colOff>90435</xdr:colOff>
      <xdr:row>408</xdr:row>
      <xdr:rowOff>91107</xdr:rowOff>
    </xdr:from>
    <xdr:to>
      <xdr:col>6</xdr:col>
      <xdr:colOff>687456</xdr:colOff>
      <xdr:row>425</xdr:row>
      <xdr:rowOff>66258</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 t="12935" r="-72" b="7037"/>
        <a:stretch/>
      </xdr:blipFill>
      <xdr:spPr>
        <a:xfrm>
          <a:off x="852435" y="80523520"/>
          <a:ext cx="4746608" cy="3354456"/>
        </a:xfrm>
        <a:prstGeom prst="rect">
          <a:avLst/>
        </a:prstGeom>
        <a:ln>
          <a:solidFill>
            <a:schemeClr val="tx1"/>
          </a:solidFill>
        </a:ln>
      </xdr:spPr>
    </xdr:pic>
    <xdr:clientData/>
  </xdr:twoCellAnchor>
  <xdr:twoCellAnchor>
    <xdr:from>
      <xdr:col>2</xdr:col>
      <xdr:colOff>785642</xdr:colOff>
      <xdr:row>432</xdr:row>
      <xdr:rowOff>30152</xdr:rowOff>
    </xdr:from>
    <xdr:to>
      <xdr:col>5</xdr:col>
      <xdr:colOff>133857</xdr:colOff>
      <xdr:row>439</xdr:row>
      <xdr:rowOff>123136</xdr:rowOff>
    </xdr:to>
    <xdr:sp macro="" textlink="">
      <xdr:nvSpPr>
        <xdr:cNvPr id="4" name="Rectangle 3"/>
        <xdr:cNvSpPr/>
      </xdr:nvSpPr>
      <xdr:spPr>
        <a:xfrm rot="1369524">
          <a:off x="2351055" y="85233348"/>
          <a:ext cx="1915824" cy="148446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xdr:col>
      <xdr:colOff>622874</xdr:colOff>
      <xdr:row>386</xdr:row>
      <xdr:rowOff>113529</xdr:rowOff>
    </xdr:from>
    <xdr:to>
      <xdr:col>6</xdr:col>
      <xdr:colOff>149703</xdr:colOff>
      <xdr:row>404</xdr:row>
      <xdr:rowOff>186265</xdr:rowOff>
    </xdr:to>
    <xdr:pic>
      <xdr:nvPicPr>
        <xdr:cNvPr id="5" name="Picture 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84874" y="57990893"/>
          <a:ext cx="3674534" cy="3657600"/>
        </a:xfrm>
        <a:prstGeom prst="rect">
          <a:avLst/>
        </a:prstGeom>
        <a:ln>
          <a:solidFill>
            <a:schemeClr val="tx1"/>
          </a:solidFill>
        </a:ln>
      </xdr:spPr>
    </xdr:pic>
    <xdr:clientData/>
  </xdr:twoCellAnchor>
  <xdr:twoCellAnchor editAs="oneCell">
    <xdr:from>
      <xdr:col>1</xdr:col>
      <xdr:colOff>216474</xdr:colOff>
      <xdr:row>365</xdr:row>
      <xdr:rowOff>147203</xdr:rowOff>
    </xdr:from>
    <xdr:to>
      <xdr:col>6</xdr:col>
      <xdr:colOff>556103</xdr:colOff>
      <xdr:row>385</xdr:row>
      <xdr:rowOff>126421</xdr:rowOff>
    </xdr:to>
    <xdr:pic>
      <xdr:nvPicPr>
        <xdr:cNvPr id="6" name="Picture 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978474" y="53842226"/>
          <a:ext cx="4487334" cy="3962400"/>
        </a:xfrm>
        <a:prstGeom prst="rect">
          <a:avLst/>
        </a:prstGeom>
        <a:ln>
          <a:solidFill>
            <a:schemeClr val="tx1"/>
          </a:solidFill>
        </a:ln>
      </xdr:spPr>
    </xdr:pic>
    <xdr:clientData/>
  </xdr:twoCellAnchor>
  <xdr:twoCellAnchor>
    <xdr:from>
      <xdr:col>2</xdr:col>
      <xdr:colOff>155864</xdr:colOff>
      <xdr:row>376</xdr:row>
      <xdr:rowOff>103909</xdr:rowOff>
    </xdr:from>
    <xdr:to>
      <xdr:col>3</xdr:col>
      <xdr:colOff>77932</xdr:colOff>
      <xdr:row>384</xdr:row>
      <xdr:rowOff>51955</xdr:rowOff>
    </xdr:to>
    <xdr:cxnSp macro="">
      <xdr:nvCxnSpPr>
        <xdr:cNvPr id="9" name="Straight Connector 8"/>
        <xdr:cNvCxnSpPr/>
      </xdr:nvCxnSpPr>
      <xdr:spPr>
        <a:xfrm>
          <a:off x="1714500" y="55989682"/>
          <a:ext cx="770659" cy="154131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680604</xdr:colOff>
      <xdr:row>372</xdr:row>
      <xdr:rowOff>13855</xdr:rowOff>
    </xdr:from>
    <xdr:to>
      <xdr:col>5</xdr:col>
      <xdr:colOff>562841</xdr:colOff>
      <xdr:row>379</xdr:row>
      <xdr:rowOff>60614</xdr:rowOff>
    </xdr:to>
    <xdr:cxnSp macro="">
      <xdr:nvCxnSpPr>
        <xdr:cNvPr id="12" name="Straight Connector 11"/>
        <xdr:cNvCxnSpPr/>
      </xdr:nvCxnSpPr>
      <xdr:spPr>
        <a:xfrm>
          <a:off x="4031672" y="55102991"/>
          <a:ext cx="661555" cy="1440873"/>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69273</xdr:colOff>
      <xdr:row>379</xdr:row>
      <xdr:rowOff>43296</xdr:rowOff>
    </xdr:from>
    <xdr:to>
      <xdr:col>5</xdr:col>
      <xdr:colOff>562841</xdr:colOff>
      <xdr:row>384</xdr:row>
      <xdr:rowOff>34637</xdr:rowOff>
    </xdr:to>
    <xdr:cxnSp macro="">
      <xdr:nvCxnSpPr>
        <xdr:cNvPr id="14" name="Straight Connector 13"/>
        <xdr:cNvCxnSpPr/>
      </xdr:nvCxnSpPr>
      <xdr:spPr>
        <a:xfrm flipV="1">
          <a:off x="2476500" y="56526546"/>
          <a:ext cx="2216727" cy="98713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152401</xdr:colOff>
      <xdr:row>375</xdr:row>
      <xdr:rowOff>8659</xdr:rowOff>
    </xdr:from>
    <xdr:to>
      <xdr:col>2</xdr:col>
      <xdr:colOff>822614</xdr:colOff>
      <xdr:row>376</xdr:row>
      <xdr:rowOff>117764</xdr:rowOff>
    </xdr:to>
    <xdr:cxnSp macro="">
      <xdr:nvCxnSpPr>
        <xdr:cNvPr id="19" name="Straight Connector 18"/>
        <xdr:cNvCxnSpPr/>
      </xdr:nvCxnSpPr>
      <xdr:spPr>
        <a:xfrm flipV="1">
          <a:off x="1711037" y="55695273"/>
          <a:ext cx="670213" cy="30826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805296</xdr:colOff>
      <xdr:row>372</xdr:row>
      <xdr:rowOff>8660</xdr:rowOff>
    </xdr:from>
    <xdr:to>
      <xdr:col>4</xdr:col>
      <xdr:colOff>701387</xdr:colOff>
      <xdr:row>374</xdr:row>
      <xdr:rowOff>181840</xdr:rowOff>
    </xdr:to>
    <xdr:cxnSp macro="">
      <xdr:nvCxnSpPr>
        <xdr:cNvPr id="22" name="Straight Connector 21"/>
        <xdr:cNvCxnSpPr/>
      </xdr:nvCxnSpPr>
      <xdr:spPr>
        <a:xfrm flipV="1">
          <a:off x="3212523" y="55097796"/>
          <a:ext cx="839932" cy="57149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822614</xdr:colOff>
      <xdr:row>374</xdr:row>
      <xdr:rowOff>190500</xdr:rowOff>
    </xdr:from>
    <xdr:to>
      <xdr:col>3</xdr:col>
      <xdr:colOff>355023</xdr:colOff>
      <xdr:row>378</xdr:row>
      <xdr:rowOff>103909</xdr:rowOff>
    </xdr:to>
    <xdr:cxnSp macro="">
      <xdr:nvCxnSpPr>
        <xdr:cNvPr id="24" name="Straight Connector 23"/>
        <xdr:cNvCxnSpPr/>
      </xdr:nvCxnSpPr>
      <xdr:spPr>
        <a:xfrm>
          <a:off x="2381250" y="55677955"/>
          <a:ext cx="381000" cy="71004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805296</xdr:colOff>
      <xdr:row>374</xdr:row>
      <xdr:rowOff>155863</xdr:rowOff>
    </xdr:from>
    <xdr:to>
      <xdr:col>4</xdr:col>
      <xdr:colOff>34637</xdr:colOff>
      <xdr:row>377</xdr:row>
      <xdr:rowOff>25977</xdr:rowOff>
    </xdr:to>
    <xdr:cxnSp macro="">
      <xdr:nvCxnSpPr>
        <xdr:cNvPr id="27" name="Straight Connector 26"/>
        <xdr:cNvCxnSpPr/>
      </xdr:nvCxnSpPr>
      <xdr:spPr>
        <a:xfrm>
          <a:off x="3212523" y="55643318"/>
          <a:ext cx="173182" cy="46759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356753</xdr:colOff>
      <xdr:row>377</xdr:row>
      <xdr:rowOff>17318</xdr:rowOff>
    </xdr:from>
    <xdr:to>
      <xdr:col>4</xdr:col>
      <xdr:colOff>34637</xdr:colOff>
      <xdr:row>378</xdr:row>
      <xdr:rowOff>110838</xdr:rowOff>
    </xdr:to>
    <xdr:cxnSp macro="">
      <xdr:nvCxnSpPr>
        <xdr:cNvPr id="29" name="Straight Connector 28"/>
        <xdr:cNvCxnSpPr/>
      </xdr:nvCxnSpPr>
      <xdr:spPr>
        <a:xfrm flipV="1">
          <a:off x="2763980" y="56102250"/>
          <a:ext cx="621725" cy="29267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692728</xdr:colOff>
      <xdr:row>381</xdr:row>
      <xdr:rowOff>164523</xdr:rowOff>
    </xdr:from>
    <xdr:ext cx="596574" cy="264560"/>
    <xdr:sp macro="" textlink="">
      <xdr:nvSpPr>
        <xdr:cNvPr id="41" name="TextBox 40"/>
        <xdr:cNvSpPr txBox="1"/>
      </xdr:nvSpPr>
      <xdr:spPr>
        <a:xfrm>
          <a:off x="1454728" y="57046091"/>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A</a:t>
          </a:r>
        </a:p>
      </xdr:txBody>
    </xdr:sp>
    <xdr:clientData/>
  </xdr:oneCellAnchor>
  <xdr:oneCellAnchor>
    <xdr:from>
      <xdr:col>5</xdr:col>
      <xdr:colOff>213014</xdr:colOff>
      <xdr:row>371</xdr:row>
      <xdr:rowOff>22514</xdr:rowOff>
    </xdr:from>
    <xdr:ext cx="591700" cy="264560"/>
    <xdr:sp macro="" textlink="">
      <xdr:nvSpPr>
        <xdr:cNvPr id="42" name="TextBox 41"/>
        <xdr:cNvSpPr txBox="1"/>
      </xdr:nvSpPr>
      <xdr:spPr>
        <a:xfrm>
          <a:off x="4343400" y="54912491"/>
          <a:ext cx="59170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B</a:t>
          </a:r>
        </a:p>
      </xdr:txBody>
    </xdr:sp>
    <xdr:clientData/>
  </xdr:oneCellAnchor>
  <xdr:twoCellAnchor>
    <xdr:from>
      <xdr:col>4</xdr:col>
      <xdr:colOff>623455</xdr:colOff>
      <xdr:row>372</xdr:row>
      <xdr:rowOff>87915</xdr:rowOff>
    </xdr:from>
    <xdr:to>
      <xdr:col>5</xdr:col>
      <xdr:colOff>508864</xdr:colOff>
      <xdr:row>376</xdr:row>
      <xdr:rowOff>147204</xdr:rowOff>
    </xdr:to>
    <xdr:cxnSp macro="">
      <xdr:nvCxnSpPr>
        <xdr:cNvPr id="44" name="Straight Arrow Connector 43"/>
        <xdr:cNvCxnSpPr>
          <a:stCxn id="42" idx="2"/>
        </xdr:cNvCxnSpPr>
      </xdr:nvCxnSpPr>
      <xdr:spPr>
        <a:xfrm flipH="1">
          <a:off x="3974523" y="55177051"/>
          <a:ext cx="664727" cy="8559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492666</xdr:colOff>
      <xdr:row>381</xdr:row>
      <xdr:rowOff>0</xdr:rowOff>
    </xdr:from>
    <xdr:to>
      <xdr:col>3</xdr:col>
      <xdr:colOff>69273</xdr:colOff>
      <xdr:row>382</xdr:row>
      <xdr:rowOff>97644</xdr:rowOff>
    </xdr:to>
    <xdr:cxnSp macro="">
      <xdr:nvCxnSpPr>
        <xdr:cNvPr id="47" name="Straight Arrow Connector 46"/>
        <xdr:cNvCxnSpPr>
          <a:stCxn id="41" idx="3"/>
        </xdr:cNvCxnSpPr>
      </xdr:nvCxnSpPr>
      <xdr:spPr>
        <a:xfrm flipV="1">
          <a:off x="2051302" y="56881568"/>
          <a:ext cx="425198" cy="296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762001</xdr:colOff>
      <xdr:row>370</xdr:row>
      <xdr:rowOff>43296</xdr:rowOff>
    </xdr:from>
    <xdr:ext cx="1321965" cy="264560"/>
    <xdr:sp macro="" textlink="">
      <xdr:nvSpPr>
        <xdr:cNvPr id="56" name="TextBox 55"/>
        <xdr:cNvSpPr txBox="1"/>
      </xdr:nvSpPr>
      <xdr:spPr>
        <a:xfrm>
          <a:off x="2320637" y="53937478"/>
          <a:ext cx="1321965"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Sale Building No.06</a:t>
          </a:r>
        </a:p>
      </xdr:txBody>
    </xdr:sp>
    <xdr:clientData/>
  </xdr:oneCellAnchor>
  <xdr:twoCellAnchor>
    <xdr:from>
      <xdr:col>3</xdr:col>
      <xdr:colOff>574393</xdr:colOff>
      <xdr:row>371</xdr:row>
      <xdr:rowOff>108697</xdr:rowOff>
    </xdr:from>
    <xdr:to>
      <xdr:col>3</xdr:col>
      <xdr:colOff>597478</xdr:colOff>
      <xdr:row>378</xdr:row>
      <xdr:rowOff>25977</xdr:rowOff>
    </xdr:to>
    <xdr:cxnSp macro="">
      <xdr:nvCxnSpPr>
        <xdr:cNvPr id="57" name="Straight Arrow Connector 56"/>
        <xdr:cNvCxnSpPr>
          <a:stCxn id="56" idx="2"/>
        </xdr:cNvCxnSpPr>
      </xdr:nvCxnSpPr>
      <xdr:spPr>
        <a:xfrm>
          <a:off x="2981620" y="54202038"/>
          <a:ext cx="23085" cy="13113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0</xdr:colOff>
      <xdr:row>232</xdr:row>
      <xdr:rowOff>0</xdr:rowOff>
    </xdr:from>
    <xdr:to>
      <xdr:col>17</xdr:col>
      <xdr:colOff>208110</xdr:colOff>
      <xdr:row>249</xdr:row>
      <xdr:rowOff>80962</xdr:rowOff>
    </xdr:to>
    <xdr:pic>
      <xdr:nvPicPr>
        <xdr:cNvPr id="7" name="Picture 6"/>
        <xdr:cNvPicPr>
          <a:picLocks noChangeAspect="1"/>
        </xdr:cNvPicPr>
      </xdr:nvPicPr>
      <xdr:blipFill>
        <a:blip xmlns:r="http://schemas.openxmlformats.org/officeDocument/2006/relationships" r:embed="rId5"/>
        <a:stretch>
          <a:fillRect/>
        </a:stretch>
      </xdr:blipFill>
      <xdr:spPr>
        <a:xfrm>
          <a:off x="8996795" y="49841727"/>
          <a:ext cx="4580952" cy="3466667"/>
        </a:xfrm>
        <a:prstGeom prst="rect">
          <a:avLst/>
        </a:prstGeom>
      </xdr:spPr>
    </xdr:pic>
    <xdr:clientData/>
  </xdr:twoCellAnchor>
  <xdr:twoCellAnchor editAs="oneCell">
    <xdr:from>
      <xdr:col>13</xdr:col>
      <xdr:colOff>0</xdr:colOff>
      <xdr:row>186</xdr:row>
      <xdr:rowOff>0</xdr:rowOff>
    </xdr:from>
    <xdr:to>
      <xdr:col>16</xdr:col>
      <xdr:colOff>522659</xdr:colOff>
      <xdr:row>199</xdr:row>
      <xdr:rowOff>134741</xdr:rowOff>
    </xdr:to>
    <xdr:pic>
      <xdr:nvPicPr>
        <xdr:cNvPr id="8" name="Picture 7"/>
        <xdr:cNvPicPr>
          <a:picLocks noChangeAspect="1"/>
        </xdr:cNvPicPr>
      </xdr:nvPicPr>
      <xdr:blipFill>
        <a:blip xmlns:r="http://schemas.openxmlformats.org/officeDocument/2006/relationships" r:embed="rId6"/>
        <a:stretch>
          <a:fillRect/>
        </a:stretch>
      </xdr:blipFill>
      <xdr:spPr>
        <a:xfrm>
          <a:off x="10486159" y="40680409"/>
          <a:ext cx="2800000" cy="2723809"/>
        </a:xfrm>
        <a:prstGeom prst="rect">
          <a:avLst/>
        </a:prstGeom>
      </xdr:spPr>
    </xdr:pic>
    <xdr:clientData/>
  </xdr:twoCellAnchor>
  <xdr:oneCellAnchor>
    <xdr:from>
      <xdr:col>9</xdr:col>
      <xdr:colOff>463550</xdr:colOff>
      <xdr:row>325</xdr:row>
      <xdr:rowOff>171450</xdr:rowOff>
    </xdr:from>
    <xdr:ext cx="708912" cy="311496"/>
    <xdr:sp macro="" textlink="">
      <xdr:nvSpPr>
        <xdr:cNvPr id="10" name="TextBox 9"/>
        <xdr:cNvSpPr txBox="1"/>
      </xdr:nvSpPr>
      <xdr:spPr>
        <a:xfrm>
          <a:off x="8515350" y="630999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twoCellAnchor>
    <xdr:from>
      <xdr:col>0</xdr:col>
      <xdr:colOff>98381</xdr:colOff>
      <xdr:row>323</xdr:row>
      <xdr:rowOff>76200</xdr:rowOff>
    </xdr:from>
    <xdr:to>
      <xdr:col>7</xdr:col>
      <xdr:colOff>784180</xdr:colOff>
      <xdr:row>362</xdr:row>
      <xdr:rowOff>35925</xdr:rowOff>
    </xdr:to>
    <xdr:grpSp>
      <xdr:nvGrpSpPr>
        <xdr:cNvPr id="17" name="Group 16"/>
        <xdr:cNvGrpSpPr/>
      </xdr:nvGrpSpPr>
      <xdr:grpSpPr>
        <a:xfrm>
          <a:off x="98381" y="63684150"/>
          <a:ext cx="6334124" cy="7751175"/>
          <a:chOff x="98381" y="63684150"/>
          <a:chExt cx="6334124" cy="7751175"/>
        </a:xfrm>
      </xdr:grpSpPr>
      <xdr:grpSp>
        <xdr:nvGrpSpPr>
          <xdr:cNvPr id="15" name="Group 14"/>
          <xdr:cNvGrpSpPr/>
        </xdr:nvGrpSpPr>
        <xdr:grpSpPr>
          <a:xfrm>
            <a:off x="98381" y="63684150"/>
            <a:ext cx="6334124" cy="7751175"/>
            <a:chOff x="98381" y="63465075"/>
            <a:chExt cx="6334124" cy="7751175"/>
          </a:xfrm>
        </xdr:grpSpPr>
        <xdr:pic>
          <xdr:nvPicPr>
            <xdr:cNvPr id="45" name="Picture 44" descr="https://vsjcllp.vsjadon.com/upload/insp-243357-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600325" y="69056250"/>
              <a:ext cx="320992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3357-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98381" y="63465075"/>
              <a:ext cx="2057399" cy="2743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357-846.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41506" y="63465075"/>
              <a:ext cx="2057399" cy="2743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3357-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375106" y="63465075"/>
              <a:ext cx="2057399" cy="2743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3357-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55354" y="66284475"/>
              <a:ext cx="2014538" cy="26860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3357-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247900" y="66284475"/>
              <a:ext cx="2014538" cy="26860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3357-86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340447" y="66284475"/>
              <a:ext cx="2014538" cy="26860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3357-880.jpe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893379" y="690525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6" name="TextBox 15"/>
          <xdr:cNvSpPr txBox="1"/>
        </xdr:nvSpPr>
        <xdr:spPr>
          <a:xfrm>
            <a:off x="3181350" y="66665476"/>
            <a:ext cx="4191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6A</a:t>
            </a:r>
          </a:p>
        </xdr:txBody>
      </xdr:sp>
      <xdr:sp macro="" textlink="">
        <xdr:nvSpPr>
          <xdr:cNvPr id="58" name="TextBox 57"/>
          <xdr:cNvSpPr txBox="1"/>
        </xdr:nvSpPr>
        <xdr:spPr>
          <a:xfrm>
            <a:off x="3629025" y="67608450"/>
            <a:ext cx="4191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6B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693530</xdr:colOff>
      <xdr:row>29</xdr:row>
      <xdr:rowOff>178518</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5400000" cy="3036018"/>
        </a:xfrm>
        <a:prstGeom prst="rect">
          <a:avLst/>
        </a:prstGeom>
        <a:ln>
          <a:solidFill>
            <a:schemeClr val="tx1"/>
          </a:solidFill>
        </a:ln>
      </xdr:spPr>
    </xdr:pic>
    <xdr:clientData/>
  </xdr:twoCellAnchor>
  <xdr:twoCellAnchor editAs="oneCell">
    <xdr:from>
      <xdr:col>5</xdr:col>
      <xdr:colOff>0</xdr:colOff>
      <xdr:row>14</xdr:row>
      <xdr:rowOff>0</xdr:rowOff>
    </xdr:from>
    <xdr:to>
      <xdr:col>14</xdr:col>
      <xdr:colOff>342000</xdr:colOff>
      <xdr:row>35</xdr:row>
      <xdr:rowOff>47523</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051176" y="2678206"/>
          <a:ext cx="7200000" cy="4048023"/>
        </a:xfrm>
        <a:prstGeom prst="rect">
          <a:avLst/>
        </a:prstGeom>
        <a:ln>
          <a:solidFill>
            <a:schemeClr val="tx1"/>
          </a:solidFill>
        </a:ln>
      </xdr:spPr>
    </xdr:pic>
    <xdr:clientData/>
  </xdr:twoCellAnchor>
  <xdr:twoCellAnchor editAs="oneCell">
    <xdr:from>
      <xdr:col>14</xdr:col>
      <xdr:colOff>524933</xdr:colOff>
      <xdr:row>14</xdr:row>
      <xdr:rowOff>0</xdr:rowOff>
    </xdr:from>
    <xdr:to>
      <xdr:col>27</xdr:col>
      <xdr:colOff>149756</xdr:colOff>
      <xdr:row>35</xdr:row>
      <xdr:rowOff>47523</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3434109" y="2678206"/>
          <a:ext cx="7200000" cy="4048023"/>
        </a:xfrm>
        <a:prstGeom prst="rect">
          <a:avLst/>
        </a:prstGeom>
        <a:ln>
          <a:solidFill>
            <a:schemeClr val="tx1"/>
          </a:solidFill>
        </a:ln>
      </xdr:spPr>
    </xdr:pic>
    <xdr:clientData/>
  </xdr:twoCellAnchor>
  <xdr:twoCellAnchor editAs="oneCell">
    <xdr:from>
      <xdr:col>5</xdr:col>
      <xdr:colOff>0</xdr:colOff>
      <xdr:row>36</xdr:row>
      <xdr:rowOff>9423</xdr:rowOff>
    </xdr:from>
    <xdr:to>
      <xdr:col>14</xdr:col>
      <xdr:colOff>342000</xdr:colOff>
      <xdr:row>57</xdr:row>
      <xdr:rowOff>56946</xdr:rowOff>
    </xdr:to>
    <xdr:pic>
      <xdr:nvPicPr>
        <xdr:cNvPr id="5" name="Picture 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051176" y="6878629"/>
          <a:ext cx="7200000" cy="4048023"/>
        </a:xfrm>
        <a:prstGeom prst="rect">
          <a:avLst/>
        </a:prstGeom>
        <a:ln>
          <a:solidFill>
            <a:schemeClr val="tx1"/>
          </a:solidFill>
        </a:ln>
      </xdr:spPr>
    </xdr:pic>
    <xdr:clientData/>
  </xdr:twoCellAnchor>
  <xdr:twoCellAnchor editAs="oneCell">
    <xdr:from>
      <xdr:col>1</xdr:col>
      <xdr:colOff>1</xdr:colOff>
      <xdr:row>31</xdr:row>
      <xdr:rowOff>0</xdr:rowOff>
    </xdr:from>
    <xdr:to>
      <xdr:col>4</xdr:col>
      <xdr:colOff>416031</xdr:colOff>
      <xdr:row>46</xdr:row>
      <xdr:rowOff>22500</xdr:rowOff>
    </xdr:to>
    <xdr:pic>
      <xdr:nvPicPr>
        <xdr:cNvPr id="6" name="Picture 5"/>
        <xdr:cNvPicPr>
          <a:picLocks noChangeAspect="1"/>
        </xdr:cNvPicPr>
      </xdr:nvPicPr>
      <xdr:blipFill>
        <a:blip xmlns:r="http://schemas.openxmlformats.org/officeDocument/2006/relationships" r:embed="rId5"/>
        <a:stretch>
          <a:fillRect/>
        </a:stretch>
      </xdr:blipFill>
      <xdr:spPr>
        <a:xfrm>
          <a:off x="582707" y="5916706"/>
          <a:ext cx="5122500" cy="2880000"/>
        </a:xfrm>
        <a:prstGeom prst="rect">
          <a:avLst/>
        </a:prstGeom>
      </xdr:spPr>
    </xdr:pic>
    <xdr:clientData/>
  </xdr:twoCellAnchor>
  <xdr:twoCellAnchor editAs="oneCell">
    <xdr:from>
      <xdr:col>1</xdr:col>
      <xdr:colOff>0</xdr:colOff>
      <xdr:row>47</xdr:row>
      <xdr:rowOff>0</xdr:rowOff>
    </xdr:from>
    <xdr:to>
      <xdr:col>4</xdr:col>
      <xdr:colOff>416030</xdr:colOff>
      <xdr:row>62</xdr:row>
      <xdr:rowOff>22500</xdr:rowOff>
    </xdr:to>
    <xdr:pic>
      <xdr:nvPicPr>
        <xdr:cNvPr id="7" name="Picture 6"/>
        <xdr:cNvPicPr>
          <a:picLocks noChangeAspect="1"/>
        </xdr:cNvPicPr>
      </xdr:nvPicPr>
      <xdr:blipFill>
        <a:blip xmlns:r="http://schemas.openxmlformats.org/officeDocument/2006/relationships" r:embed="rId6"/>
        <a:stretch>
          <a:fillRect/>
        </a:stretch>
      </xdr:blipFill>
      <xdr:spPr>
        <a:xfrm>
          <a:off x="582706" y="8964706"/>
          <a:ext cx="5122500" cy="2880000"/>
        </a:xfrm>
        <a:prstGeom prst="rect">
          <a:avLst/>
        </a:prstGeom>
      </xdr:spPr>
    </xdr:pic>
    <xdr:clientData/>
  </xdr:twoCellAnchor>
  <xdr:twoCellAnchor editAs="oneCell">
    <xdr:from>
      <xdr:col>6</xdr:col>
      <xdr:colOff>0</xdr:colOff>
      <xdr:row>61</xdr:row>
      <xdr:rowOff>0</xdr:rowOff>
    </xdr:from>
    <xdr:to>
      <xdr:col>26</xdr:col>
      <xdr:colOff>89142</xdr:colOff>
      <xdr:row>99</xdr:row>
      <xdr:rowOff>75286</xdr:rowOff>
    </xdr:to>
    <xdr:pic>
      <xdr:nvPicPr>
        <xdr:cNvPr id="8" name="Picture 7"/>
        <xdr:cNvPicPr>
          <a:picLocks noChangeAspect="1"/>
        </xdr:cNvPicPr>
      </xdr:nvPicPr>
      <xdr:blipFill>
        <a:blip xmlns:r="http://schemas.openxmlformats.org/officeDocument/2006/relationships" r:embed="rId7"/>
        <a:stretch>
          <a:fillRect/>
        </a:stretch>
      </xdr:blipFill>
      <xdr:spPr>
        <a:xfrm>
          <a:off x="6981265" y="116317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Yn9NnjyzEhEWT8P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07"/>
  <sheetViews>
    <sheetView tabSelected="1" view="pageBreakPreview" topLeftCell="A6" zoomScaleNormal="100" zoomScaleSheetLayoutView="100" workbookViewId="0">
      <selection activeCell="E8" sqref="E8:H8"/>
    </sheetView>
  </sheetViews>
  <sheetFormatPr defaultColWidth="9.140625" defaultRowHeight="15.75" x14ac:dyDescent="0.25"/>
  <cols>
    <col min="1" max="1" width="11.42578125" style="40" customWidth="1"/>
    <col min="2" max="2" width="12" style="40" customWidth="1"/>
    <col min="3" max="3" width="12.5703125" style="40" customWidth="1"/>
    <col min="4" max="4" width="14.140625" style="40" customWidth="1"/>
    <col min="5" max="6" width="11.5703125" style="40" customWidth="1"/>
    <col min="7" max="7" width="11.42578125" style="40" customWidth="1"/>
    <col min="8" max="8" width="12.8554687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5703125" style="21" customWidth="1"/>
    <col min="17" max="247" width="9.140625" style="21"/>
    <col min="248" max="248" width="8.5703125" style="21" customWidth="1"/>
    <col min="249" max="249" width="9.85546875" style="21" customWidth="1"/>
    <col min="250" max="250" width="14.42578125" style="21" customWidth="1"/>
    <col min="251" max="251" width="7.425781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5703125" style="21" customWidth="1"/>
    <col min="505" max="505" width="9.85546875" style="21" customWidth="1"/>
    <col min="506" max="506" width="14.42578125" style="21" customWidth="1"/>
    <col min="507" max="507" width="7.425781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5703125" style="21" customWidth="1"/>
    <col min="761" max="761" width="9.85546875" style="21" customWidth="1"/>
    <col min="762" max="762" width="14.42578125" style="21" customWidth="1"/>
    <col min="763" max="763" width="7.425781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5703125" style="21" customWidth="1"/>
    <col min="1017" max="1017" width="9.85546875" style="21" customWidth="1"/>
    <col min="1018" max="1018" width="14.42578125" style="21" customWidth="1"/>
    <col min="1019" max="1019" width="7.425781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5703125" style="21" customWidth="1"/>
    <col min="1273" max="1273" width="9.85546875" style="21" customWidth="1"/>
    <col min="1274" max="1274" width="14.42578125" style="21" customWidth="1"/>
    <col min="1275" max="1275" width="7.425781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5703125" style="21" customWidth="1"/>
    <col min="1529" max="1529" width="9.85546875" style="21" customWidth="1"/>
    <col min="1530" max="1530" width="14.42578125" style="21" customWidth="1"/>
    <col min="1531" max="1531" width="7.425781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5703125" style="21" customWidth="1"/>
    <col min="1785" max="1785" width="9.85546875" style="21" customWidth="1"/>
    <col min="1786" max="1786" width="14.42578125" style="21" customWidth="1"/>
    <col min="1787" max="1787" width="7.425781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5703125" style="21" customWidth="1"/>
    <col min="2041" max="2041" width="9.85546875" style="21" customWidth="1"/>
    <col min="2042" max="2042" width="14.42578125" style="21" customWidth="1"/>
    <col min="2043" max="2043" width="7.425781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5703125" style="21" customWidth="1"/>
    <col min="2297" max="2297" width="9.85546875" style="21" customWidth="1"/>
    <col min="2298" max="2298" width="14.42578125" style="21" customWidth="1"/>
    <col min="2299" max="2299" width="7.425781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5703125" style="21" customWidth="1"/>
    <col min="2553" max="2553" width="9.85546875" style="21" customWidth="1"/>
    <col min="2554" max="2554" width="14.42578125" style="21" customWidth="1"/>
    <col min="2555" max="2555" width="7.425781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5703125" style="21" customWidth="1"/>
    <col min="2809" max="2809" width="9.85546875" style="21" customWidth="1"/>
    <col min="2810" max="2810" width="14.42578125" style="21" customWidth="1"/>
    <col min="2811" max="2811" width="7.425781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5703125" style="21" customWidth="1"/>
    <col min="3065" max="3065" width="9.85546875" style="21" customWidth="1"/>
    <col min="3066" max="3066" width="14.42578125" style="21" customWidth="1"/>
    <col min="3067" max="3067" width="7.425781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5703125" style="21" customWidth="1"/>
    <col min="3321" max="3321" width="9.85546875" style="21" customWidth="1"/>
    <col min="3322" max="3322" width="14.42578125" style="21" customWidth="1"/>
    <col min="3323" max="3323" width="7.425781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5703125" style="21" customWidth="1"/>
    <col min="3577" max="3577" width="9.85546875" style="21" customWidth="1"/>
    <col min="3578" max="3578" width="14.42578125" style="21" customWidth="1"/>
    <col min="3579" max="3579" width="7.425781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5703125" style="21" customWidth="1"/>
    <col min="3833" max="3833" width="9.85546875" style="21" customWidth="1"/>
    <col min="3834" max="3834" width="14.42578125" style="21" customWidth="1"/>
    <col min="3835" max="3835" width="7.425781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5703125" style="21" customWidth="1"/>
    <col min="4089" max="4089" width="9.85546875" style="21" customWidth="1"/>
    <col min="4090" max="4090" width="14.42578125" style="21" customWidth="1"/>
    <col min="4091" max="4091" width="7.425781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5703125" style="21" customWidth="1"/>
    <col min="4345" max="4345" width="9.85546875" style="21" customWidth="1"/>
    <col min="4346" max="4346" width="14.42578125" style="21" customWidth="1"/>
    <col min="4347" max="4347" width="7.425781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5703125" style="21" customWidth="1"/>
    <col min="4601" max="4601" width="9.85546875" style="21" customWidth="1"/>
    <col min="4602" max="4602" width="14.42578125" style="21" customWidth="1"/>
    <col min="4603" max="4603" width="7.425781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5703125" style="21" customWidth="1"/>
    <col min="4857" max="4857" width="9.85546875" style="21" customWidth="1"/>
    <col min="4858" max="4858" width="14.42578125" style="21" customWidth="1"/>
    <col min="4859" max="4859" width="7.425781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5703125" style="21" customWidth="1"/>
    <col min="5113" max="5113" width="9.85546875" style="21" customWidth="1"/>
    <col min="5114" max="5114" width="14.42578125" style="21" customWidth="1"/>
    <col min="5115" max="5115" width="7.425781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5703125" style="21" customWidth="1"/>
    <col min="5369" max="5369" width="9.85546875" style="21" customWidth="1"/>
    <col min="5370" max="5370" width="14.42578125" style="21" customWidth="1"/>
    <col min="5371" max="5371" width="7.425781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5703125" style="21" customWidth="1"/>
    <col min="5625" max="5625" width="9.85546875" style="21" customWidth="1"/>
    <col min="5626" max="5626" width="14.42578125" style="21" customWidth="1"/>
    <col min="5627" max="5627" width="7.425781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5703125" style="21" customWidth="1"/>
    <col min="5881" max="5881" width="9.85546875" style="21" customWidth="1"/>
    <col min="5882" max="5882" width="14.42578125" style="21" customWidth="1"/>
    <col min="5883" max="5883" width="7.425781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5703125" style="21" customWidth="1"/>
    <col min="6137" max="6137" width="9.85546875" style="21" customWidth="1"/>
    <col min="6138" max="6138" width="14.42578125" style="21" customWidth="1"/>
    <col min="6139" max="6139" width="7.425781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5703125" style="21" customWidth="1"/>
    <col min="6393" max="6393" width="9.85546875" style="21" customWidth="1"/>
    <col min="6394" max="6394" width="14.42578125" style="21" customWidth="1"/>
    <col min="6395" max="6395" width="7.425781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5703125" style="21" customWidth="1"/>
    <col min="6649" max="6649" width="9.85546875" style="21" customWidth="1"/>
    <col min="6650" max="6650" width="14.42578125" style="21" customWidth="1"/>
    <col min="6651" max="6651" width="7.425781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5703125" style="21" customWidth="1"/>
    <col min="6905" max="6905" width="9.85546875" style="21" customWidth="1"/>
    <col min="6906" max="6906" width="14.42578125" style="21" customWidth="1"/>
    <col min="6907" max="6907" width="7.425781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5703125" style="21" customWidth="1"/>
    <col min="7161" max="7161" width="9.85546875" style="21" customWidth="1"/>
    <col min="7162" max="7162" width="14.42578125" style="21" customWidth="1"/>
    <col min="7163" max="7163" width="7.425781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5703125" style="21" customWidth="1"/>
    <col min="7417" max="7417" width="9.85546875" style="21" customWidth="1"/>
    <col min="7418" max="7418" width="14.42578125" style="21" customWidth="1"/>
    <col min="7419" max="7419" width="7.425781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5703125" style="21" customWidth="1"/>
    <col min="7673" max="7673" width="9.85546875" style="21" customWidth="1"/>
    <col min="7674" max="7674" width="14.42578125" style="21" customWidth="1"/>
    <col min="7675" max="7675" width="7.425781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5703125" style="21" customWidth="1"/>
    <col min="7929" max="7929" width="9.85546875" style="21" customWidth="1"/>
    <col min="7930" max="7930" width="14.42578125" style="21" customWidth="1"/>
    <col min="7931" max="7931" width="7.425781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5703125" style="21" customWidth="1"/>
    <col min="8185" max="8185" width="9.85546875" style="21" customWidth="1"/>
    <col min="8186" max="8186" width="14.42578125" style="21" customWidth="1"/>
    <col min="8187" max="8187" width="7.425781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5703125" style="21" customWidth="1"/>
    <col min="8441" max="8441" width="9.85546875" style="21" customWidth="1"/>
    <col min="8442" max="8442" width="14.42578125" style="21" customWidth="1"/>
    <col min="8443" max="8443" width="7.425781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5703125" style="21" customWidth="1"/>
    <col min="8697" max="8697" width="9.85546875" style="21" customWidth="1"/>
    <col min="8698" max="8698" width="14.42578125" style="21" customWidth="1"/>
    <col min="8699" max="8699" width="7.425781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5703125" style="21" customWidth="1"/>
    <col min="8953" max="8953" width="9.85546875" style="21" customWidth="1"/>
    <col min="8954" max="8954" width="14.42578125" style="21" customWidth="1"/>
    <col min="8955" max="8955" width="7.425781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5703125" style="21" customWidth="1"/>
    <col min="9209" max="9209" width="9.85546875" style="21" customWidth="1"/>
    <col min="9210" max="9210" width="14.42578125" style="21" customWidth="1"/>
    <col min="9211" max="9211" width="7.425781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5703125" style="21" customWidth="1"/>
    <col min="9465" max="9465" width="9.85546875" style="21" customWidth="1"/>
    <col min="9466" max="9466" width="14.42578125" style="21" customWidth="1"/>
    <col min="9467" max="9467" width="7.425781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5703125" style="21" customWidth="1"/>
    <col min="9721" max="9721" width="9.85546875" style="21" customWidth="1"/>
    <col min="9722" max="9722" width="14.42578125" style="21" customWidth="1"/>
    <col min="9723" max="9723" width="7.425781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5703125" style="21" customWidth="1"/>
    <col min="9977" max="9977" width="9.85546875" style="21" customWidth="1"/>
    <col min="9978" max="9978" width="14.42578125" style="21" customWidth="1"/>
    <col min="9979" max="9979" width="7.425781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5703125" style="21" customWidth="1"/>
    <col min="10233" max="10233" width="9.85546875" style="21" customWidth="1"/>
    <col min="10234" max="10234" width="14.42578125" style="21" customWidth="1"/>
    <col min="10235" max="10235" width="7.425781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5703125" style="21" customWidth="1"/>
    <col min="10489" max="10489" width="9.85546875" style="21" customWidth="1"/>
    <col min="10490" max="10490" width="14.42578125" style="21" customWidth="1"/>
    <col min="10491" max="10491" width="7.425781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5703125" style="21" customWidth="1"/>
    <col min="10745" max="10745" width="9.85546875" style="21" customWidth="1"/>
    <col min="10746" max="10746" width="14.42578125" style="21" customWidth="1"/>
    <col min="10747" max="10747" width="7.425781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5703125" style="21" customWidth="1"/>
    <col min="11001" max="11001" width="9.85546875" style="21" customWidth="1"/>
    <col min="11002" max="11002" width="14.42578125" style="21" customWidth="1"/>
    <col min="11003" max="11003" width="7.425781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5703125" style="21" customWidth="1"/>
    <col min="11257" max="11257" width="9.85546875" style="21" customWidth="1"/>
    <col min="11258" max="11258" width="14.42578125" style="21" customWidth="1"/>
    <col min="11259" max="11259" width="7.425781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5703125" style="21" customWidth="1"/>
    <col min="11513" max="11513" width="9.85546875" style="21" customWidth="1"/>
    <col min="11514" max="11514" width="14.42578125" style="21" customWidth="1"/>
    <col min="11515" max="11515" width="7.425781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5703125" style="21" customWidth="1"/>
    <col min="11769" max="11769" width="9.85546875" style="21" customWidth="1"/>
    <col min="11770" max="11770" width="14.42578125" style="21" customWidth="1"/>
    <col min="11771" max="11771" width="7.425781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5703125" style="21" customWidth="1"/>
    <col min="12025" max="12025" width="9.85546875" style="21" customWidth="1"/>
    <col min="12026" max="12026" width="14.42578125" style="21" customWidth="1"/>
    <col min="12027" max="12027" width="7.425781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5703125" style="21" customWidth="1"/>
    <col min="12281" max="12281" width="9.85546875" style="21" customWidth="1"/>
    <col min="12282" max="12282" width="14.42578125" style="21" customWidth="1"/>
    <col min="12283" max="12283" width="7.425781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5703125" style="21" customWidth="1"/>
    <col min="12537" max="12537" width="9.85546875" style="21" customWidth="1"/>
    <col min="12538" max="12538" width="14.42578125" style="21" customWidth="1"/>
    <col min="12539" max="12539" width="7.425781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5703125" style="21" customWidth="1"/>
    <col min="12793" max="12793" width="9.85546875" style="21" customWidth="1"/>
    <col min="12794" max="12794" width="14.42578125" style="21" customWidth="1"/>
    <col min="12795" max="12795" width="7.425781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5703125" style="21" customWidth="1"/>
    <col min="13049" max="13049" width="9.85546875" style="21" customWidth="1"/>
    <col min="13050" max="13050" width="14.42578125" style="21" customWidth="1"/>
    <col min="13051" max="13051" width="7.425781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5703125" style="21" customWidth="1"/>
    <col min="13305" max="13305" width="9.85546875" style="21" customWidth="1"/>
    <col min="13306" max="13306" width="14.42578125" style="21" customWidth="1"/>
    <col min="13307" max="13307" width="7.425781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5703125" style="21" customWidth="1"/>
    <col min="13561" max="13561" width="9.85546875" style="21" customWidth="1"/>
    <col min="13562" max="13562" width="14.42578125" style="21" customWidth="1"/>
    <col min="13563" max="13563" width="7.425781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5703125" style="21" customWidth="1"/>
    <col min="13817" max="13817" width="9.85546875" style="21" customWidth="1"/>
    <col min="13818" max="13818" width="14.42578125" style="21" customWidth="1"/>
    <col min="13819" max="13819" width="7.425781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5703125" style="21" customWidth="1"/>
    <col min="14073" max="14073" width="9.85546875" style="21" customWidth="1"/>
    <col min="14074" max="14074" width="14.42578125" style="21" customWidth="1"/>
    <col min="14075" max="14075" width="7.425781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5703125" style="21" customWidth="1"/>
    <col min="14329" max="14329" width="9.85546875" style="21" customWidth="1"/>
    <col min="14330" max="14330" width="14.42578125" style="21" customWidth="1"/>
    <col min="14331" max="14331" width="7.425781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5703125" style="21" customWidth="1"/>
    <col min="14585" max="14585" width="9.85546875" style="21" customWidth="1"/>
    <col min="14586" max="14586" width="14.42578125" style="21" customWidth="1"/>
    <col min="14587" max="14587" width="7.425781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5703125" style="21" customWidth="1"/>
    <col min="14841" max="14841" width="9.85546875" style="21" customWidth="1"/>
    <col min="14842" max="14842" width="14.42578125" style="21" customWidth="1"/>
    <col min="14843" max="14843" width="7.425781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5703125" style="21" customWidth="1"/>
    <col min="15097" max="15097" width="9.85546875" style="21" customWidth="1"/>
    <col min="15098" max="15098" width="14.42578125" style="21" customWidth="1"/>
    <col min="15099" max="15099" width="7.425781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5703125" style="21" customWidth="1"/>
    <col min="15353" max="15353" width="9.85546875" style="21" customWidth="1"/>
    <col min="15354" max="15354" width="14.42578125" style="21" customWidth="1"/>
    <col min="15355" max="15355" width="7.425781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5703125" style="21" customWidth="1"/>
    <col min="15609" max="15609" width="9.85546875" style="21" customWidth="1"/>
    <col min="15610" max="15610" width="14.42578125" style="21" customWidth="1"/>
    <col min="15611" max="15611" width="7.425781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5703125" style="21" customWidth="1"/>
    <col min="15865" max="15865" width="9.85546875" style="21" customWidth="1"/>
    <col min="15866" max="15866" width="14.42578125" style="21" customWidth="1"/>
    <col min="15867" max="15867" width="7.425781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5703125" style="21" customWidth="1"/>
    <col min="16121" max="16121" width="9.85546875" style="21" customWidth="1"/>
    <col min="16122" max="16122" width="14.42578125" style="21" customWidth="1"/>
    <col min="16123" max="16123" width="7.425781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4" t="s">
        <v>278</v>
      </c>
      <c r="B1" s="184"/>
      <c r="C1" s="184"/>
      <c r="D1" s="184"/>
      <c r="E1" s="184"/>
      <c r="F1" s="184"/>
      <c r="G1" s="184"/>
      <c r="H1" s="184"/>
    </row>
    <row r="2" spans="1:26" ht="16.5" customHeight="1" x14ac:dyDescent="0.25">
      <c r="A2" s="185" t="s">
        <v>0</v>
      </c>
      <c r="B2" s="185"/>
      <c r="C2" s="185"/>
      <c r="D2" s="185"/>
      <c r="E2" s="185"/>
      <c r="F2" s="185"/>
      <c r="G2" s="185"/>
      <c r="H2" s="185"/>
    </row>
    <row r="3" spans="1:26" x14ac:dyDescent="0.25">
      <c r="A3" s="114" t="s">
        <v>1</v>
      </c>
      <c r="B3" s="114"/>
      <c r="C3" s="114"/>
      <c r="D3" s="114"/>
      <c r="E3" s="114" t="str">
        <f ca="1">TEXT(TODAY(),"DD/MM/YYYY")</f>
        <v>16/08/2025</v>
      </c>
      <c r="F3" s="114"/>
      <c r="G3" s="114"/>
      <c r="H3" s="114"/>
    </row>
    <row r="4" spans="1:26" ht="15" customHeight="1" x14ac:dyDescent="0.25">
      <c r="A4" s="114" t="s">
        <v>2</v>
      </c>
      <c r="B4" s="114"/>
      <c r="C4" s="114"/>
      <c r="D4" s="114"/>
      <c r="E4" s="114" t="s">
        <v>232</v>
      </c>
      <c r="F4" s="114"/>
      <c r="G4" s="114"/>
      <c r="H4" s="114"/>
    </row>
    <row r="5" spans="1:26" x14ac:dyDescent="0.25">
      <c r="A5" s="114" t="s">
        <v>3</v>
      </c>
      <c r="B5" s="114"/>
      <c r="C5" s="114"/>
      <c r="D5" s="114"/>
      <c r="E5" s="232">
        <v>45877</v>
      </c>
      <c r="F5" s="233"/>
      <c r="G5" s="233"/>
      <c r="H5" s="233"/>
    </row>
    <row r="6" spans="1:26" ht="16.5" customHeight="1" x14ac:dyDescent="0.25">
      <c r="A6" s="114" t="s">
        <v>4</v>
      </c>
      <c r="B6" s="114"/>
      <c r="C6" s="114"/>
      <c r="D6" s="114"/>
      <c r="E6" s="114" t="s">
        <v>233</v>
      </c>
      <c r="F6" s="114"/>
      <c r="G6" s="114"/>
      <c r="H6" s="114"/>
    </row>
    <row r="7" spans="1:26" ht="15" customHeight="1" x14ac:dyDescent="0.25">
      <c r="A7" s="114" t="s">
        <v>5</v>
      </c>
      <c r="B7" s="114"/>
      <c r="C7" s="114"/>
      <c r="D7" s="114"/>
      <c r="E7" s="114" t="str">
        <f>E6</f>
        <v>North Property Developers LLP</v>
      </c>
      <c r="F7" s="114"/>
      <c r="G7" s="114"/>
      <c r="H7" s="114"/>
    </row>
    <row r="8" spans="1:26" x14ac:dyDescent="0.25">
      <c r="A8" s="114" t="s">
        <v>6</v>
      </c>
      <c r="B8" s="114"/>
      <c r="C8" s="114"/>
      <c r="D8" s="114"/>
      <c r="E8" s="186" t="s">
        <v>234</v>
      </c>
      <c r="F8" s="186"/>
      <c r="G8" s="186"/>
      <c r="H8" s="186"/>
    </row>
    <row r="9" spans="1:26" x14ac:dyDescent="0.25">
      <c r="A9" s="114" t="s">
        <v>169</v>
      </c>
      <c r="B9" s="114"/>
      <c r="C9" s="114"/>
      <c r="D9" s="114"/>
      <c r="E9" s="114" t="s">
        <v>279</v>
      </c>
      <c r="F9" s="114"/>
      <c r="G9" s="114"/>
      <c r="H9" s="114"/>
    </row>
    <row r="10" spans="1:26" x14ac:dyDescent="0.25">
      <c r="A10" s="114" t="s">
        <v>170</v>
      </c>
      <c r="B10" s="114"/>
      <c r="C10" s="114"/>
      <c r="D10" s="114"/>
      <c r="E10" s="114" t="s">
        <v>299</v>
      </c>
      <c r="F10" s="114"/>
      <c r="G10" s="114"/>
      <c r="H10" s="114"/>
    </row>
    <row r="11" spans="1:26" x14ac:dyDescent="0.25">
      <c r="A11" s="114" t="s">
        <v>7</v>
      </c>
      <c r="B11" s="114"/>
      <c r="C11" s="114"/>
      <c r="D11" s="114"/>
      <c r="E11" s="114" t="s">
        <v>235</v>
      </c>
      <c r="F11" s="114"/>
      <c r="G11" s="114"/>
      <c r="H11" s="114"/>
    </row>
    <row r="12" spans="1:26" ht="79.5" customHeight="1" x14ac:dyDescent="0.25">
      <c r="A12" s="114" t="s">
        <v>275</v>
      </c>
      <c r="B12" s="114"/>
      <c r="C12" s="114"/>
      <c r="D12" s="114"/>
      <c r="E12" s="103" t="s">
        <v>276</v>
      </c>
      <c r="F12" s="103"/>
      <c r="G12" s="103"/>
      <c r="H12" s="103"/>
      <c r="S12" s="57" t="s">
        <v>179</v>
      </c>
      <c r="T12" s="57" t="s">
        <v>189</v>
      </c>
      <c r="U12" s="57" t="s">
        <v>172</v>
      </c>
      <c r="V12" s="57" t="s">
        <v>194</v>
      </c>
      <c r="W12" s="57" t="s">
        <v>212</v>
      </c>
      <c r="X12"/>
      <c r="Y12" t="s">
        <v>194</v>
      </c>
      <c r="Z12" t="e">
        <f ca="1">OFFSET($S$12,1,MATCH($G19,$S$12:$W$12,0)-1,15,1)</f>
        <v>#VALUE!</v>
      </c>
    </row>
    <row r="13" spans="1:26" x14ac:dyDescent="0.25">
      <c r="A13" s="114" t="s">
        <v>8</v>
      </c>
      <c r="B13" s="114"/>
      <c r="C13" s="114"/>
      <c r="D13" s="114"/>
      <c r="E13" s="103" t="s">
        <v>228</v>
      </c>
      <c r="F13" s="103"/>
      <c r="G13" s="103"/>
      <c r="H13" s="103"/>
      <c r="S13" s="57" t="s">
        <v>180</v>
      </c>
      <c r="T13" s="57" t="s">
        <v>187</v>
      </c>
      <c r="U13" s="57" t="s">
        <v>209</v>
      </c>
      <c r="V13" s="57" t="s">
        <v>195</v>
      </c>
      <c r="W13" s="57" t="s">
        <v>213</v>
      </c>
      <c r="X13"/>
      <c r="Y13"/>
      <c r="Z13"/>
    </row>
    <row r="14" spans="1:26" x14ac:dyDescent="0.25">
      <c r="A14" s="114" t="s">
        <v>295</v>
      </c>
      <c r="B14" s="114"/>
      <c r="C14" s="114"/>
      <c r="D14" s="114"/>
      <c r="E14" s="103" t="s">
        <v>296</v>
      </c>
      <c r="F14" s="114"/>
      <c r="G14" s="114"/>
      <c r="H14" s="114"/>
      <c r="I14" s="99" t="e">
        <f ca="1">OFFSET($D$4,1,MATCH($J12,$D$4:$H$4,0)-1,15,1)</f>
        <v>#N/A</v>
      </c>
      <c r="J14" s="100"/>
      <c r="K14" s="100"/>
      <c r="L14" s="100"/>
      <c r="M14" s="100"/>
      <c r="N14" s="100"/>
      <c r="O14" s="100"/>
      <c r="P14" s="100"/>
      <c r="S14" s="57" t="s">
        <v>181</v>
      </c>
      <c r="T14" s="57" t="s">
        <v>188</v>
      </c>
      <c r="U14" s="57" t="s">
        <v>210</v>
      </c>
      <c r="V14" s="57" t="s">
        <v>196</v>
      </c>
      <c r="W14" s="57" t="s">
        <v>226</v>
      </c>
      <c r="X14"/>
      <c r="Y14"/>
      <c r="Z14"/>
    </row>
    <row r="15" spans="1:26" ht="81.75" customHeight="1" x14ac:dyDescent="0.25">
      <c r="A15" s="103" t="s">
        <v>9</v>
      </c>
      <c r="B15" s="103"/>
      <c r="C15" s="103" t="str">
        <f>CONCATENATE((IF(OR(E8="",E8="NA"),"",E8)),", ",(IF(OR(A16="",A16="NA"),"",A16)),".",(IF(OR(C16="",C16="NA"),"",C16)),", near ",(IF(OR(C21="",C21="NA"),"",C21)),", ",(IF(OR(C18="",C18="NA"),"",C18)),", ",(IF(OR(C17="",C17="NA"),"",C17)),", ",(IF(OR(G18="",G18="NA"),"",G18)),", ",(IF(OR(C19="",C19="NA"),"",C19)),", ",(IF(OR(C20="",C20="NA"),"",C20)),", ",(IF(OR(G19="",G19="NA"),"",G19))," - ",(IF(OR(G20="",G20="NA"),"",G20)),".")</f>
        <v>North Star, CTS No.7(Pt) &amp; Redevelopment of Buildings "Panchsheel SRA CHS LTD, Ekta SRA CHS LTD, Gautamnagar SRA CHS, Viththal Krupa (B) SRA CHS, Jai Hanuman SRA CHS, Shree Sai CHS, Vitthakkrupa SRA CHS, Gautam Nagar (A) Colony SRA CHS", near Gausiya Masjid, Limboni Baug Road, Limboni Baug, Nimoni Nagar, Borla, Govandi West, Kurla, Mumbai - 400071.</v>
      </c>
      <c r="D15" s="103"/>
      <c r="E15" s="103"/>
      <c r="F15" s="103"/>
      <c r="G15" s="103"/>
      <c r="H15" s="103"/>
      <c r="S15" s="57" t="s">
        <v>182</v>
      </c>
      <c r="T15" s="57" t="s">
        <v>190</v>
      </c>
      <c r="U15" s="57" t="s">
        <v>211</v>
      </c>
      <c r="V15" s="57" t="s">
        <v>197</v>
      </c>
      <c r="W15" s="57" t="s">
        <v>214</v>
      </c>
      <c r="X15"/>
      <c r="Y15"/>
      <c r="Z15"/>
    </row>
    <row r="16" spans="1:26" ht="63" customHeight="1" x14ac:dyDescent="0.25">
      <c r="A16" s="103" t="s">
        <v>176</v>
      </c>
      <c r="B16" s="103"/>
      <c r="C16" s="103" t="s">
        <v>277</v>
      </c>
      <c r="D16" s="103"/>
      <c r="E16" s="103"/>
      <c r="F16" s="103"/>
      <c r="G16" s="103"/>
      <c r="H16" s="103"/>
      <c r="S16" s="57" t="s">
        <v>183</v>
      </c>
      <c r="T16" s="57" t="s">
        <v>191</v>
      </c>
      <c r="U16" s="57"/>
      <c r="V16" s="57" t="s">
        <v>198</v>
      </c>
      <c r="W16" s="57" t="s">
        <v>215</v>
      </c>
      <c r="X16"/>
      <c r="Y16"/>
      <c r="Z16"/>
    </row>
    <row r="17" spans="1:26" ht="15.75" customHeight="1" x14ac:dyDescent="0.25">
      <c r="A17" s="103" t="s">
        <v>165</v>
      </c>
      <c r="B17" s="103"/>
      <c r="C17" s="103" t="s">
        <v>241</v>
      </c>
      <c r="D17" s="103"/>
      <c r="E17" s="103"/>
      <c r="F17" s="103"/>
      <c r="G17" s="103"/>
      <c r="H17" s="103"/>
      <c r="S17" s="57" t="s">
        <v>184</v>
      </c>
      <c r="T17" s="57" t="s">
        <v>189</v>
      </c>
      <c r="U17" s="57"/>
      <c r="V17" s="57" t="s">
        <v>199</v>
      </c>
      <c r="W17" s="57" t="s">
        <v>216</v>
      </c>
      <c r="X17"/>
      <c r="Y17"/>
      <c r="Z17"/>
    </row>
    <row r="18" spans="1:26" ht="15.75" customHeight="1" x14ac:dyDescent="0.25">
      <c r="A18" s="103" t="s">
        <v>10</v>
      </c>
      <c r="B18" s="103"/>
      <c r="C18" s="114" t="s">
        <v>240</v>
      </c>
      <c r="D18" s="114"/>
      <c r="E18" s="103" t="s">
        <v>71</v>
      </c>
      <c r="F18" s="103"/>
      <c r="G18" s="103" t="s">
        <v>237</v>
      </c>
      <c r="H18" s="103"/>
      <c r="S18" s="57" t="s">
        <v>185</v>
      </c>
      <c r="T18" s="57" t="s">
        <v>192</v>
      </c>
      <c r="U18" s="57"/>
      <c r="V18" s="57" t="s">
        <v>200</v>
      </c>
      <c r="W18" s="57" t="s">
        <v>217</v>
      </c>
      <c r="X18"/>
      <c r="Y18"/>
      <c r="Z18"/>
    </row>
    <row r="19" spans="1:26" x14ac:dyDescent="0.25">
      <c r="A19" s="114" t="s">
        <v>12</v>
      </c>
      <c r="B19" s="114"/>
      <c r="C19" s="103" t="s">
        <v>280</v>
      </c>
      <c r="D19" s="103"/>
      <c r="E19" s="103" t="s">
        <v>11</v>
      </c>
      <c r="F19" s="103"/>
      <c r="G19" s="104" t="s">
        <v>172</v>
      </c>
      <c r="H19" s="104"/>
      <c r="S19" s="57" t="s">
        <v>186</v>
      </c>
      <c r="T19" s="57" t="s">
        <v>193</v>
      </c>
      <c r="U19" s="57"/>
      <c r="V19" s="57" t="s">
        <v>201</v>
      </c>
      <c r="W19" s="57" t="s">
        <v>218</v>
      </c>
      <c r="X19"/>
      <c r="Y19"/>
      <c r="Z19"/>
    </row>
    <row r="20" spans="1:26" x14ac:dyDescent="0.25">
      <c r="A20" s="114" t="s">
        <v>72</v>
      </c>
      <c r="B20" s="114"/>
      <c r="C20" s="103" t="s">
        <v>211</v>
      </c>
      <c r="D20" s="103"/>
      <c r="E20" s="103" t="s">
        <v>13</v>
      </c>
      <c r="F20" s="103"/>
      <c r="G20" s="103">
        <v>400071</v>
      </c>
      <c r="H20" s="103"/>
      <c r="S20" s="57"/>
      <c r="T20" s="57"/>
      <c r="U20" s="57"/>
      <c r="V20" s="57" t="s">
        <v>202</v>
      </c>
      <c r="W20" s="57" t="s">
        <v>219</v>
      </c>
      <c r="X20"/>
      <c r="Y20"/>
      <c r="Z20"/>
    </row>
    <row r="21" spans="1:26" ht="33.75" customHeight="1" x14ac:dyDescent="0.25">
      <c r="A21" s="114" t="s">
        <v>120</v>
      </c>
      <c r="B21" s="114"/>
      <c r="C21" s="103" t="s">
        <v>274</v>
      </c>
      <c r="D21" s="103"/>
      <c r="E21" s="103" t="s">
        <v>14</v>
      </c>
      <c r="F21" s="103"/>
      <c r="G21" s="103" t="s">
        <v>242</v>
      </c>
      <c r="H21" s="103"/>
      <c r="S21" s="57"/>
      <c r="T21" s="57"/>
      <c r="U21" s="57"/>
      <c r="V21" s="57" t="s">
        <v>203</v>
      </c>
      <c r="W21" s="57" t="s">
        <v>220</v>
      </c>
      <c r="X21"/>
      <c r="Y21"/>
      <c r="Z21"/>
    </row>
    <row r="22" spans="1:26" ht="15" customHeight="1" x14ac:dyDescent="0.25">
      <c r="A22" s="123" t="s">
        <v>73</v>
      </c>
      <c r="B22" s="123"/>
      <c r="C22" s="123"/>
      <c r="D22" s="123"/>
      <c r="E22" s="114" t="s">
        <v>15</v>
      </c>
      <c r="F22" s="114"/>
      <c r="G22" s="114"/>
      <c r="H22" s="114"/>
      <c r="S22" s="57"/>
      <c r="T22" s="57"/>
      <c r="U22" s="57"/>
      <c r="V22" s="57" t="s">
        <v>204</v>
      </c>
      <c r="W22" s="57" t="s">
        <v>221</v>
      </c>
      <c r="X22"/>
      <c r="Y22"/>
      <c r="Z22"/>
    </row>
    <row r="23" spans="1:26" ht="18.75" customHeight="1" x14ac:dyDescent="0.25">
      <c r="A23" s="123"/>
      <c r="B23" s="123"/>
      <c r="C23" s="123"/>
      <c r="D23" s="123"/>
      <c r="E23" s="114"/>
      <c r="F23" s="114"/>
      <c r="G23" s="114"/>
      <c r="H23" s="114"/>
      <c r="S23" s="57"/>
      <c r="T23" s="57"/>
      <c r="U23" s="57"/>
      <c r="V23" s="57" t="s">
        <v>205</v>
      </c>
      <c r="W23" s="57" t="s">
        <v>222</v>
      </c>
      <c r="X23"/>
      <c r="Y23"/>
      <c r="Z23"/>
    </row>
    <row r="24" spans="1:26" ht="15" customHeight="1" x14ac:dyDescent="0.25">
      <c r="A24" s="123" t="s">
        <v>16</v>
      </c>
      <c r="B24" s="123"/>
      <c r="C24" s="123"/>
      <c r="D24" s="123"/>
      <c r="E24" s="103" t="s">
        <v>17</v>
      </c>
      <c r="F24" s="103"/>
      <c r="G24" s="103"/>
      <c r="H24" s="103"/>
      <c r="S24" s="57"/>
      <c r="T24" s="57"/>
      <c r="U24" s="57"/>
      <c r="V24" s="57" t="s">
        <v>206</v>
      </c>
      <c r="W24" s="57" t="s">
        <v>223</v>
      </c>
      <c r="X24"/>
      <c r="Y24"/>
      <c r="Z24"/>
    </row>
    <row r="25" spans="1:26" ht="15" customHeight="1" x14ac:dyDescent="0.25">
      <c r="A25" s="105" t="s">
        <v>18</v>
      </c>
      <c r="B25" s="105"/>
      <c r="C25" s="105"/>
      <c r="D25" s="105"/>
      <c r="E25" s="103" t="str">
        <f>IF(AND(G19="Mumbai"),"Upper Class","Middle Class")</f>
        <v>Upper Class</v>
      </c>
      <c r="F25" s="103"/>
      <c r="G25" s="103"/>
      <c r="H25" s="103"/>
      <c r="S25" s="57"/>
      <c r="T25" s="57"/>
      <c r="U25" s="57"/>
      <c r="V25" s="57" t="s">
        <v>207</v>
      </c>
      <c r="W25" s="57" t="s">
        <v>224</v>
      </c>
      <c r="X25"/>
      <c r="Y25"/>
      <c r="Z25"/>
    </row>
    <row r="26" spans="1:26" x14ac:dyDescent="0.25">
      <c r="A26" s="105" t="s">
        <v>19</v>
      </c>
      <c r="B26" s="105"/>
      <c r="C26" s="105"/>
      <c r="D26" s="105"/>
      <c r="E26" s="103" t="s">
        <v>20</v>
      </c>
      <c r="F26" s="103"/>
      <c r="G26" s="103"/>
      <c r="H26" s="103"/>
      <c r="S26" s="57"/>
      <c r="T26" s="57"/>
      <c r="U26" s="57"/>
      <c r="V26" s="57" t="s">
        <v>208</v>
      </c>
      <c r="W26" s="57" t="s">
        <v>225</v>
      </c>
      <c r="X26"/>
      <c r="Y26"/>
      <c r="Z26"/>
    </row>
    <row r="27" spans="1:26" ht="15.75" customHeight="1" x14ac:dyDescent="0.25">
      <c r="A27" s="105" t="s">
        <v>21</v>
      </c>
      <c r="B27" s="105"/>
      <c r="C27" s="105"/>
      <c r="D27" s="105"/>
      <c r="E27" s="103" t="str">
        <f>IF(AND(G19="Mumbai"),"Developed","Developing")</f>
        <v>Developed</v>
      </c>
      <c r="F27" s="103"/>
      <c r="G27" s="103"/>
      <c r="H27" s="103"/>
    </row>
    <row r="28" spans="1:26" x14ac:dyDescent="0.25">
      <c r="A28" s="105" t="s">
        <v>22</v>
      </c>
      <c r="B28" s="105"/>
      <c r="C28" s="105"/>
      <c r="D28" s="105"/>
      <c r="E28" s="103" t="s">
        <v>23</v>
      </c>
      <c r="F28" s="103"/>
      <c r="G28" s="103"/>
      <c r="H28" s="103"/>
    </row>
    <row r="29" spans="1:26" ht="15.75" customHeight="1" x14ac:dyDescent="0.25">
      <c r="A29" s="105" t="s">
        <v>78</v>
      </c>
      <c r="B29" s="105"/>
      <c r="C29" s="105"/>
      <c r="D29" s="105"/>
      <c r="E29" s="103" t="s">
        <v>79</v>
      </c>
      <c r="F29" s="103"/>
      <c r="G29" s="103"/>
      <c r="H29" s="103"/>
    </row>
    <row r="30" spans="1:26" ht="15" customHeight="1" x14ac:dyDescent="0.25">
      <c r="A30" s="105" t="s">
        <v>31</v>
      </c>
      <c r="B30" s="105"/>
      <c r="C30" s="105"/>
      <c r="D30" s="105"/>
      <c r="E30" s="103"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30" s="103"/>
      <c r="G30" s="103"/>
      <c r="H30" s="103"/>
    </row>
    <row r="31" spans="1:26" ht="15.75" customHeight="1" x14ac:dyDescent="0.25">
      <c r="A31" s="105" t="s">
        <v>90</v>
      </c>
      <c r="B31" s="105"/>
      <c r="C31" s="105"/>
      <c r="D31" s="105"/>
      <c r="E31" s="103" t="s">
        <v>32</v>
      </c>
      <c r="F31" s="103"/>
      <c r="G31" s="103"/>
      <c r="H31" s="103"/>
    </row>
    <row r="32" spans="1:26" s="22" customFormat="1" x14ac:dyDescent="0.25">
      <c r="A32" s="190" t="s">
        <v>91</v>
      </c>
      <c r="B32" s="190"/>
      <c r="C32" s="187" t="s">
        <v>173</v>
      </c>
      <c r="D32" s="188"/>
      <c r="E32" s="189"/>
      <c r="F32" s="187" t="s">
        <v>29</v>
      </c>
      <c r="G32" s="188"/>
      <c r="H32" s="189"/>
    </row>
    <row r="33" spans="1:8" s="22" customFormat="1" x14ac:dyDescent="0.25">
      <c r="A33" s="106" t="s">
        <v>24</v>
      </c>
      <c r="B33" s="106" t="s">
        <v>28</v>
      </c>
      <c r="C33" s="107" t="s">
        <v>248</v>
      </c>
      <c r="D33" s="108"/>
      <c r="E33" s="109"/>
      <c r="F33" s="107" t="s">
        <v>246</v>
      </c>
      <c r="G33" s="108"/>
      <c r="H33" s="109"/>
    </row>
    <row r="34" spans="1:8" x14ac:dyDescent="0.25">
      <c r="A34" s="106" t="s">
        <v>25</v>
      </c>
      <c r="B34" s="106" t="s">
        <v>28</v>
      </c>
      <c r="C34" s="107" t="s">
        <v>249</v>
      </c>
      <c r="D34" s="108"/>
      <c r="E34" s="109"/>
      <c r="F34" s="107" t="s">
        <v>247</v>
      </c>
      <c r="G34" s="108"/>
      <c r="H34" s="109"/>
    </row>
    <row r="35" spans="1:8" s="22" customFormat="1" x14ac:dyDescent="0.25">
      <c r="A35" s="106" t="s">
        <v>27</v>
      </c>
      <c r="B35" s="106" t="s">
        <v>28</v>
      </c>
      <c r="C35" s="107" t="s">
        <v>250</v>
      </c>
      <c r="D35" s="108"/>
      <c r="E35" s="109"/>
      <c r="F35" s="107" t="s">
        <v>293</v>
      </c>
      <c r="G35" s="108"/>
      <c r="H35" s="109"/>
    </row>
    <row r="36" spans="1:8" x14ac:dyDescent="0.25">
      <c r="A36" s="106" t="s">
        <v>26</v>
      </c>
      <c r="B36" s="106" t="s">
        <v>28</v>
      </c>
      <c r="C36" s="107" t="s">
        <v>251</v>
      </c>
      <c r="D36" s="108"/>
      <c r="E36" s="109"/>
      <c r="F36" s="107" t="s">
        <v>240</v>
      </c>
      <c r="G36" s="108"/>
      <c r="H36" s="109"/>
    </row>
    <row r="37" spans="1:8" x14ac:dyDescent="0.25">
      <c r="A37" s="105" t="s">
        <v>30</v>
      </c>
      <c r="B37" s="105"/>
      <c r="C37" s="105"/>
      <c r="D37" s="105"/>
      <c r="E37" s="105"/>
      <c r="F37" s="105"/>
      <c r="G37" s="105"/>
      <c r="H37" s="105"/>
    </row>
    <row r="38" spans="1:8" ht="15.75" customHeight="1" x14ac:dyDescent="0.25">
      <c r="A38" s="111" t="s">
        <v>167</v>
      </c>
      <c r="B38" s="111"/>
      <c r="C38" s="114" t="s">
        <v>239</v>
      </c>
      <c r="D38" s="114"/>
      <c r="E38" s="114"/>
      <c r="F38" s="114"/>
      <c r="G38" s="114"/>
      <c r="H38" s="114"/>
    </row>
    <row r="39" spans="1:8" x14ac:dyDescent="0.25">
      <c r="A39" s="111" t="s">
        <v>164</v>
      </c>
      <c r="B39" s="111"/>
      <c r="C39" s="214" t="s">
        <v>238</v>
      </c>
      <c r="D39" s="215"/>
      <c r="E39" s="215"/>
      <c r="F39" s="215"/>
      <c r="G39" s="215"/>
      <c r="H39" s="215"/>
    </row>
    <row r="40" spans="1:8" x14ac:dyDescent="0.25">
      <c r="A40" s="111" t="s">
        <v>33</v>
      </c>
      <c r="B40" s="111"/>
      <c r="C40" s="111"/>
      <c r="D40" s="111"/>
      <c r="E40" s="111"/>
      <c r="F40" s="111"/>
      <c r="G40" s="111"/>
      <c r="H40" s="111"/>
    </row>
    <row r="41" spans="1:8" x14ac:dyDescent="0.25">
      <c r="A41" s="105" t="s">
        <v>34</v>
      </c>
      <c r="B41" s="105"/>
      <c r="C41" s="105"/>
      <c r="D41" s="105"/>
      <c r="E41" s="110">
        <v>24302.3</v>
      </c>
      <c r="F41" s="110"/>
      <c r="G41" s="110"/>
      <c r="H41" s="110"/>
    </row>
    <row r="42" spans="1:8" x14ac:dyDescent="0.25">
      <c r="A42" s="105" t="s">
        <v>35</v>
      </c>
      <c r="B42" s="105"/>
      <c r="C42" s="105"/>
      <c r="D42" s="105"/>
      <c r="E42" s="102">
        <v>4</v>
      </c>
      <c r="F42" s="102"/>
      <c r="G42" s="102"/>
      <c r="H42" s="102"/>
    </row>
    <row r="43" spans="1:8" x14ac:dyDescent="0.25">
      <c r="A43" s="105" t="s">
        <v>36</v>
      </c>
      <c r="B43" s="105"/>
      <c r="C43" s="105"/>
      <c r="D43" s="105"/>
      <c r="E43" s="102">
        <f>E45/E41-E42</f>
        <v>0.5430399591808186</v>
      </c>
      <c r="F43" s="102"/>
      <c r="G43" s="102"/>
      <c r="H43" s="102"/>
    </row>
    <row r="44" spans="1:8" x14ac:dyDescent="0.25">
      <c r="A44" s="105" t="s">
        <v>37</v>
      </c>
      <c r="B44" s="105"/>
      <c r="C44" s="105"/>
      <c r="D44" s="105"/>
      <c r="E44" s="102">
        <f>E42+E43</f>
        <v>4.5430399591808186</v>
      </c>
      <c r="F44" s="102"/>
      <c r="G44" s="102"/>
      <c r="H44" s="102"/>
    </row>
    <row r="45" spans="1:8" x14ac:dyDescent="0.25">
      <c r="A45" s="105" t="s">
        <v>89</v>
      </c>
      <c r="B45" s="105"/>
      <c r="C45" s="105"/>
      <c r="D45" s="105"/>
      <c r="E45" s="113">
        <v>110406.32</v>
      </c>
      <c r="F45" s="113"/>
      <c r="G45" s="113"/>
      <c r="H45" s="113"/>
    </row>
    <row r="46" spans="1:8" x14ac:dyDescent="0.25">
      <c r="A46" s="114" t="s">
        <v>38</v>
      </c>
      <c r="B46" s="114"/>
      <c r="C46" s="114"/>
      <c r="D46" s="114"/>
      <c r="E46" s="114" t="s">
        <v>281</v>
      </c>
      <c r="F46" s="114"/>
      <c r="G46" s="114"/>
      <c r="H46" s="114"/>
    </row>
    <row r="47" spans="1:8" x14ac:dyDescent="0.25">
      <c r="A47" s="111" t="s">
        <v>39</v>
      </c>
      <c r="B47" s="111"/>
      <c r="C47" s="111"/>
      <c r="D47" s="111"/>
      <c r="E47" s="111"/>
      <c r="F47" s="111"/>
      <c r="G47" s="111"/>
      <c r="H47" s="111"/>
    </row>
    <row r="48" spans="1:8" ht="33.75" customHeight="1" x14ac:dyDescent="0.25">
      <c r="A48" s="117" t="s">
        <v>152</v>
      </c>
      <c r="B48" s="119"/>
      <c r="C48" s="228" t="s">
        <v>236</v>
      </c>
      <c r="D48" s="229"/>
      <c r="E48" s="229"/>
      <c r="F48" s="229"/>
      <c r="G48" s="229"/>
      <c r="H48" s="230"/>
    </row>
    <row r="49" spans="1:14" ht="15.75" customHeight="1" x14ac:dyDescent="0.25">
      <c r="A49" s="117" t="s">
        <v>40</v>
      </c>
      <c r="B49" s="119"/>
      <c r="C49" s="117" t="s">
        <v>243</v>
      </c>
      <c r="D49" s="118"/>
      <c r="E49" s="119"/>
      <c r="F49" s="18" t="s">
        <v>41</v>
      </c>
      <c r="G49" s="193">
        <v>44568</v>
      </c>
      <c r="H49" s="194"/>
    </row>
    <row r="50" spans="1:14" x14ac:dyDescent="0.25">
      <c r="A50" s="117" t="s">
        <v>42</v>
      </c>
      <c r="B50" s="119"/>
      <c r="C50" s="117" t="str">
        <f>C49</f>
        <v>M-E/MCGM/0004/20041011/AP/S-6</v>
      </c>
      <c r="D50" s="118"/>
      <c r="E50" s="119"/>
      <c r="F50" s="18" t="s">
        <v>41</v>
      </c>
      <c r="G50" s="193">
        <f>G49</f>
        <v>44568</v>
      </c>
      <c r="H50" s="194"/>
    </row>
    <row r="51" spans="1:14" s="23" customFormat="1" ht="15.75" customHeight="1" x14ac:dyDescent="0.25">
      <c r="A51" s="195" t="s">
        <v>156</v>
      </c>
      <c r="B51" s="196"/>
      <c r="C51" s="117" t="str">
        <f>C50</f>
        <v>M-E/MCGM/0004/20041011/AP/S-6</v>
      </c>
      <c r="D51" s="118"/>
      <c r="E51" s="119"/>
      <c r="F51" s="18" t="s">
        <v>41</v>
      </c>
      <c r="G51" s="193">
        <v>45117</v>
      </c>
      <c r="H51" s="194"/>
    </row>
    <row r="52" spans="1:14" s="23" customFormat="1" ht="49.5" customHeight="1" x14ac:dyDescent="0.25">
      <c r="A52" s="197"/>
      <c r="B52" s="198"/>
      <c r="C52" s="117" t="s">
        <v>297</v>
      </c>
      <c r="D52" s="118"/>
      <c r="E52" s="118"/>
      <c r="F52" s="118"/>
      <c r="G52" s="118"/>
      <c r="H52" s="119"/>
    </row>
    <row r="53" spans="1:14" x14ac:dyDescent="0.25">
      <c r="A53" s="120" t="s">
        <v>43</v>
      </c>
      <c r="B53" s="121"/>
      <c r="C53" s="120" t="s">
        <v>103</v>
      </c>
      <c r="D53" s="199"/>
      <c r="E53" s="121"/>
      <c r="F53" s="46" t="s">
        <v>41</v>
      </c>
      <c r="G53" s="115" t="s">
        <v>28</v>
      </c>
      <c r="H53" s="116"/>
    </row>
    <row r="54" spans="1:14" x14ac:dyDescent="0.25">
      <c r="A54" s="183" t="s">
        <v>45</v>
      </c>
      <c r="B54" s="183"/>
      <c r="C54" s="183"/>
      <c r="D54" s="183"/>
      <c r="E54" s="183"/>
      <c r="F54" s="183"/>
      <c r="G54" s="183"/>
      <c r="H54" s="183"/>
    </row>
    <row r="55" spans="1:14" x14ac:dyDescent="0.25">
      <c r="A55" s="123" t="s">
        <v>88</v>
      </c>
      <c r="B55" s="123"/>
      <c r="C55" s="123"/>
      <c r="D55" s="114">
        <v>28579.49</v>
      </c>
      <c r="E55" s="114"/>
      <c r="F55" s="114"/>
      <c r="G55" s="114"/>
      <c r="H55" s="114"/>
    </row>
    <row r="56" spans="1:14" x14ac:dyDescent="0.25">
      <c r="A56" s="103" t="s">
        <v>46</v>
      </c>
      <c r="B56" s="114"/>
      <c r="C56" s="114"/>
      <c r="D56" s="114" t="s">
        <v>268</v>
      </c>
      <c r="E56" s="114"/>
      <c r="F56" s="114"/>
      <c r="G56" s="114"/>
      <c r="H56" s="114"/>
      <c r="I56" s="24"/>
    </row>
    <row r="57" spans="1:14" x14ac:dyDescent="0.25">
      <c r="A57" s="140" t="s">
        <v>47</v>
      </c>
      <c r="B57" s="141"/>
      <c r="C57" s="144"/>
      <c r="D57" s="191" t="s">
        <v>290</v>
      </c>
      <c r="E57" s="192"/>
      <c r="F57" s="192"/>
      <c r="G57" s="192"/>
      <c r="H57" s="192"/>
    </row>
    <row r="58" spans="1:14" x14ac:dyDescent="0.25">
      <c r="A58" s="140" t="s">
        <v>86</v>
      </c>
      <c r="B58" s="141"/>
      <c r="C58" s="141"/>
      <c r="D58" s="140" t="s">
        <v>291</v>
      </c>
      <c r="E58" s="141"/>
      <c r="F58" s="141"/>
      <c r="G58" s="141"/>
      <c r="H58" s="144"/>
    </row>
    <row r="59" spans="1:14" x14ac:dyDescent="0.25">
      <c r="A59" s="142"/>
      <c r="B59" s="143"/>
      <c r="C59" s="143"/>
      <c r="D59" s="145" t="s">
        <v>292</v>
      </c>
      <c r="E59" s="146"/>
      <c r="F59" s="146"/>
      <c r="G59" s="146"/>
      <c r="H59" s="147"/>
    </row>
    <row r="60" spans="1:14" ht="15.75" customHeight="1" x14ac:dyDescent="0.25">
      <c r="A60" s="105" t="s">
        <v>44</v>
      </c>
      <c r="B60" s="105"/>
      <c r="C60" s="105"/>
      <c r="D60" s="150" t="s">
        <v>244</v>
      </c>
      <c r="E60" s="150"/>
      <c r="F60" s="150"/>
      <c r="G60" s="150"/>
      <c r="H60" s="150"/>
      <c r="J60" s="25"/>
      <c r="K60" s="24"/>
      <c r="N60" s="24"/>
    </row>
    <row r="61" spans="1:14" ht="15.75" customHeight="1" x14ac:dyDescent="0.25">
      <c r="A61" s="105" t="s">
        <v>84</v>
      </c>
      <c r="B61" s="105"/>
      <c r="C61" s="105"/>
      <c r="D61" s="112" t="str">
        <f>(IF(G53="NA","60 Years After Completion",IF(G53&lt;&gt;"NA",""&amp;60-ROUNDDOWN((E3-G53)/360,0)&amp;" Years"," ")))</f>
        <v>60 Years After Completion</v>
      </c>
      <c r="E61" s="112"/>
      <c r="F61" s="112"/>
      <c r="G61" s="112"/>
      <c r="H61" s="112"/>
      <c r="N61" s="24"/>
    </row>
    <row r="62" spans="1:14" ht="15.75" customHeight="1" x14ac:dyDescent="0.25">
      <c r="A62" s="105" t="s">
        <v>85</v>
      </c>
      <c r="B62" s="105"/>
      <c r="C62" s="105"/>
      <c r="D62" s="123" t="s">
        <v>23</v>
      </c>
      <c r="E62" s="123"/>
      <c r="F62" s="123"/>
      <c r="G62" s="123"/>
      <c r="H62" s="123"/>
      <c r="J62" s="26"/>
      <c r="K62" s="26"/>
    </row>
    <row r="63" spans="1:14" ht="33" customHeight="1" x14ac:dyDescent="0.25">
      <c r="A63" s="114" t="s">
        <v>245</v>
      </c>
      <c r="B63" s="114"/>
      <c r="C63" s="114"/>
      <c r="D63" s="103" t="s">
        <v>289</v>
      </c>
      <c r="E63" s="123"/>
      <c r="F63" s="123"/>
      <c r="G63" s="123"/>
      <c r="H63" s="123"/>
    </row>
    <row r="64" spans="1:14" x14ac:dyDescent="0.25">
      <c r="A64" s="123" t="s">
        <v>148</v>
      </c>
      <c r="B64" s="123"/>
      <c r="C64" s="123"/>
      <c r="D64" s="123" t="s">
        <v>28</v>
      </c>
      <c r="E64" s="123"/>
      <c r="F64" s="123"/>
      <c r="G64" s="123"/>
      <c r="H64" s="123"/>
      <c r="I64" s="27"/>
      <c r="J64" s="27"/>
      <c r="K64" s="27"/>
      <c r="L64" s="27"/>
      <c r="M64" s="27"/>
      <c r="N64" s="27"/>
    </row>
    <row r="65" spans="1:10" ht="15.75" customHeight="1" x14ac:dyDescent="0.25">
      <c r="A65" s="105" t="s">
        <v>83</v>
      </c>
      <c r="B65" s="105"/>
      <c r="C65" s="105"/>
      <c r="D65" s="103" t="str">
        <f ca="1">(IF(G71&gt;95%,"Nothing",IF(G71&gt;0%,"Cement, Aggregate, Steel, etc",IF(G71=0%,"Work not yet Started"))))</f>
        <v>Cement, Aggregate, Steel, etc</v>
      </c>
      <c r="E65" s="103"/>
      <c r="F65" s="103"/>
      <c r="G65" s="103"/>
      <c r="H65" s="103"/>
      <c r="J65" s="26"/>
    </row>
    <row r="66" spans="1:10" ht="33.75" customHeight="1" thickBot="1" x14ac:dyDescent="0.3">
      <c r="A66" s="123" t="s">
        <v>116</v>
      </c>
      <c r="B66" s="123"/>
      <c r="C66" s="123"/>
      <c r="D66" s="103" t="str">
        <f ca="1">(IF(D65="Nothing","Yes",IF(D65="Cement, Aggregate, Steel, etc","Under Construction",IF(D65="Work not yet Started","Work not yet Started"))))</f>
        <v>Under Construction</v>
      </c>
      <c r="E66" s="103"/>
      <c r="F66" s="103" t="str">
        <f ca="1">(IF(D65="Nothing","Yes",IF(D65="Cement, Aggregate, Steel, etc","Under Construction",IF(D65="Work not yet Started","Work not yet Started"))))</f>
        <v>Under Construction</v>
      </c>
      <c r="G66" s="103"/>
      <c r="H66" s="103"/>
    </row>
    <row r="67" spans="1:10" ht="15.75" customHeight="1" x14ac:dyDescent="0.25">
      <c r="A67" s="227" t="s">
        <v>138</v>
      </c>
      <c r="B67" s="227"/>
      <c r="C67" s="151" t="str">
        <f>D58</f>
        <v>Sale Building No. 6 Wing A = 1B + Gr/Stilt + 1st to 33rd Floor</v>
      </c>
      <c r="D67" s="151"/>
      <c r="E67" s="151"/>
      <c r="F67" s="151"/>
      <c r="G67" s="151"/>
      <c r="H67" s="151"/>
      <c r="I67" s="74" t="str">
        <f ca="1">IF(D80=100%,"All work Completed. Possession granted to the Building.",IF(D79=100%,"All work Completed, Waiting for OC",I68&amp;""&amp;I69&amp;""&amp;J68&amp;""&amp;J67&amp;" "&amp;J69))</f>
        <v>Excavation, Plinth Completed, RCC upto 20 Slab, Brickwork upto 19 Floor, Internal Plaster upto 12.35 Floor, External Plaster upto 12.35 Floor, Flooring upto 4 Floor Completed</v>
      </c>
      <c r="J67" s="49"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RCC upto 20 Slab, Brickwork upto 19 Floor, Internal Plaster upto 12.35 Floor, External Plaster upto 12.35 Floor, Flooring upto 4 Floor</v>
      </c>
    </row>
    <row r="68" spans="1:10" x14ac:dyDescent="0.25">
      <c r="A68" s="52" t="s">
        <v>140</v>
      </c>
      <c r="B68" s="52">
        <f>IF(AND(ISNUMBER(SEARCH("1B",C67))),1,IF(AND(ISNUMBER(SEARCH("2B",C67))),2,IF(AND(ISNUMBER(SEARCH("3B",C67))),3,IF(AND(ISNUMBER(SEARCH("4B",C67))),4,IF(ISNUMBER(SEARCH("5B",C67)),5,0)))))</f>
        <v>1</v>
      </c>
      <c r="C68" s="52" t="s">
        <v>70</v>
      </c>
      <c r="D68" s="52">
        <v>1</v>
      </c>
      <c r="E68" s="52" t="s">
        <v>69</v>
      </c>
      <c r="F68" s="52">
        <v>0</v>
      </c>
      <c r="G68" s="52" t="s">
        <v>77</v>
      </c>
      <c r="H68" s="52">
        <f ca="1">--TRIM(RIGHT(SUBSTITUTE(LEFT(C67,_xlfn.AGGREGATE(16,6,FIND({0,1,2,3,4,5,6,7,8,9},C67,ROW(INDIRECT("1:"&amp;LEN(C67)))),1))," ",REPT(" ",LEN(C67))),LEN(C67)))</f>
        <v>33</v>
      </c>
      <c r="I68" s="75" t="str">
        <f ca="1">IF(D71=100%,"Excavation","")&amp;IF(D72=100%,", Plinth","")&amp;IF(D73=100%,", RCC Slab","")&amp;IF(D74=100%,", Brickwork","")&amp;IF(D75=100%,", Internal Plaster","")&amp;IF(D76=100%,", External Plaster","")&amp;IF(D77=100%,", Flooring","")&amp;IF(D78=100%,", Painting","")&amp;IF(D79=100%,", Building common Amenities","")</f>
        <v>Excavation, Plinth</v>
      </c>
      <c r="J68" s="51"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48" customHeight="1" x14ac:dyDescent="0.25">
      <c r="A69" s="186" t="s">
        <v>87</v>
      </c>
      <c r="B69" s="186"/>
      <c r="C69" s="151" t="str">
        <f ca="1">I67</f>
        <v>Excavation, Plinth Completed, RCC upto 20 Slab, Brickwork upto 19 Floor, Internal Plaster upto 12.35 Floor, External Plaster upto 12.35 Floor, Flooring upto 4 Floor Completed</v>
      </c>
      <c r="D69" s="151"/>
      <c r="E69" s="151"/>
      <c r="F69" s="151"/>
      <c r="G69" s="151"/>
      <c r="H69" s="151"/>
      <c r="I69" s="75" t="str">
        <f ca="1">IF(I68&lt;&gt;""," Completed","")</f>
        <v xml:space="preserve"> Completed</v>
      </c>
      <c r="J69" s="51" t="str">
        <f ca="1">IF(J67&lt;&gt;"","Completed","")</f>
        <v>Completed</v>
      </c>
    </row>
    <row r="70" spans="1:10" ht="15.75" customHeight="1" x14ac:dyDescent="0.25">
      <c r="A70" s="137" t="s">
        <v>48</v>
      </c>
      <c r="B70" s="138"/>
      <c r="C70" s="61" t="s">
        <v>137</v>
      </c>
      <c r="D70" s="61" t="s">
        <v>80</v>
      </c>
      <c r="E70" s="148" t="s">
        <v>82</v>
      </c>
      <c r="F70" s="148"/>
      <c r="G70" s="148" t="s">
        <v>81</v>
      </c>
      <c r="H70" s="149"/>
      <c r="I70" s="14" t="s">
        <v>139</v>
      </c>
      <c r="J70" s="28">
        <f ca="1">H68*25%</f>
        <v>8.25</v>
      </c>
    </row>
    <row r="71" spans="1:10" x14ac:dyDescent="0.25">
      <c r="A71" s="137" t="s">
        <v>126</v>
      </c>
      <c r="B71" s="138"/>
      <c r="C71" s="61">
        <f ca="1">J72</f>
        <v>33</v>
      </c>
      <c r="D71" s="62">
        <f ca="1">((100/H68)*C71)/100</f>
        <v>1</v>
      </c>
      <c r="E71" s="216">
        <f ca="1">(((C72/H68*10)+(40/(D68+F68+H68)*C73)+(7.5/(H68)*C74)+(7.5/(H68)*C75)+(10/H68*C76)+(10/H68*C77)+(5/H68*C78)+(5/H68*C79)+(5/H68*C80))/100)</f>
        <v>0.45608957219251339</v>
      </c>
      <c r="F71" s="217"/>
      <c r="G71" s="216">
        <f ca="1">((((C71/H68)*20)+((C72/H68)*25)+(30/(H68+F68+D68)*C73)+(5/H68*C74)+(5/H68*C75)+(5/H68*C76)+(5/H68*C77)+(0/H68*C78)+(0/H68*C79)+(5/H68*C80))/100)</f>
        <v>0.69874331550802149</v>
      </c>
      <c r="H71" s="222"/>
      <c r="I71" s="14" t="s">
        <v>98</v>
      </c>
      <c r="J71" s="29">
        <f ca="1">H68*50%</f>
        <v>16.5</v>
      </c>
    </row>
    <row r="72" spans="1:10" x14ac:dyDescent="0.25">
      <c r="A72" s="137" t="s">
        <v>49</v>
      </c>
      <c r="B72" s="138"/>
      <c r="C72" s="61">
        <f ca="1">J80</f>
        <v>33</v>
      </c>
      <c r="D72" s="62">
        <f ca="1">((100/H68)*C72)/100</f>
        <v>1</v>
      </c>
      <c r="E72" s="218"/>
      <c r="F72" s="219"/>
      <c r="G72" s="218"/>
      <c r="H72" s="223"/>
      <c r="I72" s="14" t="s">
        <v>99</v>
      </c>
      <c r="J72" s="29">
        <f ca="1">H68</f>
        <v>33</v>
      </c>
    </row>
    <row r="73" spans="1:10" ht="15.75" customHeight="1" x14ac:dyDescent="0.25">
      <c r="A73" s="137" t="s">
        <v>127</v>
      </c>
      <c r="B73" s="138"/>
      <c r="C73" s="61">
        <v>20</v>
      </c>
      <c r="D73" s="62">
        <f ca="1">((100/(D68+F68+H68))*C73)/100</f>
        <v>0.58823529411764708</v>
      </c>
      <c r="E73" s="218"/>
      <c r="F73" s="219"/>
      <c r="G73" s="218"/>
      <c r="H73" s="223"/>
      <c r="I73" s="14" t="s">
        <v>100</v>
      </c>
      <c r="J73" s="30">
        <f ca="1">(IF(B68&gt;1,(H68/(B68+2)),H68/4))</f>
        <v>8.25</v>
      </c>
    </row>
    <row r="74" spans="1:10" ht="15.75" customHeight="1" x14ac:dyDescent="0.25">
      <c r="A74" s="137" t="s">
        <v>134</v>
      </c>
      <c r="B74" s="138" t="s">
        <v>128</v>
      </c>
      <c r="C74" s="61">
        <f>C73-1</f>
        <v>19</v>
      </c>
      <c r="D74" s="62">
        <f ca="1">((100/H68)*C74)/100</f>
        <v>0.5757575757575758</v>
      </c>
      <c r="E74" s="218"/>
      <c r="F74" s="219"/>
      <c r="G74" s="218"/>
      <c r="H74" s="223"/>
      <c r="I74" s="14" t="s">
        <v>101</v>
      </c>
      <c r="J74" s="30">
        <f ca="1">(IF(B68&gt;1,(H68/(B68+2)+J73),H68/4+J73))</f>
        <v>16.5</v>
      </c>
    </row>
    <row r="75" spans="1:10" ht="15.75" customHeight="1" x14ac:dyDescent="0.25">
      <c r="A75" s="137" t="s">
        <v>135</v>
      </c>
      <c r="B75" s="138" t="s">
        <v>128</v>
      </c>
      <c r="C75" s="72">
        <f>C74*0.65</f>
        <v>12.35</v>
      </c>
      <c r="D75" s="62">
        <f ca="1">((100/H68)*C75)/100</f>
        <v>0.37424242424242421</v>
      </c>
      <c r="E75" s="218"/>
      <c r="F75" s="219"/>
      <c r="G75" s="218"/>
      <c r="H75" s="223"/>
      <c r="I75" s="14" t="s">
        <v>146</v>
      </c>
      <c r="J75" s="30">
        <f>(IF(B68&gt;1,(H68/(B68+2)+J74),0))</f>
        <v>0</v>
      </c>
    </row>
    <row r="76" spans="1:10" ht="15" customHeight="1" x14ac:dyDescent="0.25">
      <c r="A76" s="137" t="s">
        <v>133</v>
      </c>
      <c r="B76" s="138" t="s">
        <v>130</v>
      </c>
      <c r="C76" s="72">
        <f>C75</f>
        <v>12.35</v>
      </c>
      <c r="D76" s="62">
        <f ca="1">((100/(H68))*C76)/100</f>
        <v>0.37424242424242421</v>
      </c>
      <c r="E76" s="218"/>
      <c r="F76" s="219"/>
      <c r="G76" s="218"/>
      <c r="H76" s="223"/>
      <c r="I76" s="14" t="s">
        <v>141</v>
      </c>
      <c r="J76" s="30">
        <f>(IF(B68&gt;2,(H68/(B68+2)+J75),0))</f>
        <v>0</v>
      </c>
    </row>
    <row r="77" spans="1:10" ht="15.75" customHeight="1" x14ac:dyDescent="0.25">
      <c r="A77" s="137" t="s">
        <v>129</v>
      </c>
      <c r="B77" s="138" t="s">
        <v>129</v>
      </c>
      <c r="C77" s="61">
        <v>4</v>
      </c>
      <c r="D77" s="62">
        <f ca="1">((100/H68)*C77)/100</f>
        <v>0.12121212121212122</v>
      </c>
      <c r="E77" s="218"/>
      <c r="F77" s="219"/>
      <c r="G77" s="218"/>
      <c r="H77" s="223"/>
      <c r="I77" s="14" t="s">
        <v>142</v>
      </c>
      <c r="J77" s="31">
        <f>(IF(B68&gt;3,(H68/(B68+2)+J76),0))</f>
        <v>0</v>
      </c>
    </row>
    <row r="78" spans="1:10" ht="15.75" customHeight="1" x14ac:dyDescent="0.25">
      <c r="A78" s="137" t="s">
        <v>136</v>
      </c>
      <c r="B78" s="138"/>
      <c r="C78" s="61">
        <v>0</v>
      </c>
      <c r="D78" s="62">
        <f ca="1">((100/H68)*C78)/100</f>
        <v>0</v>
      </c>
      <c r="E78" s="218"/>
      <c r="F78" s="219"/>
      <c r="G78" s="218"/>
      <c r="H78" s="223"/>
      <c r="I78" s="14" t="s">
        <v>143</v>
      </c>
      <c r="J78" s="30">
        <f>(IF(B68&gt;4,(H68/(B68+2)+J77),0))</f>
        <v>0</v>
      </c>
    </row>
    <row r="79" spans="1:10" ht="15.75" customHeight="1" x14ac:dyDescent="0.25">
      <c r="A79" s="137" t="s">
        <v>131</v>
      </c>
      <c r="B79" s="138" t="s">
        <v>131</v>
      </c>
      <c r="C79" s="61">
        <v>0</v>
      </c>
      <c r="D79" s="62">
        <f ca="1">((100/(H68))*C79)/100</f>
        <v>0</v>
      </c>
      <c r="E79" s="218"/>
      <c r="F79" s="219"/>
      <c r="G79" s="218"/>
      <c r="H79" s="223"/>
      <c r="I79" s="14" t="s">
        <v>147</v>
      </c>
      <c r="J79" s="30">
        <f ca="1">(IF(B68=1,(H68/(B68+3)+J74),IF(B68=0,(H68/4+J74),IF(B68&gt;1,0))))</f>
        <v>24.75</v>
      </c>
    </row>
    <row r="80" spans="1:10" ht="16.5" thickBot="1" x14ac:dyDescent="0.3">
      <c r="A80" s="177" t="s">
        <v>132</v>
      </c>
      <c r="B80" s="178"/>
      <c r="C80" s="63">
        <v>0</v>
      </c>
      <c r="D80" s="64">
        <f ca="1">((100/(H68))*C80)/100</f>
        <v>0</v>
      </c>
      <c r="E80" s="220"/>
      <c r="F80" s="221"/>
      <c r="G80" s="220"/>
      <c r="H80" s="224"/>
      <c r="I80" s="15" t="s">
        <v>102</v>
      </c>
      <c r="J80" s="32">
        <f ca="1">(IF(B68&gt;1.5,(H68/(B68+2)+J74+MAX(0,J75-J74)+MAX(0,J76-J75)+MAX(0,J77-J76)+MAX(0,J78-J77)+MAX(0,J79-J78)),IF(B68=1,(H68/(B68+3)+J79),IF(B68=0,H68/4+J79))))</f>
        <v>33</v>
      </c>
    </row>
    <row r="81" spans="1:14" ht="15.75" customHeight="1" x14ac:dyDescent="0.25">
      <c r="A81" s="132" t="s">
        <v>138</v>
      </c>
      <c r="B81" s="133"/>
      <c r="C81" s="134" t="str">
        <f>D59</f>
        <v>Sale Building No. 6 Wing B = 1B + Gr/Stilt + 1st to 33rd Floor</v>
      </c>
      <c r="D81" s="135"/>
      <c r="E81" s="135"/>
      <c r="F81" s="135"/>
      <c r="G81" s="135"/>
      <c r="H81" s="136"/>
      <c r="I81" s="48" t="str">
        <f ca="1">IF(D94=100%,"All work Completed. Possession granted to the Building.",IF(D93=100%,"All work Completed, Waiting for OC",I82&amp;""&amp;I83&amp;""&amp;J82&amp;""&amp;J81&amp;" "&amp;J83))</f>
        <v>Excavation, Plinth Completed, RCC upto 7 Slab, Brickwork upto 6 Floor, Internal Plaster upto 4.5 Floor, External Plaster upto 4.2 Floor Completed</v>
      </c>
      <c r="J81" s="49"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RCC upto 7 Slab, Brickwork upto 6 Floor, Internal Plaster upto 4.5 Floor, External Plaster upto 4.2 Floor</v>
      </c>
    </row>
    <row r="82" spans="1:14" x14ac:dyDescent="0.25">
      <c r="A82" s="16" t="s">
        <v>140</v>
      </c>
      <c r="B82" s="52">
        <f>IF(AND(ISNUMBER(SEARCH("1B",C81))),1,IF(AND(ISNUMBER(SEARCH("2B",C81))),2,IF(AND(ISNUMBER(SEARCH("3B",C81))),3,IF(AND(ISNUMBER(SEARCH("4B",C81))),4,IF(ISNUMBER(SEARCH("5B",C81)),5,0)))))</f>
        <v>1</v>
      </c>
      <c r="C82" s="52" t="s">
        <v>70</v>
      </c>
      <c r="D82" s="52">
        <v>1</v>
      </c>
      <c r="E82" s="52" t="s">
        <v>69</v>
      </c>
      <c r="F82" s="52">
        <v>0</v>
      </c>
      <c r="G82" s="52" t="s">
        <v>77</v>
      </c>
      <c r="H82" s="17">
        <f ca="1">--TRIM(RIGHT(SUBSTITUTE(LEFT(C81,_xlfn.AGGREGATE(16,6,FIND({0,1,2,3,4,5,6,7,8,9},C81,ROW(INDIRECT("1:"&amp;LEN(C81)))),1))," ",REPT(" ",LEN(C81))),LEN(C81)))</f>
        <v>33</v>
      </c>
      <c r="I82" s="50" t="str">
        <f ca="1">IF(D85=100%,"Excavation","")&amp;IF(D86=100%,", Plinth","")&amp;IF(D87=100%,", RCC Slab","")&amp;IF(D88=100%,", Brickwork","")&amp;IF(D89=100%,", Internal Plaster","")&amp;IF(D90=100%,", External Plaster","")&amp;IF(D91=100%,", Flooring","")&amp;IF(D92=100%,", Painting","")&amp;IF(D93=100%,", Building common Amenities","")</f>
        <v>Excavation, Plinth</v>
      </c>
      <c r="J82" s="51"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4" ht="33" customHeight="1" x14ac:dyDescent="0.25">
      <c r="A83" s="225" t="s">
        <v>87</v>
      </c>
      <c r="B83" s="186"/>
      <c r="C83" s="151" t="str">
        <f ca="1">(IF($G$53="NA",I81,"All work Completed. OC Received."))</f>
        <v>Excavation, Plinth Completed, RCC upto 7 Slab, Brickwork upto 6 Floor, Internal Plaster upto 4.5 Floor, External Plaster upto 4.2 Floor Completed</v>
      </c>
      <c r="D83" s="151"/>
      <c r="E83" s="151"/>
      <c r="F83" s="151"/>
      <c r="G83" s="151"/>
      <c r="H83" s="226"/>
      <c r="I83" s="50" t="str">
        <f ca="1">IF(I82&lt;&gt;""," Completed","")</f>
        <v xml:space="preserve"> Completed</v>
      </c>
      <c r="J83" s="51" t="str">
        <f ca="1">IF(J81&lt;&gt;"","Completed","")</f>
        <v>Completed</v>
      </c>
    </row>
    <row r="84" spans="1:14" ht="15.75" customHeight="1" x14ac:dyDescent="0.25">
      <c r="A84" s="137" t="s">
        <v>48</v>
      </c>
      <c r="B84" s="138"/>
      <c r="C84" s="44" t="s">
        <v>137</v>
      </c>
      <c r="D84" s="44" t="s">
        <v>80</v>
      </c>
      <c r="E84" s="138" t="s">
        <v>82</v>
      </c>
      <c r="F84" s="138"/>
      <c r="G84" s="138" t="s">
        <v>81</v>
      </c>
      <c r="H84" s="139"/>
      <c r="I84" s="14" t="s">
        <v>139</v>
      </c>
      <c r="J84" s="28">
        <f ca="1">H82*25%</f>
        <v>8.25</v>
      </c>
    </row>
    <row r="85" spans="1:14" x14ac:dyDescent="0.25">
      <c r="A85" s="137" t="s">
        <v>126</v>
      </c>
      <c r="B85" s="138"/>
      <c r="C85" s="44">
        <f ca="1">J86</f>
        <v>33</v>
      </c>
      <c r="D85" s="19">
        <f ca="1">((100/H82)*C85)/100</f>
        <v>1</v>
      </c>
      <c r="E85" s="169">
        <f ca="1">(((C86/H82*10)+(40/(D82+F82+H82)*C87)+(7.5/(H82)*C88)+(7.5/(H82)*C89)+(10/H82*C90)+(10/H82*C91)+(5/H82*C92)+(5/H82*C93)+(5/H82*C94))/100)</f>
        <v>0.21894385026737967</v>
      </c>
      <c r="F85" s="170"/>
      <c r="G85" s="169">
        <f ca="1">((((C85/H82)*20)+((C86/H82)*25)+(30/(H82+F82+D82)*C87)+(5/H82*C88)+(5/H82*C89)+(5/H82*C90)+(5/H82*C91)+(0/H82*C92)+(0/H82*C93)+(5/H82*C94))/100)</f>
        <v>0.53403743315508012</v>
      </c>
      <c r="H85" s="201"/>
      <c r="I85" s="14" t="s">
        <v>98</v>
      </c>
      <c r="J85" s="29">
        <f ca="1">H82*50%</f>
        <v>16.5</v>
      </c>
    </row>
    <row r="86" spans="1:14" x14ac:dyDescent="0.25">
      <c r="A86" s="137" t="s">
        <v>49</v>
      </c>
      <c r="B86" s="138"/>
      <c r="C86" s="53">
        <f ca="1">J94</f>
        <v>33</v>
      </c>
      <c r="D86" s="19">
        <f ca="1">((100/H82)*C86)/100</f>
        <v>1</v>
      </c>
      <c r="E86" s="171"/>
      <c r="F86" s="172"/>
      <c r="G86" s="171"/>
      <c r="H86" s="202"/>
      <c r="I86" s="14" t="s">
        <v>99</v>
      </c>
      <c r="J86" s="29">
        <f ca="1">H82</f>
        <v>33</v>
      </c>
    </row>
    <row r="87" spans="1:14" ht="15.75" customHeight="1" x14ac:dyDescent="0.25">
      <c r="A87" s="137" t="s">
        <v>127</v>
      </c>
      <c r="B87" s="138"/>
      <c r="C87" s="44">
        <v>7</v>
      </c>
      <c r="D87" s="19">
        <f ca="1">((100/(D82+F82+H82))*C87)/100</f>
        <v>0.20588235294117649</v>
      </c>
      <c r="E87" s="171"/>
      <c r="F87" s="172"/>
      <c r="G87" s="171"/>
      <c r="H87" s="202"/>
      <c r="I87" s="14" t="s">
        <v>100</v>
      </c>
      <c r="J87" s="30">
        <f ca="1">(IF(B82&gt;1,(H82/(B82+2)),H82/4))</f>
        <v>8.25</v>
      </c>
    </row>
    <row r="88" spans="1:14" ht="15.75" customHeight="1" x14ac:dyDescent="0.25">
      <c r="A88" s="137" t="s">
        <v>134</v>
      </c>
      <c r="B88" s="138" t="s">
        <v>128</v>
      </c>
      <c r="C88" s="44">
        <f>C87-1</f>
        <v>6</v>
      </c>
      <c r="D88" s="19">
        <f ca="1">((100/H82)*C88)/100</f>
        <v>0.1818181818181818</v>
      </c>
      <c r="E88" s="171"/>
      <c r="F88" s="172"/>
      <c r="G88" s="171"/>
      <c r="H88" s="202"/>
      <c r="I88" s="14" t="s">
        <v>101</v>
      </c>
      <c r="J88" s="30">
        <f ca="1">(IF(B82&gt;1,(H82/(B82+2)+J87),H82/4+J87))</f>
        <v>16.5</v>
      </c>
    </row>
    <row r="89" spans="1:14" ht="15.75" customHeight="1" x14ac:dyDescent="0.25">
      <c r="A89" s="137" t="s">
        <v>135</v>
      </c>
      <c r="B89" s="138" t="s">
        <v>128</v>
      </c>
      <c r="C89" s="53">
        <f>C88*0.75</f>
        <v>4.5</v>
      </c>
      <c r="D89" s="19">
        <f ca="1">((100/H82)*C89)/100</f>
        <v>0.13636363636363635</v>
      </c>
      <c r="E89" s="171"/>
      <c r="F89" s="172"/>
      <c r="G89" s="171"/>
      <c r="H89" s="202"/>
      <c r="I89" s="14" t="s">
        <v>146</v>
      </c>
      <c r="J89" s="30">
        <f>(IF(B82&gt;1,(H82/(B82+2)+J88),0))</f>
        <v>0</v>
      </c>
    </row>
    <row r="90" spans="1:14" ht="15" customHeight="1" x14ac:dyDescent="0.25">
      <c r="A90" s="137" t="s">
        <v>133</v>
      </c>
      <c r="B90" s="138" t="s">
        <v>130</v>
      </c>
      <c r="C90" s="53">
        <f>C88*0.7</f>
        <v>4.1999999999999993</v>
      </c>
      <c r="D90" s="19">
        <f ca="1">((100/(H82))*C90)/100</f>
        <v>0.12727272727272726</v>
      </c>
      <c r="E90" s="171"/>
      <c r="F90" s="172"/>
      <c r="G90" s="171"/>
      <c r="H90" s="202"/>
      <c r="I90" s="14" t="s">
        <v>141</v>
      </c>
      <c r="J90" s="30">
        <f>(IF(B82&gt;2,(H82/(B82+2)+J89),0))</f>
        <v>0</v>
      </c>
    </row>
    <row r="91" spans="1:14" ht="15.75" customHeight="1" x14ac:dyDescent="0.25">
      <c r="A91" s="137" t="s">
        <v>129</v>
      </c>
      <c r="B91" s="138" t="s">
        <v>129</v>
      </c>
      <c r="C91" s="44">
        <v>0</v>
      </c>
      <c r="D91" s="19">
        <f ca="1">((100/H82)*C91)/100</f>
        <v>0</v>
      </c>
      <c r="E91" s="171"/>
      <c r="F91" s="172"/>
      <c r="G91" s="171"/>
      <c r="H91" s="202"/>
      <c r="I91" s="14" t="s">
        <v>142</v>
      </c>
      <c r="J91" s="31">
        <f>(IF(B82&gt;3,(H82/(B82+2)+J90),0))</f>
        <v>0</v>
      </c>
    </row>
    <row r="92" spans="1:14" ht="15.75" customHeight="1" x14ac:dyDescent="0.25">
      <c r="A92" s="137" t="s">
        <v>136</v>
      </c>
      <c r="B92" s="138"/>
      <c r="C92" s="44">
        <v>0</v>
      </c>
      <c r="D92" s="19">
        <f ca="1">((100/H82)*C92)/100</f>
        <v>0</v>
      </c>
      <c r="E92" s="171"/>
      <c r="F92" s="172"/>
      <c r="G92" s="171"/>
      <c r="H92" s="202"/>
      <c r="I92" s="14" t="s">
        <v>143</v>
      </c>
      <c r="J92" s="30">
        <f>(IF(B82&gt;4,(H82/(B82+2)+J91),0))</f>
        <v>0</v>
      </c>
    </row>
    <row r="93" spans="1:14" ht="15.75" customHeight="1" x14ac:dyDescent="0.25">
      <c r="A93" s="137" t="s">
        <v>131</v>
      </c>
      <c r="B93" s="138" t="s">
        <v>131</v>
      </c>
      <c r="C93" s="44">
        <v>0</v>
      </c>
      <c r="D93" s="19">
        <f ca="1">((100/(H82))*C93)/100</f>
        <v>0</v>
      </c>
      <c r="E93" s="171"/>
      <c r="F93" s="172"/>
      <c r="G93" s="171"/>
      <c r="H93" s="202"/>
      <c r="I93" s="14" t="s">
        <v>147</v>
      </c>
      <c r="J93" s="30">
        <f ca="1">(IF(B82=1,(H82/(B82+3)+J88),IF(B82=0,(H82/4+J88),IF(B82&gt;1,0))))</f>
        <v>24.75</v>
      </c>
    </row>
    <row r="94" spans="1:14" ht="16.5" thickBot="1" x14ac:dyDescent="0.3">
      <c r="A94" s="177" t="s">
        <v>132</v>
      </c>
      <c r="B94" s="178"/>
      <c r="C94" s="45">
        <v>0</v>
      </c>
      <c r="D94" s="20">
        <f ca="1">((100/(H82))*C94)/100</f>
        <v>0</v>
      </c>
      <c r="E94" s="173"/>
      <c r="F94" s="174"/>
      <c r="G94" s="173"/>
      <c r="H94" s="203"/>
      <c r="I94" s="15" t="s">
        <v>102</v>
      </c>
      <c r="J94" s="32">
        <f ca="1">(IF(B82&gt;1.5,(H82/(B82+2)+J88+MAX(0,J89-J88)+MAX(0,J90-J89)+MAX(0,J91-J90)+MAX(0,J92-J91)+MAX(0,J93-J92)),IF(B82=1,(H82/(B82+3)+J93),IF(B82=0,H82/4+J93))))</f>
        <v>33</v>
      </c>
    </row>
    <row r="95" spans="1:14" x14ac:dyDescent="0.25">
      <c r="A95" s="176" t="s">
        <v>158</v>
      </c>
      <c r="B95" s="176"/>
      <c r="C95" s="176"/>
      <c r="D95" s="176"/>
      <c r="E95" s="176"/>
      <c r="F95" s="175" t="s">
        <v>162</v>
      </c>
      <c r="G95" s="175"/>
      <c r="H95" s="175"/>
      <c r="I95" s="67"/>
      <c r="J95" s="67" t="s">
        <v>270</v>
      </c>
      <c r="K95" s="67" t="s">
        <v>272</v>
      </c>
      <c r="L95" s="67" t="s">
        <v>273</v>
      </c>
      <c r="M95" s="67"/>
      <c r="N95" s="67"/>
    </row>
    <row r="96" spans="1:14" x14ac:dyDescent="0.25">
      <c r="A96" s="105" t="s">
        <v>160</v>
      </c>
      <c r="B96" s="105"/>
      <c r="C96" s="105"/>
      <c r="D96" s="105"/>
      <c r="E96" s="105"/>
      <c r="F96" s="101">
        <v>13000</v>
      </c>
      <c r="G96" s="101"/>
      <c r="H96" s="101"/>
      <c r="I96" s="70">
        <f>AVERAGE(J96:L96)</f>
        <v>13727.26323624412</v>
      </c>
      <c r="J96" s="70">
        <f>AVERAGE(J173:J174,J187:J188)</f>
        <v>13788.241321635585</v>
      </c>
      <c r="K96" s="70">
        <f>22000/1.55</f>
        <v>14193.548387096775</v>
      </c>
      <c r="L96" s="67">
        <v>13200</v>
      </c>
      <c r="M96" s="67"/>
      <c r="N96" s="67"/>
    </row>
    <row r="97" spans="1:14" hidden="1" x14ac:dyDescent="0.25">
      <c r="A97" s="105" t="s">
        <v>159</v>
      </c>
      <c r="B97" s="105"/>
      <c r="C97" s="105"/>
      <c r="D97" s="105"/>
      <c r="E97" s="105"/>
      <c r="F97" s="101"/>
      <c r="G97" s="101"/>
      <c r="H97" s="101"/>
      <c r="I97" s="67"/>
      <c r="J97" s="67">
        <v>26218</v>
      </c>
      <c r="K97" s="67"/>
      <c r="L97" s="67"/>
      <c r="M97" s="67"/>
      <c r="N97" s="67"/>
    </row>
    <row r="98" spans="1:14" hidden="1" x14ac:dyDescent="0.25">
      <c r="A98" s="105" t="s">
        <v>161</v>
      </c>
      <c r="B98" s="105"/>
      <c r="C98" s="105"/>
      <c r="D98" s="105"/>
      <c r="E98" s="105"/>
      <c r="F98" s="101"/>
      <c r="G98" s="101"/>
      <c r="H98" s="101"/>
      <c r="I98" s="67"/>
      <c r="J98" s="67"/>
      <c r="K98" s="67"/>
      <c r="L98" s="67"/>
      <c r="M98" s="67"/>
      <c r="N98" s="67"/>
    </row>
    <row r="99" spans="1:14" s="33" customFormat="1" hidden="1" x14ac:dyDescent="0.25">
      <c r="A99" s="105" t="s">
        <v>175</v>
      </c>
      <c r="B99" s="105"/>
      <c r="C99" s="105"/>
      <c r="D99" s="105"/>
      <c r="E99" s="105"/>
      <c r="F99" s="101"/>
      <c r="G99" s="101"/>
      <c r="H99" s="101"/>
      <c r="I99" s="68"/>
      <c r="J99" s="68"/>
      <c r="K99" s="68"/>
      <c r="L99" s="68"/>
      <c r="M99" s="68"/>
      <c r="N99" s="68"/>
    </row>
    <row r="100" spans="1:14" s="33" customFormat="1" hidden="1" x14ac:dyDescent="0.25">
      <c r="A100" s="105" t="s">
        <v>92</v>
      </c>
      <c r="B100" s="105"/>
      <c r="C100" s="105"/>
      <c r="D100" s="105"/>
      <c r="E100" s="105"/>
      <c r="F100" s="101"/>
      <c r="G100" s="101"/>
      <c r="H100" s="101"/>
      <c r="I100" s="68"/>
      <c r="J100" s="68"/>
      <c r="K100" s="68"/>
      <c r="L100" s="68"/>
      <c r="M100" s="68"/>
      <c r="N100" s="68"/>
    </row>
    <row r="101" spans="1:14" s="33" customFormat="1" hidden="1" x14ac:dyDescent="0.25">
      <c r="A101" s="105" t="s">
        <v>93</v>
      </c>
      <c r="B101" s="105"/>
      <c r="C101" s="105"/>
      <c r="D101" s="105"/>
      <c r="E101" s="105"/>
      <c r="F101" s="101"/>
      <c r="G101" s="101"/>
      <c r="H101" s="101"/>
      <c r="I101" s="68"/>
      <c r="J101" s="68"/>
      <c r="K101" s="68"/>
      <c r="L101" s="68"/>
      <c r="M101" s="68"/>
      <c r="N101" s="68"/>
    </row>
    <row r="102" spans="1:14" s="33" customFormat="1" hidden="1" x14ac:dyDescent="0.25">
      <c r="A102" s="105" t="s">
        <v>163</v>
      </c>
      <c r="B102" s="105"/>
      <c r="C102" s="105"/>
      <c r="D102" s="105"/>
      <c r="E102" s="105"/>
      <c r="F102" s="101"/>
      <c r="G102" s="101"/>
      <c r="H102" s="101"/>
      <c r="I102" s="68"/>
      <c r="J102" s="68"/>
      <c r="K102" s="68"/>
      <c r="L102" s="68"/>
      <c r="M102" s="68"/>
      <c r="N102" s="68"/>
    </row>
    <row r="103" spans="1:14" s="33" customFormat="1" hidden="1" x14ac:dyDescent="0.25">
      <c r="A103" s="105" t="s">
        <v>94</v>
      </c>
      <c r="B103" s="105"/>
      <c r="C103" s="105"/>
      <c r="D103" s="105"/>
      <c r="E103" s="105"/>
      <c r="F103" s="101"/>
      <c r="G103" s="101"/>
      <c r="H103" s="101"/>
      <c r="I103" s="68"/>
      <c r="J103" s="68"/>
      <c r="K103" s="68"/>
      <c r="L103" s="68"/>
      <c r="M103" s="68"/>
      <c r="N103" s="68"/>
    </row>
    <row r="104" spans="1:14" s="33" customFormat="1" hidden="1" x14ac:dyDescent="0.25">
      <c r="A104" s="105" t="s">
        <v>95</v>
      </c>
      <c r="B104" s="105"/>
      <c r="C104" s="105"/>
      <c r="D104" s="105"/>
      <c r="E104" s="105"/>
      <c r="F104" s="101"/>
      <c r="G104" s="101"/>
      <c r="H104" s="101"/>
      <c r="I104" s="68"/>
      <c r="J104" s="68"/>
      <c r="K104" s="68"/>
      <c r="L104" s="68"/>
      <c r="M104" s="68"/>
      <c r="N104" s="68"/>
    </row>
    <row r="105" spans="1:14" s="33" customFormat="1" hidden="1" x14ac:dyDescent="0.25">
      <c r="A105" s="105" t="s">
        <v>96</v>
      </c>
      <c r="B105" s="105"/>
      <c r="C105" s="105"/>
      <c r="D105" s="105"/>
      <c r="E105" s="105"/>
      <c r="F105" s="101"/>
      <c r="G105" s="101"/>
      <c r="H105" s="101"/>
      <c r="I105" s="68"/>
      <c r="J105" s="68"/>
      <c r="K105" s="68"/>
      <c r="L105" s="68"/>
      <c r="M105" s="68"/>
      <c r="N105" s="68"/>
    </row>
    <row r="106" spans="1:14" s="33" customFormat="1" hidden="1" x14ac:dyDescent="0.25">
      <c r="A106" s="105" t="s">
        <v>97</v>
      </c>
      <c r="B106" s="105"/>
      <c r="C106" s="105"/>
      <c r="D106" s="105"/>
      <c r="E106" s="105"/>
      <c r="F106" s="101"/>
      <c r="G106" s="101"/>
      <c r="H106" s="101"/>
      <c r="I106" s="68"/>
      <c r="J106" s="68"/>
      <c r="K106" s="68"/>
      <c r="L106" s="68"/>
      <c r="M106" s="68"/>
      <c r="N106" s="68"/>
    </row>
    <row r="107" spans="1:14" x14ac:dyDescent="0.25">
      <c r="A107" s="105" t="s">
        <v>50</v>
      </c>
      <c r="B107" s="105"/>
      <c r="C107" s="105"/>
      <c r="D107" s="105"/>
      <c r="E107" s="105"/>
      <c r="F107" s="101">
        <v>700000</v>
      </c>
      <c r="G107" s="101"/>
      <c r="H107" s="101"/>
      <c r="I107" s="67"/>
      <c r="J107" s="67"/>
      <c r="K107" s="67"/>
      <c r="L107" s="67"/>
      <c r="M107" s="67"/>
      <c r="N107" s="67"/>
    </row>
    <row r="108" spans="1:14" s="34" customFormat="1" x14ac:dyDescent="0.25">
      <c r="A108" s="111" t="s">
        <v>51</v>
      </c>
      <c r="B108" s="111"/>
      <c r="C108" s="111"/>
      <c r="D108" s="111"/>
      <c r="E108" s="111"/>
      <c r="F108" s="101">
        <f>F96*0.8</f>
        <v>10400</v>
      </c>
      <c r="G108" s="101"/>
      <c r="H108" s="101"/>
      <c r="I108" s="69"/>
      <c r="J108" s="69"/>
      <c r="K108" s="69"/>
      <c r="L108" s="69"/>
      <c r="M108" s="69"/>
      <c r="N108" s="69"/>
    </row>
    <row r="109" spans="1:14" s="35" customFormat="1" ht="15.75" customHeight="1" x14ac:dyDescent="0.25">
      <c r="A109" s="181" t="s">
        <v>287</v>
      </c>
      <c r="B109" s="181"/>
      <c r="C109" s="181"/>
      <c r="D109" s="181"/>
      <c r="E109" s="181"/>
      <c r="F109" s="181"/>
      <c r="G109" s="181"/>
      <c r="H109" s="181"/>
    </row>
    <row r="110" spans="1:14" s="35" customFormat="1" ht="15.75" customHeight="1" x14ac:dyDescent="0.25">
      <c r="A110" s="153" t="s">
        <v>52</v>
      </c>
      <c r="B110" s="153"/>
      <c r="C110" s="122" t="s">
        <v>75</v>
      </c>
      <c r="D110" s="122"/>
      <c r="E110" s="164" t="s">
        <v>53</v>
      </c>
      <c r="F110" s="164"/>
      <c r="G110" s="153" t="s">
        <v>54</v>
      </c>
      <c r="H110" s="153"/>
    </row>
    <row r="111" spans="1:14" s="35" customFormat="1" x14ac:dyDescent="0.25">
      <c r="A111" s="127" t="s">
        <v>267</v>
      </c>
      <c r="B111" s="127"/>
      <c r="C111" s="128">
        <f>COUNT(D127:D163)</f>
        <v>37</v>
      </c>
      <c r="D111" s="129"/>
      <c r="E111" s="128">
        <f>SUM(D127:D163)</f>
        <v>5020.0066800000013</v>
      </c>
      <c r="F111" s="129"/>
      <c r="G111" s="128">
        <f>SUM(F127:F163)</f>
        <v>8032.0106879999985</v>
      </c>
      <c r="H111" s="129"/>
    </row>
    <row r="112" spans="1:14" s="35" customFormat="1" x14ac:dyDescent="0.25">
      <c r="A112" s="181" t="s">
        <v>151</v>
      </c>
      <c r="B112" s="181"/>
      <c r="C112" s="160">
        <f>SUM(C111)</f>
        <v>37</v>
      </c>
      <c r="D112" s="122"/>
      <c r="E112" s="200">
        <f>SUM(E111)</f>
        <v>5020.0066800000013</v>
      </c>
      <c r="F112" s="164"/>
      <c r="G112" s="153">
        <f>SUM(G111)</f>
        <v>8032.0106879999985</v>
      </c>
      <c r="H112" s="153"/>
    </row>
    <row r="113" spans="1:14" s="35" customFormat="1" x14ac:dyDescent="0.25">
      <c r="A113" s="181" t="s">
        <v>288</v>
      </c>
      <c r="B113" s="181"/>
      <c r="C113" s="181"/>
      <c r="D113" s="181"/>
      <c r="E113" s="181"/>
      <c r="F113" s="181"/>
      <c r="G113" s="181"/>
      <c r="H113" s="181"/>
    </row>
    <row r="114" spans="1:14" s="35" customFormat="1" ht="15.75" customHeight="1" x14ac:dyDescent="0.25">
      <c r="A114" s="153" t="s">
        <v>52</v>
      </c>
      <c r="B114" s="153"/>
      <c r="C114" s="122" t="s">
        <v>75</v>
      </c>
      <c r="D114" s="122"/>
      <c r="E114" s="164" t="s">
        <v>53</v>
      </c>
      <c r="F114" s="164"/>
      <c r="G114" s="153" t="s">
        <v>54</v>
      </c>
      <c r="H114" s="153"/>
    </row>
    <row r="115" spans="1:14" s="35" customFormat="1" x14ac:dyDescent="0.25">
      <c r="A115" s="127" t="s">
        <v>256</v>
      </c>
      <c r="B115" s="127"/>
      <c r="C115" s="128">
        <f>COUNT(D170:D171,D173:D182)+COUNT(D185:D198)*28+COUNT(D200:D207,D212:D213)*3+COUNT(D215:D223,D227:D228)</f>
        <v>445</v>
      </c>
      <c r="D115" s="128"/>
      <c r="E115" s="128">
        <f>SUM(D170:D171,D173:D182)+SUM(D185:D198)*28+SUM(D200:D207,D212:D213)*3+SUM(D215:D223,D227:D228)</f>
        <v>139494.87396</v>
      </c>
      <c r="F115" s="128"/>
      <c r="G115" s="128">
        <f>SUM(F170:F171,F173:F182)+SUM(F185:F198)*28+SUM(F200:F207,F212:F213)*3+SUM(F215:F223,F227:F228)</f>
        <v>216217.05463800003</v>
      </c>
      <c r="H115" s="128"/>
    </row>
    <row r="116" spans="1:14" s="35" customFormat="1" x14ac:dyDescent="0.25">
      <c r="A116" s="127" t="s">
        <v>260</v>
      </c>
      <c r="B116" s="127"/>
      <c r="C116" s="128">
        <f>COUNT(D231,D233:D238,D240)+COUNT(D242:D251)*28+COUNT(D253:D257,D261:D262)*3+COUNT(D264:D269,D272:D273)</f>
        <v>317</v>
      </c>
      <c r="D116" s="128"/>
      <c r="E116" s="128">
        <f>SUM(D231,D233:D238,D240)+SUM(D242:D251)*28+SUM(D253:D257,D261:D262)*3+SUM(D264:D269,D272:D273)</f>
        <v>99299.622239999997</v>
      </c>
      <c r="F116" s="128"/>
      <c r="G116" s="128">
        <f>SUM(F231,F233:F238,F240)+SUM(F242:F251)*28+SUM(F253:F257,F261:F262)*3+SUM(F264:F269,F272:F273)</f>
        <v>153914.41447199997</v>
      </c>
      <c r="H116" s="128"/>
    </row>
    <row r="117" spans="1:14" s="35" customFormat="1" x14ac:dyDescent="0.25">
      <c r="A117" s="181" t="s">
        <v>151</v>
      </c>
      <c r="B117" s="181"/>
      <c r="C117" s="160">
        <f>SUM(C115:C116)</f>
        <v>762</v>
      </c>
      <c r="D117" s="122"/>
      <c r="E117" s="200">
        <f>SUM(E115:E116)</f>
        <v>238794.49619999999</v>
      </c>
      <c r="F117" s="200"/>
      <c r="G117" s="153">
        <f>SUM(G115:G116)</f>
        <v>370131.46911000001</v>
      </c>
      <c r="H117" s="153"/>
    </row>
    <row r="118" spans="1:14" s="35" customFormat="1" ht="16.5" thickBot="1" x14ac:dyDescent="0.3">
      <c r="A118" s="204" t="s">
        <v>168</v>
      </c>
      <c r="B118" s="205"/>
      <c r="C118" s="206">
        <f>C112+C117</f>
        <v>799</v>
      </c>
      <c r="D118" s="206"/>
      <c r="E118" s="207">
        <f>E112+E117</f>
        <v>243814.50287999999</v>
      </c>
      <c r="F118" s="207"/>
      <c r="G118" s="208">
        <f>G112+G117</f>
        <v>378163.47979800001</v>
      </c>
      <c r="H118" s="209"/>
    </row>
    <row r="119" spans="1:14" s="34" customFormat="1" x14ac:dyDescent="0.25">
      <c r="A119" s="175" t="s">
        <v>55</v>
      </c>
      <c r="B119" s="175"/>
      <c r="C119" s="175"/>
      <c r="D119" s="175"/>
      <c r="E119" s="175"/>
      <c r="F119" s="175"/>
      <c r="G119" s="175"/>
      <c r="H119" s="175"/>
    </row>
    <row r="120" spans="1:14" x14ac:dyDescent="0.25">
      <c r="A120" s="185" t="s">
        <v>174</v>
      </c>
      <c r="B120" s="185"/>
      <c r="C120" s="185"/>
      <c r="D120" s="185"/>
      <c r="E120" s="185"/>
      <c r="F120" s="185"/>
      <c r="G120" s="185"/>
      <c r="H120" s="185"/>
    </row>
    <row r="121" spans="1:14" ht="47.25" customHeight="1" x14ac:dyDescent="0.25">
      <c r="A121" s="130" t="s">
        <v>118</v>
      </c>
      <c r="B121" s="130" t="s">
        <v>255</v>
      </c>
      <c r="C121" s="130" t="s">
        <v>56</v>
      </c>
      <c r="D121" s="130" t="s">
        <v>57</v>
      </c>
      <c r="E121" s="154" t="s">
        <v>157</v>
      </c>
      <c r="F121" s="43" t="s">
        <v>149</v>
      </c>
      <c r="G121" s="156" t="s">
        <v>59</v>
      </c>
      <c r="H121" s="157"/>
    </row>
    <row r="122" spans="1:14" s="37" customFormat="1" x14ac:dyDescent="0.25">
      <c r="A122" s="131"/>
      <c r="B122" s="131"/>
      <c r="C122" s="131"/>
      <c r="D122" s="131"/>
      <c r="E122" s="155"/>
      <c r="F122" s="13">
        <v>0.6</v>
      </c>
      <c r="G122" s="158"/>
      <c r="H122" s="159"/>
    </row>
    <row r="123" spans="1:14" s="71" customFormat="1" x14ac:dyDescent="0.25">
      <c r="A123" s="94" t="s">
        <v>294</v>
      </c>
      <c r="B123" s="95"/>
      <c r="C123" s="95"/>
      <c r="D123" s="95"/>
      <c r="E123" s="95"/>
      <c r="F123" s="95"/>
      <c r="G123" s="95"/>
      <c r="H123" s="96"/>
      <c r="J123" s="36"/>
    </row>
    <row r="124" spans="1:14" s="60" customFormat="1" x14ac:dyDescent="0.25">
      <c r="A124" s="124" t="s">
        <v>252</v>
      </c>
      <c r="B124" s="125"/>
      <c r="C124" s="125"/>
      <c r="D124" s="125"/>
      <c r="E124" s="125"/>
      <c r="F124" s="125"/>
      <c r="G124" s="125"/>
      <c r="H124" s="126"/>
      <c r="J124" s="65">
        <v>10.763999999999999</v>
      </c>
      <c r="K124" s="212" t="s">
        <v>284</v>
      </c>
      <c r="L124" s="213"/>
      <c r="M124" s="213"/>
      <c r="N124" s="213"/>
    </row>
    <row r="125" spans="1:14" s="60" customFormat="1" x14ac:dyDescent="0.25">
      <c r="A125" s="91" t="s">
        <v>283</v>
      </c>
      <c r="B125" s="92"/>
      <c r="C125" s="92"/>
      <c r="D125" s="92"/>
      <c r="E125" s="92"/>
      <c r="F125" s="92"/>
      <c r="G125" s="92"/>
      <c r="H125" s="93"/>
      <c r="J125" s="36"/>
      <c r="K125" s="212" t="s">
        <v>285</v>
      </c>
      <c r="L125" s="213"/>
      <c r="M125" s="213"/>
      <c r="N125" s="213"/>
    </row>
    <row r="126" spans="1:14" s="37" customFormat="1" x14ac:dyDescent="0.25">
      <c r="A126" s="91" t="s">
        <v>286</v>
      </c>
      <c r="B126" s="92"/>
      <c r="C126" s="92"/>
      <c r="D126" s="92"/>
      <c r="E126" s="92"/>
      <c r="F126" s="92"/>
      <c r="G126" s="92"/>
      <c r="H126" s="93"/>
      <c r="J126" s="36"/>
    </row>
    <row r="127" spans="1:14" s="37" customFormat="1" ht="15.75" customHeight="1" x14ac:dyDescent="0.25">
      <c r="A127" s="73">
        <v>1</v>
      </c>
      <c r="B127" s="73" t="s">
        <v>254</v>
      </c>
      <c r="C127" s="73" t="s">
        <v>253</v>
      </c>
      <c r="D127" s="65">
        <f>(15.51)*10.764</f>
        <v>166.94963999999999</v>
      </c>
      <c r="E127" s="73">
        <v>0</v>
      </c>
      <c r="F127" s="73">
        <f>(D127+E127)*(($F$122)+1)</f>
        <v>267.11942399999998</v>
      </c>
      <c r="G127" s="98" t="str">
        <f>A126</f>
        <v>Ground Floor for Commercial, Society Office, Meter Room &amp; Parking</v>
      </c>
      <c r="H127" s="98"/>
      <c r="I127" s="36">
        <f>2.4*4.25+2.13*0.15+2.28*1.15+0.9*1.2+1*1.05</f>
        <v>15.2715</v>
      </c>
      <c r="L127" s="78"/>
      <c r="M127" s="78"/>
      <c r="N127" s="36"/>
    </row>
    <row r="128" spans="1:14" s="37" customFormat="1" x14ac:dyDescent="0.25">
      <c r="A128" s="73">
        <v>2</v>
      </c>
      <c r="B128" s="73" t="s">
        <v>254</v>
      </c>
      <c r="C128" s="73" t="s">
        <v>253</v>
      </c>
      <c r="D128" s="65">
        <f>(15.02)*10.764</f>
        <v>161.67527999999999</v>
      </c>
      <c r="E128" s="73">
        <v>0</v>
      </c>
      <c r="F128" s="73">
        <f t="shared" ref="F128:F130" si="0">(D128+E128)*(($F$122)+1)</f>
        <v>258.68044800000001</v>
      </c>
      <c r="G128" s="98"/>
      <c r="H128" s="98"/>
      <c r="I128" s="36"/>
      <c r="L128" s="78"/>
      <c r="M128" s="78"/>
      <c r="N128" s="36"/>
    </row>
    <row r="129" spans="1:14" s="37" customFormat="1" x14ac:dyDescent="0.25">
      <c r="A129" s="73">
        <v>3</v>
      </c>
      <c r="B129" s="73" t="s">
        <v>254</v>
      </c>
      <c r="C129" s="73" t="s">
        <v>253</v>
      </c>
      <c r="D129" s="65">
        <f>(14.57)*10.764</f>
        <v>156.83148</v>
      </c>
      <c r="E129" s="73">
        <v>0</v>
      </c>
      <c r="F129" s="73">
        <f t="shared" si="0"/>
        <v>250.93036800000002</v>
      </c>
      <c r="G129" s="98"/>
      <c r="H129" s="98"/>
      <c r="I129" s="36"/>
      <c r="L129" s="78"/>
      <c r="M129" s="78"/>
      <c r="N129" s="36"/>
    </row>
    <row r="130" spans="1:14" s="37" customFormat="1" x14ac:dyDescent="0.25">
      <c r="A130" s="73">
        <v>4</v>
      </c>
      <c r="B130" s="73" t="s">
        <v>254</v>
      </c>
      <c r="C130" s="73" t="s">
        <v>253</v>
      </c>
      <c r="D130" s="65">
        <f>(8.23)*10.764</f>
        <v>88.587720000000004</v>
      </c>
      <c r="E130" s="73">
        <v>0</v>
      </c>
      <c r="F130" s="73">
        <f t="shared" si="0"/>
        <v>141.740352</v>
      </c>
      <c r="G130" s="98"/>
      <c r="H130" s="98"/>
      <c r="I130" s="36"/>
      <c r="L130" s="78"/>
      <c r="M130" s="78"/>
      <c r="N130" s="36"/>
    </row>
    <row r="131" spans="1:14" s="60" customFormat="1" x14ac:dyDescent="0.25">
      <c r="A131" s="73">
        <v>5</v>
      </c>
      <c r="B131" s="73" t="s">
        <v>254</v>
      </c>
      <c r="C131" s="73" t="s">
        <v>253</v>
      </c>
      <c r="D131" s="65">
        <f>(7.58)*10.764</f>
        <v>81.591119999999989</v>
      </c>
      <c r="E131" s="73">
        <v>0</v>
      </c>
      <c r="F131" s="73">
        <f>(D131+E131)*(($F$122)+1)</f>
        <v>130.54579199999998</v>
      </c>
      <c r="G131" s="98"/>
      <c r="H131" s="98"/>
      <c r="I131" s="36"/>
      <c r="L131" s="78"/>
      <c r="M131" s="78"/>
      <c r="N131" s="36"/>
    </row>
    <row r="132" spans="1:14" s="60" customFormat="1" x14ac:dyDescent="0.25">
      <c r="A132" s="73">
        <v>6</v>
      </c>
      <c r="B132" s="73" t="s">
        <v>254</v>
      </c>
      <c r="C132" s="73" t="s">
        <v>253</v>
      </c>
      <c r="D132" s="65">
        <f>(9.06)*10.764</f>
        <v>97.521839999999997</v>
      </c>
      <c r="E132" s="73">
        <v>0</v>
      </c>
      <c r="F132" s="73">
        <f t="shared" ref="F132:F137" si="1">(D132+E132)*(($F$122)+1)</f>
        <v>156.034944</v>
      </c>
      <c r="G132" s="98"/>
      <c r="H132" s="98"/>
      <c r="I132" s="36"/>
      <c r="L132" s="78"/>
      <c r="M132" s="78"/>
      <c r="N132" s="36"/>
    </row>
    <row r="133" spans="1:14" s="60" customFormat="1" x14ac:dyDescent="0.25">
      <c r="A133" s="73">
        <v>7</v>
      </c>
      <c r="B133" s="73" t="s">
        <v>254</v>
      </c>
      <c r="C133" s="73" t="s">
        <v>253</v>
      </c>
      <c r="D133" s="65">
        <f>(11.91)*10.764</f>
        <v>128.19924</v>
      </c>
      <c r="E133" s="73">
        <v>0</v>
      </c>
      <c r="F133" s="73">
        <f t="shared" si="1"/>
        <v>205.11878400000001</v>
      </c>
      <c r="G133" s="98"/>
      <c r="H133" s="98"/>
      <c r="I133" s="36"/>
      <c r="J133" s="36"/>
      <c r="L133" s="78"/>
      <c r="M133" s="78"/>
      <c r="N133" s="36"/>
    </row>
    <row r="134" spans="1:14" s="60" customFormat="1" x14ac:dyDescent="0.25">
      <c r="A134" s="73">
        <v>8</v>
      </c>
      <c r="B134" s="73" t="s">
        <v>254</v>
      </c>
      <c r="C134" s="73" t="s">
        <v>253</v>
      </c>
      <c r="D134" s="65">
        <f>(9.9)*10.764</f>
        <v>106.56359999999999</v>
      </c>
      <c r="E134" s="73">
        <v>0</v>
      </c>
      <c r="F134" s="73">
        <f t="shared" si="1"/>
        <v>170.50175999999999</v>
      </c>
      <c r="G134" s="98"/>
      <c r="H134" s="98"/>
      <c r="I134" s="36"/>
      <c r="L134" s="78"/>
      <c r="M134" s="78"/>
      <c r="N134" s="36"/>
    </row>
    <row r="135" spans="1:14" s="60" customFormat="1" x14ac:dyDescent="0.25">
      <c r="A135" s="73">
        <v>9</v>
      </c>
      <c r="B135" s="73" t="s">
        <v>254</v>
      </c>
      <c r="C135" s="73" t="s">
        <v>253</v>
      </c>
      <c r="D135" s="65">
        <f>(11.4)*10.764</f>
        <v>122.70959999999999</v>
      </c>
      <c r="E135" s="73">
        <v>0</v>
      </c>
      <c r="F135" s="73">
        <f t="shared" si="1"/>
        <v>196.33536000000001</v>
      </c>
      <c r="G135" s="98"/>
      <c r="H135" s="98"/>
      <c r="I135" s="36"/>
      <c r="L135" s="78"/>
      <c r="M135" s="78"/>
      <c r="N135" s="36"/>
    </row>
    <row r="136" spans="1:14" s="60" customFormat="1" x14ac:dyDescent="0.25">
      <c r="A136" s="73">
        <v>10</v>
      </c>
      <c r="B136" s="73" t="s">
        <v>254</v>
      </c>
      <c r="C136" s="73" t="s">
        <v>253</v>
      </c>
      <c r="D136" s="65">
        <f>(14.24)*10.764</f>
        <v>153.27936</v>
      </c>
      <c r="E136" s="73">
        <v>0</v>
      </c>
      <c r="F136" s="73">
        <f t="shared" si="1"/>
        <v>245.24697600000002</v>
      </c>
      <c r="G136" s="98"/>
      <c r="H136" s="98"/>
      <c r="I136" s="36"/>
      <c r="L136" s="78"/>
      <c r="M136" s="78"/>
      <c r="N136" s="36"/>
    </row>
    <row r="137" spans="1:14" s="60" customFormat="1" x14ac:dyDescent="0.25">
      <c r="A137" s="73">
        <v>11</v>
      </c>
      <c r="B137" s="73" t="s">
        <v>254</v>
      </c>
      <c r="C137" s="73" t="s">
        <v>253</v>
      </c>
      <c r="D137" s="65">
        <f>(11.2)*10.764</f>
        <v>120.55679999999998</v>
      </c>
      <c r="E137" s="73">
        <v>0</v>
      </c>
      <c r="F137" s="73">
        <f t="shared" si="1"/>
        <v>192.89087999999998</v>
      </c>
      <c r="G137" s="98"/>
      <c r="H137" s="98"/>
      <c r="I137" s="36"/>
      <c r="L137" s="78"/>
      <c r="M137" s="78"/>
      <c r="N137" s="36"/>
    </row>
    <row r="138" spans="1:14" s="60" customFormat="1" x14ac:dyDescent="0.25">
      <c r="A138" s="73">
        <v>12</v>
      </c>
      <c r="B138" s="73" t="s">
        <v>254</v>
      </c>
      <c r="C138" s="73" t="s">
        <v>253</v>
      </c>
      <c r="D138" s="65">
        <f>(19.39)*10.764</f>
        <v>208.71395999999999</v>
      </c>
      <c r="E138" s="73">
        <v>0</v>
      </c>
      <c r="F138" s="73">
        <f>(D138+E138)*(($F$122)+1)</f>
        <v>333.94233600000001</v>
      </c>
      <c r="G138" s="98"/>
      <c r="H138" s="98"/>
      <c r="I138" s="36"/>
      <c r="L138" s="78"/>
      <c r="M138" s="78"/>
      <c r="N138" s="36"/>
    </row>
    <row r="139" spans="1:14" s="60" customFormat="1" x14ac:dyDescent="0.25">
      <c r="A139" s="73">
        <v>13</v>
      </c>
      <c r="B139" s="73" t="s">
        <v>254</v>
      </c>
      <c r="C139" s="73" t="s">
        <v>253</v>
      </c>
      <c r="D139" s="65">
        <f>(19.73)*10.764</f>
        <v>212.37371999999999</v>
      </c>
      <c r="E139" s="73">
        <v>0</v>
      </c>
      <c r="F139" s="73">
        <f t="shared" ref="F139:F144" si="2">(D139+E139)*(($F$122)+1)</f>
        <v>339.79795200000001</v>
      </c>
      <c r="G139" s="98"/>
      <c r="H139" s="98"/>
      <c r="I139" s="36"/>
      <c r="L139" s="78"/>
      <c r="M139" s="78"/>
      <c r="N139" s="36"/>
    </row>
    <row r="140" spans="1:14" s="60" customFormat="1" x14ac:dyDescent="0.25">
      <c r="A140" s="73">
        <v>14</v>
      </c>
      <c r="B140" s="73" t="s">
        <v>254</v>
      </c>
      <c r="C140" s="73" t="s">
        <v>253</v>
      </c>
      <c r="D140" s="65">
        <f>(12.53)*10.764</f>
        <v>134.87291999999999</v>
      </c>
      <c r="E140" s="73">
        <v>0</v>
      </c>
      <c r="F140" s="73">
        <f t="shared" si="2"/>
        <v>215.796672</v>
      </c>
      <c r="G140" s="98"/>
      <c r="H140" s="98"/>
      <c r="I140" s="36"/>
      <c r="L140" s="78"/>
      <c r="M140" s="78"/>
      <c r="N140" s="36"/>
    </row>
    <row r="141" spans="1:14" s="60" customFormat="1" x14ac:dyDescent="0.25">
      <c r="A141" s="73">
        <v>15</v>
      </c>
      <c r="B141" s="73" t="s">
        <v>254</v>
      </c>
      <c r="C141" s="73" t="s">
        <v>253</v>
      </c>
      <c r="D141" s="65">
        <f>(16.61)*10.764</f>
        <v>178.79003999999998</v>
      </c>
      <c r="E141" s="73">
        <v>0</v>
      </c>
      <c r="F141" s="73">
        <f t="shared" si="2"/>
        <v>286.06406399999997</v>
      </c>
      <c r="G141" s="98"/>
      <c r="H141" s="98"/>
      <c r="I141" s="36"/>
      <c r="J141" s="36">
        <f>7500000/F141</f>
        <v>26217.903413411623</v>
      </c>
      <c r="L141" s="78"/>
      <c r="M141" s="78"/>
      <c r="N141" s="36"/>
    </row>
    <row r="142" spans="1:14" s="60" customFormat="1" x14ac:dyDescent="0.25">
      <c r="A142" s="73">
        <v>16</v>
      </c>
      <c r="B142" s="73" t="s">
        <v>254</v>
      </c>
      <c r="C142" s="73" t="s">
        <v>253</v>
      </c>
      <c r="D142" s="65">
        <f>(12.47)*10.764</f>
        <v>134.22708</v>
      </c>
      <c r="E142" s="73">
        <v>0</v>
      </c>
      <c r="F142" s="73">
        <f t="shared" si="2"/>
        <v>214.763328</v>
      </c>
      <c r="G142" s="98"/>
      <c r="H142" s="98"/>
      <c r="I142" s="36"/>
      <c r="L142" s="78"/>
      <c r="M142" s="78"/>
      <c r="N142" s="36"/>
    </row>
    <row r="143" spans="1:14" s="60" customFormat="1" x14ac:dyDescent="0.25">
      <c r="A143" s="73">
        <v>17</v>
      </c>
      <c r="B143" s="73" t="s">
        <v>254</v>
      </c>
      <c r="C143" s="73" t="s">
        <v>253</v>
      </c>
      <c r="D143" s="65">
        <f>(9.73)*10.764</f>
        <v>104.73372000000001</v>
      </c>
      <c r="E143" s="73">
        <v>0</v>
      </c>
      <c r="F143" s="73">
        <f t="shared" si="2"/>
        <v>167.57395200000002</v>
      </c>
      <c r="G143" s="98"/>
      <c r="H143" s="98"/>
      <c r="I143" s="36"/>
      <c r="L143" s="78"/>
      <c r="M143" s="78"/>
      <c r="N143" s="36"/>
    </row>
    <row r="144" spans="1:14" s="60" customFormat="1" x14ac:dyDescent="0.25">
      <c r="A144" s="73">
        <v>18</v>
      </c>
      <c r="B144" s="73" t="s">
        <v>254</v>
      </c>
      <c r="C144" s="73" t="s">
        <v>253</v>
      </c>
      <c r="D144" s="65">
        <f>(3.35)*10.764</f>
        <v>36.059399999999997</v>
      </c>
      <c r="E144" s="73">
        <v>0</v>
      </c>
      <c r="F144" s="73">
        <f t="shared" si="2"/>
        <v>57.695039999999999</v>
      </c>
      <c r="G144" s="98"/>
      <c r="H144" s="98"/>
      <c r="I144" s="36"/>
      <c r="L144" s="78"/>
      <c r="M144" s="78"/>
      <c r="N144" s="36"/>
    </row>
    <row r="145" spans="1:14" s="60" customFormat="1" x14ac:dyDescent="0.25">
      <c r="A145" s="73">
        <v>19</v>
      </c>
      <c r="B145" s="73" t="s">
        <v>254</v>
      </c>
      <c r="C145" s="73" t="s">
        <v>253</v>
      </c>
      <c r="D145" s="65">
        <f>(13.82)*10.764</f>
        <v>148.75847999999999</v>
      </c>
      <c r="E145" s="73">
        <v>0</v>
      </c>
      <c r="F145" s="73">
        <f>(D145+E145)*(($F$122)+1)</f>
        <v>238.01356799999999</v>
      </c>
      <c r="G145" s="98"/>
      <c r="H145" s="98"/>
      <c r="I145" s="36"/>
      <c r="L145" s="78"/>
      <c r="M145" s="78"/>
      <c r="N145" s="36"/>
    </row>
    <row r="146" spans="1:14" s="60" customFormat="1" x14ac:dyDescent="0.25">
      <c r="A146" s="73">
        <v>20</v>
      </c>
      <c r="B146" s="73" t="s">
        <v>254</v>
      </c>
      <c r="C146" s="73" t="s">
        <v>253</v>
      </c>
      <c r="D146" s="65">
        <f>(11.4)*10.764</f>
        <v>122.70959999999999</v>
      </c>
      <c r="E146" s="73">
        <v>0</v>
      </c>
      <c r="F146" s="73">
        <f t="shared" ref="F146:F151" si="3">(D146+E146)*(($F$122)+1)</f>
        <v>196.33536000000001</v>
      </c>
      <c r="G146" s="98"/>
      <c r="H146" s="98"/>
      <c r="I146" s="36"/>
      <c r="L146" s="78"/>
      <c r="M146" s="78"/>
      <c r="N146" s="36"/>
    </row>
    <row r="147" spans="1:14" s="60" customFormat="1" x14ac:dyDescent="0.25">
      <c r="A147" s="73">
        <v>21</v>
      </c>
      <c r="B147" s="73" t="s">
        <v>254</v>
      </c>
      <c r="C147" s="73" t="s">
        <v>253</v>
      </c>
      <c r="D147" s="65">
        <f>(16.26)*10.764</f>
        <v>175.02264</v>
      </c>
      <c r="E147" s="73">
        <v>0</v>
      </c>
      <c r="F147" s="73">
        <f t="shared" si="3"/>
        <v>280.036224</v>
      </c>
      <c r="G147" s="98"/>
      <c r="H147" s="98"/>
      <c r="I147" s="36"/>
      <c r="L147" s="78"/>
      <c r="M147" s="78"/>
      <c r="N147" s="36"/>
    </row>
    <row r="148" spans="1:14" s="60" customFormat="1" x14ac:dyDescent="0.25">
      <c r="A148" s="73">
        <v>22</v>
      </c>
      <c r="B148" s="73" t="s">
        <v>254</v>
      </c>
      <c r="C148" s="73" t="s">
        <v>253</v>
      </c>
      <c r="D148" s="65">
        <f>(13.2)*10.764</f>
        <v>142.08479999999997</v>
      </c>
      <c r="E148" s="73">
        <v>0</v>
      </c>
      <c r="F148" s="73">
        <f t="shared" si="3"/>
        <v>227.33567999999997</v>
      </c>
      <c r="G148" s="98"/>
      <c r="H148" s="98"/>
      <c r="I148" s="36"/>
      <c r="L148" s="78"/>
      <c r="M148" s="78"/>
      <c r="N148" s="36"/>
    </row>
    <row r="149" spans="1:14" s="60" customFormat="1" x14ac:dyDescent="0.25">
      <c r="A149" s="73">
        <v>23</v>
      </c>
      <c r="B149" s="73" t="s">
        <v>254</v>
      </c>
      <c r="C149" s="73" t="s">
        <v>253</v>
      </c>
      <c r="D149" s="65">
        <f>(11.21)*10.764</f>
        <v>120.66444</v>
      </c>
      <c r="E149" s="73">
        <v>0</v>
      </c>
      <c r="F149" s="73">
        <f t="shared" si="3"/>
        <v>193.06310400000001</v>
      </c>
      <c r="G149" s="98"/>
      <c r="H149" s="98"/>
      <c r="I149" s="36"/>
      <c r="L149" s="78"/>
      <c r="M149" s="78"/>
      <c r="N149" s="36"/>
    </row>
    <row r="150" spans="1:14" s="60" customFormat="1" x14ac:dyDescent="0.25">
      <c r="A150" s="73">
        <v>24</v>
      </c>
      <c r="B150" s="73" t="s">
        <v>254</v>
      </c>
      <c r="C150" s="73" t="s">
        <v>253</v>
      </c>
      <c r="D150" s="65">
        <f>(9.36)*10.764</f>
        <v>100.75103999999999</v>
      </c>
      <c r="E150" s="73">
        <v>0</v>
      </c>
      <c r="F150" s="73">
        <f t="shared" si="3"/>
        <v>161.20166399999999</v>
      </c>
      <c r="G150" s="98"/>
      <c r="H150" s="98"/>
      <c r="I150" s="36"/>
      <c r="L150" s="78"/>
      <c r="M150" s="78"/>
      <c r="N150" s="36"/>
    </row>
    <row r="151" spans="1:14" s="60" customFormat="1" x14ac:dyDescent="0.25">
      <c r="A151" s="73">
        <v>25</v>
      </c>
      <c r="B151" s="73" t="s">
        <v>254</v>
      </c>
      <c r="C151" s="73" t="s">
        <v>253</v>
      </c>
      <c r="D151" s="65">
        <f>(7.98)*10.764</f>
        <v>85.896720000000002</v>
      </c>
      <c r="E151" s="73">
        <v>0</v>
      </c>
      <c r="F151" s="73">
        <f t="shared" si="3"/>
        <v>137.434752</v>
      </c>
      <c r="G151" s="98"/>
      <c r="H151" s="98"/>
      <c r="I151" s="36"/>
      <c r="L151" s="78"/>
      <c r="M151" s="78"/>
      <c r="N151" s="36"/>
    </row>
    <row r="152" spans="1:14" s="60" customFormat="1" x14ac:dyDescent="0.25">
      <c r="A152" s="73">
        <v>26</v>
      </c>
      <c r="B152" s="73" t="s">
        <v>254</v>
      </c>
      <c r="C152" s="73" t="s">
        <v>253</v>
      </c>
      <c r="D152" s="65">
        <f>(6.86)*10.764</f>
        <v>73.841039999999992</v>
      </c>
      <c r="E152" s="73">
        <v>0</v>
      </c>
      <c r="F152" s="73">
        <f>(D152+E152)*(($F$122)+1)</f>
        <v>118.145664</v>
      </c>
      <c r="G152" s="98"/>
      <c r="H152" s="98"/>
      <c r="I152" s="36"/>
      <c r="L152" s="78"/>
      <c r="M152" s="78"/>
      <c r="N152" s="36"/>
    </row>
    <row r="153" spans="1:14" s="60" customFormat="1" x14ac:dyDescent="0.25">
      <c r="A153" s="73">
        <v>27</v>
      </c>
      <c r="B153" s="73" t="s">
        <v>254</v>
      </c>
      <c r="C153" s="73" t="s">
        <v>253</v>
      </c>
      <c r="D153" s="65">
        <f>(9.14)*10.764</f>
        <v>98.382959999999997</v>
      </c>
      <c r="E153" s="73">
        <v>0</v>
      </c>
      <c r="F153" s="73">
        <f t="shared" ref="F153:F158" si="4">(D153+E153)*(($F$122)+1)</f>
        <v>157.412736</v>
      </c>
      <c r="G153" s="98"/>
      <c r="H153" s="98"/>
      <c r="I153" s="36"/>
      <c r="L153" s="78"/>
      <c r="M153" s="78"/>
      <c r="N153" s="36"/>
    </row>
    <row r="154" spans="1:14" s="60" customFormat="1" x14ac:dyDescent="0.25">
      <c r="A154" s="73">
        <v>28</v>
      </c>
      <c r="B154" s="73" t="s">
        <v>254</v>
      </c>
      <c r="C154" s="73" t="s">
        <v>253</v>
      </c>
      <c r="D154" s="65">
        <f>(12.72)*10.764</f>
        <v>136.91808</v>
      </c>
      <c r="E154" s="73">
        <v>0</v>
      </c>
      <c r="F154" s="73">
        <f t="shared" si="4"/>
        <v>219.06892800000003</v>
      </c>
      <c r="G154" s="98"/>
      <c r="H154" s="98"/>
      <c r="I154" s="36"/>
      <c r="L154" s="78"/>
      <c r="M154" s="78"/>
      <c r="N154" s="36"/>
    </row>
    <row r="155" spans="1:14" s="60" customFormat="1" x14ac:dyDescent="0.25">
      <c r="A155" s="73">
        <v>29</v>
      </c>
      <c r="B155" s="73" t="s">
        <v>254</v>
      </c>
      <c r="C155" s="73" t="s">
        <v>253</v>
      </c>
      <c r="D155" s="65">
        <f>(12.25)*10.764</f>
        <v>131.85899999999998</v>
      </c>
      <c r="E155" s="73">
        <v>0</v>
      </c>
      <c r="F155" s="73">
        <f t="shared" si="4"/>
        <v>210.97439999999997</v>
      </c>
      <c r="G155" s="98"/>
      <c r="H155" s="98"/>
      <c r="I155" s="36"/>
      <c r="L155" s="78"/>
      <c r="M155" s="78"/>
      <c r="N155" s="36"/>
    </row>
    <row r="156" spans="1:14" s="60" customFormat="1" x14ac:dyDescent="0.25">
      <c r="A156" s="73">
        <v>30</v>
      </c>
      <c r="B156" s="73" t="s">
        <v>254</v>
      </c>
      <c r="C156" s="73" t="s">
        <v>253</v>
      </c>
      <c r="D156" s="65">
        <f>(19.44)*10.764</f>
        <v>209.25216</v>
      </c>
      <c r="E156" s="73">
        <v>0</v>
      </c>
      <c r="F156" s="73">
        <f t="shared" si="4"/>
        <v>334.80345600000004</v>
      </c>
      <c r="G156" s="98"/>
      <c r="H156" s="98"/>
      <c r="I156" s="36"/>
      <c r="L156" s="78"/>
      <c r="M156" s="78"/>
      <c r="N156" s="36"/>
    </row>
    <row r="157" spans="1:14" s="60" customFormat="1" x14ac:dyDescent="0.25">
      <c r="A157" s="73">
        <v>31</v>
      </c>
      <c r="B157" s="73" t="s">
        <v>254</v>
      </c>
      <c r="C157" s="73" t="s">
        <v>253</v>
      </c>
      <c r="D157" s="65">
        <f>(12.83)*10.764</f>
        <v>138.10211999999999</v>
      </c>
      <c r="E157" s="73">
        <v>0</v>
      </c>
      <c r="F157" s="73">
        <f t="shared" si="4"/>
        <v>220.963392</v>
      </c>
      <c r="G157" s="98"/>
      <c r="H157" s="98"/>
      <c r="I157" s="36"/>
      <c r="L157" s="78"/>
      <c r="M157" s="78"/>
      <c r="N157" s="36"/>
    </row>
    <row r="158" spans="1:14" s="60" customFormat="1" x14ac:dyDescent="0.25">
      <c r="A158" s="73">
        <v>32</v>
      </c>
      <c r="B158" s="73" t="s">
        <v>254</v>
      </c>
      <c r="C158" s="73" t="s">
        <v>253</v>
      </c>
      <c r="D158" s="65">
        <f>(13.85)*10.764</f>
        <v>149.08139999999997</v>
      </c>
      <c r="E158" s="73">
        <v>0</v>
      </c>
      <c r="F158" s="73">
        <f t="shared" si="4"/>
        <v>238.53023999999996</v>
      </c>
      <c r="G158" s="98"/>
      <c r="H158" s="98"/>
      <c r="I158" s="36"/>
      <c r="L158" s="78"/>
      <c r="M158" s="78"/>
      <c r="N158" s="36"/>
    </row>
    <row r="159" spans="1:14" s="60" customFormat="1" x14ac:dyDescent="0.25">
      <c r="A159" s="73">
        <v>33</v>
      </c>
      <c r="B159" s="73" t="s">
        <v>254</v>
      </c>
      <c r="C159" s="73" t="s">
        <v>253</v>
      </c>
      <c r="D159" s="65">
        <f>(22.43)*10.764</f>
        <v>241.43651999999997</v>
      </c>
      <c r="E159" s="73">
        <v>0</v>
      </c>
      <c r="F159" s="73">
        <f>(D159+E159)*(($F$122)+1)</f>
        <v>386.29843199999999</v>
      </c>
      <c r="G159" s="98"/>
      <c r="H159" s="98"/>
      <c r="I159" s="36"/>
      <c r="L159" s="78"/>
      <c r="M159" s="78"/>
      <c r="N159" s="36"/>
    </row>
    <row r="160" spans="1:14" s="60" customFormat="1" x14ac:dyDescent="0.25">
      <c r="A160" s="73">
        <v>34</v>
      </c>
      <c r="B160" s="73" t="s">
        <v>254</v>
      </c>
      <c r="C160" s="73" t="s">
        <v>253</v>
      </c>
      <c r="D160" s="65">
        <f>(16.22)*10.764</f>
        <v>174.59207999999998</v>
      </c>
      <c r="E160" s="73">
        <v>0</v>
      </c>
      <c r="F160" s="73">
        <f t="shared" ref="F160:F163" si="5">(D160+E160)*(($F$122)+1)</f>
        <v>279.347328</v>
      </c>
      <c r="G160" s="98"/>
      <c r="H160" s="98"/>
      <c r="I160" s="36"/>
      <c r="L160" s="78"/>
      <c r="M160" s="78"/>
      <c r="N160" s="36"/>
    </row>
    <row r="161" spans="1:14" s="60" customFormat="1" x14ac:dyDescent="0.25">
      <c r="A161" s="73">
        <v>35</v>
      </c>
      <c r="B161" s="73" t="s">
        <v>254</v>
      </c>
      <c r="C161" s="73" t="s">
        <v>253</v>
      </c>
      <c r="D161" s="65">
        <f>(12.6)*10.764</f>
        <v>135.62639999999999</v>
      </c>
      <c r="E161" s="73">
        <v>0</v>
      </c>
      <c r="F161" s="73">
        <f t="shared" si="5"/>
        <v>217.00224</v>
      </c>
      <c r="G161" s="98"/>
      <c r="H161" s="98"/>
      <c r="I161" s="36"/>
      <c r="L161" s="78"/>
      <c r="M161" s="78"/>
      <c r="N161" s="36"/>
    </row>
    <row r="162" spans="1:14" s="60" customFormat="1" x14ac:dyDescent="0.25">
      <c r="A162" s="73">
        <v>36</v>
      </c>
      <c r="B162" s="73" t="s">
        <v>254</v>
      </c>
      <c r="C162" s="73" t="s">
        <v>253</v>
      </c>
      <c r="D162" s="65">
        <f>(11.74)*10.764</f>
        <v>126.36936</v>
      </c>
      <c r="E162" s="73">
        <v>0</v>
      </c>
      <c r="F162" s="73">
        <f t="shared" si="5"/>
        <v>202.19097600000001</v>
      </c>
      <c r="G162" s="98"/>
      <c r="H162" s="98"/>
      <c r="I162" s="36"/>
      <c r="L162" s="78"/>
      <c r="M162" s="78"/>
      <c r="N162" s="36"/>
    </row>
    <row r="163" spans="1:14" s="60" customFormat="1" x14ac:dyDescent="0.25">
      <c r="A163" s="73">
        <v>37</v>
      </c>
      <c r="B163" s="73" t="s">
        <v>254</v>
      </c>
      <c r="C163" s="73" t="s">
        <v>253</v>
      </c>
      <c r="D163" s="65">
        <f>(10.63)*10.764</f>
        <v>114.42131999999999</v>
      </c>
      <c r="E163" s="73">
        <v>0</v>
      </c>
      <c r="F163" s="73">
        <f t="shared" si="5"/>
        <v>183.07411200000001</v>
      </c>
      <c r="G163" s="98"/>
      <c r="H163" s="98"/>
      <c r="I163" s="36"/>
      <c r="L163" s="78"/>
      <c r="M163" s="78"/>
      <c r="N163" s="36"/>
    </row>
    <row r="164" spans="1:14" s="37" customFormat="1" x14ac:dyDescent="0.25">
      <c r="A164" s="76"/>
      <c r="B164" s="97"/>
      <c r="C164" s="97"/>
      <c r="D164" s="97"/>
      <c r="E164" s="97"/>
      <c r="F164" s="97"/>
      <c r="G164" s="97"/>
      <c r="H164" s="77"/>
      <c r="I164" s="36"/>
      <c r="N164" s="36"/>
    </row>
    <row r="165" spans="1:14" ht="47.25" customHeight="1" x14ac:dyDescent="0.25">
      <c r="A165" s="156" t="s">
        <v>119</v>
      </c>
      <c r="B165" s="130" t="s">
        <v>177</v>
      </c>
      <c r="C165" s="130" t="s">
        <v>56</v>
      </c>
      <c r="D165" s="130" t="s">
        <v>57</v>
      </c>
      <c r="E165" s="154" t="s">
        <v>58</v>
      </c>
      <c r="F165" s="54" t="s">
        <v>149</v>
      </c>
      <c r="G165" s="156" t="s">
        <v>59</v>
      </c>
      <c r="H165" s="157"/>
      <c r="I165" s="36"/>
    </row>
    <row r="166" spans="1:14" s="37" customFormat="1" x14ac:dyDescent="0.25">
      <c r="A166" s="158"/>
      <c r="B166" s="131"/>
      <c r="C166" s="131"/>
      <c r="D166" s="131"/>
      <c r="E166" s="155"/>
      <c r="F166" s="13">
        <v>0.55000000000000004</v>
      </c>
      <c r="G166" s="158"/>
      <c r="H166" s="159"/>
      <c r="I166" s="36"/>
    </row>
    <row r="167" spans="1:14" s="71" customFormat="1" x14ac:dyDescent="0.25">
      <c r="A167" s="94" t="s">
        <v>294</v>
      </c>
      <c r="B167" s="95"/>
      <c r="C167" s="95"/>
      <c r="D167" s="95"/>
      <c r="E167" s="95"/>
      <c r="F167" s="95"/>
      <c r="G167" s="95"/>
      <c r="H167" s="96"/>
      <c r="J167" s="36"/>
    </row>
    <row r="168" spans="1:14" s="60" customFormat="1" x14ac:dyDescent="0.25">
      <c r="A168" s="124" t="s">
        <v>256</v>
      </c>
      <c r="B168" s="125"/>
      <c r="C168" s="125"/>
      <c r="D168" s="125"/>
      <c r="E168" s="125"/>
      <c r="F168" s="125"/>
      <c r="G168" s="125"/>
      <c r="H168" s="126"/>
      <c r="J168" s="36"/>
    </row>
    <row r="169" spans="1:14" s="37" customFormat="1" x14ac:dyDescent="0.25">
      <c r="A169" s="91" t="s">
        <v>257</v>
      </c>
      <c r="B169" s="92"/>
      <c r="C169" s="92"/>
      <c r="D169" s="92"/>
      <c r="E169" s="92"/>
      <c r="F169" s="92"/>
      <c r="G169" s="92"/>
      <c r="H169" s="93"/>
      <c r="J169" s="36"/>
    </row>
    <row r="170" spans="1:14" s="37" customFormat="1" ht="15.75" customHeight="1" x14ac:dyDescent="0.25">
      <c r="A170" s="76">
        <v>1</v>
      </c>
      <c r="B170" s="77"/>
      <c r="C170" s="42" t="s">
        <v>259</v>
      </c>
      <c r="D170" s="65">
        <f>(29.17)*10.764</f>
        <v>313.98588000000001</v>
      </c>
      <c r="E170" s="42">
        <v>0</v>
      </c>
      <c r="F170" s="42">
        <f>D170*(($F$166)+1)+(IF(E170&lt;101,E170,IF(E170&lt;201,E170/2,IF(E170&lt;=301,E170/3,E170/4))))</f>
        <v>486.67811400000005</v>
      </c>
      <c r="G170" s="79" t="str">
        <f>A169</f>
        <v>1st Floor for Residential</v>
      </c>
      <c r="H170" s="81"/>
      <c r="I170" s="70">
        <f>2.5*4.6+1.8*2.8+2.4*2.8+1*1.55+1.25*0.65+1*1.7+1*1.6+0.65*0.65</f>
        <v>29.344999999999999</v>
      </c>
      <c r="J170" s="37">
        <v>313</v>
      </c>
      <c r="K170" s="66">
        <f>J170/D170</f>
        <v>0.99686011358217763</v>
      </c>
      <c r="L170" s="78"/>
      <c r="M170" s="78"/>
      <c r="N170" s="36"/>
    </row>
    <row r="171" spans="1:14" s="37" customFormat="1" x14ac:dyDescent="0.25">
      <c r="A171" s="76">
        <f t="shared" ref="A171:A183" si="6">A170+1</f>
        <v>2</v>
      </c>
      <c r="B171" s="77"/>
      <c r="C171" s="59" t="s">
        <v>259</v>
      </c>
      <c r="D171" s="65">
        <f>(29.17)*10.764</f>
        <v>313.98588000000001</v>
      </c>
      <c r="E171" s="42">
        <v>0</v>
      </c>
      <c r="F171" s="42">
        <f>D171*(($F$166)+1)+(IF(E171&lt;101,E171,IF(E171&lt;201,E171/2,IF(E171&lt;=301,E171/3,E171/4))))</f>
        <v>486.67811400000005</v>
      </c>
      <c r="G171" s="88"/>
      <c r="H171" s="90"/>
      <c r="I171" s="36"/>
      <c r="L171" s="78"/>
      <c r="M171" s="78"/>
      <c r="N171" s="36"/>
    </row>
    <row r="172" spans="1:14" s="37" customFormat="1" x14ac:dyDescent="0.25">
      <c r="A172" s="76">
        <f t="shared" si="6"/>
        <v>3</v>
      </c>
      <c r="B172" s="77"/>
      <c r="C172" s="76" t="s">
        <v>258</v>
      </c>
      <c r="D172" s="97"/>
      <c r="E172" s="97"/>
      <c r="F172" s="77"/>
      <c r="G172" s="88"/>
      <c r="H172" s="90"/>
      <c r="I172" s="36"/>
      <c r="L172" s="78"/>
      <c r="M172" s="78"/>
      <c r="N172" s="36"/>
    </row>
    <row r="173" spans="1:14" s="37" customFormat="1" x14ac:dyDescent="0.25">
      <c r="A173" s="76">
        <f t="shared" si="6"/>
        <v>4</v>
      </c>
      <c r="B173" s="77"/>
      <c r="C173" s="59" t="s">
        <v>259</v>
      </c>
      <c r="D173" s="65">
        <f>(25.25)*10.764</f>
        <v>271.791</v>
      </c>
      <c r="E173" s="42">
        <v>0</v>
      </c>
      <c r="F173" s="42">
        <f t="shared" ref="F173:F182" si="7">D173*(($F$166)+1)+(IF(E173&lt;101,E173,IF(E173&lt;201,E173/2,IF(E173&lt;=301,E173/3,E173/4))))</f>
        <v>421.27605</v>
      </c>
      <c r="G173" s="88"/>
      <c r="H173" s="90"/>
      <c r="I173" s="36"/>
      <c r="J173" s="36">
        <f>6200000/F173</f>
        <v>14717.190782623413</v>
      </c>
      <c r="L173" s="78"/>
      <c r="M173" s="78"/>
      <c r="N173" s="36"/>
    </row>
    <row r="174" spans="1:14" s="60" customFormat="1" x14ac:dyDescent="0.25">
      <c r="A174" s="76">
        <f t="shared" si="6"/>
        <v>5</v>
      </c>
      <c r="B174" s="77"/>
      <c r="C174" s="59" t="s">
        <v>259</v>
      </c>
      <c r="D174" s="65">
        <f>(28.67)*10.764</f>
        <v>308.60388</v>
      </c>
      <c r="E174" s="59">
        <v>0</v>
      </c>
      <c r="F174" s="59">
        <f t="shared" si="7"/>
        <v>478.33601400000003</v>
      </c>
      <c r="G174" s="88"/>
      <c r="H174" s="90"/>
      <c r="I174" s="36" t="s">
        <v>271</v>
      </c>
      <c r="J174" s="36">
        <f>5900000/F174</f>
        <v>12334.425649163017</v>
      </c>
      <c r="L174" s="78"/>
      <c r="M174" s="78"/>
      <c r="N174" s="36"/>
    </row>
    <row r="175" spans="1:14" s="60" customFormat="1" x14ac:dyDescent="0.25">
      <c r="A175" s="76">
        <f t="shared" si="6"/>
        <v>6</v>
      </c>
      <c r="B175" s="77"/>
      <c r="C175" s="59" t="s">
        <v>259</v>
      </c>
      <c r="D175" s="65">
        <f>(28.82)*10.764</f>
        <v>310.21848</v>
      </c>
      <c r="E175" s="59">
        <v>0</v>
      </c>
      <c r="F175" s="59">
        <f t="shared" si="7"/>
        <v>480.83864399999999</v>
      </c>
      <c r="G175" s="88"/>
      <c r="H175" s="90"/>
      <c r="I175" s="36">
        <f>2.45*5.15+1.8*1.9+2.45*2.9+1*1.3+1*1.3+1.9*0.9</f>
        <v>27.452500000000004</v>
      </c>
      <c r="L175" s="78"/>
      <c r="M175" s="78"/>
      <c r="N175" s="36"/>
    </row>
    <row r="176" spans="1:14" s="60" customFormat="1" x14ac:dyDescent="0.25">
      <c r="A176" s="76">
        <f t="shared" si="6"/>
        <v>7</v>
      </c>
      <c r="B176" s="77"/>
      <c r="C176" s="59" t="s">
        <v>259</v>
      </c>
      <c r="D176" s="65">
        <f>(28.8)*10.764</f>
        <v>310.00319999999999</v>
      </c>
      <c r="E176" s="59">
        <v>0</v>
      </c>
      <c r="F176" s="59">
        <f t="shared" si="7"/>
        <v>480.50495999999998</v>
      </c>
      <c r="G176" s="88"/>
      <c r="H176" s="90"/>
      <c r="I176" s="36"/>
      <c r="L176" s="78"/>
      <c r="M176" s="78"/>
      <c r="N176" s="36"/>
    </row>
    <row r="177" spans="1:14" s="60" customFormat="1" x14ac:dyDescent="0.25">
      <c r="A177" s="76">
        <f t="shared" si="6"/>
        <v>8</v>
      </c>
      <c r="B177" s="77"/>
      <c r="C177" s="59" t="s">
        <v>259</v>
      </c>
      <c r="D177" s="65">
        <f>(28.8)*10.764</f>
        <v>310.00319999999999</v>
      </c>
      <c r="E177" s="59">
        <v>0</v>
      </c>
      <c r="F177" s="59">
        <f t="shared" si="7"/>
        <v>480.50495999999998</v>
      </c>
      <c r="G177" s="88"/>
      <c r="H177" s="90"/>
      <c r="I177" s="36"/>
      <c r="L177" s="78"/>
      <c r="M177" s="78"/>
      <c r="N177" s="36"/>
    </row>
    <row r="178" spans="1:14" s="60" customFormat="1" x14ac:dyDescent="0.25">
      <c r="A178" s="76">
        <f t="shared" si="6"/>
        <v>9</v>
      </c>
      <c r="B178" s="77"/>
      <c r="C178" s="59" t="s">
        <v>259</v>
      </c>
      <c r="D178" s="65">
        <f>(29.93)*10.764</f>
        <v>322.16651999999999</v>
      </c>
      <c r="E178" s="59">
        <v>0</v>
      </c>
      <c r="F178" s="59">
        <f t="shared" si="7"/>
        <v>499.35810600000002</v>
      </c>
      <c r="G178" s="88"/>
      <c r="H178" s="90"/>
      <c r="I178" s="36"/>
      <c r="L178" s="78"/>
      <c r="M178" s="78"/>
      <c r="N178" s="36"/>
    </row>
    <row r="179" spans="1:14" s="60" customFormat="1" x14ac:dyDescent="0.25">
      <c r="A179" s="76">
        <f t="shared" si="6"/>
        <v>10</v>
      </c>
      <c r="B179" s="77"/>
      <c r="C179" s="59" t="s">
        <v>259</v>
      </c>
      <c r="D179" s="65">
        <f>(30.09)*10.764</f>
        <v>323.88875999999999</v>
      </c>
      <c r="E179" s="59">
        <v>0</v>
      </c>
      <c r="F179" s="59">
        <f t="shared" si="7"/>
        <v>502.02757800000001</v>
      </c>
      <c r="G179" s="88"/>
      <c r="H179" s="90"/>
      <c r="I179" s="36"/>
      <c r="L179" s="78"/>
      <c r="M179" s="78"/>
      <c r="N179" s="36"/>
    </row>
    <row r="180" spans="1:14" s="60" customFormat="1" x14ac:dyDescent="0.25">
      <c r="A180" s="76">
        <f t="shared" si="6"/>
        <v>11</v>
      </c>
      <c r="B180" s="77"/>
      <c r="C180" s="59" t="s">
        <v>259</v>
      </c>
      <c r="D180" s="65">
        <f>(28.78)*10.764</f>
        <v>309.78791999999999</v>
      </c>
      <c r="E180" s="59">
        <v>0</v>
      </c>
      <c r="F180" s="59">
        <f t="shared" si="7"/>
        <v>480.17127599999998</v>
      </c>
      <c r="G180" s="88"/>
      <c r="H180" s="90"/>
      <c r="I180" s="36"/>
      <c r="L180" s="78"/>
      <c r="M180" s="78"/>
      <c r="N180" s="36"/>
    </row>
    <row r="181" spans="1:14" s="60" customFormat="1" x14ac:dyDescent="0.25">
      <c r="A181" s="76">
        <f t="shared" si="6"/>
        <v>12</v>
      </c>
      <c r="B181" s="77"/>
      <c r="C181" s="59" t="s">
        <v>259</v>
      </c>
      <c r="D181" s="65">
        <f>(28.77)*10.764</f>
        <v>309.68027999999998</v>
      </c>
      <c r="E181" s="59">
        <v>0</v>
      </c>
      <c r="F181" s="59">
        <f t="shared" si="7"/>
        <v>480.004434</v>
      </c>
      <c r="G181" s="88"/>
      <c r="H181" s="90"/>
      <c r="I181" s="36"/>
      <c r="L181" s="78"/>
      <c r="M181" s="78"/>
      <c r="N181" s="36"/>
    </row>
    <row r="182" spans="1:14" s="60" customFormat="1" x14ac:dyDescent="0.25">
      <c r="A182" s="76">
        <f t="shared" si="6"/>
        <v>13</v>
      </c>
      <c r="B182" s="77"/>
      <c r="C182" s="59" t="s">
        <v>259</v>
      </c>
      <c r="D182" s="65">
        <f>(28.77)*10.764</f>
        <v>309.68027999999998</v>
      </c>
      <c r="E182" s="59">
        <v>0</v>
      </c>
      <c r="F182" s="59">
        <f t="shared" si="7"/>
        <v>480.004434</v>
      </c>
      <c r="G182" s="88"/>
      <c r="H182" s="90"/>
      <c r="I182" s="36"/>
      <c r="L182" s="78"/>
      <c r="M182" s="78"/>
      <c r="N182" s="36"/>
    </row>
    <row r="183" spans="1:14" s="60" customFormat="1" x14ac:dyDescent="0.25">
      <c r="A183" s="76">
        <f t="shared" si="6"/>
        <v>14</v>
      </c>
      <c r="B183" s="77"/>
      <c r="C183" s="76" t="s">
        <v>261</v>
      </c>
      <c r="D183" s="97"/>
      <c r="E183" s="97"/>
      <c r="F183" s="77"/>
      <c r="G183" s="82"/>
      <c r="H183" s="84"/>
      <c r="I183" s="36"/>
      <c r="L183" s="78"/>
      <c r="M183" s="78"/>
      <c r="N183" s="36"/>
    </row>
    <row r="184" spans="1:14" s="60" customFormat="1" x14ac:dyDescent="0.25">
      <c r="A184" s="91" t="s">
        <v>262</v>
      </c>
      <c r="B184" s="92"/>
      <c r="C184" s="92"/>
      <c r="D184" s="92"/>
      <c r="E184" s="92"/>
      <c r="F184" s="92"/>
      <c r="G184" s="92"/>
      <c r="H184" s="93"/>
      <c r="J184" s="36"/>
    </row>
    <row r="185" spans="1:14" s="60" customFormat="1" ht="15.75" customHeight="1" x14ac:dyDescent="0.25">
      <c r="A185" s="98">
        <v>1</v>
      </c>
      <c r="B185" s="98"/>
      <c r="C185" s="73" t="s">
        <v>259</v>
      </c>
      <c r="D185" s="65">
        <f>(29.17)*10.764</f>
        <v>313.98588000000001</v>
      </c>
      <c r="E185" s="73">
        <v>0</v>
      </c>
      <c r="F185" s="73">
        <f t="shared" ref="F185:F198" si="8">D185*(($F$166)+1)+(IF(E185&lt;101,E185,IF(E185&lt;201,E185/2,IF(E185&lt;=301,E185/3,E185/4))))</f>
        <v>486.67811400000005</v>
      </c>
      <c r="G185" s="98" t="str">
        <f>A184</f>
        <v>2nd to 7th, 9th to 14th, 16th to 21st, 23rd to 28th &amp; 30th to 33rd Floor</v>
      </c>
      <c r="H185" s="98"/>
      <c r="I185" s="36"/>
      <c r="L185" s="78"/>
      <c r="M185" s="78"/>
      <c r="N185" s="36"/>
    </row>
    <row r="186" spans="1:14" s="60" customFormat="1" x14ac:dyDescent="0.25">
      <c r="A186" s="98">
        <f t="shared" ref="A186:A198" si="9">A185+1</f>
        <v>2</v>
      </c>
      <c r="B186" s="98"/>
      <c r="C186" s="73" t="s">
        <v>259</v>
      </c>
      <c r="D186" s="65">
        <f>(29.17)*10.764</f>
        <v>313.98588000000001</v>
      </c>
      <c r="E186" s="73">
        <v>0</v>
      </c>
      <c r="F186" s="73">
        <f t="shared" si="8"/>
        <v>486.67811400000005</v>
      </c>
      <c r="G186" s="98"/>
      <c r="H186" s="98"/>
      <c r="I186" s="36"/>
      <c r="L186" s="78"/>
      <c r="M186" s="78"/>
      <c r="N186" s="36"/>
    </row>
    <row r="187" spans="1:14" s="60" customFormat="1" x14ac:dyDescent="0.25">
      <c r="A187" s="98">
        <f t="shared" si="9"/>
        <v>3</v>
      </c>
      <c r="B187" s="98"/>
      <c r="C187" s="73" t="s">
        <v>259</v>
      </c>
      <c r="D187" s="65">
        <f>(29.57)*10.764</f>
        <v>318.29147999999998</v>
      </c>
      <c r="E187" s="73">
        <v>0</v>
      </c>
      <c r="F187" s="73">
        <f t="shared" si="8"/>
        <v>493.35179399999998</v>
      </c>
      <c r="G187" s="98"/>
      <c r="H187" s="98"/>
      <c r="I187" s="36"/>
      <c r="J187" s="36">
        <f>7824000/F187</f>
        <v>15858.866016406946</v>
      </c>
      <c r="L187" s="78"/>
      <c r="M187" s="78"/>
      <c r="N187" s="36"/>
    </row>
    <row r="188" spans="1:14" s="60" customFormat="1" x14ac:dyDescent="0.25">
      <c r="A188" s="98">
        <f t="shared" si="9"/>
        <v>4</v>
      </c>
      <c r="B188" s="98"/>
      <c r="C188" s="73" t="s">
        <v>259</v>
      </c>
      <c r="D188" s="65">
        <f>(29.84)*10.764</f>
        <v>321.19775999999996</v>
      </c>
      <c r="E188" s="73">
        <v>0</v>
      </c>
      <c r="F188" s="73">
        <f t="shared" si="8"/>
        <v>497.85652799999997</v>
      </c>
      <c r="G188" s="98"/>
      <c r="H188" s="98"/>
      <c r="I188" s="36" t="s">
        <v>271</v>
      </c>
      <c r="J188" s="36">
        <f>6095000/F188</f>
        <v>12242.482838348964</v>
      </c>
      <c r="L188" s="78"/>
      <c r="M188" s="78"/>
      <c r="N188" s="36"/>
    </row>
    <row r="189" spans="1:14" s="60" customFormat="1" x14ac:dyDescent="0.25">
      <c r="A189" s="98">
        <f t="shared" si="9"/>
        <v>5</v>
      </c>
      <c r="B189" s="98"/>
      <c r="C189" s="73" t="s">
        <v>259</v>
      </c>
      <c r="D189" s="65">
        <f>(28.67)*10.764</f>
        <v>308.60388</v>
      </c>
      <c r="E189" s="73">
        <v>0</v>
      </c>
      <c r="F189" s="73">
        <f t="shared" si="8"/>
        <v>478.33601400000003</v>
      </c>
      <c r="G189" s="98"/>
      <c r="H189" s="98"/>
      <c r="I189" s="36"/>
      <c r="L189" s="78"/>
      <c r="M189" s="78"/>
      <c r="N189" s="36"/>
    </row>
    <row r="190" spans="1:14" s="60" customFormat="1" x14ac:dyDescent="0.25">
      <c r="A190" s="98">
        <f t="shared" si="9"/>
        <v>6</v>
      </c>
      <c r="B190" s="98"/>
      <c r="C190" s="73" t="s">
        <v>259</v>
      </c>
      <c r="D190" s="65">
        <f>(28.82)*10.764</f>
        <v>310.21848</v>
      </c>
      <c r="E190" s="73">
        <v>0</v>
      </c>
      <c r="F190" s="73">
        <f t="shared" si="8"/>
        <v>480.83864399999999</v>
      </c>
      <c r="G190" s="98"/>
      <c r="H190" s="98"/>
      <c r="I190" s="36"/>
      <c r="L190" s="78"/>
      <c r="M190" s="78"/>
      <c r="N190" s="36"/>
    </row>
    <row r="191" spans="1:14" s="60" customFormat="1" x14ac:dyDescent="0.25">
      <c r="A191" s="98">
        <f t="shared" si="9"/>
        <v>7</v>
      </c>
      <c r="B191" s="98"/>
      <c r="C191" s="73" t="s">
        <v>259</v>
      </c>
      <c r="D191" s="65">
        <f>(28.8)*10.764</f>
        <v>310.00319999999999</v>
      </c>
      <c r="E191" s="73">
        <v>0</v>
      </c>
      <c r="F191" s="73">
        <f t="shared" si="8"/>
        <v>480.50495999999998</v>
      </c>
      <c r="G191" s="98"/>
      <c r="H191" s="98"/>
      <c r="I191" s="36"/>
      <c r="L191" s="78"/>
      <c r="M191" s="78"/>
      <c r="N191" s="36"/>
    </row>
    <row r="192" spans="1:14" s="60" customFormat="1" x14ac:dyDescent="0.25">
      <c r="A192" s="98">
        <f t="shared" si="9"/>
        <v>8</v>
      </c>
      <c r="B192" s="98"/>
      <c r="C192" s="73" t="s">
        <v>259</v>
      </c>
      <c r="D192" s="65">
        <f>(28.8)*10.764</f>
        <v>310.00319999999999</v>
      </c>
      <c r="E192" s="73">
        <v>0</v>
      </c>
      <c r="F192" s="73">
        <f t="shared" si="8"/>
        <v>480.50495999999998</v>
      </c>
      <c r="G192" s="98"/>
      <c r="H192" s="98"/>
      <c r="I192" s="36"/>
      <c r="L192" s="78"/>
      <c r="M192" s="78"/>
      <c r="N192" s="36"/>
    </row>
    <row r="193" spans="1:14" s="60" customFormat="1" x14ac:dyDescent="0.25">
      <c r="A193" s="98">
        <f t="shared" si="9"/>
        <v>9</v>
      </c>
      <c r="B193" s="98"/>
      <c r="C193" s="73" t="s">
        <v>259</v>
      </c>
      <c r="D193" s="65">
        <f>(29.93)*10.764</f>
        <v>322.16651999999999</v>
      </c>
      <c r="E193" s="73">
        <v>0</v>
      </c>
      <c r="F193" s="73">
        <f t="shared" si="8"/>
        <v>499.35810600000002</v>
      </c>
      <c r="G193" s="98"/>
      <c r="H193" s="98"/>
      <c r="I193" s="36"/>
      <c r="L193" s="78"/>
      <c r="M193" s="78"/>
      <c r="N193" s="36"/>
    </row>
    <row r="194" spans="1:14" s="60" customFormat="1" x14ac:dyDescent="0.25">
      <c r="A194" s="98">
        <f t="shared" si="9"/>
        <v>10</v>
      </c>
      <c r="B194" s="98"/>
      <c r="C194" s="73" t="s">
        <v>259</v>
      </c>
      <c r="D194" s="65">
        <f>(30.09)*10.764</f>
        <v>323.88875999999999</v>
      </c>
      <c r="E194" s="73">
        <v>0</v>
      </c>
      <c r="F194" s="73">
        <f t="shared" si="8"/>
        <v>502.02757800000001</v>
      </c>
      <c r="G194" s="98"/>
      <c r="H194" s="98"/>
      <c r="I194" s="36"/>
      <c r="L194" s="78"/>
      <c r="M194" s="78"/>
      <c r="N194" s="36"/>
    </row>
    <row r="195" spans="1:14" s="60" customFormat="1" x14ac:dyDescent="0.25">
      <c r="A195" s="98">
        <f t="shared" si="9"/>
        <v>11</v>
      </c>
      <c r="B195" s="98"/>
      <c r="C195" s="73" t="s">
        <v>259</v>
      </c>
      <c r="D195" s="65">
        <f>(28.78)*10.764</f>
        <v>309.78791999999999</v>
      </c>
      <c r="E195" s="73">
        <v>0</v>
      </c>
      <c r="F195" s="73">
        <f t="shared" si="8"/>
        <v>480.17127599999998</v>
      </c>
      <c r="G195" s="98"/>
      <c r="H195" s="98"/>
      <c r="I195" s="36"/>
      <c r="L195" s="78"/>
      <c r="M195" s="78"/>
      <c r="N195" s="36"/>
    </row>
    <row r="196" spans="1:14" s="60" customFormat="1" x14ac:dyDescent="0.25">
      <c r="A196" s="98">
        <f t="shared" si="9"/>
        <v>12</v>
      </c>
      <c r="B196" s="98"/>
      <c r="C196" s="73" t="s">
        <v>259</v>
      </c>
      <c r="D196" s="65">
        <f>(28.77)*10.764</f>
        <v>309.68027999999998</v>
      </c>
      <c r="E196" s="73">
        <v>0</v>
      </c>
      <c r="F196" s="73">
        <f t="shared" si="8"/>
        <v>480.004434</v>
      </c>
      <c r="G196" s="98"/>
      <c r="H196" s="98"/>
      <c r="I196" s="36"/>
      <c r="L196" s="78"/>
      <c r="M196" s="78"/>
      <c r="N196" s="36"/>
    </row>
    <row r="197" spans="1:14" s="60" customFormat="1" x14ac:dyDescent="0.25">
      <c r="A197" s="98">
        <f t="shared" si="9"/>
        <v>13</v>
      </c>
      <c r="B197" s="98"/>
      <c r="C197" s="73" t="s">
        <v>259</v>
      </c>
      <c r="D197" s="65">
        <f>(28.77)*10.764</f>
        <v>309.68027999999998</v>
      </c>
      <c r="E197" s="73">
        <v>0</v>
      </c>
      <c r="F197" s="73">
        <f t="shared" si="8"/>
        <v>480.004434</v>
      </c>
      <c r="G197" s="98"/>
      <c r="H197" s="98"/>
      <c r="I197" s="36"/>
      <c r="L197" s="78"/>
      <c r="M197" s="78"/>
      <c r="N197" s="36"/>
    </row>
    <row r="198" spans="1:14" s="60" customFormat="1" x14ac:dyDescent="0.25">
      <c r="A198" s="98">
        <f t="shared" si="9"/>
        <v>14</v>
      </c>
      <c r="B198" s="98"/>
      <c r="C198" s="73" t="s">
        <v>259</v>
      </c>
      <c r="D198" s="65">
        <f>(28.78)*10.764</f>
        <v>309.78791999999999</v>
      </c>
      <c r="E198" s="73">
        <v>0</v>
      </c>
      <c r="F198" s="73">
        <f t="shared" si="8"/>
        <v>480.17127599999998</v>
      </c>
      <c r="G198" s="98"/>
      <c r="H198" s="98"/>
      <c r="I198" s="36"/>
      <c r="L198" s="78"/>
      <c r="M198" s="78"/>
      <c r="N198" s="36"/>
    </row>
    <row r="199" spans="1:14" s="60" customFormat="1" x14ac:dyDescent="0.25">
      <c r="A199" s="91" t="s">
        <v>263</v>
      </c>
      <c r="B199" s="92"/>
      <c r="C199" s="92"/>
      <c r="D199" s="92"/>
      <c r="E199" s="92"/>
      <c r="F199" s="92"/>
      <c r="G199" s="92"/>
      <c r="H199" s="93"/>
      <c r="J199" s="36"/>
    </row>
    <row r="200" spans="1:14" s="60" customFormat="1" ht="15.75" customHeight="1" x14ac:dyDescent="0.25">
      <c r="A200" s="76">
        <v>1</v>
      </c>
      <c r="B200" s="77"/>
      <c r="C200" s="59" t="s">
        <v>259</v>
      </c>
      <c r="D200" s="65">
        <f>(29.17)*10.764</f>
        <v>313.98588000000001</v>
      </c>
      <c r="E200" s="59">
        <v>0</v>
      </c>
      <c r="F200" s="59">
        <f t="shared" ref="F200:F207" si="10">D200*(($F$166)+1)+(IF(E200&lt;101,E200,IF(E200&lt;201,E200/2,IF(E200&lt;=301,E200/3,E200/4))))</f>
        <v>486.67811400000005</v>
      </c>
      <c r="G200" s="79" t="str">
        <f>A199</f>
        <v>8th, 15th &amp; 22nd Floor (Part Refuge Area)</v>
      </c>
      <c r="H200" s="81"/>
      <c r="I200" s="36"/>
      <c r="L200" s="78"/>
      <c r="M200" s="78"/>
      <c r="N200" s="36"/>
    </row>
    <row r="201" spans="1:14" s="60" customFormat="1" x14ac:dyDescent="0.25">
      <c r="A201" s="76">
        <f t="shared" ref="A201:A213" si="11">A200+1</f>
        <v>2</v>
      </c>
      <c r="B201" s="77"/>
      <c r="C201" s="59" t="s">
        <v>259</v>
      </c>
      <c r="D201" s="65">
        <f>(29.17)*10.764</f>
        <v>313.98588000000001</v>
      </c>
      <c r="E201" s="59">
        <v>0</v>
      </c>
      <c r="F201" s="59">
        <f t="shared" si="10"/>
        <v>486.67811400000005</v>
      </c>
      <c r="G201" s="88"/>
      <c r="H201" s="90"/>
      <c r="I201" s="36"/>
      <c r="L201" s="78"/>
      <c r="M201" s="78"/>
      <c r="N201" s="36"/>
    </row>
    <row r="202" spans="1:14" s="60" customFormat="1" x14ac:dyDescent="0.25">
      <c r="A202" s="76">
        <f t="shared" si="11"/>
        <v>3</v>
      </c>
      <c r="B202" s="77"/>
      <c r="C202" s="59" t="s">
        <v>259</v>
      </c>
      <c r="D202" s="65">
        <f>(29.57)*10.764</f>
        <v>318.29147999999998</v>
      </c>
      <c r="E202" s="59">
        <v>0</v>
      </c>
      <c r="F202" s="59">
        <f t="shared" si="10"/>
        <v>493.35179399999998</v>
      </c>
      <c r="G202" s="88"/>
      <c r="H202" s="90"/>
      <c r="I202" s="36"/>
      <c r="L202" s="78"/>
      <c r="M202" s="78"/>
      <c r="N202" s="36"/>
    </row>
    <row r="203" spans="1:14" s="60" customFormat="1" x14ac:dyDescent="0.25">
      <c r="A203" s="76">
        <f t="shared" si="11"/>
        <v>4</v>
      </c>
      <c r="B203" s="77"/>
      <c r="C203" s="59" t="s">
        <v>259</v>
      </c>
      <c r="D203" s="65">
        <f>(29.84)*10.764</f>
        <v>321.19775999999996</v>
      </c>
      <c r="E203" s="59">
        <v>0</v>
      </c>
      <c r="F203" s="59">
        <f t="shared" si="10"/>
        <v>497.85652799999997</v>
      </c>
      <c r="G203" s="88"/>
      <c r="H203" s="90"/>
      <c r="I203" s="36"/>
      <c r="L203" s="78"/>
      <c r="M203" s="78"/>
      <c r="N203" s="36"/>
    </row>
    <row r="204" spans="1:14" s="60" customFormat="1" x14ac:dyDescent="0.25">
      <c r="A204" s="76">
        <f t="shared" si="11"/>
        <v>5</v>
      </c>
      <c r="B204" s="77"/>
      <c r="C204" s="59" t="s">
        <v>259</v>
      </c>
      <c r="D204" s="65">
        <f>(28.67)*10.764</f>
        <v>308.60388</v>
      </c>
      <c r="E204" s="59">
        <v>0</v>
      </c>
      <c r="F204" s="59">
        <f t="shared" si="10"/>
        <v>478.33601400000003</v>
      </c>
      <c r="G204" s="88"/>
      <c r="H204" s="90"/>
      <c r="I204" s="36"/>
      <c r="L204" s="78"/>
      <c r="M204" s="78"/>
      <c r="N204" s="36"/>
    </row>
    <row r="205" spans="1:14" s="60" customFormat="1" x14ac:dyDescent="0.25">
      <c r="A205" s="76">
        <f t="shared" si="11"/>
        <v>6</v>
      </c>
      <c r="B205" s="77"/>
      <c r="C205" s="59" t="s">
        <v>259</v>
      </c>
      <c r="D205" s="65">
        <f>(28.82)*10.764</f>
        <v>310.21848</v>
      </c>
      <c r="E205" s="59">
        <v>0</v>
      </c>
      <c r="F205" s="59">
        <f t="shared" si="10"/>
        <v>480.83864399999999</v>
      </c>
      <c r="G205" s="88"/>
      <c r="H205" s="90"/>
      <c r="I205" s="36"/>
      <c r="L205" s="78"/>
      <c r="M205" s="78"/>
      <c r="N205" s="36"/>
    </row>
    <row r="206" spans="1:14" s="60" customFormat="1" x14ac:dyDescent="0.25">
      <c r="A206" s="76">
        <f t="shared" si="11"/>
        <v>7</v>
      </c>
      <c r="B206" s="77"/>
      <c r="C206" s="59" t="s">
        <v>259</v>
      </c>
      <c r="D206" s="65">
        <f>(28.8)*10.764</f>
        <v>310.00319999999999</v>
      </c>
      <c r="E206" s="59">
        <v>0</v>
      </c>
      <c r="F206" s="59">
        <f t="shared" si="10"/>
        <v>480.50495999999998</v>
      </c>
      <c r="G206" s="88"/>
      <c r="H206" s="90"/>
      <c r="I206" s="36"/>
      <c r="L206" s="78"/>
      <c r="M206" s="78"/>
      <c r="N206" s="36"/>
    </row>
    <row r="207" spans="1:14" s="60" customFormat="1" x14ac:dyDescent="0.25">
      <c r="A207" s="76">
        <f t="shared" si="11"/>
        <v>8</v>
      </c>
      <c r="B207" s="77"/>
      <c r="C207" s="59" t="s">
        <v>259</v>
      </c>
      <c r="D207" s="65">
        <f>(28.8)*10.764</f>
        <v>310.00319999999999</v>
      </c>
      <c r="E207" s="59">
        <v>0</v>
      </c>
      <c r="F207" s="59">
        <f t="shared" si="10"/>
        <v>480.50495999999998</v>
      </c>
      <c r="G207" s="88"/>
      <c r="H207" s="90"/>
      <c r="I207" s="36"/>
      <c r="L207" s="78"/>
      <c r="M207" s="78"/>
      <c r="N207" s="36"/>
    </row>
    <row r="208" spans="1:14" s="60" customFormat="1" x14ac:dyDescent="0.25">
      <c r="A208" s="76">
        <f t="shared" si="11"/>
        <v>9</v>
      </c>
      <c r="B208" s="77"/>
      <c r="C208" s="79" t="s">
        <v>264</v>
      </c>
      <c r="D208" s="80"/>
      <c r="E208" s="80"/>
      <c r="F208" s="81"/>
      <c r="G208" s="88"/>
      <c r="H208" s="90"/>
      <c r="I208" s="36"/>
      <c r="L208" s="78"/>
      <c r="M208" s="78"/>
      <c r="N208" s="36"/>
    </row>
    <row r="209" spans="1:14" s="60" customFormat="1" x14ac:dyDescent="0.25">
      <c r="A209" s="76">
        <f t="shared" si="11"/>
        <v>10</v>
      </c>
      <c r="B209" s="77"/>
      <c r="C209" s="88"/>
      <c r="D209" s="89"/>
      <c r="E209" s="89"/>
      <c r="F209" s="90"/>
      <c r="G209" s="88"/>
      <c r="H209" s="90"/>
      <c r="I209" s="36"/>
      <c r="L209" s="78"/>
      <c r="M209" s="78"/>
      <c r="N209" s="36"/>
    </row>
    <row r="210" spans="1:14" s="60" customFormat="1" x14ac:dyDescent="0.25">
      <c r="A210" s="76">
        <f t="shared" si="11"/>
        <v>11</v>
      </c>
      <c r="B210" s="77"/>
      <c r="C210" s="88"/>
      <c r="D210" s="89"/>
      <c r="E210" s="89"/>
      <c r="F210" s="90"/>
      <c r="G210" s="88"/>
      <c r="H210" s="90"/>
      <c r="I210" s="36"/>
      <c r="L210" s="78"/>
      <c r="M210" s="78"/>
      <c r="N210" s="36"/>
    </row>
    <row r="211" spans="1:14" s="60" customFormat="1" x14ac:dyDescent="0.25">
      <c r="A211" s="76">
        <f t="shared" si="11"/>
        <v>12</v>
      </c>
      <c r="B211" s="77"/>
      <c r="C211" s="82"/>
      <c r="D211" s="83"/>
      <c r="E211" s="83"/>
      <c r="F211" s="84"/>
      <c r="G211" s="88"/>
      <c r="H211" s="90"/>
      <c r="I211" s="36"/>
      <c r="L211" s="78"/>
      <c r="M211" s="78"/>
      <c r="N211" s="36"/>
    </row>
    <row r="212" spans="1:14" s="60" customFormat="1" x14ac:dyDescent="0.25">
      <c r="A212" s="76">
        <f t="shared" si="11"/>
        <v>13</v>
      </c>
      <c r="B212" s="77"/>
      <c r="C212" s="59" t="s">
        <v>259</v>
      </c>
      <c r="D212" s="65">
        <f>(28.77)*10.764</f>
        <v>309.68027999999998</v>
      </c>
      <c r="E212" s="59">
        <v>0</v>
      </c>
      <c r="F212" s="59">
        <f>D212*(($F$166)+1)+(IF(E212&lt;101,E212,IF(E212&lt;201,E212/2,IF(E212&lt;=301,E212/3,E212/4))))</f>
        <v>480.004434</v>
      </c>
      <c r="G212" s="88"/>
      <c r="H212" s="90"/>
      <c r="I212" s="36"/>
      <c r="L212" s="78"/>
      <c r="M212" s="78"/>
      <c r="N212" s="36"/>
    </row>
    <row r="213" spans="1:14" s="60" customFormat="1" x14ac:dyDescent="0.25">
      <c r="A213" s="76">
        <f t="shared" si="11"/>
        <v>14</v>
      </c>
      <c r="B213" s="77"/>
      <c r="C213" s="59" t="s">
        <v>259</v>
      </c>
      <c r="D213" s="65">
        <f>(28.78)*10.764</f>
        <v>309.78791999999999</v>
      </c>
      <c r="E213" s="59">
        <v>0</v>
      </c>
      <c r="F213" s="59">
        <f>D213*(($F$166)+1)+(IF(E213&lt;101,E213,IF(E213&lt;201,E213/2,IF(E213&lt;=301,E213/3,E213/4))))</f>
        <v>480.17127599999998</v>
      </c>
      <c r="G213" s="82"/>
      <c r="H213" s="84"/>
      <c r="I213" s="36"/>
      <c r="L213" s="78"/>
      <c r="M213" s="78"/>
      <c r="N213" s="36"/>
    </row>
    <row r="214" spans="1:14" s="60" customFormat="1" x14ac:dyDescent="0.25">
      <c r="A214" s="91" t="s">
        <v>265</v>
      </c>
      <c r="B214" s="92"/>
      <c r="C214" s="92"/>
      <c r="D214" s="92"/>
      <c r="E214" s="92"/>
      <c r="F214" s="92"/>
      <c r="G214" s="92"/>
      <c r="H214" s="93"/>
      <c r="J214" s="36"/>
    </row>
    <row r="215" spans="1:14" s="60" customFormat="1" ht="15.75" customHeight="1" x14ac:dyDescent="0.25">
      <c r="A215" s="76">
        <v>1</v>
      </c>
      <c r="B215" s="77"/>
      <c r="C215" s="59" t="s">
        <v>259</v>
      </c>
      <c r="D215" s="65">
        <f>(29.17)*10.764</f>
        <v>313.98588000000001</v>
      </c>
      <c r="E215" s="59">
        <v>0</v>
      </c>
      <c r="F215" s="59">
        <f t="shared" ref="F215:F223" si="12">D215*(($F$166)+1)+(IF(E215&lt;101,E215,IF(E215&lt;201,E215/2,IF(E215&lt;=301,E215/3,E215/4))))</f>
        <v>486.67811400000005</v>
      </c>
      <c r="G215" s="79" t="str">
        <f>A214</f>
        <v>29th Floor (Part Refuge Area)</v>
      </c>
      <c r="H215" s="81"/>
      <c r="I215" s="36"/>
      <c r="L215" s="78"/>
      <c r="M215" s="78"/>
      <c r="N215" s="36"/>
    </row>
    <row r="216" spans="1:14" s="60" customFormat="1" x14ac:dyDescent="0.25">
      <c r="A216" s="76">
        <f t="shared" ref="A216:A228" si="13">A215+1</f>
        <v>2</v>
      </c>
      <c r="B216" s="77"/>
      <c r="C216" s="59" t="s">
        <v>259</v>
      </c>
      <c r="D216" s="65">
        <f>(29.17)*10.764</f>
        <v>313.98588000000001</v>
      </c>
      <c r="E216" s="59">
        <v>0</v>
      </c>
      <c r="F216" s="59">
        <f t="shared" si="12"/>
        <v>486.67811400000005</v>
      </c>
      <c r="G216" s="88"/>
      <c r="H216" s="90"/>
      <c r="I216" s="36"/>
      <c r="L216" s="78"/>
      <c r="M216" s="78"/>
      <c r="N216" s="36"/>
    </row>
    <row r="217" spans="1:14" s="60" customFormat="1" x14ac:dyDescent="0.25">
      <c r="A217" s="76">
        <f t="shared" si="13"/>
        <v>3</v>
      </c>
      <c r="B217" s="77"/>
      <c r="C217" s="59" t="s">
        <v>259</v>
      </c>
      <c r="D217" s="65">
        <f>(29.57)*10.764</f>
        <v>318.29147999999998</v>
      </c>
      <c r="E217" s="59">
        <v>0</v>
      </c>
      <c r="F217" s="59">
        <f t="shared" si="12"/>
        <v>493.35179399999998</v>
      </c>
      <c r="G217" s="88"/>
      <c r="H217" s="90"/>
      <c r="I217" s="36"/>
      <c r="L217" s="78"/>
      <c r="M217" s="78"/>
      <c r="N217" s="36"/>
    </row>
    <row r="218" spans="1:14" s="60" customFormat="1" x14ac:dyDescent="0.25">
      <c r="A218" s="76">
        <f t="shared" si="13"/>
        <v>4</v>
      </c>
      <c r="B218" s="77"/>
      <c r="C218" s="59" t="s">
        <v>259</v>
      </c>
      <c r="D218" s="65">
        <f>(29.84)*10.764</f>
        <v>321.19775999999996</v>
      </c>
      <c r="E218" s="59">
        <v>0</v>
      </c>
      <c r="F218" s="59">
        <f t="shared" si="12"/>
        <v>497.85652799999997</v>
      </c>
      <c r="G218" s="88"/>
      <c r="H218" s="90"/>
      <c r="I218" s="36"/>
      <c r="L218" s="78"/>
      <c r="M218" s="78"/>
      <c r="N218" s="36"/>
    </row>
    <row r="219" spans="1:14" s="60" customFormat="1" x14ac:dyDescent="0.25">
      <c r="A219" s="76">
        <f t="shared" si="13"/>
        <v>5</v>
      </c>
      <c r="B219" s="77"/>
      <c r="C219" s="59" t="s">
        <v>259</v>
      </c>
      <c r="D219" s="65">
        <f>(28.67)*10.764</f>
        <v>308.60388</v>
      </c>
      <c r="E219" s="59">
        <v>0</v>
      </c>
      <c r="F219" s="59">
        <f t="shared" si="12"/>
        <v>478.33601400000003</v>
      </c>
      <c r="G219" s="88"/>
      <c r="H219" s="90"/>
      <c r="I219" s="36"/>
      <c r="L219" s="78"/>
      <c r="M219" s="78"/>
      <c r="N219" s="36"/>
    </row>
    <row r="220" spans="1:14" s="60" customFormat="1" x14ac:dyDescent="0.25">
      <c r="A220" s="76">
        <f t="shared" si="13"/>
        <v>6</v>
      </c>
      <c r="B220" s="77"/>
      <c r="C220" s="59" t="s">
        <v>259</v>
      </c>
      <c r="D220" s="65">
        <f>(28.82)*10.764</f>
        <v>310.21848</v>
      </c>
      <c r="E220" s="59">
        <v>0</v>
      </c>
      <c r="F220" s="59">
        <f t="shared" si="12"/>
        <v>480.83864399999999</v>
      </c>
      <c r="G220" s="88"/>
      <c r="H220" s="90"/>
      <c r="I220" s="36"/>
      <c r="L220" s="78"/>
      <c r="M220" s="78"/>
      <c r="N220" s="36"/>
    </row>
    <row r="221" spans="1:14" s="60" customFormat="1" x14ac:dyDescent="0.25">
      <c r="A221" s="76">
        <f t="shared" si="13"/>
        <v>7</v>
      </c>
      <c r="B221" s="77"/>
      <c r="C221" s="59" t="s">
        <v>259</v>
      </c>
      <c r="D221" s="65">
        <f>(28.8)*10.764</f>
        <v>310.00319999999999</v>
      </c>
      <c r="E221" s="59">
        <v>0</v>
      </c>
      <c r="F221" s="59">
        <f t="shared" si="12"/>
        <v>480.50495999999998</v>
      </c>
      <c r="G221" s="88"/>
      <c r="H221" s="90"/>
      <c r="I221" s="36"/>
      <c r="L221" s="78"/>
      <c r="M221" s="78"/>
      <c r="N221" s="36"/>
    </row>
    <row r="222" spans="1:14" s="60" customFormat="1" x14ac:dyDescent="0.25">
      <c r="A222" s="76">
        <f t="shared" si="13"/>
        <v>8</v>
      </c>
      <c r="B222" s="77"/>
      <c r="C222" s="59" t="s">
        <v>259</v>
      </c>
      <c r="D222" s="65">
        <f>(28.8)*10.764</f>
        <v>310.00319999999999</v>
      </c>
      <c r="E222" s="59">
        <v>0</v>
      </c>
      <c r="F222" s="59">
        <f t="shared" si="12"/>
        <v>480.50495999999998</v>
      </c>
      <c r="G222" s="88"/>
      <c r="H222" s="90"/>
      <c r="I222" s="36"/>
      <c r="L222" s="78"/>
      <c r="M222" s="78"/>
      <c r="N222" s="36"/>
    </row>
    <row r="223" spans="1:14" s="60" customFormat="1" x14ac:dyDescent="0.25">
      <c r="A223" s="76">
        <f t="shared" si="13"/>
        <v>9</v>
      </c>
      <c r="B223" s="77"/>
      <c r="C223" s="59" t="s">
        <v>259</v>
      </c>
      <c r="D223" s="65">
        <f>(29.93)*10.764</f>
        <v>322.16651999999999</v>
      </c>
      <c r="E223" s="59">
        <v>0</v>
      </c>
      <c r="F223" s="59">
        <f t="shared" si="12"/>
        <v>499.35810600000002</v>
      </c>
      <c r="G223" s="88"/>
      <c r="H223" s="90"/>
      <c r="I223" s="36"/>
      <c r="L223" s="78"/>
      <c r="M223" s="78"/>
      <c r="N223" s="36"/>
    </row>
    <row r="224" spans="1:14" s="60" customFormat="1" ht="13.5" customHeight="1" x14ac:dyDescent="0.25">
      <c r="A224" s="76">
        <f t="shared" si="13"/>
        <v>10</v>
      </c>
      <c r="B224" s="77"/>
      <c r="C224" s="79" t="s">
        <v>264</v>
      </c>
      <c r="D224" s="80"/>
      <c r="E224" s="80"/>
      <c r="F224" s="81"/>
      <c r="G224" s="88"/>
      <c r="H224" s="90"/>
      <c r="I224" s="36"/>
      <c r="L224" s="78"/>
      <c r="M224" s="78"/>
      <c r="N224" s="36"/>
    </row>
    <row r="225" spans="1:14" s="60" customFormat="1" ht="13.5" customHeight="1" x14ac:dyDescent="0.25">
      <c r="A225" s="76">
        <f t="shared" si="13"/>
        <v>11</v>
      </c>
      <c r="B225" s="77"/>
      <c r="C225" s="88"/>
      <c r="D225" s="89"/>
      <c r="E225" s="89"/>
      <c r="F225" s="90"/>
      <c r="G225" s="88"/>
      <c r="H225" s="90"/>
      <c r="I225" s="36"/>
      <c r="L225" s="78"/>
      <c r="M225" s="78"/>
      <c r="N225" s="36"/>
    </row>
    <row r="226" spans="1:14" s="60" customFormat="1" ht="13.5" customHeight="1" x14ac:dyDescent="0.25">
      <c r="A226" s="76">
        <f t="shared" si="13"/>
        <v>12</v>
      </c>
      <c r="B226" s="77"/>
      <c r="C226" s="82"/>
      <c r="D226" s="83"/>
      <c r="E226" s="83"/>
      <c r="F226" s="84"/>
      <c r="G226" s="88"/>
      <c r="H226" s="90"/>
      <c r="I226" s="36"/>
      <c r="L226" s="78"/>
      <c r="M226" s="78"/>
      <c r="N226" s="36"/>
    </row>
    <row r="227" spans="1:14" s="60" customFormat="1" x14ac:dyDescent="0.25">
      <c r="A227" s="76">
        <f t="shared" si="13"/>
        <v>13</v>
      </c>
      <c r="B227" s="77"/>
      <c r="C227" s="59" t="s">
        <v>259</v>
      </c>
      <c r="D227" s="65">
        <f>(28.77)*10.764</f>
        <v>309.68027999999998</v>
      </c>
      <c r="E227" s="59">
        <v>0</v>
      </c>
      <c r="F227" s="59">
        <f>D227*(($F$166)+1)+(IF(E227&lt;101,E227,IF(E227&lt;201,E227/2,IF(E227&lt;=301,E227/3,E227/4))))</f>
        <v>480.004434</v>
      </c>
      <c r="G227" s="88"/>
      <c r="H227" s="90"/>
      <c r="I227" s="36"/>
      <c r="L227" s="78"/>
      <c r="M227" s="78"/>
      <c r="N227" s="36"/>
    </row>
    <row r="228" spans="1:14" s="60" customFormat="1" x14ac:dyDescent="0.25">
      <c r="A228" s="76">
        <f t="shared" si="13"/>
        <v>14</v>
      </c>
      <c r="B228" s="77"/>
      <c r="C228" s="59" t="s">
        <v>259</v>
      </c>
      <c r="D228" s="65">
        <f>(28.78)*10.764</f>
        <v>309.78791999999999</v>
      </c>
      <c r="E228" s="59">
        <v>0</v>
      </c>
      <c r="F228" s="59">
        <f>D228*(($F$166)+1)+(IF(E228&lt;101,E228,IF(E228&lt;201,E228/2,IF(E228&lt;=301,E228/3,E228/4))))</f>
        <v>480.17127599999998</v>
      </c>
      <c r="G228" s="82"/>
      <c r="H228" s="84"/>
      <c r="I228" s="36"/>
      <c r="L228" s="78"/>
      <c r="M228" s="78"/>
      <c r="N228" s="36"/>
    </row>
    <row r="229" spans="1:14" s="60" customFormat="1" x14ac:dyDescent="0.25">
      <c r="A229" s="124" t="s">
        <v>260</v>
      </c>
      <c r="B229" s="125"/>
      <c r="C229" s="125"/>
      <c r="D229" s="125"/>
      <c r="E229" s="125"/>
      <c r="F229" s="125"/>
      <c r="G229" s="125"/>
      <c r="H229" s="126"/>
      <c r="J229" s="36"/>
    </row>
    <row r="230" spans="1:14" s="60" customFormat="1" x14ac:dyDescent="0.25">
      <c r="A230" s="91" t="s">
        <v>257</v>
      </c>
      <c r="B230" s="92"/>
      <c r="C230" s="92"/>
      <c r="D230" s="92"/>
      <c r="E230" s="92"/>
      <c r="F230" s="92"/>
      <c r="G230" s="92"/>
      <c r="H230" s="93"/>
      <c r="J230" s="36"/>
    </row>
    <row r="231" spans="1:14" s="60" customFormat="1" ht="15.75" customHeight="1" x14ac:dyDescent="0.25">
      <c r="A231" s="76">
        <v>1</v>
      </c>
      <c r="B231" s="77"/>
      <c r="C231" s="59" t="s">
        <v>259</v>
      </c>
      <c r="D231" s="65">
        <f>(28.78)*10.764</f>
        <v>309.78791999999999</v>
      </c>
      <c r="E231" s="59">
        <v>0</v>
      </c>
      <c r="F231" s="59">
        <f>D231*(($F$166)+1)+(IF(E231&lt;101,E231,IF(E231&lt;201,E231/2,IF(E231&lt;=301,E231/3,E231/4))))</f>
        <v>480.17127599999998</v>
      </c>
      <c r="G231" s="79" t="str">
        <f>A230</f>
        <v>1st Floor for Residential</v>
      </c>
      <c r="H231" s="81"/>
      <c r="I231" s="36">
        <f>2.4*4.6+1.8*2.8+2.4*2.8+1.25*0.65+0.65*0.65+1.7*1+1.7*1</f>
        <v>27.434999999999995</v>
      </c>
      <c r="L231" s="78"/>
      <c r="M231" s="78"/>
      <c r="N231" s="36"/>
    </row>
    <row r="232" spans="1:14" s="60" customFormat="1" x14ac:dyDescent="0.25">
      <c r="A232" s="76">
        <f t="shared" ref="A232:A240" si="14">A231+1</f>
        <v>2</v>
      </c>
      <c r="B232" s="77"/>
      <c r="C232" s="76" t="s">
        <v>258</v>
      </c>
      <c r="D232" s="97"/>
      <c r="E232" s="97"/>
      <c r="F232" s="77"/>
      <c r="G232" s="88"/>
      <c r="H232" s="90"/>
      <c r="I232" s="36"/>
      <c r="L232" s="78"/>
      <c r="M232" s="78"/>
      <c r="N232" s="36"/>
    </row>
    <row r="233" spans="1:14" s="60" customFormat="1" x14ac:dyDescent="0.25">
      <c r="A233" s="76">
        <f t="shared" si="14"/>
        <v>3</v>
      </c>
      <c r="B233" s="77"/>
      <c r="C233" s="59" t="s">
        <v>259</v>
      </c>
      <c r="D233" s="65">
        <f>(20.84)*10.764</f>
        <v>224.32175999999998</v>
      </c>
      <c r="E233" s="59">
        <v>0</v>
      </c>
      <c r="F233" s="59">
        <f t="shared" ref="F233:F238" si="15">D233*(($F$166)+1)+(IF(E233&lt;101,E233,IF(E233&lt;201,E233/2,IF(E233&lt;=301,E233/3,E233/4))))</f>
        <v>347.69872799999996</v>
      </c>
      <c r="G233" s="88"/>
      <c r="H233" s="90"/>
      <c r="I233" s="36"/>
      <c r="L233" s="78"/>
      <c r="M233" s="78"/>
      <c r="N233" s="36"/>
    </row>
    <row r="234" spans="1:14" s="60" customFormat="1" x14ac:dyDescent="0.25">
      <c r="A234" s="76">
        <f t="shared" si="14"/>
        <v>4</v>
      </c>
      <c r="B234" s="77"/>
      <c r="C234" s="59" t="s">
        <v>259</v>
      </c>
      <c r="D234" s="65">
        <f>(29.08)*10.764</f>
        <v>313.01711999999998</v>
      </c>
      <c r="E234" s="59">
        <v>0</v>
      </c>
      <c r="F234" s="59">
        <f t="shared" si="15"/>
        <v>485.176536</v>
      </c>
      <c r="G234" s="88"/>
      <c r="H234" s="90"/>
      <c r="I234" s="36"/>
      <c r="L234" s="78"/>
      <c r="M234" s="78"/>
      <c r="N234" s="36"/>
    </row>
    <row r="235" spans="1:14" s="60" customFormat="1" x14ac:dyDescent="0.25">
      <c r="A235" s="76">
        <f t="shared" si="14"/>
        <v>5</v>
      </c>
      <c r="B235" s="77"/>
      <c r="C235" s="59" t="s">
        <v>259</v>
      </c>
      <c r="D235" s="65">
        <f>(29.73)*10.764</f>
        <v>320.01371999999998</v>
      </c>
      <c r="E235" s="59">
        <v>0</v>
      </c>
      <c r="F235" s="59">
        <f t="shared" si="15"/>
        <v>496.02126599999997</v>
      </c>
      <c r="G235" s="88"/>
      <c r="H235" s="90"/>
      <c r="I235" s="36"/>
      <c r="L235" s="78"/>
      <c r="M235" s="78"/>
      <c r="N235" s="36"/>
    </row>
    <row r="236" spans="1:14" s="60" customFormat="1" x14ac:dyDescent="0.25">
      <c r="A236" s="76">
        <f t="shared" si="14"/>
        <v>6</v>
      </c>
      <c r="B236" s="77"/>
      <c r="C236" s="59" t="s">
        <v>259</v>
      </c>
      <c r="D236" s="65">
        <f>(29.38)*10.764</f>
        <v>316.24631999999997</v>
      </c>
      <c r="E236" s="59">
        <v>0</v>
      </c>
      <c r="F236" s="59">
        <f t="shared" si="15"/>
        <v>490.18179599999996</v>
      </c>
      <c r="G236" s="88"/>
      <c r="H236" s="90"/>
      <c r="I236" s="36"/>
      <c r="L236" s="78"/>
      <c r="M236" s="78"/>
      <c r="N236" s="36"/>
    </row>
    <row r="237" spans="1:14" s="60" customFormat="1" x14ac:dyDescent="0.25">
      <c r="A237" s="76">
        <f t="shared" si="14"/>
        <v>7</v>
      </c>
      <c r="B237" s="77"/>
      <c r="C237" s="59" t="s">
        <v>259</v>
      </c>
      <c r="D237" s="65">
        <f>(28.78)*10.764</f>
        <v>309.78791999999999</v>
      </c>
      <c r="E237" s="59">
        <v>0</v>
      </c>
      <c r="F237" s="59">
        <f t="shared" si="15"/>
        <v>480.17127599999998</v>
      </c>
      <c r="G237" s="88"/>
      <c r="H237" s="90"/>
      <c r="I237" s="36"/>
      <c r="L237" s="78"/>
      <c r="M237" s="78"/>
      <c r="N237" s="36"/>
    </row>
    <row r="238" spans="1:14" s="60" customFormat="1" x14ac:dyDescent="0.25">
      <c r="A238" s="76">
        <f t="shared" si="14"/>
        <v>8</v>
      </c>
      <c r="B238" s="77"/>
      <c r="C238" s="59" t="s">
        <v>259</v>
      </c>
      <c r="D238" s="65">
        <f>(28.77)*10.764</f>
        <v>309.68027999999998</v>
      </c>
      <c r="E238" s="59">
        <v>0</v>
      </c>
      <c r="F238" s="59">
        <f t="shared" si="15"/>
        <v>480.004434</v>
      </c>
      <c r="G238" s="88"/>
      <c r="H238" s="90"/>
      <c r="I238" s="36"/>
      <c r="L238" s="78"/>
      <c r="M238" s="78"/>
      <c r="N238" s="36"/>
    </row>
    <row r="239" spans="1:14" s="60" customFormat="1" x14ac:dyDescent="0.25">
      <c r="A239" s="76">
        <f t="shared" si="14"/>
        <v>9</v>
      </c>
      <c r="B239" s="77"/>
      <c r="C239" s="76" t="s">
        <v>261</v>
      </c>
      <c r="D239" s="97"/>
      <c r="E239" s="97"/>
      <c r="F239" s="77"/>
      <c r="G239" s="88"/>
      <c r="H239" s="90"/>
      <c r="I239" s="36"/>
      <c r="L239" s="78"/>
      <c r="M239" s="78"/>
      <c r="N239" s="36"/>
    </row>
    <row r="240" spans="1:14" s="60" customFormat="1" x14ac:dyDescent="0.25">
      <c r="A240" s="76">
        <f t="shared" si="14"/>
        <v>10</v>
      </c>
      <c r="B240" s="77"/>
      <c r="C240" s="59" t="s">
        <v>259</v>
      </c>
      <c r="D240" s="65">
        <f>(28.78)*10.764</f>
        <v>309.78791999999999</v>
      </c>
      <c r="E240" s="59">
        <v>0</v>
      </c>
      <c r="F240" s="59">
        <f>D240*(($F$166)+1)+(IF(E240&lt;101,E240,IF(E240&lt;201,E240/2,IF(E240&lt;=301,E240/3,E240/4))))</f>
        <v>480.17127599999998</v>
      </c>
      <c r="G240" s="88"/>
      <c r="H240" s="90"/>
      <c r="I240" s="36"/>
      <c r="L240" s="78"/>
      <c r="M240" s="78"/>
      <c r="N240" s="36"/>
    </row>
    <row r="241" spans="1:14" s="60" customFormat="1" ht="15.75" customHeight="1" x14ac:dyDescent="0.25">
      <c r="A241" s="91" t="s">
        <v>262</v>
      </c>
      <c r="B241" s="92"/>
      <c r="C241" s="92"/>
      <c r="D241" s="92"/>
      <c r="E241" s="92"/>
      <c r="F241" s="92"/>
      <c r="G241" s="92"/>
      <c r="H241" s="93"/>
      <c r="J241" s="36"/>
    </row>
    <row r="242" spans="1:14" s="60" customFormat="1" ht="15.75" customHeight="1" x14ac:dyDescent="0.25">
      <c r="A242" s="76">
        <v>1</v>
      </c>
      <c r="B242" s="77"/>
      <c r="C242" s="59" t="s">
        <v>259</v>
      </c>
      <c r="D242" s="65">
        <f>(28.78)*10.764</f>
        <v>309.78791999999999</v>
      </c>
      <c r="E242" s="59">
        <v>0</v>
      </c>
      <c r="F242" s="59">
        <f t="shared" ref="F242:F251" si="16">D242*(($F$166)+1)+(IF(E242&lt;101,E242,IF(E242&lt;201,E242/2,IF(E242&lt;=301,E242/3,E242/4))))</f>
        <v>480.17127599999998</v>
      </c>
      <c r="G242" s="79" t="str">
        <f>A241</f>
        <v>2nd to 7th, 9th to 14th, 16th to 21st, 23rd to 28th &amp; 30th to 33rd Floor</v>
      </c>
      <c r="H242" s="81"/>
      <c r="I242" s="36"/>
      <c r="L242" s="78"/>
      <c r="M242" s="78"/>
      <c r="N242" s="36"/>
    </row>
    <row r="243" spans="1:14" s="60" customFormat="1" x14ac:dyDescent="0.25">
      <c r="A243" s="76">
        <f t="shared" ref="A243:A251" si="17">A242+1</f>
        <v>2</v>
      </c>
      <c r="B243" s="77"/>
      <c r="C243" s="59" t="s">
        <v>259</v>
      </c>
      <c r="D243" s="65">
        <f>(29.81)*10.764</f>
        <v>320.87483999999995</v>
      </c>
      <c r="E243" s="59">
        <v>0</v>
      </c>
      <c r="F243" s="59">
        <f t="shared" si="16"/>
        <v>497.35600199999993</v>
      </c>
      <c r="G243" s="88"/>
      <c r="H243" s="90"/>
      <c r="I243" s="36"/>
      <c r="L243" s="78"/>
      <c r="M243" s="78"/>
      <c r="N243" s="36"/>
    </row>
    <row r="244" spans="1:14" s="60" customFormat="1" x14ac:dyDescent="0.25">
      <c r="A244" s="76">
        <f t="shared" si="17"/>
        <v>3</v>
      </c>
      <c r="B244" s="77"/>
      <c r="C244" s="59" t="s">
        <v>259</v>
      </c>
      <c r="D244" s="65">
        <f>(29.35)*10.764</f>
        <v>315.92340000000002</v>
      </c>
      <c r="E244" s="59">
        <v>0</v>
      </c>
      <c r="F244" s="59">
        <f t="shared" si="16"/>
        <v>489.68127000000004</v>
      </c>
      <c r="G244" s="88"/>
      <c r="H244" s="90"/>
      <c r="I244" s="36"/>
      <c r="J244" s="60">
        <f>7000000/F244</f>
        <v>14295.012753908271</v>
      </c>
      <c r="L244" s="78"/>
      <c r="M244" s="78"/>
      <c r="N244" s="36"/>
    </row>
    <row r="245" spans="1:14" s="60" customFormat="1" x14ac:dyDescent="0.25">
      <c r="A245" s="76">
        <f t="shared" si="17"/>
        <v>4</v>
      </c>
      <c r="B245" s="77"/>
      <c r="C245" s="59" t="s">
        <v>259</v>
      </c>
      <c r="D245" s="65">
        <f>(29.08)*10.764</f>
        <v>313.01711999999998</v>
      </c>
      <c r="E245" s="59">
        <v>0</v>
      </c>
      <c r="F245" s="59">
        <f t="shared" si="16"/>
        <v>485.176536</v>
      </c>
      <c r="G245" s="88"/>
      <c r="H245" s="90"/>
      <c r="I245" s="36"/>
      <c r="L245" s="78"/>
      <c r="M245" s="78"/>
      <c r="N245" s="36"/>
    </row>
    <row r="246" spans="1:14" s="60" customFormat="1" x14ac:dyDescent="0.25">
      <c r="A246" s="76">
        <f t="shared" si="17"/>
        <v>5</v>
      </c>
      <c r="B246" s="77"/>
      <c r="C246" s="59" t="s">
        <v>259</v>
      </c>
      <c r="D246" s="65">
        <f>(29.73)*10.764</f>
        <v>320.01371999999998</v>
      </c>
      <c r="E246" s="59">
        <v>0</v>
      </c>
      <c r="F246" s="59">
        <f t="shared" si="16"/>
        <v>496.02126599999997</v>
      </c>
      <c r="G246" s="88"/>
      <c r="H246" s="90"/>
      <c r="I246" s="36"/>
      <c r="L246" s="78"/>
      <c r="M246" s="78"/>
      <c r="N246" s="36"/>
    </row>
    <row r="247" spans="1:14" s="60" customFormat="1" x14ac:dyDescent="0.25">
      <c r="A247" s="76">
        <f t="shared" si="17"/>
        <v>6</v>
      </c>
      <c r="B247" s="77"/>
      <c r="C247" s="59" t="s">
        <v>259</v>
      </c>
      <c r="D247" s="65">
        <f>(29.38)*10.764</f>
        <v>316.24631999999997</v>
      </c>
      <c r="E247" s="59">
        <v>0</v>
      </c>
      <c r="F247" s="59">
        <f t="shared" si="16"/>
        <v>490.18179599999996</v>
      </c>
      <c r="G247" s="88"/>
      <c r="H247" s="90"/>
      <c r="I247" s="36"/>
      <c r="L247" s="78"/>
      <c r="M247" s="78"/>
      <c r="N247" s="36"/>
    </row>
    <row r="248" spans="1:14" s="60" customFormat="1" x14ac:dyDescent="0.25">
      <c r="A248" s="76">
        <f t="shared" si="17"/>
        <v>7</v>
      </c>
      <c r="B248" s="77"/>
      <c r="C248" s="59" t="s">
        <v>259</v>
      </c>
      <c r="D248" s="65">
        <f>(28.78)*10.764</f>
        <v>309.78791999999999</v>
      </c>
      <c r="E248" s="59">
        <v>0</v>
      </c>
      <c r="F248" s="59">
        <f t="shared" si="16"/>
        <v>480.17127599999998</v>
      </c>
      <c r="G248" s="88"/>
      <c r="H248" s="90"/>
      <c r="I248" s="36"/>
      <c r="L248" s="78"/>
      <c r="M248" s="78"/>
      <c r="N248" s="36"/>
    </row>
    <row r="249" spans="1:14" s="60" customFormat="1" x14ac:dyDescent="0.25">
      <c r="A249" s="76">
        <f t="shared" si="17"/>
        <v>8</v>
      </c>
      <c r="B249" s="77"/>
      <c r="C249" s="59" t="s">
        <v>259</v>
      </c>
      <c r="D249" s="65">
        <f>(28.77)*10.764</f>
        <v>309.68027999999998</v>
      </c>
      <c r="E249" s="59">
        <v>0</v>
      </c>
      <c r="F249" s="59">
        <f t="shared" si="16"/>
        <v>480.004434</v>
      </c>
      <c r="G249" s="88"/>
      <c r="H249" s="90"/>
      <c r="I249" s="36"/>
      <c r="L249" s="78"/>
      <c r="M249" s="78"/>
      <c r="N249" s="36"/>
    </row>
    <row r="250" spans="1:14" s="60" customFormat="1" x14ac:dyDescent="0.25">
      <c r="A250" s="76">
        <f t="shared" si="17"/>
        <v>9</v>
      </c>
      <c r="B250" s="77"/>
      <c r="C250" s="59" t="s">
        <v>259</v>
      </c>
      <c r="D250" s="65">
        <f>(28.77)*10.764</f>
        <v>309.68027999999998</v>
      </c>
      <c r="E250" s="59">
        <v>0</v>
      </c>
      <c r="F250" s="59">
        <f t="shared" si="16"/>
        <v>480.004434</v>
      </c>
      <c r="G250" s="88"/>
      <c r="H250" s="90"/>
      <c r="I250" s="36"/>
      <c r="L250" s="78"/>
      <c r="M250" s="78"/>
      <c r="N250" s="36"/>
    </row>
    <row r="251" spans="1:14" s="60" customFormat="1" x14ac:dyDescent="0.25">
      <c r="A251" s="76">
        <f t="shared" si="17"/>
        <v>10</v>
      </c>
      <c r="B251" s="77"/>
      <c r="C251" s="59" t="s">
        <v>259</v>
      </c>
      <c r="D251" s="65">
        <f>(28.78)*10.764</f>
        <v>309.78791999999999</v>
      </c>
      <c r="E251" s="59">
        <v>0</v>
      </c>
      <c r="F251" s="59">
        <f t="shared" si="16"/>
        <v>480.17127599999998</v>
      </c>
      <c r="G251" s="88"/>
      <c r="H251" s="90"/>
      <c r="I251" s="36"/>
      <c r="L251" s="78"/>
      <c r="M251" s="78"/>
      <c r="N251" s="36"/>
    </row>
    <row r="252" spans="1:14" s="60" customFormat="1" ht="15.75" customHeight="1" x14ac:dyDescent="0.25">
      <c r="A252" s="91" t="s">
        <v>263</v>
      </c>
      <c r="B252" s="92"/>
      <c r="C252" s="92"/>
      <c r="D252" s="92"/>
      <c r="E252" s="92"/>
      <c r="F252" s="92"/>
      <c r="G252" s="92"/>
      <c r="H252" s="93"/>
      <c r="J252" s="36"/>
    </row>
    <row r="253" spans="1:14" s="60" customFormat="1" ht="15.75" customHeight="1" x14ac:dyDescent="0.25">
      <c r="A253" s="76">
        <v>1</v>
      </c>
      <c r="B253" s="77"/>
      <c r="C253" s="59" t="s">
        <v>259</v>
      </c>
      <c r="D253" s="65">
        <f>(28.78)*10.764</f>
        <v>309.78791999999999</v>
      </c>
      <c r="E253" s="59">
        <v>0</v>
      </c>
      <c r="F253" s="59">
        <f>D253*(($F$166)+1)+(IF(E253&lt;101,E253,IF(E253&lt;201,E253/2,IF(E253&lt;=301,E253/3,E253/4))))</f>
        <v>480.17127599999998</v>
      </c>
      <c r="G253" s="79" t="str">
        <f>A252</f>
        <v>8th, 15th &amp; 22nd Floor (Part Refuge Area)</v>
      </c>
      <c r="H253" s="81"/>
      <c r="I253" s="36"/>
      <c r="L253" s="78"/>
      <c r="M253" s="78"/>
      <c r="N253" s="36"/>
    </row>
    <row r="254" spans="1:14" s="60" customFormat="1" x14ac:dyDescent="0.25">
      <c r="A254" s="76">
        <f t="shared" ref="A254:A262" si="18">A253+1</f>
        <v>2</v>
      </c>
      <c r="B254" s="77"/>
      <c r="C254" s="59" t="s">
        <v>259</v>
      </c>
      <c r="D254" s="65">
        <f>(29.81)*10.764</f>
        <v>320.87483999999995</v>
      </c>
      <c r="E254" s="59">
        <v>0</v>
      </c>
      <c r="F254" s="59">
        <f>D254*(($F$166)+1)+(IF(E254&lt;101,E254,IF(E254&lt;201,E254/2,IF(E254&lt;=301,E254/3,E254/4))))</f>
        <v>497.35600199999993</v>
      </c>
      <c r="G254" s="88"/>
      <c r="H254" s="90"/>
      <c r="I254" s="36"/>
      <c r="L254" s="78"/>
      <c r="M254" s="78"/>
      <c r="N254" s="36"/>
    </row>
    <row r="255" spans="1:14" s="60" customFormat="1" x14ac:dyDescent="0.25">
      <c r="A255" s="76">
        <f t="shared" si="18"/>
        <v>3</v>
      </c>
      <c r="B255" s="77"/>
      <c r="C255" s="59" t="s">
        <v>259</v>
      </c>
      <c r="D255" s="65">
        <f>(29.35)*10.764</f>
        <v>315.92340000000002</v>
      </c>
      <c r="E255" s="59">
        <v>0</v>
      </c>
      <c r="F255" s="59">
        <f>D255*(($F$166)+1)+(IF(E255&lt;101,E255,IF(E255&lt;201,E255/2,IF(E255&lt;=301,E255/3,E255/4))))</f>
        <v>489.68127000000004</v>
      </c>
      <c r="G255" s="88"/>
      <c r="H255" s="90"/>
      <c r="I255" s="36"/>
      <c r="L255" s="78"/>
      <c r="M255" s="78"/>
      <c r="N255" s="36"/>
    </row>
    <row r="256" spans="1:14" s="60" customFormat="1" x14ac:dyDescent="0.25">
      <c r="A256" s="76">
        <f t="shared" si="18"/>
        <v>4</v>
      </c>
      <c r="B256" s="77"/>
      <c r="C256" s="59" t="s">
        <v>259</v>
      </c>
      <c r="D256" s="65">
        <f>(29.08)*10.764</f>
        <v>313.01711999999998</v>
      </c>
      <c r="E256" s="59">
        <v>0</v>
      </c>
      <c r="F256" s="59">
        <f>D256*(($F$166)+1)+(IF(E256&lt;101,E256,IF(E256&lt;201,E256/2,IF(E256&lt;=301,E256/3,E256/4))))</f>
        <v>485.176536</v>
      </c>
      <c r="G256" s="88"/>
      <c r="H256" s="90"/>
      <c r="I256" s="36"/>
      <c r="L256" s="78"/>
      <c r="M256" s="78"/>
      <c r="N256" s="36"/>
    </row>
    <row r="257" spans="1:14" s="60" customFormat="1" x14ac:dyDescent="0.25">
      <c r="A257" s="76">
        <f t="shared" si="18"/>
        <v>5</v>
      </c>
      <c r="B257" s="77"/>
      <c r="C257" s="59" t="s">
        <v>259</v>
      </c>
      <c r="D257" s="65">
        <f>(29.73)*10.764</f>
        <v>320.01371999999998</v>
      </c>
      <c r="E257" s="59">
        <v>0</v>
      </c>
      <c r="F257" s="59">
        <f>D257*(($F$166)+1)+(IF(E257&lt;101,E257,IF(E257&lt;201,E257/2,IF(E257&lt;=301,E257/3,E257/4))))</f>
        <v>496.02126599999997</v>
      </c>
      <c r="G257" s="88"/>
      <c r="H257" s="90"/>
      <c r="I257" s="36"/>
      <c r="L257" s="78"/>
      <c r="M257" s="78"/>
      <c r="N257" s="36"/>
    </row>
    <row r="258" spans="1:14" s="60" customFormat="1" x14ac:dyDescent="0.25">
      <c r="A258" s="76">
        <f t="shared" si="18"/>
        <v>6</v>
      </c>
      <c r="B258" s="77"/>
      <c r="C258" s="79" t="s">
        <v>264</v>
      </c>
      <c r="D258" s="80"/>
      <c r="E258" s="80"/>
      <c r="F258" s="81"/>
      <c r="G258" s="88"/>
      <c r="H258" s="90"/>
      <c r="I258" s="36"/>
      <c r="L258" s="78"/>
      <c r="M258" s="78"/>
      <c r="N258" s="36"/>
    </row>
    <row r="259" spans="1:14" s="60" customFormat="1" x14ac:dyDescent="0.25">
      <c r="A259" s="76">
        <f t="shared" si="18"/>
        <v>7</v>
      </c>
      <c r="B259" s="77"/>
      <c r="C259" s="88"/>
      <c r="D259" s="89"/>
      <c r="E259" s="89"/>
      <c r="F259" s="90"/>
      <c r="G259" s="88"/>
      <c r="H259" s="90"/>
      <c r="I259" s="36"/>
      <c r="L259" s="78"/>
      <c r="M259" s="78"/>
      <c r="N259" s="36"/>
    </row>
    <row r="260" spans="1:14" s="60" customFormat="1" x14ac:dyDescent="0.25">
      <c r="A260" s="76">
        <f t="shared" si="18"/>
        <v>8</v>
      </c>
      <c r="B260" s="77"/>
      <c r="C260" s="82"/>
      <c r="D260" s="83"/>
      <c r="E260" s="83"/>
      <c r="F260" s="84"/>
      <c r="G260" s="88"/>
      <c r="H260" s="90"/>
      <c r="I260" s="36"/>
      <c r="L260" s="78"/>
      <c r="M260" s="78"/>
      <c r="N260" s="36"/>
    </row>
    <row r="261" spans="1:14" s="60" customFormat="1" x14ac:dyDescent="0.25">
      <c r="A261" s="76">
        <f t="shared" si="18"/>
        <v>9</v>
      </c>
      <c r="B261" s="77"/>
      <c r="C261" s="59" t="s">
        <v>259</v>
      </c>
      <c r="D261" s="65">
        <f>(28.77)*10.764</f>
        <v>309.68027999999998</v>
      </c>
      <c r="E261" s="59">
        <v>0</v>
      </c>
      <c r="F261" s="59">
        <f>D261*(($F$166)+1)+(IF(E261&lt;101,E261,IF(E261&lt;201,E261/2,IF(E261&lt;=301,E261/3,E261/4))))</f>
        <v>480.004434</v>
      </c>
      <c r="G261" s="88"/>
      <c r="H261" s="90"/>
      <c r="I261" s="36"/>
      <c r="J261" s="60">
        <f>12400000/(F261+F262)</f>
        <v>12914.302945655645</v>
      </c>
      <c r="L261" s="78"/>
      <c r="M261" s="78"/>
      <c r="N261" s="36"/>
    </row>
    <row r="262" spans="1:14" s="60" customFormat="1" x14ac:dyDescent="0.25">
      <c r="A262" s="76">
        <f t="shared" si="18"/>
        <v>10</v>
      </c>
      <c r="B262" s="77"/>
      <c r="C262" s="59" t="s">
        <v>259</v>
      </c>
      <c r="D262" s="65">
        <f>(28.78)*10.764</f>
        <v>309.78791999999999</v>
      </c>
      <c r="E262" s="59">
        <v>0</v>
      </c>
      <c r="F262" s="59">
        <f>D262*(($F$166)+1)+(IF(E262&lt;101,E262,IF(E262&lt;201,E262/2,IF(E262&lt;=301,E262/3,E262/4))))</f>
        <v>480.17127599999998</v>
      </c>
      <c r="G262" s="88"/>
      <c r="H262" s="90"/>
      <c r="I262" s="36"/>
      <c r="L262" s="78"/>
      <c r="M262" s="78"/>
      <c r="N262" s="36"/>
    </row>
    <row r="263" spans="1:14" s="60" customFormat="1" ht="15.75" customHeight="1" x14ac:dyDescent="0.25">
      <c r="A263" s="91" t="s">
        <v>265</v>
      </c>
      <c r="B263" s="92"/>
      <c r="C263" s="92"/>
      <c r="D263" s="92"/>
      <c r="E263" s="92"/>
      <c r="F263" s="92"/>
      <c r="G263" s="92"/>
      <c r="H263" s="93"/>
      <c r="J263" s="36"/>
    </row>
    <row r="264" spans="1:14" s="60" customFormat="1" ht="15.75" customHeight="1" x14ac:dyDescent="0.25">
      <c r="A264" s="76">
        <v>1</v>
      </c>
      <c r="B264" s="77"/>
      <c r="C264" s="59" t="s">
        <v>259</v>
      </c>
      <c r="D264" s="65">
        <f>(28.78)*10.764</f>
        <v>309.78791999999999</v>
      </c>
      <c r="E264" s="59">
        <v>0</v>
      </c>
      <c r="F264" s="59">
        <f t="shared" ref="F264:F269" si="19">D264*(($F$166)+1)+(IF(E264&lt;101,E264,IF(E264&lt;201,E264/2,IF(E264&lt;=301,E264/3,E264/4))))</f>
        <v>480.17127599999998</v>
      </c>
      <c r="G264" s="79" t="str">
        <f>A263</f>
        <v>29th Floor (Part Refuge Area)</v>
      </c>
      <c r="H264" s="81"/>
      <c r="I264" s="36"/>
      <c r="L264" s="78"/>
      <c r="M264" s="78"/>
      <c r="N264" s="36"/>
    </row>
    <row r="265" spans="1:14" s="60" customFormat="1" x14ac:dyDescent="0.25">
      <c r="A265" s="76">
        <f t="shared" ref="A265:A273" si="20">A264+1</f>
        <v>2</v>
      </c>
      <c r="B265" s="77"/>
      <c r="C265" s="59" t="s">
        <v>259</v>
      </c>
      <c r="D265" s="65">
        <f>(29.81)*10.764</f>
        <v>320.87483999999995</v>
      </c>
      <c r="E265" s="59">
        <v>0</v>
      </c>
      <c r="F265" s="59">
        <f t="shared" si="19"/>
        <v>497.35600199999993</v>
      </c>
      <c r="G265" s="88"/>
      <c r="H265" s="90"/>
      <c r="I265" s="36"/>
      <c r="L265" s="78"/>
      <c r="M265" s="78"/>
      <c r="N265" s="36"/>
    </row>
    <row r="266" spans="1:14" s="60" customFormat="1" x14ac:dyDescent="0.25">
      <c r="A266" s="76">
        <f t="shared" si="20"/>
        <v>3</v>
      </c>
      <c r="B266" s="77"/>
      <c r="C266" s="59" t="s">
        <v>259</v>
      </c>
      <c r="D266" s="65">
        <f>(29.35)*10.764</f>
        <v>315.92340000000002</v>
      </c>
      <c r="E266" s="59">
        <v>0</v>
      </c>
      <c r="F266" s="59">
        <f t="shared" si="19"/>
        <v>489.68127000000004</v>
      </c>
      <c r="G266" s="88"/>
      <c r="H266" s="90"/>
      <c r="I266" s="36"/>
      <c r="L266" s="78"/>
      <c r="M266" s="78"/>
      <c r="N266" s="36"/>
    </row>
    <row r="267" spans="1:14" s="60" customFormat="1" x14ac:dyDescent="0.25">
      <c r="A267" s="76">
        <f t="shared" si="20"/>
        <v>4</v>
      </c>
      <c r="B267" s="77"/>
      <c r="C267" s="59" t="s">
        <v>259</v>
      </c>
      <c r="D267" s="65">
        <f>(29.08)*10.764</f>
        <v>313.01711999999998</v>
      </c>
      <c r="E267" s="59">
        <v>0</v>
      </c>
      <c r="F267" s="59">
        <f t="shared" si="19"/>
        <v>485.176536</v>
      </c>
      <c r="G267" s="88"/>
      <c r="H267" s="90"/>
      <c r="I267" s="36"/>
      <c r="L267" s="78"/>
      <c r="M267" s="78"/>
      <c r="N267" s="36"/>
    </row>
    <row r="268" spans="1:14" s="60" customFormat="1" x14ac:dyDescent="0.25">
      <c r="A268" s="76">
        <f t="shared" si="20"/>
        <v>5</v>
      </c>
      <c r="B268" s="77"/>
      <c r="C268" s="59" t="s">
        <v>259</v>
      </c>
      <c r="D268" s="65">
        <f>(29.73)*10.764</f>
        <v>320.01371999999998</v>
      </c>
      <c r="E268" s="59">
        <v>0</v>
      </c>
      <c r="F268" s="59">
        <f t="shared" si="19"/>
        <v>496.02126599999997</v>
      </c>
      <c r="G268" s="88"/>
      <c r="H268" s="90"/>
      <c r="I268" s="36"/>
      <c r="L268" s="78"/>
      <c r="M268" s="78"/>
      <c r="N268" s="36"/>
    </row>
    <row r="269" spans="1:14" s="60" customFormat="1" x14ac:dyDescent="0.25">
      <c r="A269" s="76">
        <f t="shared" si="20"/>
        <v>6</v>
      </c>
      <c r="B269" s="77"/>
      <c r="C269" s="59" t="s">
        <v>259</v>
      </c>
      <c r="D269" s="65">
        <f>(29.38)*10.764</f>
        <v>316.24631999999997</v>
      </c>
      <c r="E269" s="59">
        <v>0</v>
      </c>
      <c r="F269" s="59">
        <f t="shared" si="19"/>
        <v>490.18179599999996</v>
      </c>
      <c r="G269" s="88"/>
      <c r="H269" s="90"/>
      <c r="I269" s="36"/>
      <c r="L269" s="78"/>
      <c r="M269" s="78"/>
      <c r="N269" s="36"/>
    </row>
    <row r="270" spans="1:14" s="60" customFormat="1" x14ac:dyDescent="0.25">
      <c r="A270" s="76">
        <f t="shared" si="20"/>
        <v>7</v>
      </c>
      <c r="B270" s="77"/>
      <c r="C270" s="79" t="s">
        <v>264</v>
      </c>
      <c r="D270" s="80"/>
      <c r="E270" s="80"/>
      <c r="F270" s="81"/>
      <c r="G270" s="88"/>
      <c r="H270" s="90"/>
      <c r="I270" s="36"/>
      <c r="L270" s="78"/>
      <c r="M270" s="78"/>
      <c r="N270" s="36"/>
    </row>
    <row r="271" spans="1:14" s="60" customFormat="1" x14ac:dyDescent="0.25">
      <c r="A271" s="76">
        <f t="shared" si="20"/>
        <v>8</v>
      </c>
      <c r="B271" s="77"/>
      <c r="C271" s="82"/>
      <c r="D271" s="83"/>
      <c r="E271" s="83"/>
      <c r="F271" s="84"/>
      <c r="G271" s="88"/>
      <c r="H271" s="90"/>
      <c r="I271" s="36"/>
      <c r="L271" s="78"/>
      <c r="M271" s="78"/>
      <c r="N271" s="36"/>
    </row>
    <row r="272" spans="1:14" s="60" customFormat="1" x14ac:dyDescent="0.25">
      <c r="A272" s="76">
        <f t="shared" si="20"/>
        <v>9</v>
      </c>
      <c r="B272" s="77"/>
      <c r="C272" s="59" t="s">
        <v>259</v>
      </c>
      <c r="D272" s="65">
        <f>(28.77)*10.764</f>
        <v>309.68027999999998</v>
      </c>
      <c r="E272" s="59">
        <v>0</v>
      </c>
      <c r="F272" s="59">
        <f>D272*(($F$166)+1)+(IF(E272&lt;101,E272,IF(E272&lt;201,E272/2,IF(E272&lt;=301,E272/3,E272/4))))</f>
        <v>480.004434</v>
      </c>
      <c r="G272" s="88"/>
      <c r="H272" s="90"/>
      <c r="I272" s="36"/>
      <c r="L272" s="78"/>
      <c r="M272" s="78"/>
      <c r="N272" s="36"/>
    </row>
    <row r="273" spans="1:14" s="60" customFormat="1" x14ac:dyDescent="0.25">
      <c r="A273" s="76">
        <f t="shared" si="20"/>
        <v>10</v>
      </c>
      <c r="B273" s="77"/>
      <c r="C273" s="59" t="s">
        <v>259</v>
      </c>
      <c r="D273" s="65">
        <f>(28.78)*10.764</f>
        <v>309.78791999999999</v>
      </c>
      <c r="E273" s="59">
        <v>0</v>
      </c>
      <c r="F273" s="59">
        <f>D273*(($F$166)+1)+(IF(E273&lt;101,E273,IF(E273&lt;201,E273/2,IF(E273&lt;=301,E273/3,E273/4))))</f>
        <v>480.17127599999998</v>
      </c>
      <c r="G273" s="88"/>
      <c r="H273" s="90"/>
      <c r="I273" s="36"/>
      <c r="L273" s="78"/>
      <c r="M273" s="78"/>
      <c r="N273" s="36"/>
    </row>
    <row r="274" spans="1:14" s="37" customFormat="1" hidden="1" x14ac:dyDescent="0.25">
      <c r="A274" s="182" t="s">
        <v>117</v>
      </c>
      <c r="B274" s="182"/>
      <c r="C274" s="182"/>
      <c r="D274" s="182"/>
      <c r="E274" s="182"/>
      <c r="F274" s="182"/>
      <c r="G274" s="182"/>
      <c r="H274" s="182"/>
      <c r="I274" s="36"/>
      <c r="L274" s="78"/>
      <c r="M274" s="78"/>
    </row>
    <row r="275" spans="1:14" s="37" customFormat="1" hidden="1" x14ac:dyDescent="0.25">
      <c r="A275" s="98">
        <f>LEFT(A274,SUM(LEN(A274)-LEN(SUBSTITUTE(A274,{"0","1","2","3","4","5","6","7","8","9"},""))))*100+1</f>
        <v>201</v>
      </c>
      <c r="B275" s="98"/>
      <c r="C275" s="42"/>
      <c r="D275" s="42"/>
      <c r="E275" s="42">
        <v>0</v>
      </c>
      <c r="F275" s="42">
        <f t="shared" ref="F275:F276" si="21">D275*(($F$166)+1)+(IF(E275&lt;101,E275,IF(E275&lt;201,E275/2,IF(E275&lt;=301,E275/3,E275/4))))</f>
        <v>0</v>
      </c>
      <c r="G275" s="98" t="str">
        <f>A274</f>
        <v>2nd Floor</v>
      </c>
      <c r="H275" s="98"/>
      <c r="I275" s="36"/>
      <c r="N275" s="36"/>
    </row>
    <row r="276" spans="1:14" s="37" customFormat="1" hidden="1" x14ac:dyDescent="0.25">
      <c r="A276" s="98">
        <f>A275+1</f>
        <v>202</v>
      </c>
      <c r="B276" s="98"/>
      <c r="C276" s="42"/>
      <c r="D276" s="42"/>
      <c r="E276" s="42">
        <v>0</v>
      </c>
      <c r="F276" s="42">
        <f t="shared" si="21"/>
        <v>0</v>
      </c>
      <c r="G276" s="98" t="str">
        <f>G275</f>
        <v>2nd Floor</v>
      </c>
      <c r="H276" s="98"/>
      <c r="I276" s="36"/>
      <c r="N276" s="36"/>
    </row>
    <row r="277" spans="1:14" s="37" customFormat="1" hidden="1" x14ac:dyDescent="0.25">
      <c r="A277" s="98">
        <f>A276+1</f>
        <v>203</v>
      </c>
      <c r="B277" s="98"/>
      <c r="C277" s="42"/>
      <c r="D277" s="42"/>
      <c r="E277" s="42">
        <v>0</v>
      </c>
      <c r="F277" s="42">
        <f>D277*(($F$166)+1)+(IF(E277&lt;101,E277,IF(E277&lt;201,E277/2,IF(E277&lt;=301,E277/3,E277/4))))</f>
        <v>0</v>
      </c>
      <c r="G277" s="98" t="str">
        <f>G276</f>
        <v>2nd Floor</v>
      </c>
      <c r="H277" s="98"/>
      <c r="I277" s="36"/>
      <c r="N277" s="36"/>
    </row>
    <row r="278" spans="1:14" s="37" customFormat="1" hidden="1" x14ac:dyDescent="0.25">
      <c r="A278" s="98">
        <f>A277+1</f>
        <v>204</v>
      </c>
      <c r="B278" s="98"/>
      <c r="C278" s="42"/>
      <c r="D278" s="42"/>
      <c r="E278" s="42">
        <v>0</v>
      </c>
      <c r="F278" s="42">
        <f>D278*(($F$166)+1)+(IF(E278&lt;101,E278,IF(E278&lt;201,E278/2,IF(E278&lt;=301,E278/3,E278/4))))</f>
        <v>0</v>
      </c>
      <c r="G278" s="98" t="str">
        <f>G277</f>
        <v>2nd Floor</v>
      </c>
      <c r="H278" s="98"/>
      <c r="I278" s="36"/>
      <c r="N278" s="36"/>
    </row>
    <row r="279" spans="1:14" s="37" customFormat="1" hidden="1" x14ac:dyDescent="0.25">
      <c r="A279" s="98">
        <f>A278+1</f>
        <v>205</v>
      </c>
      <c r="B279" s="98"/>
      <c r="C279" s="42"/>
      <c r="D279" s="42"/>
      <c r="E279" s="42">
        <v>0</v>
      </c>
      <c r="F279" s="42">
        <f>D279*(($F$166)+1)+(IF(E279&lt;101,E279,IF(E279&lt;201,E279/2,IF(E279&lt;=301,E279/3,E279/4))))</f>
        <v>0</v>
      </c>
      <c r="G279" s="98" t="str">
        <f>G278</f>
        <v>2nd Floor</v>
      </c>
      <c r="H279" s="98"/>
      <c r="I279" s="36"/>
      <c r="N279" s="36"/>
    </row>
    <row r="280" spans="1:14" s="37" customFormat="1" ht="15.75" hidden="1" customHeight="1" x14ac:dyDescent="0.25">
      <c r="A280" s="91" t="s">
        <v>150</v>
      </c>
      <c r="B280" s="92"/>
      <c r="C280" s="92"/>
      <c r="D280" s="92"/>
      <c r="E280" s="92"/>
      <c r="F280" s="92"/>
      <c r="G280" s="92"/>
      <c r="H280" s="93"/>
      <c r="I280" s="36"/>
    </row>
    <row r="281" spans="1:14" s="37" customFormat="1" hidden="1" x14ac:dyDescent="0.25">
      <c r="A281" s="76"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10^ROW(INDIRECT("1:"&amp;LEN((LEFT(A280,SUM(LEN(A280)-LEN(SUBSTITUTE(A280,{"0","1","2"},""))))))))/10))*100+1&amp;""&amp;" ,..,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",LEN(A280))),LEN(A280)))))))/10))*100+1</f>
        <v>301 ,.., 1501</v>
      </c>
      <c r="B281" s="77"/>
      <c r="C281" s="42"/>
      <c r="D281" s="42"/>
      <c r="E281" s="42">
        <v>0</v>
      </c>
      <c r="F281" s="42">
        <f>D281*(($F$166)+1)+(IF(E281&lt;101,E281,IF(E281&lt;201,E281/2,IF(E281&lt;=301,E281/3,E281/4))))</f>
        <v>0</v>
      </c>
      <c r="G281" s="76" t="str">
        <f>A280</f>
        <v>3rd, 5th, 7th, 9th, 11th, 13th, 15th Floor</v>
      </c>
      <c r="H281" s="77"/>
      <c r="I281" s="36"/>
    </row>
    <row r="282" spans="1:14" s="37" customFormat="1" hidden="1" x14ac:dyDescent="0.25">
      <c r="A282" s="76"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302 ,.., 1502</v>
      </c>
      <c r="B282" s="77"/>
      <c r="C282" s="42"/>
      <c r="D282" s="42"/>
      <c r="E282" s="42">
        <v>0</v>
      </c>
      <c r="F282" s="42">
        <f>D282*(($F$166)+1)+(IF(E282&lt;101,E282,IF(E282&lt;201,E282/2,IF(E282&lt;=301,E282/3,E282/4))))</f>
        <v>0</v>
      </c>
      <c r="G282" s="76" t="str">
        <f>G281</f>
        <v>3rd, 5th, 7th, 9th, 11th, 13th, 15th Floor</v>
      </c>
      <c r="H282" s="77"/>
      <c r="I282" s="36"/>
    </row>
    <row r="283" spans="1:14" s="37" customFormat="1" ht="15.75" hidden="1" customHeight="1" x14ac:dyDescent="0.25">
      <c r="A283" s="76"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303 ,.., 1503</v>
      </c>
      <c r="B283" s="77"/>
      <c r="C283" s="42"/>
      <c r="D283" s="42"/>
      <c r="E283" s="42">
        <v>0</v>
      </c>
      <c r="F283" s="42">
        <f>D283*(($F$166)+1)+(IF(E283&lt;101,E283,IF(E283&lt;201,E283/2,IF(E283&lt;=301,E283/3,E283/4))))</f>
        <v>0</v>
      </c>
      <c r="G283" s="76" t="str">
        <f>G282</f>
        <v>3rd, 5th, 7th, 9th, 11th, 13th, 15th Floor</v>
      </c>
      <c r="H283" s="77"/>
      <c r="I283" s="36"/>
    </row>
    <row r="284" spans="1:14" s="37" customFormat="1" ht="15.75" hidden="1" customHeight="1" x14ac:dyDescent="0.25">
      <c r="A284" s="76"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304 ,.., 1504</v>
      </c>
      <c r="B284" s="77"/>
      <c r="C284" s="42"/>
      <c r="D284" s="42"/>
      <c r="E284" s="42">
        <v>0</v>
      </c>
      <c r="F284" s="42">
        <f>D284*(($F$166)+1)+(IF(E284&lt;101,E284,IF(E284&lt;201,E284/2,IF(E284&lt;=301,E284/3,E284/4))))</f>
        <v>0</v>
      </c>
      <c r="G284" s="76" t="str">
        <f>G283</f>
        <v>3rd, 5th, 7th, 9th, 11th, 13th, 15th Floor</v>
      </c>
      <c r="H284" s="77"/>
      <c r="I284" s="36"/>
    </row>
    <row r="285" spans="1:14" s="37" customFormat="1" ht="15.75" hidden="1" customHeight="1" x14ac:dyDescent="0.25">
      <c r="A285" s="76"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305 ,.., 1505</v>
      </c>
      <c r="B285" s="77"/>
      <c r="C285" s="42"/>
      <c r="D285" s="42"/>
      <c r="E285" s="42">
        <v>0</v>
      </c>
      <c r="F285" s="42">
        <f>D285*(($F$166)+1)+(IF(E285&lt;101,E285,IF(E285&lt;201,E285/2,IF(E285&lt;=301,E285/3,E285/4))))</f>
        <v>0</v>
      </c>
      <c r="G285" s="76" t="str">
        <f>G284</f>
        <v>3rd, 5th, 7th, 9th, 11th, 13th, 15th Floor</v>
      </c>
      <c r="H285" s="77"/>
      <c r="I285" s="36"/>
    </row>
    <row r="286" spans="1:14" s="37" customFormat="1" hidden="1" x14ac:dyDescent="0.25">
      <c r="A286" s="91" t="s">
        <v>144</v>
      </c>
      <c r="B286" s="92"/>
      <c r="C286" s="92"/>
      <c r="D286" s="92"/>
      <c r="E286" s="92"/>
      <c r="F286" s="92"/>
      <c r="G286" s="92"/>
      <c r="H286" s="93"/>
      <c r="I286" s="36"/>
    </row>
    <row r="287" spans="1:14" s="37" customFormat="1" hidden="1" x14ac:dyDescent="0.25">
      <c r="A287" s="76"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10^ROW(INDIRECT("1:"&amp;LEN((LEFT(A286,SUM(LEN(A286)-LEN(SUBSTITUTE(A286,{"0","1","2"},""))))))))/10))*100+1&amp;""&amp;" to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",LEN(A286))),LEN(A286)))))))/10))*100+1</f>
        <v>201 to 501</v>
      </c>
      <c r="B287" s="77"/>
      <c r="C287" s="42"/>
      <c r="D287" s="42"/>
      <c r="E287" s="42">
        <v>0</v>
      </c>
      <c r="F287" s="42">
        <f>D287*(($F$166)+1)+(IF(E287&lt;101,E287,IF(E287&lt;201,E287/2,IF(E287&lt;=301,E287/3,E287/4))))</f>
        <v>0</v>
      </c>
      <c r="G287" s="76" t="str">
        <f>A286</f>
        <v>2nd to 5th Floor</v>
      </c>
      <c r="H287" s="77"/>
      <c r="I287" s="36"/>
    </row>
    <row r="288" spans="1:14" s="37" customFormat="1" hidden="1" x14ac:dyDescent="0.25">
      <c r="A288" s="76"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to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202 to 502</v>
      </c>
      <c r="B288" s="77"/>
      <c r="C288" s="42"/>
      <c r="D288" s="42"/>
      <c r="E288" s="42">
        <v>0</v>
      </c>
      <c r="F288" s="42">
        <f>D288*(($F$166)+1)+(IF(E288&lt;101,E288,IF(E288&lt;201,E288/2,IF(E288&lt;=301,E288/3,E288/4))))</f>
        <v>0</v>
      </c>
      <c r="G288" s="76" t="str">
        <f>G287</f>
        <v>2nd to 5th Floor</v>
      </c>
      <c r="H288" s="77"/>
      <c r="I288" s="36"/>
    </row>
    <row r="289" spans="1:9" s="37" customFormat="1" hidden="1" x14ac:dyDescent="0.25">
      <c r="A289" s="76"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10^ROW(INDIRECT("1:"&amp;LEN((LEFT(A288,SUM(LEN(A288)-LEN(SUBSTITUTE(A288,{"0","1","2"},""))))))))/10))*1+1&amp;""&amp;" to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",LEN(A288))),LEN(A288)))))))/10))*1+1</f>
        <v>203 to 503</v>
      </c>
      <c r="B289" s="77"/>
      <c r="C289" s="42"/>
      <c r="D289" s="42"/>
      <c r="E289" s="42">
        <v>0</v>
      </c>
      <c r="F289" s="42">
        <f>D289*(($F$166)+1)+(IF(E289&lt;101,E289,IF(E289&lt;201,E289/2,IF(E289&lt;=301,E289/3,E289/4))))</f>
        <v>0</v>
      </c>
      <c r="G289" s="76" t="str">
        <f>G288</f>
        <v>2nd to 5th Floor</v>
      </c>
      <c r="H289" s="77"/>
      <c r="I289" s="36"/>
    </row>
    <row r="290" spans="1:9" s="37" customFormat="1" hidden="1" x14ac:dyDescent="0.25">
      <c r="A290" s="76"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10^ROW(INDIRECT("1:"&amp;LEN((LEFT(A289,SUM(LEN(A289)-LEN(SUBSTITUTE(A289,{"0","1","2"},""))))))))/10))*1+1&amp;""&amp;" to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",LEN(A289))),LEN(A289)))))))/10))*1+1</f>
        <v>204 to 504</v>
      </c>
      <c r="B290" s="77"/>
      <c r="C290" s="42"/>
      <c r="D290" s="42"/>
      <c r="E290" s="42">
        <v>0</v>
      </c>
      <c r="F290" s="42">
        <f>D290*(($F$166)+1)+(IF(E290&lt;101,E290,IF(E290&lt;201,E290/2,IF(E290&lt;=301,E290/3,E290/4))))</f>
        <v>0</v>
      </c>
      <c r="G290" s="76" t="str">
        <f>G289</f>
        <v>2nd to 5th Floor</v>
      </c>
      <c r="H290" s="77"/>
      <c r="I290" s="36"/>
    </row>
    <row r="291" spans="1:9" s="37" customFormat="1" hidden="1" x14ac:dyDescent="0.25">
      <c r="A291" s="76"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to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205 to 505</v>
      </c>
      <c r="B291" s="77"/>
      <c r="C291" s="42"/>
      <c r="D291" s="42"/>
      <c r="E291" s="42">
        <v>0</v>
      </c>
      <c r="F291" s="42">
        <f>D291*(($F$166)+1)+(IF(E291&lt;101,E291,IF(E291&lt;201,E291/2,IF(E291&lt;=301,E291/3,E291/4))))</f>
        <v>0</v>
      </c>
      <c r="G291" s="76" t="str">
        <f>G290</f>
        <v>2nd to 5th Floor</v>
      </c>
      <c r="H291" s="77"/>
      <c r="I291" s="36"/>
    </row>
    <row r="292" spans="1:9" s="37" customFormat="1" hidden="1" x14ac:dyDescent="0.25">
      <c r="A292" s="91" t="s">
        <v>145</v>
      </c>
      <c r="B292" s="92"/>
      <c r="C292" s="92"/>
      <c r="D292" s="92"/>
      <c r="E292" s="92"/>
      <c r="F292" s="92"/>
      <c r="G292" s="92"/>
      <c r="H292" s="93"/>
      <c r="I292" s="36"/>
    </row>
    <row r="293" spans="1:9" s="37" customFormat="1" hidden="1" x14ac:dyDescent="0.25">
      <c r="A293" s="76"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10^ROW(INDIRECT("1:"&amp;LEN((LEFT(A292,SUM(LEN(A292)-LEN(SUBSTITUTE(A292,{"0","1","2"},""))))))))/10))*100+1&amp;""&amp;" &amp;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",LEN(A292))),LEN(A292)))))))/10))*100+1</f>
        <v>201 &amp; 501</v>
      </c>
      <c r="B293" s="77"/>
      <c r="C293" s="42"/>
      <c r="D293" s="42"/>
      <c r="E293" s="42">
        <v>0</v>
      </c>
      <c r="F293" s="42">
        <f>D293*(($F$166)+1)+(IF(E293&lt;101,E293,IF(E293&lt;201,E293/2,IF(E293&lt;=301,E293/3,E293/4))))</f>
        <v>0</v>
      </c>
      <c r="G293" s="76" t="str">
        <f>A292</f>
        <v>2nd &amp; 5th Floor</v>
      </c>
      <c r="H293" s="77"/>
      <c r="I293" s="36"/>
    </row>
    <row r="294" spans="1:9" s="37" customFormat="1" hidden="1" x14ac:dyDescent="0.25">
      <c r="A294" s="76"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&amp;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202 &amp; 502</v>
      </c>
      <c r="B294" s="77"/>
      <c r="C294" s="42"/>
      <c r="D294" s="42"/>
      <c r="E294" s="42">
        <v>0</v>
      </c>
      <c r="F294" s="42">
        <f>D294*(($F$166)+1)+(IF(E294&lt;101,E294,IF(E294&lt;201,E294/2,IF(E294&lt;=301,E294/3,E294/4))))</f>
        <v>0</v>
      </c>
      <c r="G294" s="76" t="str">
        <f t="shared" ref="G294:G297" si="22">G293</f>
        <v>2nd &amp; 5th Floor</v>
      </c>
      <c r="H294" s="77"/>
      <c r="I294" s="36"/>
    </row>
    <row r="295" spans="1:9" s="37" customFormat="1" hidden="1" x14ac:dyDescent="0.25">
      <c r="A295" s="76"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&amp;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203 &amp; 503</v>
      </c>
      <c r="B295" s="77"/>
      <c r="C295" s="42"/>
      <c r="D295" s="42"/>
      <c r="E295" s="42">
        <v>0</v>
      </c>
      <c r="F295" s="42">
        <f>D295*(($F$166)+1)+(IF(E295&lt;101,E295,IF(E295&lt;201,E295/2,IF(E295&lt;=301,E295/3,E295/4))))</f>
        <v>0</v>
      </c>
      <c r="G295" s="76" t="str">
        <f t="shared" si="22"/>
        <v>2nd &amp; 5th Floor</v>
      </c>
      <c r="H295" s="77"/>
      <c r="I295" s="36"/>
    </row>
    <row r="296" spans="1:9" s="37" customFormat="1" hidden="1" x14ac:dyDescent="0.25">
      <c r="A296" s="76"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&amp;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204 &amp; 504</v>
      </c>
      <c r="B296" s="77"/>
      <c r="C296" s="42"/>
      <c r="D296" s="42"/>
      <c r="E296" s="42">
        <v>0</v>
      </c>
      <c r="F296" s="42">
        <f>D296*(($F$166)+1)+(IF(E296&lt;101,E296,IF(E296&lt;201,E296/2,IF(E296&lt;=301,E296/3,E296/4))))</f>
        <v>0</v>
      </c>
      <c r="G296" s="76" t="str">
        <f t="shared" si="22"/>
        <v>2nd &amp; 5th Floor</v>
      </c>
      <c r="H296" s="77"/>
      <c r="I296" s="36"/>
    </row>
    <row r="297" spans="1:9" s="37" customFormat="1" hidden="1" x14ac:dyDescent="0.25">
      <c r="A297" s="76"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&amp;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205 &amp; 505</v>
      </c>
      <c r="B297" s="77"/>
      <c r="C297" s="42"/>
      <c r="D297" s="42"/>
      <c r="E297" s="42">
        <v>0</v>
      </c>
      <c r="F297" s="42">
        <f>D297*(($F$166)+1)+(IF(E297&lt;101,E297,IF(E297&lt;201,E297/2,IF(E297&lt;=301,E297/3,E297/4))))</f>
        <v>0</v>
      </c>
      <c r="G297" s="76" t="str">
        <f t="shared" si="22"/>
        <v>2nd &amp; 5th Floor</v>
      </c>
      <c r="H297" s="77"/>
      <c r="I297" s="36"/>
    </row>
    <row r="298" spans="1:9" s="35" customFormat="1" x14ac:dyDescent="0.25">
      <c r="A298" s="168" t="s">
        <v>67</v>
      </c>
      <c r="B298" s="168"/>
      <c r="C298" s="168"/>
      <c r="D298" s="168"/>
      <c r="E298" s="168"/>
      <c r="F298" s="168"/>
      <c r="G298" s="168"/>
      <c r="H298" s="168"/>
    </row>
    <row r="299" spans="1:9" s="35" customFormat="1" ht="33" customHeight="1" x14ac:dyDescent="0.25">
      <c r="A299" s="47" t="s">
        <v>154</v>
      </c>
      <c r="B299" s="165" t="s">
        <v>302</v>
      </c>
      <c r="C299" s="166"/>
      <c r="D299" s="166"/>
      <c r="E299" s="166"/>
      <c r="F299" s="166"/>
      <c r="G299" s="166"/>
      <c r="H299" s="167"/>
    </row>
    <row r="300" spans="1:9" s="35" customFormat="1" x14ac:dyDescent="0.25">
      <c r="A300" s="47" t="s">
        <v>154</v>
      </c>
      <c r="B300" s="165" t="str">
        <f>(IF(F165="Saleable area Loading :","We have considered Saleable area of Flats as per our Calculation.","We considered Saleable area of Flat as per Builder area Sheet."))</f>
        <v>We have considered Saleable area of Flats as per our Calculation.</v>
      </c>
      <c r="C300" s="166"/>
      <c r="D300" s="166"/>
      <c r="E300" s="166"/>
      <c r="F300" s="166"/>
      <c r="G300" s="166"/>
      <c r="H300" s="167"/>
    </row>
    <row r="301" spans="1:9" s="35" customFormat="1" x14ac:dyDescent="0.25">
      <c r="A301" s="47" t="s">
        <v>154</v>
      </c>
      <c r="B301" s="165" t="str">
        <f>(IF(F121="Saleable area Loading :","We have considered Saleable area of Commercial as per our Calculation.","We considered Saleable area of Commercial as per Builder area Sheet."))</f>
        <v>We have considered Saleable area of Commercial as per our Calculation.</v>
      </c>
      <c r="C301" s="166"/>
      <c r="D301" s="166"/>
      <c r="E301" s="166"/>
      <c r="F301" s="166"/>
      <c r="G301" s="166"/>
      <c r="H301" s="167"/>
    </row>
    <row r="302" spans="1:9" s="35" customFormat="1" x14ac:dyDescent="0.25">
      <c r="A302" s="47" t="s">
        <v>154</v>
      </c>
      <c r="B302" s="85" t="s">
        <v>121</v>
      </c>
      <c r="C302" s="86"/>
      <c r="D302" s="86"/>
      <c r="E302" s="86"/>
      <c r="F302" s="86"/>
      <c r="G302" s="86"/>
      <c r="H302" s="87"/>
    </row>
    <row r="303" spans="1:9" s="35" customFormat="1" x14ac:dyDescent="0.25">
      <c r="A303" s="47" t="s">
        <v>154</v>
      </c>
      <c r="B303" s="165" t="s">
        <v>266</v>
      </c>
      <c r="C303" s="166"/>
      <c r="D303" s="166"/>
      <c r="E303" s="166"/>
      <c r="F303" s="166"/>
      <c r="G303" s="166"/>
      <c r="H303" s="167"/>
    </row>
    <row r="304" spans="1:9" s="35" customFormat="1" x14ac:dyDescent="0.25">
      <c r="A304" s="47" t="s">
        <v>154</v>
      </c>
      <c r="B304" s="85" t="s">
        <v>153</v>
      </c>
      <c r="C304" s="86"/>
      <c r="D304" s="86"/>
      <c r="E304" s="86"/>
      <c r="F304" s="86"/>
      <c r="G304" s="86"/>
      <c r="H304" s="87"/>
    </row>
    <row r="305" spans="1:14" s="35" customFormat="1" x14ac:dyDescent="0.25">
      <c r="A305" s="47" t="s">
        <v>154</v>
      </c>
      <c r="B305" s="85" t="s">
        <v>122</v>
      </c>
      <c r="C305" s="86"/>
      <c r="D305" s="86"/>
      <c r="E305" s="86"/>
      <c r="F305" s="86"/>
      <c r="G305" s="86"/>
      <c r="H305" s="87"/>
    </row>
    <row r="306" spans="1:14" s="35" customFormat="1" ht="34.5" customHeight="1" x14ac:dyDescent="0.25">
      <c r="A306" s="47" t="s">
        <v>154</v>
      </c>
      <c r="B306" s="85" t="s">
        <v>155</v>
      </c>
      <c r="C306" s="86"/>
      <c r="D306" s="86"/>
      <c r="E306" s="86"/>
      <c r="F306" s="86"/>
      <c r="G306" s="86"/>
      <c r="H306" s="87"/>
    </row>
    <row r="307" spans="1:14" s="35" customFormat="1" x14ac:dyDescent="0.25">
      <c r="A307" s="47" t="s">
        <v>154</v>
      </c>
      <c r="B307" s="85" t="s">
        <v>123</v>
      </c>
      <c r="C307" s="86"/>
      <c r="D307" s="86"/>
      <c r="E307" s="86"/>
      <c r="F307" s="86"/>
      <c r="G307" s="86"/>
      <c r="H307" s="87"/>
    </row>
    <row r="308" spans="1:14" s="35" customFormat="1" ht="32.25" hidden="1" customHeight="1" x14ac:dyDescent="0.25">
      <c r="A308" s="55" t="s">
        <v>154</v>
      </c>
      <c r="B308" s="161" t="s">
        <v>178</v>
      </c>
      <c r="C308" s="162"/>
      <c r="D308" s="162"/>
      <c r="E308" s="162"/>
      <c r="F308" s="162"/>
      <c r="G308" s="162"/>
      <c r="H308" s="163"/>
    </row>
    <row r="309" spans="1:14" s="35" customFormat="1" ht="31.7" customHeight="1" x14ac:dyDescent="0.25">
      <c r="A309" s="58" t="s">
        <v>154</v>
      </c>
      <c r="B309" s="85" t="s">
        <v>298</v>
      </c>
      <c r="C309" s="86"/>
      <c r="D309" s="86"/>
      <c r="E309" s="86"/>
      <c r="F309" s="86"/>
      <c r="G309" s="86"/>
      <c r="H309" s="87"/>
    </row>
    <row r="310" spans="1:14" s="35" customFormat="1" ht="32.25" hidden="1" customHeight="1" x14ac:dyDescent="0.25">
      <c r="A310" s="58" t="s">
        <v>154</v>
      </c>
      <c r="B310" s="85" t="s">
        <v>269</v>
      </c>
      <c r="C310" s="86"/>
      <c r="D310" s="86"/>
      <c r="E310" s="86"/>
      <c r="F310" s="86"/>
      <c r="G310" s="86"/>
      <c r="H310" s="87"/>
      <c r="I310" s="210" t="s">
        <v>282</v>
      </c>
      <c r="J310" s="211"/>
      <c r="K310" s="211"/>
      <c r="L310" s="211"/>
      <c r="M310" s="211"/>
      <c r="N310" s="211"/>
    </row>
    <row r="311" spans="1:14" x14ac:dyDescent="0.25">
      <c r="A311" s="183" t="s">
        <v>60</v>
      </c>
      <c r="B311" s="183"/>
      <c r="C311" s="183"/>
      <c r="D311" s="183"/>
      <c r="E311" s="183"/>
      <c r="F311" s="183"/>
      <c r="G311" s="183"/>
      <c r="H311" s="183"/>
    </row>
    <row r="312" spans="1:14" x14ac:dyDescent="0.25">
      <c r="A312" s="105" t="s">
        <v>61</v>
      </c>
      <c r="B312" s="105"/>
      <c r="C312" s="105"/>
      <c r="D312" s="105"/>
      <c r="E312" s="105"/>
      <c r="F312" s="105"/>
      <c r="G312" s="105"/>
      <c r="H312" s="105"/>
    </row>
    <row r="313" spans="1:14" ht="15.75" customHeight="1" x14ac:dyDescent="0.25">
      <c r="A313" s="152" t="s">
        <v>62</v>
      </c>
      <c r="B313" s="152"/>
      <c r="C313" s="152"/>
      <c r="D313" s="152"/>
      <c r="E313" s="152"/>
      <c r="F313" s="152"/>
      <c r="G313" s="152"/>
      <c r="H313" s="152"/>
    </row>
    <row r="314" spans="1:14" x14ac:dyDescent="0.25">
      <c r="A314" s="105" t="s">
        <v>63</v>
      </c>
      <c r="B314" s="105"/>
      <c r="C314" s="105"/>
      <c r="D314" s="105"/>
      <c r="E314" s="105"/>
      <c r="F314" s="105"/>
      <c r="G314" s="105"/>
      <c r="H314" s="105"/>
    </row>
    <row r="315" spans="1:14" x14ac:dyDescent="0.25">
      <c r="A315" s="105" t="s">
        <v>64</v>
      </c>
      <c r="B315" s="105"/>
      <c r="C315" s="105"/>
      <c r="D315" s="105"/>
      <c r="E315" s="105"/>
      <c r="F315" s="105"/>
      <c r="G315" s="105"/>
      <c r="H315" s="105"/>
    </row>
    <row r="316" spans="1:14" x14ac:dyDescent="0.25">
      <c r="A316" s="105" t="s">
        <v>124</v>
      </c>
      <c r="B316" s="105"/>
      <c r="C316" s="105"/>
      <c r="D316" s="105"/>
      <c r="E316" s="105"/>
      <c r="F316" s="105"/>
      <c r="G316" s="105"/>
      <c r="H316" s="105"/>
    </row>
    <row r="317" spans="1:14" ht="33" customHeight="1" x14ac:dyDescent="0.25">
      <c r="A317" s="123" t="s">
        <v>125</v>
      </c>
      <c r="B317" s="123"/>
      <c r="C317" s="123"/>
      <c r="D317" s="123"/>
      <c r="E317" s="123"/>
      <c r="F317" s="123"/>
      <c r="G317" s="123"/>
      <c r="H317" s="123"/>
    </row>
    <row r="318" spans="1:14" x14ac:dyDescent="0.25">
      <c r="A318" s="180" t="s">
        <v>74</v>
      </c>
      <c r="B318" s="180"/>
      <c r="C318" s="180" t="s">
        <v>300</v>
      </c>
      <c r="D318" s="180"/>
      <c r="E318" s="180" t="s">
        <v>104</v>
      </c>
      <c r="F318" s="180"/>
      <c r="G318" s="180" t="s">
        <v>301</v>
      </c>
      <c r="H318" s="180"/>
    </row>
    <row r="319" spans="1:14" x14ac:dyDescent="0.25">
      <c r="A319" s="179" t="s">
        <v>76</v>
      </c>
      <c r="B319" s="179"/>
      <c r="C319" s="179"/>
      <c r="D319" s="179"/>
      <c r="E319" s="179"/>
      <c r="F319" s="179"/>
      <c r="G319" s="179"/>
      <c r="H319" s="179"/>
    </row>
    <row r="320" spans="1:14" x14ac:dyDescent="0.25">
      <c r="A320" s="179"/>
      <c r="B320" s="179"/>
      <c r="C320" s="179"/>
      <c r="D320" s="179"/>
      <c r="E320" s="179"/>
      <c r="F320" s="179"/>
      <c r="G320" s="179"/>
      <c r="H320" s="179"/>
    </row>
    <row r="321" spans="1:8" x14ac:dyDescent="0.25">
      <c r="A321" s="179"/>
      <c r="B321" s="179"/>
      <c r="C321" s="179"/>
      <c r="D321" s="179"/>
      <c r="E321" s="179"/>
      <c r="F321" s="179"/>
      <c r="G321" s="179"/>
      <c r="H321" s="179"/>
    </row>
    <row r="322" spans="1:8" x14ac:dyDescent="0.25">
      <c r="A322" s="179"/>
      <c r="B322" s="179"/>
      <c r="C322" s="179"/>
      <c r="D322" s="179"/>
      <c r="E322" s="179"/>
      <c r="F322" s="179"/>
      <c r="G322" s="179"/>
      <c r="H322" s="179"/>
    </row>
    <row r="323" spans="1:8" x14ac:dyDescent="0.25">
      <c r="A323" s="38" t="s">
        <v>65</v>
      </c>
      <c r="B323" s="39"/>
      <c r="C323" s="39"/>
      <c r="D323" s="38" t="str">
        <f>E8</f>
        <v>North Star</v>
      </c>
      <c r="F323" s="39"/>
      <c r="G323" s="39"/>
      <c r="H323" s="39"/>
    </row>
    <row r="324" spans="1:8" x14ac:dyDescent="0.25">
      <c r="A324" s="39"/>
      <c r="B324" s="39"/>
      <c r="C324" s="39"/>
      <c r="D324" s="39"/>
      <c r="E324" s="39"/>
      <c r="F324" s="39"/>
      <c r="G324" s="39"/>
      <c r="H324" s="39"/>
    </row>
    <row r="325" spans="1:8" x14ac:dyDescent="0.25">
      <c r="A325" s="39"/>
      <c r="B325" s="39"/>
      <c r="C325" s="39"/>
      <c r="D325" s="39"/>
      <c r="E325" s="39"/>
      <c r="F325" s="39"/>
      <c r="G325" s="39"/>
      <c r="H325" s="39"/>
    </row>
    <row r="326" spans="1:8" ht="15" customHeight="1" x14ac:dyDescent="0.25"/>
    <row r="365" spans="1:1" x14ac:dyDescent="0.25">
      <c r="A365" s="41" t="s">
        <v>166</v>
      </c>
    </row>
    <row r="407" spans="1:1" x14ac:dyDescent="0.25">
      <c r="A407" s="41" t="s">
        <v>66</v>
      </c>
    </row>
  </sheetData>
  <mergeCells count="589">
    <mergeCell ref="A247:B247"/>
    <mergeCell ref="I310:N310"/>
    <mergeCell ref="K124:N124"/>
    <mergeCell ref="K125:N125"/>
    <mergeCell ref="A111:B111"/>
    <mergeCell ref="A39:B39"/>
    <mergeCell ref="C39:H39"/>
    <mergeCell ref="E71:F80"/>
    <mergeCell ref="G71:H80"/>
    <mergeCell ref="A79:B79"/>
    <mergeCell ref="A80:B80"/>
    <mergeCell ref="A84:B84"/>
    <mergeCell ref="A83:B83"/>
    <mergeCell ref="C83:H83"/>
    <mergeCell ref="A77:B77"/>
    <mergeCell ref="A70:B70"/>
    <mergeCell ref="A73:B73"/>
    <mergeCell ref="A69:B69"/>
    <mergeCell ref="A67:B67"/>
    <mergeCell ref="C67:H67"/>
    <mergeCell ref="A75:B75"/>
    <mergeCell ref="B306:H306"/>
    <mergeCell ref="A48:B48"/>
    <mergeCell ref="C48:H48"/>
    <mergeCell ref="A72:B72"/>
    <mergeCell ref="A74:B74"/>
    <mergeCell ref="E70:F70"/>
    <mergeCell ref="A63:C63"/>
    <mergeCell ref="D63:H63"/>
    <mergeCell ref="A66:C66"/>
    <mergeCell ref="D66:H66"/>
    <mergeCell ref="A64:C64"/>
    <mergeCell ref="A279:B279"/>
    <mergeCell ref="A119:H119"/>
    <mergeCell ref="A165:A166"/>
    <mergeCell ref="A170:B170"/>
    <mergeCell ref="A164:H164"/>
    <mergeCell ref="A276:B276"/>
    <mergeCell ref="A277:B277"/>
    <mergeCell ref="G112:H112"/>
    <mergeCell ref="C165:C166"/>
    <mergeCell ref="A118:B118"/>
    <mergeCell ref="C118:D118"/>
    <mergeCell ref="E118:F118"/>
    <mergeCell ref="G118:H118"/>
    <mergeCell ref="G127:H163"/>
    <mergeCell ref="A168:H168"/>
    <mergeCell ref="A120:H120"/>
    <mergeCell ref="C121:C122"/>
    <mergeCell ref="B165:B166"/>
    <mergeCell ref="G110:H110"/>
    <mergeCell ref="A105:E105"/>
    <mergeCell ref="F105:H105"/>
    <mergeCell ref="E110:F110"/>
    <mergeCell ref="A110:B110"/>
    <mergeCell ref="A117:B117"/>
    <mergeCell ref="F101:H101"/>
    <mergeCell ref="A102:E102"/>
    <mergeCell ref="A104:E104"/>
    <mergeCell ref="A103:E103"/>
    <mergeCell ref="A278:B278"/>
    <mergeCell ref="G279:H279"/>
    <mergeCell ref="L274:M274"/>
    <mergeCell ref="L170:M170"/>
    <mergeCell ref="A171:B171"/>
    <mergeCell ref="G282:H282"/>
    <mergeCell ref="G278:H278"/>
    <mergeCell ref="G275:H275"/>
    <mergeCell ref="A197:B197"/>
    <mergeCell ref="A183:B183"/>
    <mergeCell ref="A200:B200"/>
    <mergeCell ref="G200:H213"/>
    <mergeCell ref="A174:B174"/>
    <mergeCell ref="A179:B179"/>
    <mergeCell ref="A282:B282"/>
    <mergeCell ref="G276:H276"/>
    <mergeCell ref="L179:M179"/>
    <mergeCell ref="C172:F172"/>
    <mergeCell ref="A180:B180"/>
    <mergeCell ref="A229:H229"/>
    <mergeCell ref="A230:H230"/>
    <mergeCell ref="A231:B231"/>
    <mergeCell ref="G231:H240"/>
    <mergeCell ref="A236:B236"/>
    <mergeCell ref="A290:B290"/>
    <mergeCell ref="A291:B291"/>
    <mergeCell ref="G289:H289"/>
    <mergeCell ref="A286:H286"/>
    <mergeCell ref="A280:H280"/>
    <mergeCell ref="G283:H283"/>
    <mergeCell ref="G281:H281"/>
    <mergeCell ref="A288:B288"/>
    <mergeCell ref="A289:B289"/>
    <mergeCell ref="G285:H285"/>
    <mergeCell ref="G284:H284"/>
    <mergeCell ref="A287:B287"/>
    <mergeCell ref="G291:H291"/>
    <mergeCell ref="L130:M130"/>
    <mergeCell ref="L129:M129"/>
    <mergeCell ref="L128:M128"/>
    <mergeCell ref="L127:M127"/>
    <mergeCell ref="A78:B78"/>
    <mergeCell ref="C115:D115"/>
    <mergeCell ref="E115:F115"/>
    <mergeCell ref="G115:H115"/>
    <mergeCell ref="F102:H102"/>
    <mergeCell ref="A96:E96"/>
    <mergeCell ref="A126:H126"/>
    <mergeCell ref="E121:E122"/>
    <mergeCell ref="G121:H122"/>
    <mergeCell ref="A85:B85"/>
    <mergeCell ref="A106:E106"/>
    <mergeCell ref="G117:H117"/>
    <mergeCell ref="A112:B112"/>
    <mergeCell ref="C112:D112"/>
    <mergeCell ref="E112:F112"/>
    <mergeCell ref="E117:F117"/>
    <mergeCell ref="G85:H94"/>
    <mergeCell ref="A86:B86"/>
    <mergeCell ref="A87:B87"/>
    <mergeCell ref="A88:B88"/>
    <mergeCell ref="E46:H46"/>
    <mergeCell ref="A44:D44"/>
    <mergeCell ref="F36:H36"/>
    <mergeCell ref="A46:D46"/>
    <mergeCell ref="A47:H47"/>
    <mergeCell ref="D57:H57"/>
    <mergeCell ref="A57:C57"/>
    <mergeCell ref="G50:H50"/>
    <mergeCell ref="A51:B52"/>
    <mergeCell ref="C50:E50"/>
    <mergeCell ref="A38:B38"/>
    <mergeCell ref="C38:H38"/>
    <mergeCell ref="A45:D45"/>
    <mergeCell ref="C52:H52"/>
    <mergeCell ref="A42:D42"/>
    <mergeCell ref="C53:E53"/>
    <mergeCell ref="D55:H55"/>
    <mergeCell ref="A49:B49"/>
    <mergeCell ref="C49:E49"/>
    <mergeCell ref="G49:H49"/>
    <mergeCell ref="G51:H51"/>
    <mergeCell ref="A50:B50"/>
    <mergeCell ref="A54:H54"/>
    <mergeCell ref="A55:C55"/>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F34:H34"/>
    <mergeCell ref="A28:D28"/>
    <mergeCell ref="E28:H28"/>
    <mergeCell ref="A25:D25"/>
    <mergeCell ref="E25:H25"/>
    <mergeCell ref="A24:D24"/>
    <mergeCell ref="E24:H24"/>
    <mergeCell ref="A29:D29"/>
    <mergeCell ref="E29:H29"/>
    <mergeCell ref="A26:D26"/>
    <mergeCell ref="A20:B20"/>
    <mergeCell ref="C20:D20"/>
    <mergeCell ref="E20:F20"/>
    <mergeCell ref="G20:H20"/>
    <mergeCell ref="A21:B21"/>
    <mergeCell ref="C21:D21"/>
    <mergeCell ref="E21:F21"/>
    <mergeCell ref="G21:H21"/>
    <mergeCell ref="E26:H26"/>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319:H322"/>
    <mergeCell ref="A318:B318"/>
    <mergeCell ref="E318:F318"/>
    <mergeCell ref="C318:D318"/>
    <mergeCell ref="G318:H318"/>
    <mergeCell ref="A109:H109"/>
    <mergeCell ref="A107:E107"/>
    <mergeCell ref="F107:H107"/>
    <mergeCell ref="A108:E108"/>
    <mergeCell ref="F108:H108"/>
    <mergeCell ref="A274:H274"/>
    <mergeCell ref="A115:B115"/>
    <mergeCell ref="A283:B283"/>
    <mergeCell ref="A314:H314"/>
    <mergeCell ref="A113:H113"/>
    <mergeCell ref="A317:H317"/>
    <mergeCell ref="A315:H315"/>
    <mergeCell ref="A311:H311"/>
    <mergeCell ref="G114:H114"/>
    <mergeCell ref="G287:H287"/>
    <mergeCell ref="A285:B285"/>
    <mergeCell ref="D121:D122"/>
    <mergeCell ref="A182:B182"/>
    <mergeCell ref="A186:B186"/>
    <mergeCell ref="E85:F94"/>
    <mergeCell ref="A92:B92"/>
    <mergeCell ref="A93:B93"/>
    <mergeCell ref="F95:H95"/>
    <mergeCell ref="F100:H100"/>
    <mergeCell ref="F97:H97"/>
    <mergeCell ref="A97:E97"/>
    <mergeCell ref="A99:E99"/>
    <mergeCell ref="A98:E98"/>
    <mergeCell ref="A95:E95"/>
    <mergeCell ref="A100:E100"/>
    <mergeCell ref="A94:B94"/>
    <mergeCell ref="F98:H98"/>
    <mergeCell ref="F99:H99"/>
    <mergeCell ref="B305:H305"/>
    <mergeCell ref="B301:H301"/>
    <mergeCell ref="A295:B295"/>
    <mergeCell ref="G295:H295"/>
    <mergeCell ref="G294:H294"/>
    <mergeCell ref="A292:H292"/>
    <mergeCell ref="A293:B293"/>
    <mergeCell ref="A294:B294"/>
    <mergeCell ref="A297:B297"/>
    <mergeCell ref="G297:H297"/>
    <mergeCell ref="A296:B296"/>
    <mergeCell ref="B303:H303"/>
    <mergeCell ref="G293:H293"/>
    <mergeCell ref="B299:H299"/>
    <mergeCell ref="B300:H300"/>
    <mergeCell ref="A298:H298"/>
    <mergeCell ref="G296:H296"/>
    <mergeCell ref="B302:H302"/>
    <mergeCell ref="B304:H304"/>
    <mergeCell ref="A316:H316"/>
    <mergeCell ref="A313:H313"/>
    <mergeCell ref="G290:H290"/>
    <mergeCell ref="A275:B275"/>
    <mergeCell ref="A114:B114"/>
    <mergeCell ref="D165:D166"/>
    <mergeCell ref="E165:E166"/>
    <mergeCell ref="G165:H166"/>
    <mergeCell ref="A89:B89"/>
    <mergeCell ref="A90:B90"/>
    <mergeCell ref="A91:B91"/>
    <mergeCell ref="F96:H96"/>
    <mergeCell ref="G111:H111"/>
    <mergeCell ref="F103:H103"/>
    <mergeCell ref="C110:D110"/>
    <mergeCell ref="C117:D117"/>
    <mergeCell ref="A169:H169"/>
    <mergeCell ref="A284:B284"/>
    <mergeCell ref="A281:B281"/>
    <mergeCell ref="G277:H277"/>
    <mergeCell ref="B308:H308"/>
    <mergeCell ref="A312:H312"/>
    <mergeCell ref="E114:F114"/>
    <mergeCell ref="B307:H307"/>
    <mergeCell ref="A58:C59"/>
    <mergeCell ref="D58:H58"/>
    <mergeCell ref="D59:H59"/>
    <mergeCell ref="D65:H65"/>
    <mergeCell ref="A71:B71"/>
    <mergeCell ref="G70:H70"/>
    <mergeCell ref="A60:C60"/>
    <mergeCell ref="A61:C61"/>
    <mergeCell ref="D60:H60"/>
    <mergeCell ref="A62:C62"/>
    <mergeCell ref="D62:H62"/>
    <mergeCell ref="C69:H69"/>
    <mergeCell ref="A56:C56"/>
    <mergeCell ref="D56:H56"/>
    <mergeCell ref="G53:H53"/>
    <mergeCell ref="C51:E51"/>
    <mergeCell ref="A53:B53"/>
    <mergeCell ref="C114:D114"/>
    <mergeCell ref="D64:H64"/>
    <mergeCell ref="A65:C65"/>
    <mergeCell ref="A125:H125"/>
    <mergeCell ref="A124:H124"/>
    <mergeCell ref="A116:B116"/>
    <mergeCell ref="C116:D116"/>
    <mergeCell ref="E116:F116"/>
    <mergeCell ref="G116:H116"/>
    <mergeCell ref="C111:D111"/>
    <mergeCell ref="E111:F111"/>
    <mergeCell ref="B121:B122"/>
    <mergeCell ref="A121:A122"/>
    <mergeCell ref="A81:B81"/>
    <mergeCell ref="C81:H81"/>
    <mergeCell ref="A76:B76"/>
    <mergeCell ref="E84:F84"/>
    <mergeCell ref="G84:H84"/>
    <mergeCell ref="A101:E101"/>
    <mergeCell ref="L145:M145"/>
    <mergeCell ref="L132:M132"/>
    <mergeCell ref="L133:M133"/>
    <mergeCell ref="L134:M134"/>
    <mergeCell ref="L135:M135"/>
    <mergeCell ref="I14:P14"/>
    <mergeCell ref="G288:H288"/>
    <mergeCell ref="F106:H106"/>
    <mergeCell ref="F104:H104"/>
    <mergeCell ref="L131:M131"/>
    <mergeCell ref="E42:H42"/>
    <mergeCell ref="E19:F19"/>
    <mergeCell ref="G19:H19"/>
    <mergeCell ref="A37:H37"/>
    <mergeCell ref="A36:B36"/>
    <mergeCell ref="C36:E36"/>
    <mergeCell ref="A41:D41"/>
    <mergeCell ref="E41:H41"/>
    <mergeCell ref="A40:H40"/>
    <mergeCell ref="D61:H61"/>
    <mergeCell ref="A43:D43"/>
    <mergeCell ref="E43:H43"/>
    <mergeCell ref="E44:H44"/>
    <mergeCell ref="E45:H45"/>
    <mergeCell ref="L140:M140"/>
    <mergeCell ref="L141:M141"/>
    <mergeCell ref="L142:M142"/>
    <mergeCell ref="L143:M143"/>
    <mergeCell ref="L136:M136"/>
    <mergeCell ref="L137:M137"/>
    <mergeCell ref="L138:M138"/>
    <mergeCell ref="L139:M139"/>
    <mergeCell ref="L144:M144"/>
    <mergeCell ref="L157:M157"/>
    <mergeCell ref="L158:M158"/>
    <mergeCell ref="L159:M159"/>
    <mergeCell ref="L146:M146"/>
    <mergeCell ref="L147:M147"/>
    <mergeCell ref="L154:M154"/>
    <mergeCell ref="L155:M155"/>
    <mergeCell ref="L156:M156"/>
    <mergeCell ref="L151:M151"/>
    <mergeCell ref="L152:M152"/>
    <mergeCell ref="L153:M153"/>
    <mergeCell ref="L148:M148"/>
    <mergeCell ref="L149:M149"/>
    <mergeCell ref="L150:M150"/>
    <mergeCell ref="L163:M163"/>
    <mergeCell ref="L160:M160"/>
    <mergeCell ref="L161:M161"/>
    <mergeCell ref="L162:M162"/>
    <mergeCell ref="L171:M171"/>
    <mergeCell ref="A172:B172"/>
    <mergeCell ref="L172:M172"/>
    <mergeCell ref="A173:B173"/>
    <mergeCell ref="A194:B194"/>
    <mergeCell ref="L183:M183"/>
    <mergeCell ref="G170:H183"/>
    <mergeCell ref="C183:F183"/>
    <mergeCell ref="L188:M188"/>
    <mergeCell ref="L173:M173"/>
    <mergeCell ref="L174:M174"/>
    <mergeCell ref="A175:B175"/>
    <mergeCell ref="L175:M175"/>
    <mergeCell ref="L182:M182"/>
    <mergeCell ref="L180:M180"/>
    <mergeCell ref="A181:B181"/>
    <mergeCell ref="L181:M181"/>
    <mergeCell ref="A176:B176"/>
    <mergeCell ref="L176:M176"/>
    <mergeCell ref="A177:B177"/>
    <mergeCell ref="A249:B249"/>
    <mergeCell ref="A239:B239"/>
    <mergeCell ref="A184:H184"/>
    <mergeCell ref="A185:B185"/>
    <mergeCell ref="L185:M185"/>
    <mergeCell ref="L197:M197"/>
    <mergeCell ref="A198:B198"/>
    <mergeCell ref="L198:M198"/>
    <mergeCell ref="G185:H198"/>
    <mergeCell ref="A189:B189"/>
    <mergeCell ref="L189:M189"/>
    <mergeCell ref="A190:B190"/>
    <mergeCell ref="L190:M190"/>
    <mergeCell ref="A191:B191"/>
    <mergeCell ref="L191:M191"/>
    <mergeCell ref="A192:B192"/>
    <mergeCell ref="L192:M192"/>
    <mergeCell ref="A193:B193"/>
    <mergeCell ref="L193:M193"/>
    <mergeCell ref="L231:M231"/>
    <mergeCell ref="A232:B232"/>
    <mergeCell ref="L232:M232"/>
    <mergeCell ref="A233:B233"/>
    <mergeCell ref="L233:M233"/>
    <mergeCell ref="L246:M246"/>
    <mergeCell ref="L194:M194"/>
    <mergeCell ref="A202:B202"/>
    <mergeCell ref="L202:M202"/>
    <mergeCell ref="A203:B203"/>
    <mergeCell ref="L203:M203"/>
    <mergeCell ref="L210:M210"/>
    <mergeCell ref="A211:B211"/>
    <mergeCell ref="L211:M211"/>
    <mergeCell ref="A212:B212"/>
    <mergeCell ref="L212:M212"/>
    <mergeCell ref="A213:B213"/>
    <mergeCell ref="L213:M213"/>
    <mergeCell ref="C208:F211"/>
    <mergeCell ref="L222:M222"/>
    <mergeCell ref="L236:M236"/>
    <mergeCell ref="A237:B237"/>
    <mergeCell ref="L237:M237"/>
    <mergeCell ref="A238:B238"/>
    <mergeCell ref="L238:M238"/>
    <mergeCell ref="A234:B234"/>
    <mergeCell ref="L234:M234"/>
    <mergeCell ref="A235:B235"/>
    <mergeCell ref="L235:M235"/>
    <mergeCell ref="A209:B209"/>
    <mergeCell ref="L209:M209"/>
    <mergeCell ref="A210:B210"/>
    <mergeCell ref="A195:B195"/>
    <mergeCell ref="L195:M195"/>
    <mergeCell ref="A196:B196"/>
    <mergeCell ref="L196:M196"/>
    <mergeCell ref="A204:B204"/>
    <mergeCell ref="L204:M204"/>
    <mergeCell ref="A205:B205"/>
    <mergeCell ref="L205:M205"/>
    <mergeCell ref="A206:B206"/>
    <mergeCell ref="L206:M206"/>
    <mergeCell ref="A207:B207"/>
    <mergeCell ref="L207:M207"/>
    <mergeCell ref="A208:B208"/>
    <mergeCell ref="L208:M208"/>
    <mergeCell ref="A199:H199"/>
    <mergeCell ref="L200:M200"/>
    <mergeCell ref="A201:B201"/>
    <mergeCell ref="L201:M201"/>
    <mergeCell ref="A248:B248"/>
    <mergeCell ref="L177:M177"/>
    <mergeCell ref="A178:B178"/>
    <mergeCell ref="L186:M186"/>
    <mergeCell ref="A187:B187"/>
    <mergeCell ref="L187:M187"/>
    <mergeCell ref="L178:M178"/>
    <mergeCell ref="A188:B188"/>
    <mergeCell ref="A253:B253"/>
    <mergeCell ref="G253:H262"/>
    <mergeCell ref="L253:M253"/>
    <mergeCell ref="A254:B254"/>
    <mergeCell ref="L254:M254"/>
    <mergeCell ref="A255:B255"/>
    <mergeCell ref="L255:M255"/>
    <mergeCell ref="A256:B256"/>
    <mergeCell ref="L256:M256"/>
    <mergeCell ref="A257:B257"/>
    <mergeCell ref="L257:M257"/>
    <mergeCell ref="A258:B258"/>
    <mergeCell ref="L258:M258"/>
    <mergeCell ref="A259:B259"/>
    <mergeCell ref="L259:M259"/>
    <mergeCell ref="A260:B260"/>
    <mergeCell ref="L260:M260"/>
    <mergeCell ref="L223:M223"/>
    <mergeCell ref="A224:B224"/>
    <mergeCell ref="L224:M224"/>
    <mergeCell ref="A225:B225"/>
    <mergeCell ref="L225:M225"/>
    <mergeCell ref="A252:H252"/>
    <mergeCell ref="L250:M250"/>
    <mergeCell ref="A251:B251"/>
    <mergeCell ref="L251:M251"/>
    <mergeCell ref="C232:F232"/>
    <mergeCell ref="C239:F239"/>
    <mergeCell ref="L239:M239"/>
    <mergeCell ref="A240:B240"/>
    <mergeCell ref="L240:M240"/>
    <mergeCell ref="L249:M249"/>
    <mergeCell ref="A250:B250"/>
    <mergeCell ref="A241:H241"/>
    <mergeCell ref="A242:B242"/>
    <mergeCell ref="G242:H251"/>
    <mergeCell ref="L242:M242"/>
    <mergeCell ref="A243:B243"/>
    <mergeCell ref="L243:M243"/>
    <mergeCell ref="L247:M247"/>
    <mergeCell ref="G215:H228"/>
    <mergeCell ref="L215:M215"/>
    <mergeCell ref="A216:B216"/>
    <mergeCell ref="L216:M216"/>
    <mergeCell ref="A217:B217"/>
    <mergeCell ref="L217:M217"/>
    <mergeCell ref="A218:B218"/>
    <mergeCell ref="L218:M218"/>
    <mergeCell ref="A219:B219"/>
    <mergeCell ref="L219:M219"/>
    <mergeCell ref="A220:B220"/>
    <mergeCell ref="L220:M220"/>
    <mergeCell ref="A221:B221"/>
    <mergeCell ref="L221:M221"/>
    <mergeCell ref="A223:B223"/>
    <mergeCell ref="L269:M269"/>
    <mergeCell ref="A270:B270"/>
    <mergeCell ref="L270:M270"/>
    <mergeCell ref="A167:H167"/>
    <mergeCell ref="A123:H123"/>
    <mergeCell ref="L271:M271"/>
    <mergeCell ref="A261:B261"/>
    <mergeCell ref="L261:M261"/>
    <mergeCell ref="A262:B262"/>
    <mergeCell ref="L262:M262"/>
    <mergeCell ref="C258:F260"/>
    <mergeCell ref="A222:B222"/>
    <mergeCell ref="L266:M266"/>
    <mergeCell ref="A267:B267"/>
    <mergeCell ref="L267:M267"/>
    <mergeCell ref="L248:M248"/>
    <mergeCell ref="A244:B244"/>
    <mergeCell ref="L244:M244"/>
    <mergeCell ref="A245:B245"/>
    <mergeCell ref="L245:M245"/>
    <mergeCell ref="A246:B246"/>
    <mergeCell ref="A271:B271"/>
    <mergeCell ref="A214:H214"/>
    <mergeCell ref="A215:B215"/>
    <mergeCell ref="A272:B272"/>
    <mergeCell ref="L272:M272"/>
    <mergeCell ref="A273:B273"/>
    <mergeCell ref="L273:M273"/>
    <mergeCell ref="C270:F271"/>
    <mergeCell ref="B310:H310"/>
    <mergeCell ref="B309:H309"/>
    <mergeCell ref="A226:B226"/>
    <mergeCell ref="L226:M226"/>
    <mergeCell ref="A227:B227"/>
    <mergeCell ref="L227:M227"/>
    <mergeCell ref="A228:B228"/>
    <mergeCell ref="L228:M228"/>
    <mergeCell ref="C224:F226"/>
    <mergeCell ref="A263:H263"/>
    <mergeCell ref="A264:B264"/>
    <mergeCell ref="G264:H273"/>
    <mergeCell ref="L264:M264"/>
    <mergeCell ref="A265:B265"/>
    <mergeCell ref="L265:M265"/>
    <mergeCell ref="A266:B266"/>
    <mergeCell ref="A268:B268"/>
    <mergeCell ref="L268:M268"/>
    <mergeCell ref="A269:B269"/>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1:E122">
      <formula1>"Attached Loft area,Attached Terrace area,Attached Mezzanine area"</formula1>
    </dataValidation>
    <dataValidation type="list" allowBlank="1" showInputMessage="1" showErrorMessage="1" sqref="F166 F122">
      <formula1>"45%,50%,55%,60%"</formula1>
    </dataValidation>
    <dataValidation type="list" allowBlank="1" showInputMessage="1" showErrorMessage="1" sqref="G318:H318">
      <formula1>"Shruti Tathare,Kunal Kadam,Pranita Mhatre,Shruti Fule,Pooja Kawale,Mansee Mohite,Anjali Kamble, Hitakshi Mhatre, Sachin Sawant"</formula1>
    </dataValidation>
    <dataValidation type="list" allowBlank="1" showInputMessage="1" showErrorMessage="1" sqref="F95:H95">
      <formula1>"On Saleable Area,On Builtup Area,On Carpet Area,On Plot Area"</formula1>
    </dataValidation>
    <dataValidation type="list" allowBlank="1" showInputMessage="1" showErrorMessage="1" sqref="F107:H107">
      <formula1>"100000,150000,200000,250000,300000,350000,400000,500000,600000,700000,800000,900000,1000000,1200000,1400000,1500000"</formula1>
    </dataValidation>
    <dataValidation type="list" allowBlank="1" showInputMessage="1" showErrorMessage="1" sqref="F121 F165">
      <formula1>"Saleable area Loading :,Builder Saleable area"</formula1>
    </dataValidation>
    <dataValidation type="list" allowBlank="1" showInputMessage="1" showErrorMessage="1" sqref="B121:B122">
      <formula1>"Shop No. (Sale Plan),Sale / Rehab,Sale / Mhada"</formula1>
    </dataValidation>
    <dataValidation type="list" allowBlank="1" showInputMessage="1" showErrorMessage="1" sqref="B165:B166">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scale="98" orientation="portrait" r:id="rId2"/>
  <headerFooter>
    <oddHeader>&amp;C&amp;G</oddHeader>
    <oddFooter>&amp;L&amp;"Times New Roman,Bold"&amp;12Ref No: &amp;F&amp;C&amp;G&amp;R&amp;"Times New Roman,Bold"&amp;12&amp;P</oddFooter>
  </headerFooter>
  <rowBreaks count="5" manualBreakCount="5">
    <brk id="66" max="7" man="1"/>
    <brk id="118" max="7" man="1"/>
    <brk id="322" max="16383" man="1"/>
    <brk id="364" max="16383" man="1"/>
    <brk id="40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52" zoomScale="160" zoomScaleNormal="160" workbookViewId="0">
      <selection activeCell="G62" sqref="G62"/>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31" t="s">
        <v>105</v>
      </c>
      <c r="C3" s="231"/>
      <c r="D3" s="231"/>
      <c r="E3" s="231"/>
      <c r="F3" s="231"/>
      <c r="G3" s="231"/>
      <c r="H3" s="231"/>
    </row>
    <row r="4" spans="1:9" x14ac:dyDescent="0.25">
      <c r="A4" s="2"/>
      <c r="B4" s="3" t="s">
        <v>106</v>
      </c>
      <c r="C4" s="3" t="s">
        <v>107</v>
      </c>
      <c r="D4" s="3" t="s">
        <v>68</v>
      </c>
      <c r="E4" s="3" t="s">
        <v>108</v>
      </c>
      <c r="F4" s="3" t="s">
        <v>114</v>
      </c>
      <c r="G4" s="3" t="s">
        <v>115</v>
      </c>
      <c r="H4" s="3" t="s">
        <v>109</v>
      </c>
    </row>
    <row r="5" spans="1:9" ht="15" customHeight="1" x14ac:dyDescent="0.25">
      <c r="A5" s="2"/>
      <c r="B5" s="5" t="s">
        <v>110</v>
      </c>
      <c r="C5" s="6"/>
      <c r="D5" s="5"/>
      <c r="E5" s="5">
        <v>309</v>
      </c>
      <c r="F5" s="7">
        <f>E5*1.55</f>
        <v>478.95</v>
      </c>
      <c r="G5" s="7">
        <f>H5/F5</f>
        <v>12318.613633991023</v>
      </c>
      <c r="H5" s="8">
        <v>5900000</v>
      </c>
    </row>
    <row r="6" spans="1:9" x14ac:dyDescent="0.25">
      <c r="A6" s="2"/>
      <c r="B6" s="5" t="s">
        <v>110</v>
      </c>
      <c r="C6" s="9"/>
      <c r="D6" s="5"/>
      <c r="E6" s="5">
        <v>310</v>
      </c>
      <c r="F6" s="7">
        <f t="shared" ref="F6:F11" si="0">E6*1.55</f>
        <v>480.5</v>
      </c>
      <c r="G6" s="7">
        <f t="shared" ref="G6:G11" si="1">H6/F6</f>
        <v>11862.64308012487</v>
      </c>
      <c r="H6" s="8">
        <v>5700000</v>
      </c>
    </row>
    <row r="7" spans="1:9" ht="15" customHeight="1" x14ac:dyDescent="0.25">
      <c r="A7" s="2"/>
      <c r="B7" s="5" t="s">
        <v>110</v>
      </c>
      <c r="C7" s="6"/>
      <c r="D7" s="5"/>
      <c r="E7" s="5">
        <v>620</v>
      </c>
      <c r="F7" s="7">
        <f t="shared" si="0"/>
        <v>961</v>
      </c>
      <c r="G7" s="7">
        <f t="shared" si="1"/>
        <v>12903.225806451614</v>
      </c>
      <c r="H7" s="8">
        <v>12400000</v>
      </c>
    </row>
    <row r="8" spans="1:9" x14ac:dyDescent="0.25">
      <c r="A8" s="2"/>
      <c r="B8" s="5" t="s">
        <v>110</v>
      </c>
      <c r="C8" s="9"/>
      <c r="D8" s="5"/>
      <c r="E8" s="5">
        <v>341</v>
      </c>
      <c r="F8" s="7">
        <f t="shared" si="0"/>
        <v>528.55000000000007</v>
      </c>
      <c r="G8" s="7">
        <f t="shared" si="1"/>
        <v>11351.811559928105</v>
      </c>
      <c r="H8" s="8">
        <v>6000000</v>
      </c>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56"/>
      <c r="C4" s="56" t="s">
        <v>11</v>
      </c>
      <c r="D4" s="57" t="s">
        <v>179</v>
      </c>
      <c r="E4" s="57" t="s">
        <v>189</v>
      </c>
      <c r="F4" s="57" t="s">
        <v>172</v>
      </c>
      <c r="G4" s="57" t="s">
        <v>194</v>
      </c>
      <c r="H4" s="57" t="s">
        <v>212</v>
      </c>
      <c r="J4" t="s">
        <v>194</v>
      </c>
      <c r="K4" t="s">
        <v>210</v>
      </c>
    </row>
    <row r="5" spans="2:11" x14ac:dyDescent="0.25">
      <c r="B5" s="56"/>
      <c r="C5" s="56"/>
      <c r="D5" s="57" t="s">
        <v>180</v>
      </c>
      <c r="E5" s="57" t="s">
        <v>187</v>
      </c>
      <c r="F5" s="57" t="s">
        <v>209</v>
      </c>
      <c r="G5" s="57" t="s">
        <v>195</v>
      </c>
      <c r="H5" s="57" t="s">
        <v>213</v>
      </c>
    </row>
    <row r="6" spans="2:11" x14ac:dyDescent="0.25">
      <c r="B6" s="56"/>
      <c r="C6" s="56"/>
      <c r="D6" s="57" t="s">
        <v>181</v>
      </c>
      <c r="E6" s="57" t="s">
        <v>188</v>
      </c>
      <c r="F6" s="57" t="s">
        <v>210</v>
      </c>
      <c r="G6" s="57" t="s">
        <v>196</v>
      </c>
      <c r="H6" s="57" t="s">
        <v>226</v>
      </c>
    </row>
    <row r="7" spans="2:11" x14ac:dyDescent="0.25">
      <c r="B7" s="56"/>
      <c r="C7" s="56"/>
      <c r="D7" s="57" t="s">
        <v>182</v>
      </c>
      <c r="E7" s="57" t="s">
        <v>190</v>
      </c>
      <c r="F7" s="57" t="s">
        <v>211</v>
      </c>
      <c r="G7" s="57" t="s">
        <v>197</v>
      </c>
      <c r="H7" s="57" t="s">
        <v>214</v>
      </c>
    </row>
    <row r="8" spans="2:11" x14ac:dyDescent="0.25">
      <c r="B8" s="56"/>
      <c r="C8" s="56"/>
      <c r="D8" s="57" t="s">
        <v>183</v>
      </c>
      <c r="E8" s="57" t="s">
        <v>191</v>
      </c>
      <c r="F8" s="57"/>
      <c r="G8" s="57" t="s">
        <v>198</v>
      </c>
      <c r="H8" s="57" t="s">
        <v>215</v>
      </c>
    </row>
    <row r="9" spans="2:11" x14ac:dyDescent="0.25">
      <c r="B9" s="56"/>
      <c r="C9" s="56"/>
      <c r="D9" s="57" t="s">
        <v>184</v>
      </c>
      <c r="E9" s="57" t="s">
        <v>189</v>
      </c>
      <c r="F9" s="57"/>
      <c r="G9" s="57" t="s">
        <v>199</v>
      </c>
      <c r="H9" s="57" t="s">
        <v>216</v>
      </c>
    </row>
    <row r="10" spans="2:11" x14ac:dyDescent="0.25">
      <c r="B10" s="56"/>
      <c r="C10" s="56"/>
      <c r="D10" s="57" t="s">
        <v>185</v>
      </c>
      <c r="E10" s="57" t="s">
        <v>192</v>
      </c>
      <c r="F10" s="57"/>
      <c r="G10" s="57" t="s">
        <v>200</v>
      </c>
      <c r="H10" s="57" t="s">
        <v>217</v>
      </c>
    </row>
    <row r="11" spans="2:11" x14ac:dyDescent="0.25">
      <c r="B11" s="56"/>
      <c r="C11" s="56"/>
      <c r="D11" s="57" t="s">
        <v>186</v>
      </c>
      <c r="E11" s="57" t="s">
        <v>193</v>
      </c>
      <c r="F11" s="57"/>
      <c r="G11" s="57" t="s">
        <v>201</v>
      </c>
      <c r="H11" s="57" t="s">
        <v>218</v>
      </c>
    </row>
    <row r="12" spans="2:11" x14ac:dyDescent="0.25">
      <c r="B12" s="56"/>
      <c r="C12" s="56"/>
      <c r="D12" s="57"/>
      <c r="E12" s="57"/>
      <c r="F12" s="57"/>
      <c r="G12" s="57" t="s">
        <v>202</v>
      </c>
      <c r="H12" s="57" t="s">
        <v>219</v>
      </c>
    </row>
    <row r="13" spans="2:11" x14ac:dyDescent="0.25">
      <c r="B13" s="56"/>
      <c r="C13" s="56"/>
      <c r="D13" s="57"/>
      <c r="E13" s="57"/>
      <c r="F13" s="57"/>
      <c r="G13" s="57" t="s">
        <v>203</v>
      </c>
      <c r="H13" s="57" t="s">
        <v>220</v>
      </c>
    </row>
    <row r="14" spans="2:11" x14ac:dyDescent="0.25">
      <c r="B14" s="56"/>
      <c r="C14" s="56"/>
      <c r="D14" s="57"/>
      <c r="E14" s="57"/>
      <c r="F14" s="57"/>
      <c r="G14" s="57" t="s">
        <v>204</v>
      </c>
      <c r="H14" s="57" t="s">
        <v>221</v>
      </c>
    </row>
    <row r="15" spans="2:11" x14ac:dyDescent="0.25">
      <c r="B15" s="56"/>
      <c r="C15" s="56"/>
      <c r="D15" s="57"/>
      <c r="E15" s="57"/>
      <c r="F15" s="57"/>
      <c r="G15" s="57" t="s">
        <v>205</v>
      </c>
      <c r="H15" s="57" t="s">
        <v>222</v>
      </c>
    </row>
    <row r="16" spans="2:11" x14ac:dyDescent="0.25">
      <c r="B16" s="56"/>
      <c r="C16" s="56"/>
      <c r="D16" s="57"/>
      <c r="E16" s="57"/>
      <c r="F16" s="57"/>
      <c r="G16" s="57" t="s">
        <v>206</v>
      </c>
      <c r="H16" s="57" t="s">
        <v>223</v>
      </c>
    </row>
    <row r="17" spans="2:8" x14ac:dyDescent="0.25">
      <c r="B17" s="56"/>
      <c r="C17" s="56"/>
      <c r="D17" s="57"/>
      <c r="E17" s="57"/>
      <c r="F17" s="57"/>
      <c r="G17" s="57" t="s">
        <v>207</v>
      </c>
      <c r="H17" s="57" t="s">
        <v>224</v>
      </c>
    </row>
    <row r="18" spans="2:8" x14ac:dyDescent="0.25">
      <c r="B18" s="56"/>
      <c r="C18" s="56"/>
      <c r="D18" s="57"/>
      <c r="E18" s="57"/>
      <c r="F18" s="57"/>
      <c r="G18" s="57" t="s">
        <v>208</v>
      </c>
      <c r="H18" s="57" t="s">
        <v>225</v>
      </c>
    </row>
    <row r="24" spans="2:8" x14ac:dyDescent="0.25">
      <c r="C24" t="s">
        <v>171</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171</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2025-08-16T06:40:26Z</cp:lastPrinted>
  <dcterms:created xsi:type="dcterms:W3CDTF">2019-07-16T09:29:46Z</dcterms:created>
  <dcterms:modified xsi:type="dcterms:W3CDTF">2025-08-16T06:48:14Z</dcterms:modified>
</cp:coreProperties>
</file>