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Aug 2025\Checking\17025 - Gami Tiara\"/>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s>
  <definedNames>
    <definedName name="_xlnm.Print_Area" localSheetId="0">Report!$A$1:$H$437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5" i="1" l="1"/>
  <c r="L167" i="1"/>
  <c r="L155" i="1"/>
  <c r="L157" i="1"/>
  <c r="K162" i="1"/>
  <c r="L162" i="1" s="1"/>
  <c r="K163" i="1"/>
  <c r="L163" i="1" s="1"/>
  <c r="K164" i="1"/>
  <c r="L164" i="1" s="1"/>
  <c r="K165" i="1"/>
  <c r="K166" i="1"/>
  <c r="L166" i="1" s="1"/>
  <c r="K167" i="1"/>
  <c r="K168" i="1"/>
  <c r="K169" i="1"/>
  <c r="K170" i="1"/>
  <c r="K171" i="1"/>
  <c r="K158" i="1"/>
  <c r="L158" i="1" s="1"/>
  <c r="K159" i="1"/>
  <c r="L159" i="1" s="1"/>
  <c r="K160" i="1"/>
  <c r="L160" i="1" s="1"/>
  <c r="K161" i="1"/>
  <c r="L161" i="1" s="1"/>
  <c r="K150" i="1"/>
  <c r="L150" i="1" s="1"/>
  <c r="K151" i="1"/>
  <c r="L151" i="1" s="1"/>
  <c r="K152" i="1"/>
  <c r="L152" i="1" s="1"/>
  <c r="K153" i="1"/>
  <c r="L153" i="1" s="1"/>
  <c r="K154" i="1"/>
  <c r="L154" i="1" s="1"/>
  <c r="K155" i="1"/>
  <c r="K156" i="1"/>
  <c r="L156" i="1" s="1"/>
  <c r="K157" i="1"/>
  <c r="K149" i="1"/>
  <c r="L149" i="1" s="1"/>
  <c r="N126" i="1"/>
  <c r="E140" i="1" l="1"/>
  <c r="E139" i="1"/>
  <c r="E281" i="1"/>
  <c r="D281" i="1"/>
  <c r="E277" i="1"/>
  <c r="D277" i="1"/>
  <c r="E276" i="1"/>
  <c r="D276" i="1"/>
  <c r="E275" i="1"/>
  <c r="D275" i="1"/>
  <c r="E269" i="1"/>
  <c r="D269" i="1"/>
  <c r="E263" i="1"/>
  <c r="D263" i="1"/>
  <c r="I214" i="1"/>
  <c r="I152" i="1"/>
  <c r="E42" i="1"/>
  <c r="F281" i="1" l="1"/>
  <c r="H281" i="1" s="1"/>
  <c r="D280" i="1"/>
  <c r="F280" i="1" s="1"/>
  <c r="H280" i="1" s="1"/>
  <c r="I279" i="1"/>
  <c r="D279" i="1"/>
  <c r="F279" i="1" s="1"/>
  <c r="H279" i="1" s="1"/>
  <c r="D278" i="1"/>
  <c r="F278" i="1" s="1"/>
  <c r="H278" i="1" s="1"/>
  <c r="I277" i="1"/>
  <c r="F277" i="1"/>
  <c r="H277" i="1" s="1"/>
  <c r="F276" i="1"/>
  <c r="H276" i="1" s="1"/>
  <c r="I275" i="1"/>
  <c r="F275" i="1"/>
  <c r="H275" i="1" s="1"/>
  <c r="D274" i="1"/>
  <c r="F274" i="1" s="1"/>
  <c r="H274" i="1" s="1"/>
  <c r="D273" i="1"/>
  <c r="F273" i="1" s="1"/>
  <c r="H273" i="1" s="1"/>
  <c r="D272" i="1"/>
  <c r="F272" i="1" s="1"/>
  <c r="H272" i="1" s="1"/>
  <c r="I271" i="1"/>
  <c r="D271" i="1"/>
  <c r="F271" i="1" s="1"/>
  <c r="H271" i="1" s="1"/>
  <c r="F269" i="1"/>
  <c r="H269" i="1" s="1"/>
  <c r="D268" i="1"/>
  <c r="F268" i="1" s="1"/>
  <c r="H268" i="1" s="1"/>
  <c r="I267" i="1"/>
  <c r="D267" i="1"/>
  <c r="F267" i="1" s="1"/>
  <c r="H267" i="1" s="1"/>
  <c r="D266" i="1"/>
  <c r="F266" i="1" s="1"/>
  <c r="H266" i="1" s="1"/>
  <c r="I265" i="1"/>
  <c r="D265" i="1"/>
  <c r="F265" i="1" s="1"/>
  <c r="H265" i="1" s="1"/>
  <c r="D264" i="1"/>
  <c r="F264" i="1" s="1"/>
  <c r="H264" i="1" s="1"/>
  <c r="I263" i="1"/>
  <c r="F263" i="1"/>
  <c r="H263" i="1" s="1"/>
  <c r="D262" i="1"/>
  <c r="F262" i="1" s="1"/>
  <c r="H262" i="1" s="1"/>
  <c r="D261" i="1"/>
  <c r="F261" i="1" s="1"/>
  <c r="H261" i="1" s="1"/>
  <c r="D260" i="1"/>
  <c r="F260" i="1" s="1"/>
  <c r="H260" i="1" s="1"/>
  <c r="I259" i="1"/>
  <c r="D259" i="1"/>
  <c r="F259" i="1" s="1"/>
  <c r="H259" i="1" s="1"/>
  <c r="D257" i="1"/>
  <c r="F257" i="1" s="1"/>
  <c r="H257" i="1" s="1"/>
  <c r="D256" i="1"/>
  <c r="F256" i="1" s="1"/>
  <c r="H256" i="1" s="1"/>
  <c r="I255" i="1"/>
  <c r="D255" i="1"/>
  <c r="F255" i="1" s="1"/>
  <c r="H255" i="1" s="1"/>
  <c r="D254" i="1"/>
  <c r="F254" i="1" s="1"/>
  <c r="H254" i="1" s="1"/>
  <c r="I253" i="1"/>
  <c r="D253" i="1"/>
  <c r="F253" i="1" s="1"/>
  <c r="H253" i="1" s="1"/>
  <c r="D252" i="1"/>
  <c r="F252" i="1" s="1"/>
  <c r="H252" i="1" s="1"/>
  <c r="I251" i="1"/>
  <c r="D251" i="1"/>
  <c r="F251" i="1" s="1"/>
  <c r="H251" i="1" s="1"/>
  <c r="D250" i="1"/>
  <c r="F250" i="1" s="1"/>
  <c r="H250" i="1" s="1"/>
  <c r="D249" i="1"/>
  <c r="F249" i="1" s="1"/>
  <c r="H249" i="1" s="1"/>
  <c r="D248" i="1"/>
  <c r="F248" i="1" s="1"/>
  <c r="H248" i="1" s="1"/>
  <c r="I247" i="1"/>
  <c r="D247" i="1"/>
  <c r="F247" i="1" s="1"/>
  <c r="H247" i="1" s="1"/>
  <c r="D245" i="1"/>
  <c r="F245" i="1" s="1"/>
  <c r="H245" i="1" s="1"/>
  <c r="D244" i="1"/>
  <c r="F244" i="1" s="1"/>
  <c r="H244" i="1" s="1"/>
  <c r="I243" i="1"/>
  <c r="D243" i="1"/>
  <c r="F243" i="1" s="1"/>
  <c r="H243" i="1" s="1"/>
  <c r="D242" i="1"/>
  <c r="F242" i="1" s="1"/>
  <c r="H242" i="1" s="1"/>
  <c r="I241" i="1"/>
  <c r="D241" i="1"/>
  <c r="F241" i="1" s="1"/>
  <c r="H241" i="1" s="1"/>
  <c r="D240" i="1"/>
  <c r="F240" i="1" s="1"/>
  <c r="H240" i="1" s="1"/>
  <c r="I239" i="1"/>
  <c r="D239" i="1"/>
  <c r="F239" i="1" s="1"/>
  <c r="H239" i="1" s="1"/>
  <c r="D238" i="1"/>
  <c r="F238" i="1" s="1"/>
  <c r="H238" i="1" s="1"/>
  <c r="D236" i="1"/>
  <c r="F236" i="1" s="1"/>
  <c r="H236" i="1" s="1"/>
  <c r="I235" i="1"/>
  <c r="D235" i="1"/>
  <c r="F235" i="1" s="1"/>
  <c r="H235" i="1" s="1"/>
  <c r="D233" i="1"/>
  <c r="F233" i="1" s="1"/>
  <c r="H233" i="1" s="1"/>
  <c r="D232" i="1"/>
  <c r="D231" i="1"/>
  <c r="F231" i="1" s="1"/>
  <c r="H231" i="1" s="1"/>
  <c r="F232" i="1"/>
  <c r="H232" i="1" s="1"/>
  <c r="I231" i="1"/>
  <c r="D230" i="1"/>
  <c r="F230" i="1" s="1"/>
  <c r="H230" i="1" s="1"/>
  <c r="I229" i="1"/>
  <c r="D229" i="1"/>
  <c r="F229" i="1" s="1"/>
  <c r="H229" i="1" s="1"/>
  <c r="D228" i="1"/>
  <c r="F228" i="1" s="1"/>
  <c r="H228" i="1" s="1"/>
  <c r="I227" i="1"/>
  <c r="D227" i="1"/>
  <c r="F227" i="1" s="1"/>
  <c r="H227" i="1" s="1"/>
  <c r="D226" i="1"/>
  <c r="F226" i="1" s="1"/>
  <c r="H226" i="1" s="1"/>
  <c r="D225" i="1"/>
  <c r="F225" i="1" s="1"/>
  <c r="H225" i="1" s="1"/>
  <c r="D224" i="1"/>
  <c r="F224" i="1" s="1"/>
  <c r="H224" i="1" s="1"/>
  <c r="I223" i="1"/>
  <c r="D223" i="1"/>
  <c r="F223" i="1" s="1"/>
  <c r="H223" i="1" s="1"/>
  <c r="D218" i="1"/>
  <c r="D217" i="1"/>
  <c r="D216" i="1"/>
  <c r="D215" i="1"/>
  <c r="D214" i="1"/>
  <c r="D213" i="1"/>
  <c r="D212" i="1"/>
  <c r="D211" i="1"/>
  <c r="D207" i="1"/>
  <c r="F207" i="1" s="1"/>
  <c r="H207" i="1" s="1"/>
  <c r="D206" i="1"/>
  <c r="F206" i="1" s="1"/>
  <c r="H206" i="1" s="1"/>
  <c r="D205" i="1"/>
  <c r="F205" i="1" s="1"/>
  <c r="H205" i="1" s="1"/>
  <c r="D204" i="1"/>
  <c r="F204" i="1" s="1"/>
  <c r="H204" i="1" s="1"/>
  <c r="D203" i="1"/>
  <c r="F203" i="1" s="1"/>
  <c r="H203" i="1" s="1"/>
  <c r="D202" i="1"/>
  <c r="F202" i="1" s="1"/>
  <c r="H202" i="1" s="1"/>
  <c r="D201" i="1"/>
  <c r="F201" i="1" s="1"/>
  <c r="H201" i="1" s="1"/>
  <c r="D200" i="1"/>
  <c r="F200" i="1" s="1"/>
  <c r="H200" i="1" s="1"/>
  <c r="D199" i="1"/>
  <c r="F199" i="1" s="1"/>
  <c r="H199" i="1" s="1"/>
  <c r="D197" i="1"/>
  <c r="F197" i="1" s="1"/>
  <c r="H197" i="1" s="1"/>
  <c r="D196" i="1"/>
  <c r="F196" i="1" s="1"/>
  <c r="H196" i="1" s="1"/>
  <c r="D195" i="1"/>
  <c r="F195" i="1" s="1"/>
  <c r="H195" i="1" s="1"/>
  <c r="D194" i="1"/>
  <c r="F194" i="1" s="1"/>
  <c r="H194" i="1" s="1"/>
  <c r="D193" i="1"/>
  <c r="F193" i="1" s="1"/>
  <c r="H193" i="1" s="1"/>
  <c r="D192" i="1"/>
  <c r="F192" i="1" s="1"/>
  <c r="H192" i="1" s="1"/>
  <c r="D191" i="1"/>
  <c r="F191" i="1" s="1"/>
  <c r="H191" i="1" s="1"/>
  <c r="D190" i="1"/>
  <c r="F190" i="1" s="1"/>
  <c r="H190" i="1" s="1"/>
  <c r="D189" i="1"/>
  <c r="F189" i="1" s="1"/>
  <c r="H189" i="1" s="1"/>
  <c r="D187" i="1"/>
  <c r="D186" i="1"/>
  <c r="D185" i="1"/>
  <c r="D184" i="1"/>
  <c r="D183" i="1"/>
  <c r="D182" i="1"/>
  <c r="D181" i="1"/>
  <c r="D180" i="1"/>
  <c r="D179" i="1"/>
  <c r="D177" i="1"/>
  <c r="D176" i="1"/>
  <c r="D175" i="1"/>
  <c r="D174" i="1"/>
  <c r="D173" i="1"/>
  <c r="D172" i="1"/>
  <c r="D171" i="1"/>
  <c r="D170" i="1"/>
  <c r="D167" i="1"/>
  <c r="F167" i="1" s="1"/>
  <c r="D166" i="1"/>
  <c r="F166" i="1" s="1"/>
  <c r="I165" i="1"/>
  <c r="D165" i="1"/>
  <c r="F165" i="1" s="1"/>
  <c r="D164" i="1"/>
  <c r="F164" i="1" s="1"/>
  <c r="I163" i="1"/>
  <c r="D163" i="1"/>
  <c r="F163" i="1" s="1"/>
  <c r="D162" i="1"/>
  <c r="F162" i="1" s="1"/>
  <c r="D161" i="1"/>
  <c r="F161" i="1" s="1"/>
  <c r="D160" i="1"/>
  <c r="F160" i="1" s="1"/>
  <c r="I159" i="1"/>
  <c r="D159" i="1"/>
  <c r="F159" i="1" s="1"/>
  <c r="D157" i="1"/>
  <c r="D156" i="1"/>
  <c r="D155" i="1"/>
  <c r="D154" i="1"/>
  <c r="D153" i="1"/>
  <c r="D152" i="1"/>
  <c r="D151" i="1"/>
  <c r="D150" i="1"/>
  <c r="D149" i="1"/>
  <c r="C139" i="1" l="1"/>
  <c r="C140" i="1"/>
  <c r="H161" i="1"/>
  <c r="H164" i="1"/>
  <c r="H167" i="1"/>
  <c r="H162" i="1"/>
  <c r="H165" i="1"/>
  <c r="H163" i="1"/>
  <c r="H160" i="1"/>
  <c r="H166" i="1"/>
  <c r="H159" i="1"/>
  <c r="E46" i="1" l="1"/>
  <c r="D64" i="1" s="1"/>
  <c r="E43" i="1"/>
  <c r="F177" i="1" l="1"/>
  <c r="H177" i="1" s="1"/>
  <c r="F174" i="1"/>
  <c r="H174" i="1" s="1"/>
  <c r="F173" i="1"/>
  <c r="H173" i="1" s="1"/>
  <c r="F172" i="1"/>
  <c r="H172" i="1" s="1"/>
  <c r="F171" i="1"/>
  <c r="H171" i="1" s="1"/>
  <c r="F170" i="1"/>
  <c r="H170" i="1" s="1"/>
  <c r="F187" i="1"/>
  <c r="H187" i="1" s="1"/>
  <c r="F186" i="1"/>
  <c r="H186" i="1" s="1"/>
  <c r="F185" i="1"/>
  <c r="H185" i="1" s="1"/>
  <c r="F184" i="1"/>
  <c r="H184" i="1" s="1"/>
  <c r="F218" i="1"/>
  <c r="H218" i="1" s="1"/>
  <c r="F217" i="1"/>
  <c r="H217" i="1" s="1"/>
  <c r="F216" i="1"/>
  <c r="H216" i="1" s="1"/>
  <c r="F215" i="1"/>
  <c r="H215" i="1" s="1"/>
  <c r="F214" i="1"/>
  <c r="H214" i="1" s="1"/>
  <c r="F213" i="1"/>
  <c r="H213" i="1" s="1"/>
  <c r="F212" i="1"/>
  <c r="H212" i="1" s="1"/>
  <c r="F211" i="1"/>
  <c r="F176" i="1"/>
  <c r="H176" i="1" s="1"/>
  <c r="I217" i="1"/>
  <c r="I215" i="1"/>
  <c r="I211" i="1"/>
  <c r="F175" i="1"/>
  <c r="H175" i="1" s="1"/>
  <c r="I155" i="1"/>
  <c r="I153" i="1"/>
  <c r="I149" i="1"/>
  <c r="F157" i="1"/>
  <c r="F156" i="1"/>
  <c r="F155" i="1"/>
  <c r="F154" i="1"/>
  <c r="F153" i="1"/>
  <c r="H153" i="1" l="1"/>
  <c r="I147" i="1" s="1"/>
  <c r="H157" i="1"/>
  <c r="H154" i="1"/>
  <c r="H155" i="1"/>
  <c r="H156" i="1"/>
  <c r="H211" i="1"/>
  <c r="G140" i="1" s="1"/>
  <c r="I45" i="1"/>
  <c r="C141" i="1" l="1"/>
  <c r="B284" i="1"/>
  <c r="G60" i="1" l="1"/>
  <c r="C60" i="1"/>
  <c r="G58" i="1"/>
  <c r="C58" i="1"/>
  <c r="C56" i="1"/>
  <c r="S33" i="1" l="1"/>
  <c r="F11" i="5" l="1"/>
  <c r="G11" i="5" s="1"/>
  <c r="F10" i="5"/>
  <c r="G10" i="5" s="1"/>
  <c r="F9" i="5"/>
  <c r="G9" i="5" s="1"/>
  <c r="G8" i="5"/>
  <c r="F8" i="5"/>
  <c r="F7" i="5"/>
  <c r="G7" i="5" s="1"/>
  <c r="F6" i="5"/>
  <c r="G6" i="5" s="1"/>
  <c r="F5" i="5"/>
  <c r="G5" i="5" s="1"/>
  <c r="G12" i="5" s="1"/>
  <c r="D306" i="1"/>
  <c r="F183" i="1"/>
  <c r="H183" i="1" s="1"/>
  <c r="F182" i="1"/>
  <c r="H182" i="1" s="1"/>
  <c r="F181" i="1"/>
  <c r="H181" i="1" s="1"/>
  <c r="F180" i="1"/>
  <c r="H180" i="1" s="1"/>
  <c r="F179" i="1"/>
  <c r="H179" i="1" s="1"/>
  <c r="F152" i="1"/>
  <c r="F151" i="1"/>
  <c r="F150" i="1"/>
  <c r="F149" i="1"/>
  <c r="F131" i="1"/>
  <c r="C105" i="1"/>
  <c r="C91" i="1"/>
  <c r="C77" i="1"/>
  <c r="D71" i="1"/>
  <c r="E44" i="1"/>
  <c r="E45" i="1" s="1"/>
  <c r="E31" i="1"/>
  <c r="E28" i="1"/>
  <c r="E26" i="1"/>
  <c r="C16" i="1"/>
  <c r="I15" i="1"/>
  <c r="Z13" i="1"/>
  <c r="E3" i="1"/>
  <c r="H78" i="1"/>
  <c r="H106" i="1"/>
  <c r="H92" i="1"/>
  <c r="E141" i="1" l="1"/>
  <c r="H152" i="1"/>
  <c r="H151" i="1"/>
  <c r="H150" i="1"/>
  <c r="H149" i="1"/>
  <c r="J77" i="1"/>
  <c r="J79" i="1" s="1"/>
  <c r="J80" i="1"/>
  <c r="J81" i="1"/>
  <c r="J82" i="1"/>
  <c r="C81" i="1" s="1"/>
  <c r="J96" i="1"/>
  <c r="D100" i="1"/>
  <c r="D102" i="1"/>
  <c r="J95" i="1"/>
  <c r="D101" i="1"/>
  <c r="J91" i="1"/>
  <c r="J93" i="1" s="1"/>
  <c r="D99" i="1"/>
  <c r="J94" i="1"/>
  <c r="D98" i="1"/>
  <c r="D104" i="1"/>
  <c r="D103" i="1"/>
  <c r="D97" i="1"/>
  <c r="D85" i="1"/>
  <c r="D87" i="1"/>
  <c r="D86" i="1"/>
  <c r="D90" i="1"/>
  <c r="D84" i="1"/>
  <c r="D89" i="1"/>
  <c r="D83" i="1"/>
  <c r="D88" i="1"/>
  <c r="C111" i="1"/>
  <c r="J105" i="1" s="1"/>
  <c r="J107" i="1" s="1"/>
  <c r="D114" i="1"/>
  <c r="D116" i="1"/>
  <c r="J110" i="1"/>
  <c r="C109" i="1" s="1"/>
  <c r="D109" i="1" s="1"/>
  <c r="D115" i="1"/>
  <c r="J109" i="1"/>
  <c r="D113" i="1"/>
  <c r="J108" i="1"/>
  <c r="D112" i="1"/>
  <c r="D118" i="1"/>
  <c r="D117" i="1"/>
  <c r="B106" i="1"/>
  <c r="B92" i="1"/>
  <c r="B78" i="1"/>
  <c r="J83" i="1" s="1"/>
  <c r="G139" i="1" l="1"/>
  <c r="G141" i="1" s="1"/>
  <c r="C95" i="1"/>
  <c r="D95" i="1" s="1"/>
  <c r="D81" i="1"/>
  <c r="D111" i="1"/>
  <c r="J116" i="1"/>
  <c r="J113" i="1"/>
  <c r="J115" i="1"/>
  <c r="J114" i="1"/>
  <c r="J111" i="1"/>
  <c r="J112" i="1" s="1"/>
  <c r="J117" i="1" s="1"/>
  <c r="J118" i="1" s="1"/>
  <c r="C110" i="1" s="1"/>
  <c r="E109" i="1" s="1"/>
  <c r="J102" i="1"/>
  <c r="J99" i="1"/>
  <c r="J101" i="1"/>
  <c r="J100" i="1"/>
  <c r="J97" i="1"/>
  <c r="J98" i="1" s="1"/>
  <c r="J87" i="1"/>
  <c r="J85" i="1"/>
  <c r="J86" i="1"/>
  <c r="J84" i="1"/>
  <c r="J89" i="1" s="1"/>
  <c r="J90" i="1" s="1"/>
  <c r="C82" i="1" s="1"/>
  <c r="J88" i="1"/>
  <c r="J78" i="1" l="1"/>
  <c r="J103" i="1"/>
  <c r="J104" i="1" s="1"/>
  <c r="D110" i="1"/>
  <c r="I106" i="1" s="1"/>
  <c r="J106" i="1"/>
  <c r="G109" i="1"/>
  <c r="E81" i="1"/>
  <c r="D82" i="1"/>
  <c r="I78" i="1" s="1"/>
  <c r="G81" i="1"/>
  <c r="D75" i="1" s="1"/>
  <c r="C96" i="1" l="1"/>
  <c r="F76" i="1"/>
  <c r="D76" i="1"/>
  <c r="I107" i="1"/>
  <c r="I105" i="1" s="1"/>
  <c r="C107" i="1" s="1"/>
  <c r="I79" i="1"/>
  <c r="I77" i="1" s="1"/>
  <c r="C79" i="1" s="1"/>
  <c r="D96" i="1" l="1"/>
  <c r="I92" i="1" s="1"/>
  <c r="I93" i="1" s="1"/>
  <c r="E95" i="1"/>
  <c r="G95" i="1"/>
  <c r="J92" i="1"/>
  <c r="I91" i="1" l="1"/>
  <c r="C93"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I12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<sst xmlns="http://schemas.openxmlformats.org/spreadsheetml/2006/main" count="753" uniqueCount="369">
  <si>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</si>
  <si>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</si>
  <si>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</si>
  <si>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</si>
  <si>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</si>
  <si>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</si>
  <si>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</si>
  <si>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</si>
  <si>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</si>
  <si>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</si>
  <si>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</si>
  <si>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</si>
  <si>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</si>
  <si>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</si>
  <si>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</si>
  <si>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</si>
  <si>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</si>
  <si>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</si>
  <si>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</si>
  <si>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</si>
  <si>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</si>
  <si>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</si>
  <si>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</si>
  <si>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</si>
  <si>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</si>
  <si>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</si>
  <si>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</si>
  <si>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</si>
  <si>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</si>
  <si>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</si>
  <si>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</si>
  <si>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</si>
  <si>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</si>
  <si>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</si>
  <si>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</si>
  <si>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</si>
  <si>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</si>
  <si>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</si>
  <si>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</si>
  <si>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</si>
  <si>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</si>
  <si>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</si>
  <si>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</si>
  <si>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</si>
  <si>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</si>
  <si>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</si>
  <si>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</si>
  <si>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</si>
  <si>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</si>
  <si>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</si>
  <si>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</si>
  <si>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</si>
  <si>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</si>
  <si>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</si>
  <si>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</si>
  <si>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</si>
  <si>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</si>
  <si>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</si>
  <si>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</si>
  <si>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</si>
  <si>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</si>
  <si>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</si>
  <si>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</si>
  <si>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</si>
  <si>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</si>
  <si>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</si>
  <si>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</si>
  <si>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</si>
  <si>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</si>
  <si>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</si>
  <si>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</si>
  <si>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</si>
  <si>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</si>
  <si>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</si>
  <si>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</si>
  <si>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</si>
  <si>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</si>
  <si>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</si>
  <si>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</si>
  <si>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</si>
  <si>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</si>
  <si>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</si>
  <si>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</si>
  <si>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</si>
  <si>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</si>
  <si>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</si>
  <si>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</si>
  <si>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</si>
  <si>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</si>
  <si>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</si>
  <si>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</si>
  <si>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</si>
  <si>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</si>
  <si>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</si>
  <si>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</si>
  <si>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</si>
  <si>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</si>
  <si>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</si>
  <si>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</si>
  <si>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</si>
  <si>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</si>
  <si>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</si>
  <si>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</si>
  <si>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</si>
  <si>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</si>
  <si>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</si>
  <si>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</si>
  <si>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</si>
  <si>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</si>
  <si>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</si>
  <si>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</si>
  <si>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</si>
  <si>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</si>
  <si>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</si>
  <si>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</si>
  <si>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</si>
  <si>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</si>
  <si>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</si>
  <si>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</si>
  <si>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</si>
  <si>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</si>
  <si>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</si>
  <si>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</si>
  <si>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</si>
  <si>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</si>
  <si>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</si>
  <si>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</si>
  <si>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</si>
  <si>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</si>
  <si>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</si>
  <si>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</si>
  <si>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</si>
  <si>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</si>
  <si>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</si>
  <si>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</si>
  <si>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</si>
  <si>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</si>
  <si>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</si>
  <si>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</si>
  <si>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</si>
  <si>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</si>
  <si>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</si>
  <si>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</si>
  <si>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</si>
  <si>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</si>
  <si>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</si>
  <si>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</si>
  <si>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</si>
  <si>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</si>
  <si>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</si>
  <si>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</si>
  <si>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</si>
  <si>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</si>
  <si>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</si>
  <si>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</si>
  <si>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</si>
  <si>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</si>
  <si>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</si>
  <si>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</si>
  <si>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</si>
  <si>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</si>
  <si>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</si>
  <si>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</si>
  <si>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</si>
  <si>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</si>
  <si>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</si>
  <si>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</si>
  <si>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</si>
  <si>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</si>
  <si>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</si>
  <si>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</si>
  <si>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</si>
  <si>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</si>
  <si>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</si>
  <si>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</si>
  <si>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</si>
  <si>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</si>
  <si>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</si>
  <si>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</si>
  <si>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</si>
  <si>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</si>
  <si>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</si>
  <si>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</si>
  <si>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</si>
  <si>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</si>
  <si>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</si>
  <si>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</si>
  <si>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</si>
  <si>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</si>
  <si>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</si>
  <si>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</si>
  <si>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</si>
  <si>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</si>
  <si>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</si>
  <si>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</si>
  <si>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</si>
  <si>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</si>
  <si>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</si>
  <si>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</si>
  <si>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</si>
  <si>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</si>
  <si>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</si>
  <si>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</si>
  <si>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</si>
  <si>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</si>
  <si>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</si>
  <si>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</si>
  <si>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</si>
  <si>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</si>
  <si>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</si>
  <si>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</si>
  <si>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</si>
  <si>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</si>
  <si>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</si>
  <si>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</si>
  <si>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</si>
  <si>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</si>
  <si>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</si>
  <si>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</si>
  <si>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</si>
  <si>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</si>
  <si>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</si>
  <si>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</si>
  <si>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</si>
  <si>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</si>
  <si>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</si>
  <si>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</si>
  <si>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</si>
  <si>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</si>
  <si>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</si>
  <si>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</si>
  <si>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</si>
  <si>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</si>
  <si>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</si>
  <si>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</si>
  <si>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</si>
  <si>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</si>
  <si>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</si>
  <si>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</si>
  <si>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</si>
  <si>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</si>
  <si>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</si>
  <si>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</si>
  <si>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</si>
  <si>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</si>
  <si>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</si>
  <si>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</si>
  <si>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</si>
  <si>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</si>
  <si>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</si>
  <si>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</si>
  <si>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</si>
  <si>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</si>
  <si>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</si>
  <si>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</si>
  <si>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</si>
  <si>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</si>
  <si>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</si>
  <si>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</si>
  <si>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</si>
  <si>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</si>
  <si>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</si>
  <si>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</si>
  <si>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</si>
  <si>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</si>
  <si>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</si>
  <si>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</si>
  <si>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</si>
  <si>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</si>
  <si>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</si>
  <si>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</si>
  <si>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</si>
  <si>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</si>
  <si>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</si>
  <si>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</si>
  <si>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</si>
  <si>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</si>
  <si>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</si>
  <si>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</si>
  <si>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</si>
  <si>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</si>
  <si>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</si>
  <si>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</si>
  <si>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</si>
  <si>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</si>
  <si>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</si>
  <si>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</si>
  <si>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</si>
  <si>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</si>
  <si>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</si>
  <si>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</si>
  <si>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Gami Tiara</t>
  </si>
  <si>
    <t>P52000052631</t>
  </si>
  <si>
    <t>Survey No</t>
  </si>
  <si>
    <t>81/3/A</t>
  </si>
  <si>
    <t>Pisarve</t>
  </si>
  <si>
    <t>Internal Road</t>
  </si>
  <si>
    <t>Gami Teesta</t>
  </si>
  <si>
    <t>S.No - 82</t>
  </si>
  <si>
    <t>H.No - 3B</t>
  </si>
  <si>
    <t>S.No - 80</t>
  </si>
  <si>
    <t>S.No - 86</t>
  </si>
  <si>
    <t>Open Plot</t>
  </si>
  <si>
    <t>As per RERA - 31/12/2026</t>
  </si>
  <si>
    <t>Wing A</t>
  </si>
  <si>
    <t>1BHK</t>
  </si>
  <si>
    <t>2BHK</t>
  </si>
  <si>
    <t>1.5BHK</t>
  </si>
  <si>
    <t>Refuge Area</t>
  </si>
  <si>
    <t>Wing B</t>
  </si>
  <si>
    <t>Construction work is in process at the time of Visit (labour found).</t>
  </si>
  <si>
    <t>Wing A &amp; B</t>
  </si>
  <si>
    <t>8th, 11th &amp; 14th Floor ( Part Refuge Area)</t>
  </si>
  <si>
    <r>
      <t xml:space="preserve">Proposed Amenities :                                                                                                                                                                                                                         </t>
    </r>
    <r>
      <rPr>
        <b/>
        <sz val="12"/>
        <rFont val="Times New Roman"/>
        <family val="1"/>
      </rPr>
      <t xml:space="preserve">                                               </t>
    </r>
  </si>
  <si>
    <t>Sunil Peravi</t>
  </si>
  <si>
    <t>Society Formation Charges + Advance Maintenance Charges</t>
  </si>
  <si>
    <t>Development Charges, Water, Electricity</t>
  </si>
  <si>
    <t>Ground Floor For Entrance Lobby, Meter Room &amp; Parking</t>
  </si>
  <si>
    <t xml:space="preserve">High tension lines are passing nearby project Gami Tiara(Wing B).
</t>
  </si>
  <si>
    <t>SA</t>
  </si>
  <si>
    <t>Sammaan Capital Limited</t>
  </si>
  <si>
    <t>SCL Kalyan</t>
  </si>
  <si>
    <t>SCL Badlapur</t>
  </si>
  <si>
    <t>SCL Vashi</t>
  </si>
  <si>
    <t>SCL Thane</t>
  </si>
  <si>
    <t>SCL Andheri</t>
  </si>
  <si>
    <t>SCL Borivali</t>
  </si>
  <si>
    <t>SCL Virar</t>
  </si>
  <si>
    <t>Mr. Murji Bhanji Gami</t>
  </si>
  <si>
    <t>02 Wings</t>
  </si>
  <si>
    <t>19.090721,73.093507</t>
  </si>
  <si>
    <t>https://maps.app.goo.gl/xcmiv3jFWDaHq7wL8</t>
  </si>
  <si>
    <t>Mr. Ganesh 7977832971</t>
  </si>
  <si>
    <t>Wing B = Gr + 1st to 16th Floor</t>
  </si>
  <si>
    <t>Wing A = Gr + 1st to 16th Floor
Wing B = Gr + 1st to 7th Floor</t>
  </si>
  <si>
    <t>Wing A = Gr + 1st to 16th Floor</t>
  </si>
  <si>
    <t>Building Details Floor Wise</t>
  </si>
  <si>
    <t>Taloja Panchanand East</t>
  </si>
  <si>
    <t>https://www.gamigroup.in/gami-tiara/#</t>
  </si>
  <si>
    <t>Kids Play Area, Landscaped Garden, Gymnasium, Club
House, High Speed Elevators, Car Parking etc.</t>
  </si>
  <si>
    <t>Approved Plans &amp; CC</t>
  </si>
  <si>
    <t xml:space="preserve">Details of Residential in Building   </t>
  </si>
  <si>
    <t>The HT Line passed the north side of Wing B 26 meters from the building control line in accordance with the authorized layout plan.</t>
  </si>
  <si>
    <t>HT line passed north side of project Gami Tiara wing B.
According to the authorized layout plan, there is a 26 meter side space between the building control line and the center of high tension line.</t>
  </si>
  <si>
    <t>Construction work of Wing B goes beyond CC permission &amp; approved floor plans; therefore, we have drafted an APF report for Wing A only.
Provide the revised approved plan &amp; CC for Wing B.</t>
  </si>
  <si>
    <t>2.7 KM from Pethali-Taloja Metro Station</t>
  </si>
  <si>
    <t>M/s. Gami Developers</t>
  </si>
  <si>
    <t>Mr. Vinod Chauhan 9594616299 &amp; 
Mr. Deep 9136117570</t>
  </si>
  <si>
    <t>CARPC/RB/2025/APL/00184</t>
  </si>
  <si>
    <t>Ground Floor For Entrance Lobby, Meter Room, Swimming Pool &amp; Parking</t>
  </si>
  <si>
    <t>1st Floor For Residential</t>
  </si>
  <si>
    <t>PMC/TP/Pisarve/81/3/A/21-
23/16705/1769/2023</t>
  </si>
  <si>
    <t xml:space="preserve">12/07/2023
</t>
  </si>
  <si>
    <t>Wing A = Gr. + 1st to 16th Floor
Wing B = Gr. + 1st to 7th Floor
Total B.U.A = 11519.09 sq.mt.</t>
  </si>
  <si>
    <t>Approved area of building (Sq.Mt)</t>
  </si>
  <si>
    <t>2nd to 7th Floor</t>
  </si>
  <si>
    <t>9th, 10th, 12th &amp; 13th Floor</t>
  </si>
  <si>
    <t>15th Floor</t>
  </si>
  <si>
    <t>16th Floor</t>
  </si>
  <si>
    <t>OK</t>
  </si>
  <si>
    <t xml:space="preserve"> - </t>
  </si>
  <si>
    <t>Fitness Center</t>
  </si>
  <si>
    <t>Indoor Games</t>
  </si>
  <si>
    <t>1st Floor For Residential, Fitnesss Center &amp; Indoor Games</t>
  </si>
  <si>
    <t>2nd to 7th Floor For Residential</t>
  </si>
  <si>
    <t>Saurav Panse</t>
  </si>
  <si>
    <t>Drivers Room</t>
  </si>
  <si>
    <t>We considered Gross carpet area = Net carpet Area + Balcony.</t>
  </si>
  <si>
    <t>Flats = 311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</si>
</sst>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0" fillId="0" borderId="0" xfId="0" applyFont="1"/>
    <xf numFmtId="0" fontId="31" fillId="0" borderId="0" xfId="1" applyFont="1"/>
    <xf numFmtId="0" fontId="27" fillId="0" borderId="0" xfId="10"/>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12"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vertical="top" wrapText="1"/>
      <protection locked="0"/>
    </xf>
    <xf numFmtId="0" fontId="15" fillId="0" borderId="0" xfId="0"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67" fontId="15" fillId="0" borderId="1" xfId="9" applyNumberFormat="1" applyFont="1" applyFill="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4" fontId="12"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2" fillId="0" borderId="8" xfId="1" applyNumberFormat="1" applyFont="1" applyFill="1" applyBorder="1" applyAlignment="1" applyProtection="1">
      <alignment horizontal="center" vertical="center" wrapText="1"/>
      <protection locked="0"/>
    </xf>
    <xf numFmtId="1" fontId="12" fillId="0" borderId="9" xfId="1" applyNumberFormat="1" applyFont="1" applyFill="1" applyBorder="1" applyAlignment="1" applyProtection="1">
      <alignment horizontal="center" vertical="center" wrapText="1"/>
      <protection locked="0"/>
    </xf>
    <xf numFmtId="1" fontId="13" fillId="0" borderId="8" xfId="1" applyNumberFormat="1" applyFont="1" applyFill="1" applyBorder="1" applyAlignment="1" applyProtection="1">
      <alignment horizontal="center" vertical="center" wrapText="1"/>
      <protection locked="0"/>
    </xf>
    <xf numFmtId="1" fontId="13" fillId="0" borderId="21" xfId="1" applyNumberFormat="1" applyFont="1" applyFill="1" applyBorder="1" applyAlignment="1" applyProtection="1">
      <alignment horizontal="center" vertical="center" wrapText="1"/>
      <protection locked="0"/>
    </xf>
    <xf numFmtId="1" fontId="13" fillId="0" borderId="9" xfId="1" applyNumberFormat="1" applyFont="1" applyFill="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png"/><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1</xdr:col>
      <xdr:colOff>657225</xdr:colOff>
      <xdr:row>350</xdr:row>
      <xdr:rowOff>28575</xdr:rowOff>
    </xdr:from>
    <xdr:to>
      <xdr:col>5</xdr:col>
      <xdr:colOff>485775</xdr:colOff>
      <xdr:row>367</xdr:row>
      <xdr:rowOff>114300</xdr:rowOff>
    </xdr:to>
    <xdr:grpSp>
      <xdr:nvGrpSpPr>
        <xdr:cNvPr id="25" name="Group 24"/>
        <xdr:cNvGrpSpPr/>
      </xdr:nvGrpSpPr>
      <xdr:grpSpPr>
        <a:xfrm>
          <a:off x="1419225" y="68552546"/>
          <a:ext cx="3179109" cy="3514725"/>
          <a:chOff x="1489488" y="2790822"/>
          <a:chExt cx="3171825" cy="3486150"/>
        </a:xfrm>
      </xdr:grpSpPr>
      <xdr:pic>
        <xdr:nvPicPr>
          <xdr:cNvPr id="26" name="Picture 2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489488" y="2790822"/>
            <a:ext cx="3171825" cy="3486150"/>
          </a:xfrm>
          <a:prstGeom prst="rect">
            <a:avLst/>
          </a:prstGeom>
          <a:ln>
            <a:solidFill>
              <a:schemeClr val="tx1"/>
            </a:solidFill>
          </a:ln>
        </xdr:spPr>
      </xdr:pic>
      <xdr:sp macro="" textlink="">
        <xdr:nvSpPr>
          <xdr:cNvPr id="27" name="Freeform 26"/>
          <xdr:cNvSpPr/>
        </xdr:nvSpPr>
        <xdr:spPr>
          <a:xfrm>
            <a:off x="3613150" y="4651375"/>
            <a:ext cx="457200" cy="460375"/>
          </a:xfrm>
          <a:custGeom>
            <a:avLst/>
            <a:gdLst>
              <a:gd name="connsiteX0" fmla="*/ 0 w 457200"/>
              <a:gd name="connsiteY0" fmla="*/ 28575 h 460375"/>
              <a:gd name="connsiteX1" fmla="*/ 41275 w 457200"/>
              <a:gd name="connsiteY1" fmla="*/ 0 h 460375"/>
              <a:gd name="connsiteX2" fmla="*/ 120650 w 457200"/>
              <a:gd name="connsiteY2" fmla="*/ 107950 h 460375"/>
              <a:gd name="connsiteX3" fmla="*/ 368300 w 457200"/>
              <a:gd name="connsiteY3" fmla="*/ 0 h 460375"/>
              <a:gd name="connsiteX4" fmla="*/ 409575 w 457200"/>
              <a:gd name="connsiteY4" fmla="*/ 63500 h 460375"/>
              <a:gd name="connsiteX5" fmla="*/ 457200 w 457200"/>
              <a:gd name="connsiteY5" fmla="*/ 387350 h 460375"/>
              <a:gd name="connsiteX6" fmla="*/ 415925 w 457200"/>
              <a:gd name="connsiteY6" fmla="*/ 460375 h 460375"/>
              <a:gd name="connsiteX7" fmla="*/ 269875 w 457200"/>
              <a:gd name="connsiteY7" fmla="*/ 365125 h 460375"/>
              <a:gd name="connsiteX8" fmla="*/ 79375 w 457200"/>
              <a:gd name="connsiteY8" fmla="*/ 168275 h 460375"/>
              <a:gd name="connsiteX9" fmla="*/ 0 w 457200"/>
              <a:gd name="connsiteY9" fmla="*/ 28575 h 460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57200" h="460375">
                <a:moveTo>
                  <a:pt x="0" y="28575"/>
                </a:moveTo>
                <a:lnTo>
                  <a:pt x="41275" y="0"/>
                </a:lnTo>
                <a:lnTo>
                  <a:pt x="120650" y="107950"/>
                </a:lnTo>
                <a:lnTo>
                  <a:pt x="368300" y="0"/>
                </a:lnTo>
                <a:lnTo>
                  <a:pt x="409575" y="63500"/>
                </a:lnTo>
                <a:lnTo>
                  <a:pt x="457200" y="387350"/>
                </a:lnTo>
                <a:lnTo>
                  <a:pt x="415925" y="460375"/>
                </a:lnTo>
                <a:lnTo>
                  <a:pt x="269875" y="365125"/>
                </a:lnTo>
                <a:lnTo>
                  <a:pt x="79375" y="168275"/>
                </a:lnTo>
                <a:lnTo>
                  <a:pt x="0" y="28575"/>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9</xdr:col>
      <xdr:colOff>246235</xdr:colOff>
      <xdr:row>393</xdr:row>
      <xdr:rowOff>142046</xdr:rowOff>
    </xdr:from>
    <xdr:to>
      <xdr:col>14</xdr:col>
      <xdr:colOff>48039</xdr:colOff>
      <xdr:row>413</xdr:row>
      <xdr:rowOff>111641</xdr:rowOff>
    </xdr:to>
    <xdr:pic>
      <xdr:nvPicPr>
        <xdr:cNvPr id="31" name="Picture 30"/>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17198"/>
        <a:stretch/>
      </xdr:blipFill>
      <xdr:spPr>
        <a:xfrm>
          <a:off x="7725431" y="54409698"/>
          <a:ext cx="3818869" cy="3945247"/>
        </a:xfrm>
        <a:prstGeom prst="rect">
          <a:avLst/>
        </a:prstGeom>
        <a:ln>
          <a:solidFill>
            <a:schemeClr val="tx1"/>
          </a:solidFill>
        </a:ln>
      </xdr:spPr>
    </xdr:pic>
    <xdr:clientData/>
  </xdr:twoCellAnchor>
  <xdr:twoCellAnchor>
    <xdr:from>
      <xdr:col>1</xdr:col>
      <xdr:colOff>472937</xdr:colOff>
      <xdr:row>368</xdr:row>
      <xdr:rowOff>83654</xdr:rowOff>
    </xdr:from>
    <xdr:to>
      <xdr:col>6</xdr:col>
      <xdr:colOff>110987</xdr:colOff>
      <xdr:row>391</xdr:row>
      <xdr:rowOff>140804</xdr:rowOff>
    </xdr:to>
    <xdr:grpSp>
      <xdr:nvGrpSpPr>
        <xdr:cNvPr id="16" name="Group 15"/>
        <xdr:cNvGrpSpPr/>
      </xdr:nvGrpSpPr>
      <xdr:grpSpPr>
        <a:xfrm>
          <a:off x="1234937" y="72238330"/>
          <a:ext cx="3728197" cy="4696386"/>
          <a:chOff x="3429000" y="52663725"/>
          <a:chExt cx="2415397" cy="2967486"/>
        </a:xfrm>
      </xdr:grpSpPr>
      <xdr:pic>
        <xdr:nvPicPr>
          <xdr:cNvPr id="22" name="Picture 21"/>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429000" y="52663725"/>
            <a:ext cx="2415397" cy="2967486"/>
          </a:xfrm>
          <a:prstGeom prst="rect">
            <a:avLst/>
          </a:prstGeom>
          <a:ln>
            <a:solidFill>
              <a:schemeClr val="tx1"/>
            </a:solidFill>
          </a:ln>
        </xdr:spPr>
      </xdr:pic>
      <xdr:sp macro="" textlink="">
        <xdr:nvSpPr>
          <xdr:cNvPr id="23" name="TextBox 14"/>
          <xdr:cNvSpPr txBox="1"/>
        </xdr:nvSpPr>
        <xdr:spPr>
          <a:xfrm>
            <a:off x="4593803" y="53627495"/>
            <a:ext cx="940222"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Wing B</a:t>
            </a:r>
            <a:endParaRPr lang="en-IN" sz="1600" b="1">
              <a:solidFill>
                <a:srgbClr val="FF0000"/>
              </a:solidFill>
            </a:endParaRPr>
          </a:p>
        </xdr:txBody>
      </xdr:sp>
      <xdr:sp macro="" textlink="">
        <xdr:nvSpPr>
          <xdr:cNvPr id="24" name="TextBox 15"/>
          <xdr:cNvSpPr txBox="1"/>
        </xdr:nvSpPr>
        <xdr:spPr>
          <a:xfrm rot="17368634">
            <a:off x="4688321" y="54379692"/>
            <a:ext cx="817569"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Wing A</a:t>
            </a:r>
            <a:endParaRPr lang="en-IN" sz="1600" b="1">
              <a:solidFill>
                <a:srgbClr val="FF0000"/>
              </a:solidFill>
            </a:endParaRPr>
          </a:p>
        </xdr:txBody>
      </xdr:sp>
      <xdr:sp macro="" textlink="">
        <xdr:nvSpPr>
          <xdr:cNvPr id="20" name="Rectangle 19"/>
          <xdr:cNvSpPr/>
        </xdr:nvSpPr>
        <xdr:spPr>
          <a:xfrm>
            <a:off x="4353242" y="53607586"/>
            <a:ext cx="1295369" cy="429181"/>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sp macro="" textlink="">
        <xdr:nvSpPr>
          <xdr:cNvPr id="21" name="Rectangle 20"/>
          <xdr:cNvSpPr/>
        </xdr:nvSpPr>
        <xdr:spPr>
          <a:xfrm rot="17286395">
            <a:off x="4635974" y="54327404"/>
            <a:ext cx="974122" cy="43401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xnSp macro="">
        <xdr:nvCxnSpPr>
          <xdr:cNvPr id="11" name="Straight Connector 10"/>
          <xdr:cNvCxnSpPr/>
        </xdr:nvCxnSpPr>
        <xdr:spPr>
          <a:xfrm flipV="1">
            <a:off x="3533775" y="52892325"/>
            <a:ext cx="1571625" cy="295275"/>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xdr:cNvCxnSpPr/>
        </xdr:nvCxnSpPr>
        <xdr:spPr>
          <a:xfrm flipV="1">
            <a:off x="3581400" y="53139975"/>
            <a:ext cx="1524000" cy="2571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V="1">
            <a:off x="3514725" y="52758975"/>
            <a:ext cx="1524000" cy="2571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flipV="1">
            <a:off x="3667415" y="53501021"/>
            <a:ext cx="1524000" cy="257175"/>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39" name="TextBox 14"/>
          <xdr:cNvSpPr txBox="1"/>
        </xdr:nvSpPr>
        <xdr:spPr>
          <a:xfrm rot="3703448">
            <a:off x="4293182" y="53492640"/>
            <a:ext cx="928609" cy="3427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26 Meter</a:t>
            </a:r>
            <a:endParaRPr lang="en-IN" sz="1050" b="1">
              <a:solidFill>
                <a:srgbClr val="FF0000"/>
              </a:solidFill>
            </a:endParaRPr>
          </a:p>
        </xdr:txBody>
      </xdr:sp>
      <xdr:sp macro="" textlink="">
        <xdr:nvSpPr>
          <xdr:cNvPr id="40" name="TextBox 14"/>
          <xdr:cNvSpPr txBox="1"/>
        </xdr:nvSpPr>
        <xdr:spPr>
          <a:xfrm rot="20956257">
            <a:off x="4550796" y="52947878"/>
            <a:ext cx="940222"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HT Line</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1" name="TextBox 14"/>
          <xdr:cNvSpPr txBox="1"/>
        </xdr:nvSpPr>
        <xdr:spPr>
          <a:xfrm rot="20956257">
            <a:off x="3529373" y="53569091"/>
            <a:ext cx="940222" cy="33855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ysClr val="windowText" lastClr="000000"/>
                </a:solidFill>
                <a:latin typeface="Times New Roman" panose="02020603050405020304" pitchFamily="18" charset="0"/>
                <a:cs typeface="Times New Roman" panose="02020603050405020304" pitchFamily="18" charset="0"/>
              </a:rPr>
              <a:t>Building Control Line</a:t>
            </a:r>
            <a:endParaRPr lang="en-IN" sz="1000" b="1">
              <a:solidFill>
                <a:sysClr val="windowText" lastClr="000000"/>
              </a:solidFill>
              <a:latin typeface="Times New Roman" panose="02020603050405020304" pitchFamily="18" charset="0"/>
              <a:cs typeface="Times New Roman" panose="02020603050405020304" pitchFamily="18" charset="0"/>
            </a:endParaRPr>
          </a:p>
        </xdr:txBody>
      </xdr:sp>
    </xdr:grpSp>
    <xdr:clientData/>
  </xdr:twoCellAnchor>
  <xdr:twoCellAnchor>
    <xdr:from>
      <xdr:col>8</xdr:col>
      <xdr:colOff>938834</xdr:colOff>
      <xdr:row>306</xdr:row>
      <xdr:rowOff>114714</xdr:rowOff>
    </xdr:from>
    <xdr:to>
      <xdr:col>16</xdr:col>
      <xdr:colOff>9525</xdr:colOff>
      <xdr:row>348</xdr:row>
      <xdr:rowOff>47625</xdr:rowOff>
    </xdr:to>
    <xdr:grpSp>
      <xdr:nvGrpSpPr>
        <xdr:cNvPr id="33" name="Group 32"/>
        <xdr:cNvGrpSpPr/>
      </xdr:nvGrpSpPr>
      <xdr:grpSpPr>
        <a:xfrm>
          <a:off x="7247746" y="59774832"/>
          <a:ext cx="5850250" cy="8393352"/>
          <a:chOff x="385167" y="319636"/>
          <a:chExt cx="6416184" cy="8354912"/>
        </a:xfrm>
      </xdr:grpSpPr>
      <xdr:pic>
        <xdr:nvPicPr>
          <xdr:cNvPr id="35" name="Picture 34" descr="https://vsjcllp.vsjadon.com/upload/insp-219032-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66434" y="6711934"/>
            <a:ext cx="1582014" cy="19626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19032-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6557" y="319636"/>
            <a:ext cx="3139817" cy="41907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19032-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5167" y="4630713"/>
            <a:ext cx="1477509" cy="19720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19032-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61534" y="319636"/>
            <a:ext cx="3139817" cy="41907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19032-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12256" y="4622073"/>
            <a:ext cx="1477509" cy="19720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19032-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956942" y="6711934"/>
            <a:ext cx="1582014" cy="19626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19032-928.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04576" y="4622073"/>
            <a:ext cx="1477509" cy="19720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19032-916.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98849" y="4622073"/>
            <a:ext cx="1477509" cy="19720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934641</xdr:colOff>
      <xdr:row>327</xdr:row>
      <xdr:rowOff>181303</xdr:rowOff>
    </xdr:from>
    <xdr:to>
      <xdr:col>9</xdr:col>
      <xdr:colOff>148459</xdr:colOff>
      <xdr:row>329</xdr:row>
      <xdr:rowOff>189309</xdr:rowOff>
    </xdr:to>
    <xdr:cxnSp macro="">
      <xdr:nvCxnSpPr>
        <xdr:cNvPr id="15" name="Straight Connector 14"/>
        <xdr:cNvCxnSpPr/>
      </xdr:nvCxnSpPr>
      <xdr:spPr>
        <a:xfrm flipV="1">
          <a:off x="7249716" y="63370153"/>
          <a:ext cx="375868" cy="4080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931684</xdr:colOff>
      <xdr:row>327</xdr:row>
      <xdr:rowOff>62733</xdr:rowOff>
    </xdr:from>
    <xdr:to>
      <xdr:col>9</xdr:col>
      <xdr:colOff>145502</xdr:colOff>
      <xdr:row>329</xdr:row>
      <xdr:rowOff>70739</xdr:rowOff>
    </xdr:to>
    <xdr:cxnSp macro="">
      <xdr:nvCxnSpPr>
        <xdr:cNvPr id="48" name="Straight Connector 47"/>
        <xdr:cNvCxnSpPr/>
      </xdr:nvCxnSpPr>
      <xdr:spPr>
        <a:xfrm flipV="1">
          <a:off x="7246759" y="63251583"/>
          <a:ext cx="375868" cy="4080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931684</xdr:colOff>
      <xdr:row>328</xdr:row>
      <xdr:rowOff>19041</xdr:rowOff>
    </xdr:from>
    <xdr:to>
      <xdr:col>9</xdr:col>
      <xdr:colOff>449539</xdr:colOff>
      <xdr:row>330</xdr:row>
      <xdr:rowOff>110155</xdr:rowOff>
    </xdr:to>
    <xdr:cxnSp macro="">
      <xdr:nvCxnSpPr>
        <xdr:cNvPr id="49" name="Straight Connector 48"/>
        <xdr:cNvCxnSpPr>
          <a:endCxn id="41" idx="0"/>
        </xdr:cNvCxnSpPr>
      </xdr:nvCxnSpPr>
      <xdr:spPr>
        <a:xfrm flipV="1">
          <a:off x="7246759" y="63407916"/>
          <a:ext cx="679905" cy="49116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944822</xdr:colOff>
      <xdr:row>328</xdr:row>
      <xdr:rowOff>19041</xdr:rowOff>
    </xdr:from>
    <xdr:to>
      <xdr:col>9</xdr:col>
      <xdr:colOff>449539</xdr:colOff>
      <xdr:row>330</xdr:row>
      <xdr:rowOff>149569</xdr:rowOff>
    </xdr:to>
    <xdr:cxnSp macro="">
      <xdr:nvCxnSpPr>
        <xdr:cNvPr id="50" name="Straight Connector 49"/>
        <xdr:cNvCxnSpPr>
          <a:endCxn id="41" idx="0"/>
        </xdr:cNvCxnSpPr>
      </xdr:nvCxnSpPr>
      <xdr:spPr>
        <a:xfrm flipV="1">
          <a:off x="7259897" y="63407916"/>
          <a:ext cx="666767" cy="53057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930883</xdr:colOff>
      <xdr:row>328</xdr:row>
      <xdr:rowOff>64817</xdr:rowOff>
    </xdr:from>
    <xdr:to>
      <xdr:col>10</xdr:col>
      <xdr:colOff>346384</xdr:colOff>
      <xdr:row>332</xdr:row>
      <xdr:rowOff>130984</xdr:rowOff>
    </xdr:to>
    <xdr:cxnSp macro="">
      <xdr:nvCxnSpPr>
        <xdr:cNvPr id="55" name="Straight Connector 54"/>
        <xdr:cNvCxnSpPr/>
      </xdr:nvCxnSpPr>
      <xdr:spPr>
        <a:xfrm flipV="1">
          <a:off x="7245958" y="63453692"/>
          <a:ext cx="1339551" cy="8662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931359</xdr:colOff>
      <xdr:row>328</xdr:row>
      <xdr:rowOff>139158</xdr:rowOff>
    </xdr:from>
    <xdr:to>
      <xdr:col>10</xdr:col>
      <xdr:colOff>332445</xdr:colOff>
      <xdr:row>332</xdr:row>
      <xdr:rowOff>162390</xdr:rowOff>
    </xdr:to>
    <xdr:cxnSp macro="">
      <xdr:nvCxnSpPr>
        <xdr:cNvPr id="58" name="Straight Connector 57"/>
        <xdr:cNvCxnSpPr/>
      </xdr:nvCxnSpPr>
      <xdr:spPr>
        <a:xfrm flipV="1">
          <a:off x="7246434" y="63528033"/>
          <a:ext cx="1325136" cy="82333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813683</xdr:colOff>
      <xdr:row>330</xdr:row>
      <xdr:rowOff>198551</xdr:rowOff>
    </xdr:from>
    <xdr:to>
      <xdr:col>10</xdr:col>
      <xdr:colOff>208799</xdr:colOff>
      <xdr:row>333</xdr:row>
      <xdr:rowOff>6309</xdr:rowOff>
    </xdr:to>
    <xdr:sp macro="" textlink="">
      <xdr:nvSpPr>
        <xdr:cNvPr id="61" name="TextBox 9"/>
        <xdr:cNvSpPr txBox="1"/>
      </xdr:nvSpPr>
      <xdr:spPr>
        <a:xfrm rot="19577603">
          <a:off x="7128758" y="63987476"/>
          <a:ext cx="1319166" cy="4078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solidFill>
                <a:srgbClr val="FF0000"/>
              </a:solidFill>
              <a:latin typeface="Times New Roman" panose="02020603050405020304" pitchFamily="18" charset="0"/>
              <a:cs typeface="Times New Roman" panose="02020603050405020304" pitchFamily="18" charset="0"/>
            </a:rPr>
            <a:t>HT</a:t>
          </a:r>
          <a:r>
            <a:rPr lang="fr-FR" sz="1400" b="1" baseline="0">
              <a:solidFill>
                <a:srgbClr val="FF0000"/>
              </a:solidFill>
              <a:latin typeface="Times New Roman" panose="02020603050405020304" pitchFamily="18" charset="0"/>
              <a:cs typeface="Times New Roman" panose="02020603050405020304" pitchFamily="18" charset="0"/>
            </a:rPr>
            <a:t> Line</a:t>
          </a:r>
          <a:endParaRPr lang="en-IN" sz="1400" b="1">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604630</xdr:colOff>
      <xdr:row>373</xdr:row>
      <xdr:rowOff>8282</xdr:rowOff>
    </xdr:from>
    <xdr:to>
      <xdr:col>3</xdr:col>
      <xdr:colOff>795130</xdr:colOff>
      <xdr:row>375</xdr:row>
      <xdr:rowOff>132522</xdr:rowOff>
    </xdr:to>
    <xdr:cxnSp macro="">
      <xdr:nvCxnSpPr>
        <xdr:cNvPr id="4" name="Straight Arrow Connector 3"/>
        <xdr:cNvCxnSpPr/>
      </xdr:nvCxnSpPr>
      <xdr:spPr>
        <a:xfrm>
          <a:off x="3014869" y="52180434"/>
          <a:ext cx="190500" cy="52180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571500</xdr:colOff>
      <xdr:row>43</xdr:row>
      <xdr:rowOff>38100</xdr:rowOff>
    </xdr:from>
    <xdr:to>
      <xdr:col>12</xdr:col>
      <xdr:colOff>332961</xdr:colOff>
      <xdr:row>71</xdr:row>
      <xdr:rowOff>27889</xdr:rowOff>
    </xdr:to>
    <xdr:pic>
      <xdr:nvPicPr>
        <xdr:cNvPr id="5" name="Picture 4"/>
        <xdr:cNvPicPr>
          <a:picLocks noChangeAspect="1"/>
        </xdr:cNvPicPr>
      </xdr:nvPicPr>
      <xdr:blipFill>
        <a:blip xmlns:r="http://schemas.openxmlformats.org/officeDocument/2006/relationships" r:embed="rId12"/>
        <a:stretch>
          <a:fillRect/>
        </a:stretch>
      </xdr:blipFill>
      <xdr:spPr>
        <a:xfrm>
          <a:off x="6886575" y="9629775"/>
          <a:ext cx="3314286" cy="5485714"/>
        </a:xfrm>
        <a:prstGeom prst="rect">
          <a:avLst/>
        </a:prstGeom>
      </xdr:spPr>
    </xdr:pic>
    <xdr:clientData/>
  </xdr:twoCellAnchor>
  <xdr:twoCellAnchor>
    <xdr:from>
      <xdr:col>1</xdr:col>
      <xdr:colOff>38100</xdr:colOff>
      <xdr:row>307</xdr:row>
      <xdr:rowOff>9525</xdr:rowOff>
    </xdr:from>
    <xdr:to>
      <xdr:col>7</xdr:col>
      <xdr:colOff>78451</xdr:colOff>
      <xdr:row>348</xdr:row>
      <xdr:rowOff>63150</xdr:rowOff>
    </xdr:to>
    <xdr:grpSp>
      <xdr:nvGrpSpPr>
        <xdr:cNvPr id="140" name="Group 139"/>
        <xdr:cNvGrpSpPr/>
      </xdr:nvGrpSpPr>
      <xdr:grpSpPr>
        <a:xfrm>
          <a:off x="800100" y="59871349"/>
          <a:ext cx="4858880" cy="8312360"/>
          <a:chOff x="999000" y="342000"/>
          <a:chExt cx="4860001" cy="8245125"/>
        </a:xfrm>
      </xdr:grpSpPr>
      <xdr:grpSp>
        <xdr:nvGrpSpPr>
          <xdr:cNvPr id="141" name="Group 140"/>
          <xdr:cNvGrpSpPr/>
        </xdr:nvGrpSpPr>
        <xdr:grpSpPr>
          <a:xfrm>
            <a:off x="1089000" y="7147125"/>
            <a:ext cx="4680001" cy="1440000"/>
            <a:chOff x="195662" y="8198945"/>
            <a:chExt cx="5256789" cy="1800000"/>
          </a:xfrm>
        </xdr:grpSpPr>
        <xdr:pic>
          <xdr:nvPicPr>
            <xdr:cNvPr id="178" name="Picture 17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5662" y="8198945"/>
              <a:ext cx="2397775" cy="1800000"/>
            </a:xfrm>
            <a:prstGeom prst="rect">
              <a:avLst/>
            </a:prstGeom>
            <a:ln>
              <a:solidFill>
                <a:schemeClr val="tx1"/>
              </a:solidFill>
            </a:ln>
          </xdr:spPr>
        </xdr:pic>
        <xdr:pic>
          <xdr:nvPicPr>
            <xdr:cNvPr id="179" name="Picture 17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74353" y="8198945"/>
              <a:ext cx="1348591" cy="1800000"/>
            </a:xfrm>
            <a:prstGeom prst="rect">
              <a:avLst/>
            </a:prstGeom>
            <a:ln>
              <a:solidFill>
                <a:schemeClr val="tx1"/>
              </a:solidFill>
            </a:ln>
          </xdr:spPr>
        </xdr:pic>
        <xdr:pic>
          <xdr:nvPicPr>
            <xdr:cNvPr id="180" name="Picture 17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103860" y="8198945"/>
              <a:ext cx="1348591" cy="1800000"/>
            </a:xfrm>
            <a:prstGeom prst="rect">
              <a:avLst/>
            </a:prstGeom>
            <a:ln>
              <a:solidFill>
                <a:schemeClr val="tx1"/>
              </a:solidFill>
            </a:ln>
          </xdr:spPr>
        </xdr:pic>
      </xdr:grpSp>
      <xdr:grpSp>
        <xdr:nvGrpSpPr>
          <xdr:cNvPr id="142" name="Group 141"/>
          <xdr:cNvGrpSpPr/>
        </xdr:nvGrpSpPr>
        <xdr:grpSpPr>
          <a:xfrm>
            <a:off x="999000" y="342000"/>
            <a:ext cx="4860001" cy="1800000"/>
            <a:chOff x="0" y="0"/>
            <a:chExt cx="5431324" cy="2343298"/>
          </a:xfrm>
        </xdr:grpSpPr>
        <xdr:grpSp>
          <xdr:nvGrpSpPr>
            <xdr:cNvPr id="163" name="Group 162"/>
            <xdr:cNvGrpSpPr/>
          </xdr:nvGrpSpPr>
          <xdr:grpSpPr>
            <a:xfrm>
              <a:off x="1820297" y="0"/>
              <a:ext cx="1776940" cy="2343298"/>
              <a:chOff x="1820297" y="0"/>
              <a:chExt cx="1776940" cy="2343298"/>
            </a:xfrm>
          </xdr:grpSpPr>
          <xdr:pic>
            <xdr:nvPicPr>
              <xdr:cNvPr id="176" name="Picture 17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844065" y="3298"/>
                <a:ext cx="1753172" cy="2340000"/>
              </a:xfrm>
              <a:prstGeom prst="rect">
                <a:avLst/>
              </a:prstGeom>
              <a:ln>
                <a:solidFill>
                  <a:schemeClr val="tx1"/>
                </a:solidFill>
              </a:ln>
            </xdr:spPr>
          </xdr:pic>
          <xdr:sp macro="" textlink="">
            <xdr:nvSpPr>
              <xdr:cNvPr id="177" name="TextBox 39"/>
              <xdr:cNvSpPr txBox="1"/>
            </xdr:nvSpPr>
            <xdr:spPr>
              <a:xfrm>
                <a:off x="1820297" y="0"/>
                <a:ext cx="967919" cy="48706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164" name="Group 163"/>
            <xdr:cNvGrpSpPr/>
          </xdr:nvGrpSpPr>
          <xdr:grpSpPr>
            <a:xfrm>
              <a:off x="3678152" y="3298"/>
              <a:ext cx="1753172" cy="2340000"/>
              <a:chOff x="3678152" y="3298"/>
              <a:chExt cx="1753172" cy="2340000"/>
            </a:xfrm>
          </xdr:grpSpPr>
          <xdr:pic>
            <xdr:nvPicPr>
              <xdr:cNvPr id="174" name="Picture 17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678152" y="3298"/>
                <a:ext cx="1753172" cy="2340000"/>
              </a:xfrm>
              <a:prstGeom prst="rect">
                <a:avLst/>
              </a:prstGeom>
              <a:ln>
                <a:solidFill>
                  <a:schemeClr val="tx1"/>
                </a:solidFill>
              </a:ln>
            </xdr:spPr>
          </xdr:pic>
          <xdr:sp macro="" textlink="">
            <xdr:nvSpPr>
              <xdr:cNvPr id="175" name="TextBox 40"/>
              <xdr:cNvSpPr txBox="1"/>
            </xdr:nvSpPr>
            <xdr:spPr>
              <a:xfrm>
                <a:off x="3969293" y="45729"/>
                <a:ext cx="967919" cy="48706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165" name="Group 164"/>
            <xdr:cNvGrpSpPr/>
          </xdr:nvGrpSpPr>
          <xdr:grpSpPr>
            <a:xfrm>
              <a:off x="0" y="1"/>
              <a:ext cx="1773125" cy="2343297"/>
              <a:chOff x="0" y="1"/>
              <a:chExt cx="1773125" cy="2343297"/>
            </a:xfrm>
          </xdr:grpSpPr>
          <xdr:pic>
            <xdr:nvPicPr>
              <xdr:cNvPr id="166" name="Picture 16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977" y="3298"/>
                <a:ext cx="1753172" cy="2340000"/>
              </a:xfrm>
              <a:prstGeom prst="rect">
                <a:avLst/>
              </a:prstGeom>
              <a:ln>
                <a:solidFill>
                  <a:schemeClr val="tx1"/>
                </a:solidFill>
              </a:ln>
            </xdr:spPr>
          </xdr:pic>
          <xdr:cxnSp macro="">
            <xdr:nvCxnSpPr>
              <xdr:cNvPr id="167" name="Straight Connector 166"/>
              <xdr:cNvCxnSpPr/>
            </xdr:nvCxnSpPr>
            <xdr:spPr>
              <a:xfrm flipV="1">
                <a:off x="1" y="1"/>
                <a:ext cx="1165674" cy="66723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Straight Connector 167"/>
              <xdr:cNvCxnSpPr/>
            </xdr:nvCxnSpPr>
            <xdr:spPr>
              <a:xfrm flipV="1">
                <a:off x="1" y="2"/>
                <a:ext cx="1053755" cy="60263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xdr:cNvCxnSpPr>
                <a:stCxn id="166" idx="1"/>
              </xdr:cNvCxnSpPr>
            </xdr:nvCxnSpPr>
            <xdr:spPr>
              <a:xfrm flipV="1">
                <a:off x="9978" y="470785"/>
                <a:ext cx="1763147" cy="70251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0" name="Straight Connector 169"/>
              <xdr:cNvCxnSpPr>
                <a:stCxn id="166" idx="1"/>
              </xdr:cNvCxnSpPr>
            </xdr:nvCxnSpPr>
            <xdr:spPr>
              <a:xfrm flipV="1">
                <a:off x="9978" y="550554"/>
                <a:ext cx="1763147" cy="62274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flipV="1">
                <a:off x="0" y="17154"/>
                <a:ext cx="526878" cy="35218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Straight Connector 171"/>
              <xdr:cNvCxnSpPr/>
            </xdr:nvCxnSpPr>
            <xdr:spPr>
              <a:xfrm flipV="1">
                <a:off x="628" y="1"/>
                <a:ext cx="443623" cy="30131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73" name="TextBox 69"/>
              <xdr:cNvSpPr txBox="1"/>
            </xdr:nvSpPr>
            <xdr:spPr>
              <a:xfrm>
                <a:off x="59060" y="77238"/>
                <a:ext cx="564578" cy="24622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B</a:t>
                </a:r>
                <a:endParaRPr lang="en-IN" sz="1000" b="1"/>
              </a:p>
            </xdr:txBody>
          </xdr:sp>
        </xdr:grpSp>
      </xdr:grpSp>
      <xdr:grpSp>
        <xdr:nvGrpSpPr>
          <xdr:cNvPr id="143" name="Group 142"/>
          <xdr:cNvGrpSpPr/>
        </xdr:nvGrpSpPr>
        <xdr:grpSpPr>
          <a:xfrm>
            <a:off x="1269000" y="4057731"/>
            <a:ext cx="4320002" cy="1439999"/>
            <a:chOff x="465662" y="4443709"/>
            <a:chExt cx="4598681" cy="2013266"/>
          </a:xfrm>
        </xdr:grpSpPr>
        <xdr:grpSp>
          <xdr:nvGrpSpPr>
            <xdr:cNvPr id="154" name="Group 153"/>
            <xdr:cNvGrpSpPr/>
          </xdr:nvGrpSpPr>
          <xdr:grpSpPr>
            <a:xfrm>
              <a:off x="465662" y="4474399"/>
              <a:ext cx="1483452" cy="1980000"/>
              <a:chOff x="465662" y="4474399"/>
              <a:chExt cx="1483452" cy="1980000"/>
            </a:xfrm>
          </xdr:grpSpPr>
          <xdr:pic>
            <xdr:nvPicPr>
              <xdr:cNvPr id="161" name="Picture 16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65662" y="4474399"/>
                <a:ext cx="1483452" cy="1980000"/>
              </a:xfrm>
              <a:prstGeom prst="rect">
                <a:avLst/>
              </a:prstGeom>
              <a:ln>
                <a:solidFill>
                  <a:schemeClr val="tx1"/>
                </a:solidFill>
              </a:ln>
            </xdr:spPr>
          </xdr:pic>
          <xdr:sp macro="" textlink="">
            <xdr:nvSpPr>
              <xdr:cNvPr id="162" name="TextBox 73"/>
              <xdr:cNvSpPr txBox="1"/>
            </xdr:nvSpPr>
            <xdr:spPr>
              <a:xfrm>
                <a:off x="774416" y="4623351"/>
                <a:ext cx="960219" cy="5230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155" name="Group 154"/>
            <xdr:cNvGrpSpPr/>
          </xdr:nvGrpSpPr>
          <xdr:grpSpPr>
            <a:xfrm>
              <a:off x="2016526" y="4443709"/>
              <a:ext cx="1483451" cy="2010690"/>
              <a:chOff x="2016526" y="4443709"/>
              <a:chExt cx="1483451" cy="2010690"/>
            </a:xfrm>
          </xdr:grpSpPr>
          <xdr:pic>
            <xdr:nvPicPr>
              <xdr:cNvPr id="159" name="Picture 15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016526" y="4474399"/>
                <a:ext cx="1483451" cy="1980000"/>
              </a:xfrm>
              <a:prstGeom prst="rect">
                <a:avLst/>
              </a:prstGeom>
              <a:ln>
                <a:solidFill>
                  <a:schemeClr val="tx1"/>
                </a:solidFill>
              </a:ln>
            </xdr:spPr>
          </xdr:pic>
          <xdr:sp macro="" textlink="">
            <xdr:nvSpPr>
              <xdr:cNvPr id="160" name="TextBox 93"/>
              <xdr:cNvSpPr txBox="1"/>
            </xdr:nvSpPr>
            <xdr:spPr>
              <a:xfrm>
                <a:off x="2376381" y="4443709"/>
                <a:ext cx="960219" cy="5230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nvGrpSpPr>
            <xdr:cNvPr id="156" name="Group 155"/>
            <xdr:cNvGrpSpPr/>
          </xdr:nvGrpSpPr>
          <xdr:grpSpPr>
            <a:xfrm>
              <a:off x="3580892" y="4476975"/>
              <a:ext cx="1483451" cy="1980000"/>
              <a:chOff x="3580892" y="4476975"/>
              <a:chExt cx="1483451" cy="1980000"/>
            </a:xfrm>
          </xdr:grpSpPr>
          <xdr:pic>
            <xdr:nvPicPr>
              <xdr:cNvPr id="157" name="Picture 15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80892" y="4476975"/>
                <a:ext cx="1483451" cy="1980000"/>
              </a:xfrm>
              <a:prstGeom prst="rect">
                <a:avLst/>
              </a:prstGeom>
              <a:ln>
                <a:solidFill>
                  <a:schemeClr val="tx1"/>
                </a:solidFill>
              </a:ln>
            </xdr:spPr>
          </xdr:pic>
          <xdr:sp macro="" textlink="">
            <xdr:nvSpPr>
              <xdr:cNvPr id="158" name="TextBox 94"/>
              <xdr:cNvSpPr txBox="1"/>
            </xdr:nvSpPr>
            <xdr:spPr>
              <a:xfrm>
                <a:off x="3872032" y="4557037"/>
                <a:ext cx="960219" cy="5230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grpSp>
        <xdr:nvGrpSpPr>
          <xdr:cNvPr id="144" name="Group 143"/>
          <xdr:cNvGrpSpPr/>
        </xdr:nvGrpSpPr>
        <xdr:grpSpPr>
          <a:xfrm>
            <a:off x="1809000" y="2202564"/>
            <a:ext cx="3239999" cy="1800000"/>
            <a:chOff x="933917" y="2233530"/>
            <a:chExt cx="3563491" cy="2346572"/>
          </a:xfrm>
        </xdr:grpSpPr>
        <xdr:grpSp>
          <xdr:nvGrpSpPr>
            <xdr:cNvPr id="148" name="Group 147"/>
            <xdr:cNvGrpSpPr/>
          </xdr:nvGrpSpPr>
          <xdr:grpSpPr>
            <a:xfrm>
              <a:off x="2744237" y="2233530"/>
              <a:ext cx="1753171" cy="2346572"/>
              <a:chOff x="2744237" y="2233530"/>
              <a:chExt cx="1753171" cy="2346572"/>
            </a:xfrm>
          </xdr:grpSpPr>
          <xdr:pic>
            <xdr:nvPicPr>
              <xdr:cNvPr id="152" name="Picture 15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744237" y="2240102"/>
                <a:ext cx="1753171" cy="2340000"/>
              </a:xfrm>
              <a:prstGeom prst="rect">
                <a:avLst/>
              </a:prstGeom>
              <a:ln>
                <a:solidFill>
                  <a:schemeClr val="tx1"/>
                </a:solidFill>
              </a:ln>
            </xdr:spPr>
          </xdr:pic>
          <xdr:sp macro="" textlink="">
            <xdr:nvSpPr>
              <xdr:cNvPr id="153" name="TextBox 101"/>
              <xdr:cNvSpPr txBox="1"/>
            </xdr:nvSpPr>
            <xdr:spPr>
              <a:xfrm>
                <a:off x="3506202" y="2233530"/>
                <a:ext cx="978669" cy="4877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nvGrpSpPr>
            <xdr:cNvPr id="149" name="Group 148"/>
            <xdr:cNvGrpSpPr/>
          </xdr:nvGrpSpPr>
          <xdr:grpSpPr>
            <a:xfrm>
              <a:off x="933917" y="2240102"/>
              <a:ext cx="1837049" cy="2340000"/>
              <a:chOff x="933917" y="2240102"/>
              <a:chExt cx="1837049" cy="2340000"/>
            </a:xfrm>
          </xdr:grpSpPr>
          <xdr:pic>
            <xdr:nvPicPr>
              <xdr:cNvPr id="150" name="Picture 14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33917" y="2240102"/>
                <a:ext cx="1753171" cy="2340000"/>
              </a:xfrm>
              <a:prstGeom prst="rect">
                <a:avLst/>
              </a:prstGeom>
              <a:ln>
                <a:solidFill>
                  <a:schemeClr val="tx1"/>
                </a:solidFill>
              </a:ln>
            </xdr:spPr>
          </xdr:pic>
          <xdr:sp macro="" textlink="">
            <xdr:nvSpPr>
              <xdr:cNvPr id="151" name="TextBox 102"/>
              <xdr:cNvSpPr txBox="1"/>
            </xdr:nvSpPr>
            <xdr:spPr>
              <a:xfrm>
                <a:off x="1792297" y="2260929"/>
                <a:ext cx="978669" cy="4877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grpSp>
        <xdr:nvGrpSpPr>
          <xdr:cNvPr id="145" name="Group 144"/>
          <xdr:cNvGrpSpPr/>
        </xdr:nvGrpSpPr>
        <xdr:grpSpPr>
          <a:xfrm>
            <a:off x="1629000" y="5602429"/>
            <a:ext cx="3599999" cy="1440000"/>
            <a:chOff x="735662" y="6321327"/>
            <a:chExt cx="4231321" cy="1980000"/>
          </a:xfrm>
        </xdr:grpSpPr>
        <xdr:pic>
          <xdr:nvPicPr>
            <xdr:cNvPr id="146" name="Picture 14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483532" y="6321327"/>
              <a:ext cx="1483451" cy="1980000"/>
            </a:xfrm>
            <a:prstGeom prst="rect">
              <a:avLst/>
            </a:prstGeom>
            <a:ln>
              <a:solidFill>
                <a:schemeClr val="tx1"/>
              </a:solidFill>
            </a:ln>
          </xdr:spPr>
        </xdr:pic>
        <xdr:pic>
          <xdr:nvPicPr>
            <xdr:cNvPr id="147" name="Picture 14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35662" y="6321327"/>
              <a:ext cx="2637553" cy="1980000"/>
            </a:xfrm>
            <a:prstGeom prst="rect">
              <a:avLst/>
            </a:prstGeom>
            <a:ln>
              <a:solidFill>
                <a:schemeClr val="tx1"/>
              </a:solidFill>
            </a:ln>
          </xdr:spPr>
        </xdr:pic>
      </xdr:grpSp>
    </xdr:grpSp>
    <xdr:clientData/>
  </xdr:twoCellAnchor>
  <xdr:twoCellAnchor>
    <xdr:from>
      <xdr:col>1</xdr:col>
      <xdr:colOff>47624</xdr:colOff>
      <xdr:row>394</xdr:row>
      <xdr:rowOff>142875</xdr:rowOff>
    </xdr:from>
    <xdr:to>
      <xdr:col>7</xdr:col>
      <xdr:colOff>419099</xdr:colOff>
      <xdr:row>434</xdr:row>
      <xdr:rowOff>114300</xdr:rowOff>
    </xdr:to>
    <xdr:grpSp>
      <xdr:nvGrpSpPr>
        <xdr:cNvPr id="181" name="Group 180"/>
        <xdr:cNvGrpSpPr/>
      </xdr:nvGrpSpPr>
      <xdr:grpSpPr>
        <a:xfrm>
          <a:off x="809624" y="77541904"/>
          <a:ext cx="5190004" cy="8039661"/>
          <a:chOff x="1080601" y="0"/>
          <a:chExt cx="4696799" cy="7303795"/>
        </a:xfrm>
      </xdr:grpSpPr>
      <xdr:pic>
        <xdr:nvPicPr>
          <xdr:cNvPr id="182" name="Picture 181"/>
          <xdr:cNvPicPr>
            <a:picLocks noChangeAspect="1"/>
          </xdr:cNvPicPr>
        </xdr:nvPicPr>
        <xdr:blipFill rotWithShape="1">
          <a:blip xmlns:r="http://schemas.openxmlformats.org/officeDocument/2006/relationships" r:embed="rId26"/>
          <a:srcRect l="31087" t="26226" r="32810" b="30637"/>
          <a:stretch/>
        </xdr:blipFill>
        <xdr:spPr>
          <a:xfrm>
            <a:off x="1080601" y="0"/>
            <a:ext cx="4696799" cy="3175034"/>
          </a:xfrm>
          <a:prstGeom prst="rect">
            <a:avLst/>
          </a:prstGeom>
          <a:ln>
            <a:solidFill>
              <a:schemeClr val="tx1"/>
            </a:solidFill>
          </a:ln>
        </xdr:spPr>
      </xdr:pic>
      <xdr:grpSp>
        <xdr:nvGrpSpPr>
          <xdr:cNvPr id="183" name="Group 182"/>
          <xdr:cNvGrpSpPr/>
        </xdr:nvGrpSpPr>
        <xdr:grpSpPr>
          <a:xfrm>
            <a:off x="1089000" y="3343795"/>
            <a:ext cx="4680000" cy="3960000"/>
            <a:chOff x="681757" y="3267595"/>
            <a:chExt cx="6031524" cy="4958862"/>
          </a:xfrm>
        </xdr:grpSpPr>
        <xdr:pic>
          <xdr:nvPicPr>
            <xdr:cNvPr id="184" name="Picture 183"/>
            <xdr:cNvPicPr>
              <a:picLocks noChangeAspect="1"/>
            </xdr:cNvPicPr>
          </xdr:nvPicPr>
          <xdr:blipFill rotWithShape="1">
            <a:blip xmlns:r="http://schemas.openxmlformats.org/officeDocument/2006/relationships" r:embed="rId27"/>
            <a:srcRect l="26213" t="18750" r="27430" b="13462"/>
            <a:stretch/>
          </xdr:blipFill>
          <xdr:spPr>
            <a:xfrm>
              <a:off x="681757" y="3267595"/>
              <a:ext cx="6031524" cy="4958862"/>
            </a:xfrm>
            <a:prstGeom prst="rect">
              <a:avLst/>
            </a:prstGeom>
            <a:ln>
              <a:solidFill>
                <a:schemeClr val="tx1"/>
              </a:solidFill>
            </a:ln>
          </xdr:spPr>
        </xdr:pic>
        <xdr:sp macro="" textlink="">
          <xdr:nvSpPr>
            <xdr:cNvPr id="185" name="Freeform 184"/>
            <xdr:cNvSpPr/>
          </xdr:nvSpPr>
          <xdr:spPr>
            <a:xfrm>
              <a:off x="3663950" y="4279900"/>
              <a:ext cx="1562100" cy="2374900"/>
            </a:xfrm>
            <a:custGeom>
              <a:avLst/>
              <a:gdLst>
                <a:gd name="connsiteX0" fmla="*/ 12700 w 1562100"/>
                <a:gd name="connsiteY0" fmla="*/ 1009650 h 2374900"/>
                <a:gd name="connsiteX1" fmla="*/ 107950 w 1562100"/>
                <a:gd name="connsiteY1" fmla="*/ 584200 h 2374900"/>
                <a:gd name="connsiteX2" fmla="*/ 762000 w 1562100"/>
                <a:gd name="connsiteY2" fmla="*/ 247650 h 2374900"/>
                <a:gd name="connsiteX3" fmla="*/ 1123950 w 1562100"/>
                <a:gd name="connsiteY3" fmla="*/ 88900 h 2374900"/>
                <a:gd name="connsiteX4" fmla="*/ 1403350 w 1562100"/>
                <a:gd name="connsiteY4" fmla="*/ 0 h 2374900"/>
                <a:gd name="connsiteX5" fmla="*/ 1454150 w 1562100"/>
                <a:gd name="connsiteY5" fmla="*/ 152400 h 2374900"/>
                <a:gd name="connsiteX6" fmla="*/ 1384300 w 1562100"/>
                <a:gd name="connsiteY6" fmla="*/ 393700 h 2374900"/>
                <a:gd name="connsiteX7" fmla="*/ 1562100 w 1562100"/>
                <a:gd name="connsiteY7" fmla="*/ 1612900 h 2374900"/>
                <a:gd name="connsiteX8" fmla="*/ 1447800 w 1562100"/>
                <a:gd name="connsiteY8" fmla="*/ 2298700 h 2374900"/>
                <a:gd name="connsiteX9" fmla="*/ 1104900 w 1562100"/>
                <a:gd name="connsiteY9" fmla="*/ 2374900 h 2374900"/>
                <a:gd name="connsiteX10" fmla="*/ 876300 w 1562100"/>
                <a:gd name="connsiteY10" fmla="*/ 1320800 h 2374900"/>
                <a:gd name="connsiteX11" fmla="*/ 266700 w 1562100"/>
                <a:gd name="connsiteY11" fmla="*/ 1517650 h 2374900"/>
                <a:gd name="connsiteX12" fmla="*/ 0 w 1562100"/>
                <a:gd name="connsiteY12" fmla="*/ 1136650 h 2374900"/>
                <a:gd name="connsiteX13" fmla="*/ 12700 w 1562100"/>
                <a:gd name="connsiteY13" fmla="*/ 1009650 h 237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562100" h="2374900">
                  <a:moveTo>
                    <a:pt x="12700" y="1009650"/>
                  </a:moveTo>
                  <a:lnTo>
                    <a:pt x="107950" y="584200"/>
                  </a:lnTo>
                  <a:lnTo>
                    <a:pt x="762000" y="247650"/>
                  </a:lnTo>
                  <a:lnTo>
                    <a:pt x="1123950" y="88900"/>
                  </a:lnTo>
                  <a:lnTo>
                    <a:pt x="1403350" y="0"/>
                  </a:lnTo>
                  <a:lnTo>
                    <a:pt x="1454150" y="152400"/>
                  </a:lnTo>
                  <a:lnTo>
                    <a:pt x="1384300" y="393700"/>
                  </a:lnTo>
                  <a:lnTo>
                    <a:pt x="1562100" y="1612900"/>
                  </a:lnTo>
                  <a:lnTo>
                    <a:pt x="1447800" y="2298700"/>
                  </a:lnTo>
                  <a:lnTo>
                    <a:pt x="1104900" y="2374900"/>
                  </a:lnTo>
                  <a:lnTo>
                    <a:pt x="876300" y="1320800"/>
                  </a:lnTo>
                  <a:lnTo>
                    <a:pt x="266700" y="1517650"/>
                  </a:lnTo>
                  <a:lnTo>
                    <a:pt x="0" y="1136650"/>
                  </a:lnTo>
                  <a:lnTo>
                    <a:pt x="12700" y="100965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6" name="TextBox 165"/>
            <xdr:cNvSpPr txBox="1"/>
          </xdr:nvSpPr>
          <xdr:spPr>
            <a:xfrm>
              <a:off x="3676226" y="3764121"/>
              <a:ext cx="1659472" cy="4685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Gami Tiara</a:t>
              </a:r>
              <a:endParaRPr lang="en-IN" b="1">
                <a:solidFill>
                  <a:srgbClr val="FFFF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324970</xdr:colOff>
      <xdr:row>6</xdr:row>
      <xdr:rowOff>44824</xdr:rowOff>
    </xdr:from>
    <xdr:to>
      <xdr:col>5</xdr:col>
      <xdr:colOff>927367</xdr:colOff>
      <xdr:row>30</xdr:row>
      <xdr:rowOff>45462</xdr:rowOff>
    </xdr:to>
    <xdr:pic>
      <xdr:nvPicPr>
        <xdr:cNvPr id="3" name="Picture 2"/>
        <xdr:cNvPicPr>
          <a:picLocks noChangeAspect="1"/>
        </xdr:cNvPicPr>
      </xdr:nvPicPr>
      <xdr:blipFill>
        <a:blip xmlns:r="http://schemas.openxmlformats.org/officeDocument/2006/relationships" r:embed="rId2"/>
        <a:stretch>
          <a:fillRect/>
        </a:stretch>
      </xdr:blipFill>
      <xdr:spPr>
        <a:xfrm>
          <a:off x="2386852" y="1199030"/>
          <a:ext cx="4591691" cy="4572638"/>
        </a:xfrm>
        <a:prstGeom prst="rect">
          <a:avLst/>
        </a:prstGeom>
      </xdr:spPr>
    </xdr:pic>
    <xdr:clientData/>
  </xdr:twoCellAnchor>
  <xdr:twoCellAnchor editAs="oneCell">
    <xdr:from>
      <xdr:col>4</xdr:col>
      <xdr:colOff>132433</xdr:colOff>
      <xdr:row>1</xdr:row>
      <xdr:rowOff>34638</xdr:rowOff>
    </xdr:from>
    <xdr:to>
      <xdr:col>16</xdr:col>
      <xdr:colOff>502787</xdr:colOff>
      <xdr:row>65</xdr:row>
      <xdr:rowOff>23432</xdr:rowOff>
    </xdr:to>
    <xdr:pic>
      <xdr:nvPicPr>
        <xdr:cNvPr id="4" name="Picture 3" descr="https://vsjcllp.vsjadon.com/upload/insp-219032-1512.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4478" y="225138"/>
          <a:ext cx="9202627" cy="12198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gamigroup.in/gami-tiara/" TargetMode="External"/><Relationship Id="rId1" Type="http://schemas.openxmlformats.org/officeDocument/2006/relationships/hyperlink" Target="https://maps.app.goo.gl/xcmiv3jFWDaHq7wL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4"/>
  <sheetViews>
    <sheetView tabSelected="1" view="pageBreakPreview" zoomScale="85" zoomScaleNormal="100" zoomScaleSheetLayoutView="85" zoomScalePageLayoutView="85" workbookViewId="0">
      <selection activeCell="I15" sqref="I15:P15"/>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8" t="s">
        <v>156</v>
      </c>
      <c r="B1" s="188"/>
      <c r="C1" s="188"/>
      <c r="D1" s="188"/>
      <c r="E1" s="188"/>
      <c r="F1" s="188"/>
      <c r="G1" s="188"/>
      <c r="H1" s="188"/>
    </row>
    <row r="2" spans="1:26" ht="16.5" customHeight="1" x14ac:dyDescent="0.25">
      <c r="A2" s="189" t="s">
        <v>0</v>
      </c>
      <c r="B2" s="189"/>
      <c r="C2" s="189"/>
      <c r="D2" s="189"/>
      <c r="E2" s="189"/>
      <c r="F2" s="189"/>
      <c r="G2" s="189"/>
      <c r="H2" s="189"/>
    </row>
    <row r="3" spans="1:26" x14ac:dyDescent="0.25">
      <c r="A3" s="128" t="s">
        <v>1</v>
      </c>
      <c r="B3" s="128"/>
      <c r="C3" s="128"/>
      <c r="D3" s="128"/>
      <c r="E3" s="128" t="str">
        <f ca="1">TEXT(TODAY(),"DD/MM/YYYY")</f>
        <v>04/09/2025</v>
      </c>
      <c r="F3" s="128"/>
      <c r="G3" s="128"/>
      <c r="H3" s="128"/>
      <c r="K3" s="58" t="s">
        <v>225</v>
      </c>
      <c r="L3" s="56" t="s">
        <v>223</v>
      </c>
      <c r="M3" s="56" t="s">
        <v>228</v>
      </c>
      <c r="N3" s="56" t="s">
        <v>226</v>
      </c>
      <c r="O3" s="56" t="s">
        <v>227</v>
      </c>
      <c r="P3" s="56" t="s">
        <v>229</v>
      </c>
      <c r="Q3" s="21" t="s">
        <v>320</v>
      </c>
    </row>
    <row r="4" spans="1:26" ht="15" customHeight="1" x14ac:dyDescent="0.25">
      <c r="A4" s="128" t="s">
        <v>222</v>
      </c>
      <c r="B4" s="128"/>
      <c r="C4" s="128"/>
      <c r="D4" s="128"/>
      <c r="E4" s="128" t="s">
        <v>228</v>
      </c>
      <c r="F4" s="128"/>
      <c r="G4" s="128"/>
      <c r="H4" s="128"/>
      <c r="K4" s="55" t="s">
        <v>224</v>
      </c>
      <c r="L4" s="56" t="s">
        <v>161</v>
      </c>
      <c r="M4" s="56" t="s">
        <v>233</v>
      </c>
      <c r="N4" s="56" t="s">
        <v>235</v>
      </c>
      <c r="O4" s="56" t="s">
        <v>237</v>
      </c>
      <c r="P4" s="56"/>
      <c r="Q4" s="56" t="s">
        <v>321</v>
      </c>
    </row>
    <row r="5" spans="1:26" ht="15" customHeight="1" x14ac:dyDescent="0.25">
      <c r="A5" s="128" t="s">
        <v>2</v>
      </c>
      <c r="B5" s="128"/>
      <c r="C5" s="128"/>
      <c r="D5" s="128"/>
      <c r="E5" s="128" t="s">
        <v>233</v>
      </c>
      <c r="F5" s="128"/>
      <c r="G5" s="128"/>
      <c r="H5" s="128"/>
      <c r="K5" s="55"/>
      <c r="L5" s="56" t="s">
        <v>230</v>
      </c>
      <c r="M5" s="56" t="s">
        <v>234</v>
      </c>
      <c r="N5" s="56" t="s">
        <v>236</v>
      </c>
      <c r="O5" s="56" t="s">
        <v>238</v>
      </c>
      <c r="P5" s="56"/>
      <c r="Q5" s="56" t="s">
        <v>322</v>
      </c>
    </row>
    <row r="6" spans="1:26" x14ac:dyDescent="0.25">
      <c r="A6" s="128" t="s">
        <v>3</v>
      </c>
      <c r="B6" s="128"/>
      <c r="C6" s="128"/>
      <c r="D6" s="128"/>
      <c r="E6" s="190">
        <v>45880</v>
      </c>
      <c r="F6" s="128"/>
      <c r="G6" s="128"/>
      <c r="H6" s="128"/>
      <c r="K6" s="55"/>
      <c r="L6" s="56" t="s">
        <v>231</v>
      </c>
      <c r="M6" s="56"/>
      <c r="N6" s="56"/>
      <c r="O6" s="56" t="s">
        <v>239</v>
      </c>
      <c r="P6" s="56"/>
      <c r="Q6" s="56" t="s">
        <v>323</v>
      </c>
    </row>
    <row r="7" spans="1:26" ht="16.5" customHeight="1" x14ac:dyDescent="0.25">
      <c r="A7" s="128" t="s">
        <v>4</v>
      </c>
      <c r="B7" s="128"/>
      <c r="C7" s="128"/>
      <c r="D7" s="128"/>
      <c r="E7" s="128" t="s">
        <v>328</v>
      </c>
      <c r="F7" s="128"/>
      <c r="G7" s="128"/>
      <c r="H7" s="128"/>
      <c r="K7" s="55"/>
      <c r="L7" s="56" t="s">
        <v>232</v>
      </c>
      <c r="M7" s="56"/>
      <c r="N7" s="56"/>
      <c r="O7" s="56" t="s">
        <v>239</v>
      </c>
      <c r="P7" s="56"/>
      <c r="Q7" s="56" t="s">
        <v>323</v>
      </c>
    </row>
    <row r="8" spans="1:26" ht="15" customHeight="1" x14ac:dyDescent="0.25">
      <c r="A8" s="128" t="s">
        <v>5</v>
      </c>
      <c r="B8" s="128"/>
      <c r="C8" s="128"/>
      <c r="D8" s="128"/>
      <c r="E8" s="128" t="s">
        <v>346</v>
      </c>
      <c r="F8" s="128"/>
      <c r="G8" s="128"/>
      <c r="H8" s="128"/>
      <c r="K8" s="55"/>
      <c r="L8" s="56" t="s">
        <v>319</v>
      </c>
      <c r="M8" s="56"/>
      <c r="N8" s="56"/>
      <c r="O8" s="56" t="s">
        <v>240</v>
      </c>
      <c r="P8" s="56"/>
      <c r="Q8" s="56" t="s">
        <v>324</v>
      </c>
    </row>
    <row r="9" spans="1:26" x14ac:dyDescent="0.25">
      <c r="A9" s="128" t="s">
        <v>6</v>
      </c>
      <c r="B9" s="128"/>
      <c r="C9" s="128"/>
      <c r="D9" s="128"/>
      <c r="E9" s="132" t="s">
        <v>291</v>
      </c>
      <c r="F9" s="132"/>
      <c r="G9" s="132"/>
      <c r="H9" s="132"/>
      <c r="K9" s="55"/>
      <c r="L9" s="56"/>
      <c r="M9" s="56"/>
      <c r="N9" s="56"/>
      <c r="O9" s="56" t="s">
        <v>241</v>
      </c>
      <c r="P9" s="56"/>
      <c r="Q9" s="56" t="s">
        <v>325</v>
      </c>
    </row>
    <row r="10" spans="1:26" ht="31.5" customHeight="1" x14ac:dyDescent="0.25">
      <c r="A10" s="128" t="s">
        <v>158</v>
      </c>
      <c r="B10" s="128"/>
      <c r="C10" s="128"/>
      <c r="D10" s="128"/>
      <c r="E10" s="150" t="s">
        <v>347</v>
      </c>
      <c r="F10" s="128"/>
      <c r="G10" s="128"/>
      <c r="H10" s="128"/>
      <c r="K10" s="55"/>
      <c r="L10" s="56"/>
      <c r="M10" s="56"/>
      <c r="N10" s="56"/>
      <c r="O10" s="56"/>
      <c r="P10" s="56"/>
      <c r="Q10" s="56" t="s">
        <v>326</v>
      </c>
    </row>
    <row r="11" spans="1:26" x14ac:dyDescent="0.25">
      <c r="A11" s="128" t="s">
        <v>159</v>
      </c>
      <c r="B11" s="128"/>
      <c r="C11" s="128"/>
      <c r="D11" s="128"/>
      <c r="E11" s="128" t="s">
        <v>332</v>
      </c>
      <c r="F11" s="128"/>
      <c r="G11" s="128"/>
      <c r="H11" s="128"/>
      <c r="Q11" s="56" t="s">
        <v>327</v>
      </c>
    </row>
    <row r="12" spans="1:26" x14ac:dyDescent="0.25">
      <c r="A12" s="128" t="s">
        <v>7</v>
      </c>
      <c r="B12" s="128"/>
      <c r="C12" s="128"/>
      <c r="D12" s="128"/>
      <c r="E12" s="187" t="s">
        <v>311</v>
      </c>
      <c r="F12" s="187"/>
      <c r="G12" s="187"/>
      <c r="H12" s="187"/>
    </row>
    <row r="13" spans="1:26" x14ac:dyDescent="0.25">
      <c r="A13" s="128" t="s">
        <v>162</v>
      </c>
      <c r="B13" s="128"/>
      <c r="C13" s="128"/>
      <c r="D13" s="128"/>
      <c r="E13" s="128" t="s">
        <v>28</v>
      </c>
      <c r="F13" s="128"/>
      <c r="G13" s="128"/>
      <c r="H13" s="128"/>
      <c r="S13" s="56" t="s">
        <v>167</v>
      </c>
      <c r="T13" s="56" t="s">
        <v>177</v>
      </c>
      <c r="U13" s="56" t="s">
        <v>163</v>
      </c>
      <c r="V13" s="56" t="s">
        <v>182</v>
      </c>
      <c r="W13" s="56" t="s">
        <v>200</v>
      </c>
      <c r="X13"/>
      <c r="Y13" t="s">
        <v>182</v>
      </c>
      <c r="Z13" t="e">
        <f ca="1">OFFSET($S$13,1,MATCH($G20,$S$13:$W$13,0)-1,15,1)</f>
        <v>#VALUE!</v>
      </c>
    </row>
    <row r="14" spans="1:26" x14ac:dyDescent="0.25">
      <c r="A14" s="128" t="s">
        <v>268</v>
      </c>
      <c r="B14" s="128"/>
      <c r="C14" s="128"/>
      <c r="D14" s="128"/>
      <c r="E14" s="186" t="s">
        <v>340</v>
      </c>
      <c r="F14" s="186"/>
      <c r="G14" s="186"/>
      <c r="H14" s="186"/>
      <c r="S14" s="56" t="s">
        <v>168</v>
      </c>
      <c r="T14" s="56" t="s">
        <v>175</v>
      </c>
      <c r="U14" s="56" t="s">
        <v>197</v>
      </c>
      <c r="V14" s="56" t="s">
        <v>183</v>
      </c>
      <c r="W14" s="56" t="s">
        <v>201</v>
      </c>
      <c r="X14"/>
      <c r="Y14"/>
      <c r="Z14"/>
    </row>
    <row r="15" spans="1:26" x14ac:dyDescent="0.25">
      <c r="A15" s="128" t="s">
        <v>8</v>
      </c>
      <c r="B15" s="128"/>
      <c r="C15" s="128"/>
      <c r="D15" s="128"/>
      <c r="E15" s="150" t="s">
        <v>292</v>
      </c>
      <c r="F15" s="128"/>
      <c r="G15" s="128"/>
      <c r="H15" s="128"/>
      <c r="I15" s="243" t="e">
        <f ca="1">OFFSET($D$5,1,MATCH($J13,$D$5:$H$5,0)-1,15,1)</f>
        <v>#N/A</v>
      </c>
      <c r="J15" s="244"/>
      <c r="K15" s="244"/>
      <c r="L15" s="244"/>
      <c r="M15" s="244"/>
      <c r="N15" s="244"/>
      <c r="O15" s="244"/>
      <c r="P15" s="244"/>
      <c r="S15" s="56" t="s">
        <v>169</v>
      </c>
      <c r="T15" s="56" t="s">
        <v>176</v>
      </c>
      <c r="U15" s="56" t="s">
        <v>198</v>
      </c>
      <c r="V15" s="56" t="s">
        <v>184</v>
      </c>
      <c r="W15" s="56" t="s">
        <v>214</v>
      </c>
      <c r="X15"/>
      <c r="Y15"/>
      <c r="Z15"/>
    </row>
    <row r="16" spans="1:26" ht="31.5" customHeight="1" x14ac:dyDescent="0.25">
      <c r="A16" s="150" t="s">
        <v>9</v>
      </c>
      <c r="B16" s="150"/>
      <c r="C16" s="150" t="str">
        <f>CONCATENATE((IF(OR(E9="",E9="NA"),"",E9)),", ",(IF(OR(A17="",A17="NA"),"",A17)),".",(IF(OR(C17="",C17="NA"),"",C17)),", near ",(IF(OR(C22="",C22="NA"),"",C22)),", ",(IF(OR(C19="",C19="NA"),"",C19)),", ",(IF(OR(C18="",C18="NA"),"",C18)),", ",(IF(OR(G19="",G19="NA"),"",G19)),", ",(IF(OR(C20="",C20="NA"),"",C20)),", ",(IF(OR(C21="",C21="NA"),"",C21)),", ",(IF(OR(G20="",G20="NA"),"",G20))," - ",(IF(OR(G21="",G21="NA"),"",G21)),".")</f>
        <v>Gami Tiara, Survey No.81/3/A, near Gami Teesta, Internal Road, Pisarve, Pisarve, Taloja Panchanand East, Panvel, Raigad - 410208.</v>
      </c>
      <c r="D16" s="150"/>
      <c r="E16" s="150"/>
      <c r="F16" s="150"/>
      <c r="G16" s="150"/>
      <c r="H16" s="150"/>
      <c r="S16" s="56" t="s">
        <v>170</v>
      </c>
      <c r="T16" s="56" t="s">
        <v>178</v>
      </c>
      <c r="U16" s="56" t="s">
        <v>199</v>
      </c>
      <c r="V16" s="56" t="s">
        <v>185</v>
      </c>
      <c r="W16" s="56" t="s">
        <v>202</v>
      </c>
      <c r="X16"/>
      <c r="Y16"/>
      <c r="Z16"/>
    </row>
    <row r="17" spans="1:26" x14ac:dyDescent="0.25">
      <c r="A17" s="150" t="s">
        <v>293</v>
      </c>
      <c r="B17" s="150"/>
      <c r="C17" s="150" t="s">
        <v>294</v>
      </c>
      <c r="D17" s="150"/>
      <c r="E17" s="150"/>
      <c r="F17" s="150"/>
      <c r="G17" s="150"/>
      <c r="H17" s="150"/>
      <c r="S17" s="56" t="s">
        <v>171</v>
      </c>
      <c r="T17" s="56" t="s">
        <v>179</v>
      </c>
      <c r="U17" s="56" t="s">
        <v>163</v>
      </c>
      <c r="V17" s="56" t="s">
        <v>186</v>
      </c>
      <c r="W17" s="56" t="s">
        <v>203</v>
      </c>
      <c r="X17"/>
      <c r="Y17"/>
      <c r="Z17"/>
    </row>
    <row r="18" spans="1:26" ht="15.75" customHeight="1" x14ac:dyDescent="0.25">
      <c r="A18" s="150" t="s">
        <v>154</v>
      </c>
      <c r="B18" s="150"/>
      <c r="C18" s="150" t="s">
        <v>295</v>
      </c>
      <c r="D18" s="150"/>
      <c r="E18" s="150"/>
      <c r="F18" s="150"/>
      <c r="G18" s="150"/>
      <c r="H18" s="150"/>
      <c r="S18" s="56" t="s">
        <v>172</v>
      </c>
      <c r="T18" s="56" t="s">
        <v>177</v>
      </c>
      <c r="U18" s="56"/>
      <c r="V18" s="56" t="s">
        <v>187</v>
      </c>
      <c r="W18" s="56" t="s">
        <v>204</v>
      </c>
      <c r="X18"/>
      <c r="Y18"/>
      <c r="Z18"/>
    </row>
    <row r="19" spans="1:26" ht="15.75" customHeight="1" x14ac:dyDescent="0.25">
      <c r="A19" s="150" t="s">
        <v>10</v>
      </c>
      <c r="B19" s="150"/>
      <c r="C19" s="128" t="s">
        <v>296</v>
      </c>
      <c r="D19" s="128"/>
      <c r="E19" s="150" t="s">
        <v>69</v>
      </c>
      <c r="F19" s="150"/>
      <c r="G19" s="150" t="s">
        <v>295</v>
      </c>
      <c r="H19" s="150"/>
      <c r="S19" s="56" t="s">
        <v>173</v>
      </c>
      <c r="T19" s="56" t="s">
        <v>180</v>
      </c>
      <c r="U19" s="56"/>
      <c r="V19" s="56" t="s">
        <v>188</v>
      </c>
      <c r="W19" s="56" t="s">
        <v>205</v>
      </c>
      <c r="X19"/>
      <c r="Y19"/>
      <c r="Z19"/>
    </row>
    <row r="20" spans="1:26" x14ac:dyDescent="0.25">
      <c r="A20" s="128" t="s">
        <v>12</v>
      </c>
      <c r="B20" s="128"/>
      <c r="C20" s="150" t="s">
        <v>337</v>
      </c>
      <c r="D20" s="150"/>
      <c r="E20" s="150" t="s">
        <v>11</v>
      </c>
      <c r="F20" s="150"/>
      <c r="G20" s="185" t="s">
        <v>182</v>
      </c>
      <c r="H20" s="185"/>
      <c r="S20" s="56" t="s">
        <v>174</v>
      </c>
      <c r="T20" s="56" t="s">
        <v>181</v>
      </c>
      <c r="U20" s="56"/>
      <c r="V20" s="56" t="s">
        <v>189</v>
      </c>
      <c r="W20" s="56" t="s">
        <v>206</v>
      </c>
      <c r="X20"/>
      <c r="Y20"/>
      <c r="Z20"/>
    </row>
    <row r="21" spans="1:26" x14ac:dyDescent="0.25">
      <c r="A21" s="128" t="s">
        <v>70</v>
      </c>
      <c r="B21" s="128"/>
      <c r="C21" s="150" t="s">
        <v>184</v>
      </c>
      <c r="D21" s="150"/>
      <c r="E21" s="150" t="s">
        <v>13</v>
      </c>
      <c r="F21" s="150"/>
      <c r="G21" s="150">
        <v>410208</v>
      </c>
      <c r="H21" s="150"/>
      <c r="S21" s="56"/>
      <c r="T21" s="56"/>
      <c r="U21" s="56"/>
      <c r="V21" s="56" t="s">
        <v>190</v>
      </c>
      <c r="W21" s="56" t="s">
        <v>207</v>
      </c>
      <c r="X21"/>
      <c r="Y21"/>
      <c r="Z21"/>
    </row>
    <row r="22" spans="1:26" ht="32.25" customHeight="1" x14ac:dyDescent="0.25">
      <c r="A22" s="128" t="s">
        <v>114</v>
      </c>
      <c r="B22" s="128"/>
      <c r="C22" s="150" t="s">
        <v>297</v>
      </c>
      <c r="D22" s="150"/>
      <c r="E22" s="150" t="s">
        <v>14</v>
      </c>
      <c r="F22" s="150"/>
      <c r="G22" s="150" t="s">
        <v>345</v>
      </c>
      <c r="H22" s="150"/>
      <c r="S22" s="56"/>
      <c r="T22" s="56"/>
      <c r="U22" s="56"/>
      <c r="V22" s="56" t="s">
        <v>191</v>
      </c>
      <c r="W22" s="56" t="s">
        <v>208</v>
      </c>
      <c r="X22"/>
      <c r="Y22"/>
      <c r="Z22"/>
    </row>
    <row r="23" spans="1:26" ht="15" customHeight="1" x14ac:dyDescent="0.25">
      <c r="A23" s="184" t="s">
        <v>72</v>
      </c>
      <c r="B23" s="184"/>
      <c r="C23" s="184"/>
      <c r="D23" s="184"/>
      <c r="E23" s="128" t="s">
        <v>15</v>
      </c>
      <c r="F23" s="128"/>
      <c r="G23" s="128"/>
      <c r="H23" s="128"/>
      <c r="S23" s="56"/>
      <c r="T23" s="56"/>
      <c r="U23" s="56"/>
      <c r="V23" s="56" t="s">
        <v>192</v>
      </c>
      <c r="W23" s="56" t="s">
        <v>209</v>
      </c>
      <c r="X23"/>
      <c r="Y23"/>
      <c r="Z23"/>
    </row>
    <row r="24" spans="1:26" ht="18.75" customHeight="1" x14ac:dyDescent="0.25">
      <c r="A24" s="184"/>
      <c r="B24" s="184"/>
      <c r="C24" s="184"/>
      <c r="D24" s="184"/>
      <c r="E24" s="128"/>
      <c r="F24" s="128"/>
      <c r="G24" s="128"/>
      <c r="H24" s="128"/>
      <c r="S24" s="56"/>
      <c r="T24" s="56"/>
      <c r="U24" s="56"/>
      <c r="V24" s="56" t="s">
        <v>193</v>
      </c>
      <c r="W24" s="56" t="s">
        <v>210</v>
      </c>
      <c r="X24"/>
      <c r="Y24"/>
      <c r="Z24"/>
    </row>
    <row r="25" spans="1:26" ht="15" customHeight="1" x14ac:dyDescent="0.25">
      <c r="A25" s="184" t="s">
        <v>16</v>
      </c>
      <c r="B25" s="184"/>
      <c r="C25" s="184"/>
      <c r="D25" s="184"/>
      <c r="E25" s="150" t="s">
        <v>17</v>
      </c>
      <c r="F25" s="150"/>
      <c r="G25" s="150"/>
      <c r="H25" s="150"/>
      <c r="S25" s="56"/>
      <c r="T25" s="56"/>
      <c r="U25" s="56"/>
      <c r="V25" s="56" t="s">
        <v>194</v>
      </c>
      <c r="W25" s="56" t="s">
        <v>211</v>
      </c>
      <c r="X25"/>
      <c r="Y25"/>
      <c r="Z25"/>
    </row>
    <row r="26" spans="1:26" ht="15" customHeight="1" x14ac:dyDescent="0.25">
      <c r="A26" s="134" t="s">
        <v>18</v>
      </c>
      <c r="B26" s="134"/>
      <c r="C26" s="134"/>
      <c r="D26" s="134"/>
      <c r="E26" s="150" t="str">
        <f>IF(AND(G20="Mumbai"),"Upper Class","Middle Class")</f>
        <v>Middle Class</v>
      </c>
      <c r="F26" s="150"/>
      <c r="G26" s="150"/>
      <c r="H26" s="150"/>
      <c r="S26" s="56"/>
      <c r="T26" s="56"/>
      <c r="U26" s="56"/>
      <c r="V26" s="56" t="s">
        <v>195</v>
      </c>
      <c r="W26" s="56" t="s">
        <v>212</v>
      </c>
      <c r="X26"/>
      <c r="Y26"/>
      <c r="Z26"/>
    </row>
    <row r="27" spans="1:26" x14ac:dyDescent="0.25">
      <c r="A27" s="134" t="s">
        <v>19</v>
      </c>
      <c r="B27" s="134"/>
      <c r="C27" s="134"/>
      <c r="D27" s="134"/>
      <c r="E27" s="150" t="s">
        <v>20</v>
      </c>
      <c r="F27" s="150"/>
      <c r="G27" s="150"/>
      <c r="H27" s="150"/>
      <c r="S27" s="56"/>
      <c r="T27" s="56"/>
      <c r="U27" s="56"/>
      <c r="V27" s="56" t="s">
        <v>196</v>
      </c>
      <c r="W27" s="56" t="s">
        <v>213</v>
      </c>
      <c r="X27"/>
      <c r="Y27"/>
      <c r="Z27"/>
    </row>
    <row r="28" spans="1:26" ht="15.75" customHeight="1" x14ac:dyDescent="0.25">
      <c r="A28" s="134" t="s">
        <v>21</v>
      </c>
      <c r="B28" s="134"/>
      <c r="C28" s="134"/>
      <c r="D28" s="134"/>
      <c r="E28" s="150" t="str">
        <f>IF(AND(G20="Mumbai"),"Developed","Developing")</f>
        <v>Developing</v>
      </c>
      <c r="F28" s="150"/>
      <c r="G28" s="150"/>
      <c r="H28" s="150"/>
    </row>
    <row r="29" spans="1:26" x14ac:dyDescent="0.25">
      <c r="A29" s="134" t="s">
        <v>22</v>
      </c>
      <c r="B29" s="134"/>
      <c r="C29" s="134"/>
      <c r="D29" s="134"/>
      <c r="E29" s="150" t="s">
        <v>23</v>
      </c>
      <c r="F29" s="150"/>
      <c r="G29" s="150"/>
      <c r="H29" s="150"/>
    </row>
    <row r="30" spans="1:26" ht="15.75" customHeight="1" x14ac:dyDescent="0.25">
      <c r="A30" s="134" t="s">
        <v>77</v>
      </c>
      <c r="B30" s="134"/>
      <c r="C30" s="134"/>
      <c r="D30" s="134"/>
      <c r="E30" s="150" t="s">
        <v>78</v>
      </c>
      <c r="F30" s="150"/>
      <c r="G30" s="150"/>
      <c r="H30" s="150"/>
    </row>
    <row r="31" spans="1:26" ht="15" customHeight="1" x14ac:dyDescent="0.25">
      <c r="A31" s="134" t="s">
        <v>30</v>
      </c>
      <c r="B31" s="134"/>
      <c r="C31" s="134"/>
      <c r="D31" s="134"/>
      <c r="E31" s="150"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50"/>
      <c r="G31" s="150"/>
      <c r="H31" s="150"/>
    </row>
    <row r="32" spans="1:26" ht="15.75" customHeight="1" x14ac:dyDescent="0.25">
      <c r="A32" s="134" t="s">
        <v>88</v>
      </c>
      <c r="B32" s="134"/>
      <c r="C32" s="134"/>
      <c r="D32" s="134"/>
      <c r="E32" s="150" t="s">
        <v>31</v>
      </c>
      <c r="F32" s="150"/>
      <c r="G32" s="150"/>
      <c r="H32" s="150"/>
    </row>
    <row r="33" spans="1:19" s="22" customFormat="1" x14ac:dyDescent="0.25">
      <c r="A33" s="183" t="s">
        <v>89</v>
      </c>
      <c r="B33" s="183"/>
      <c r="C33" s="180" t="s">
        <v>164</v>
      </c>
      <c r="D33" s="181"/>
      <c r="E33" s="182"/>
      <c r="F33" s="180" t="s">
        <v>29</v>
      </c>
      <c r="G33" s="181"/>
      <c r="H33" s="182"/>
      <c r="S33" s="22" t="e">
        <f ca="1">OFFSET($S$13,1,MATCH($G20,$S$13:$W$13,0)-1,15,1)</f>
        <v>#VALUE!</v>
      </c>
    </row>
    <row r="34" spans="1:19" s="22" customFormat="1" x14ac:dyDescent="0.25">
      <c r="A34" s="156" t="s">
        <v>24</v>
      </c>
      <c r="B34" s="156" t="s">
        <v>28</v>
      </c>
      <c r="C34" s="157" t="s">
        <v>299</v>
      </c>
      <c r="D34" s="158"/>
      <c r="E34" s="159"/>
      <c r="F34" s="157" t="s">
        <v>302</v>
      </c>
      <c r="G34" s="158"/>
      <c r="H34" s="159"/>
    </row>
    <row r="35" spans="1:19" x14ac:dyDescent="0.25">
      <c r="A35" s="156" t="s">
        <v>25</v>
      </c>
      <c r="B35" s="156" t="s">
        <v>28</v>
      </c>
      <c r="C35" s="157" t="s">
        <v>298</v>
      </c>
      <c r="D35" s="158"/>
      <c r="E35" s="159"/>
      <c r="F35" s="157" t="s">
        <v>297</v>
      </c>
      <c r="G35" s="158"/>
      <c r="H35" s="159"/>
    </row>
    <row r="36" spans="1:19" s="22" customFormat="1" x14ac:dyDescent="0.25">
      <c r="A36" s="156" t="s">
        <v>27</v>
      </c>
      <c r="B36" s="156" t="s">
        <v>28</v>
      </c>
      <c r="C36" s="157" t="s">
        <v>300</v>
      </c>
      <c r="D36" s="158"/>
      <c r="E36" s="159"/>
      <c r="F36" s="157" t="s">
        <v>302</v>
      </c>
      <c r="G36" s="158"/>
      <c r="H36" s="159"/>
    </row>
    <row r="37" spans="1:19" x14ac:dyDescent="0.25">
      <c r="A37" s="156" t="s">
        <v>26</v>
      </c>
      <c r="B37" s="156" t="s">
        <v>28</v>
      </c>
      <c r="C37" s="157" t="s">
        <v>301</v>
      </c>
      <c r="D37" s="158"/>
      <c r="E37" s="159"/>
      <c r="F37" s="157" t="s">
        <v>302</v>
      </c>
      <c r="G37" s="158"/>
      <c r="H37" s="159"/>
    </row>
    <row r="38" spans="1:19" x14ac:dyDescent="0.25">
      <c r="A38" s="134" t="s">
        <v>269</v>
      </c>
      <c r="B38" s="134"/>
      <c r="C38" s="134"/>
      <c r="D38" s="134"/>
      <c r="E38" s="134"/>
      <c r="F38" s="134"/>
      <c r="G38" s="134"/>
      <c r="H38" s="134"/>
    </row>
    <row r="39" spans="1:19" ht="15.75" customHeight="1" x14ac:dyDescent="0.25">
      <c r="A39" s="134" t="s">
        <v>157</v>
      </c>
      <c r="B39" s="134"/>
      <c r="C39" s="135" t="s">
        <v>330</v>
      </c>
      <c r="D39" s="135"/>
      <c r="E39" s="135"/>
      <c r="F39" s="135"/>
      <c r="G39" s="135"/>
      <c r="H39" s="135"/>
    </row>
    <row r="40" spans="1:19" x14ac:dyDescent="0.25">
      <c r="A40" s="134" t="s">
        <v>153</v>
      </c>
      <c r="B40" s="134"/>
      <c r="C40" s="149" t="s">
        <v>331</v>
      </c>
      <c r="D40" s="150"/>
      <c r="E40" s="150"/>
      <c r="F40" s="150"/>
      <c r="G40" s="150"/>
      <c r="H40" s="150"/>
    </row>
    <row r="41" spans="1:19" x14ac:dyDescent="0.25">
      <c r="A41" s="135" t="s">
        <v>32</v>
      </c>
      <c r="B41" s="135"/>
      <c r="C41" s="135"/>
      <c r="D41" s="135"/>
      <c r="E41" s="135"/>
      <c r="F41" s="135"/>
      <c r="G41" s="135"/>
      <c r="H41" s="135"/>
    </row>
    <row r="42" spans="1:19" x14ac:dyDescent="0.25">
      <c r="A42" s="134" t="s">
        <v>33</v>
      </c>
      <c r="B42" s="134"/>
      <c r="C42" s="134"/>
      <c r="D42" s="134"/>
      <c r="E42" s="166">
        <f>4353.462</f>
        <v>4353.4620000000004</v>
      </c>
      <c r="F42" s="166"/>
      <c r="G42" s="166"/>
      <c r="H42" s="166"/>
    </row>
    <row r="43" spans="1:19" x14ac:dyDescent="0.25">
      <c r="A43" s="134" t="s">
        <v>34</v>
      </c>
      <c r="B43" s="134"/>
      <c r="C43" s="134"/>
      <c r="D43" s="134"/>
      <c r="E43" s="174">
        <f>4788.817/E42</f>
        <v>1.1000020213797661</v>
      </c>
      <c r="F43" s="174"/>
      <c r="G43" s="174"/>
      <c r="H43" s="174"/>
    </row>
    <row r="44" spans="1:19" x14ac:dyDescent="0.25">
      <c r="A44" s="134" t="s">
        <v>35</v>
      </c>
      <c r="B44" s="134"/>
      <c r="C44" s="134"/>
      <c r="D44" s="134"/>
      <c r="E44" s="174">
        <f>E46/E42-E43</f>
        <v>2.712697618584933</v>
      </c>
      <c r="F44" s="174"/>
      <c r="G44" s="174"/>
      <c r="H44" s="174"/>
    </row>
    <row r="45" spans="1:19" x14ac:dyDescent="0.25">
      <c r="A45" s="128" t="s">
        <v>36</v>
      </c>
      <c r="B45" s="128"/>
      <c r="C45" s="128"/>
      <c r="D45" s="128"/>
      <c r="E45" s="175">
        <f>E43+E44</f>
        <v>3.8126996399646993</v>
      </c>
      <c r="F45" s="175"/>
      <c r="G45" s="175"/>
      <c r="H45" s="175"/>
      <c r="I45" s="68">
        <f>E46/E42</f>
        <v>3.8126996399646989</v>
      </c>
    </row>
    <row r="46" spans="1:19" x14ac:dyDescent="0.25">
      <c r="A46" s="128" t="s">
        <v>87</v>
      </c>
      <c r="B46" s="128"/>
      <c r="C46" s="128"/>
      <c r="D46" s="128"/>
      <c r="E46" s="176">
        <f>16598.443</f>
        <v>16598.442999999999</v>
      </c>
      <c r="F46" s="176"/>
      <c r="G46" s="176"/>
      <c r="H46" s="176"/>
    </row>
    <row r="47" spans="1:19" x14ac:dyDescent="0.25">
      <c r="A47" s="128" t="s">
        <v>37</v>
      </c>
      <c r="B47" s="128"/>
      <c r="C47" s="128"/>
      <c r="D47" s="128"/>
      <c r="E47" s="128" t="s">
        <v>329</v>
      </c>
      <c r="F47" s="128"/>
      <c r="G47" s="128"/>
      <c r="H47" s="128"/>
    </row>
    <row r="48" spans="1:19" x14ac:dyDescent="0.25">
      <c r="A48" s="132" t="s">
        <v>38</v>
      </c>
      <c r="B48" s="132"/>
      <c r="C48" s="132"/>
      <c r="D48" s="132"/>
      <c r="E48" s="132"/>
      <c r="F48" s="132"/>
      <c r="G48" s="132"/>
      <c r="H48" s="132"/>
    </row>
    <row r="49" spans="1:24" ht="33.75" customHeight="1" x14ac:dyDescent="0.25">
      <c r="A49" s="114" t="s">
        <v>143</v>
      </c>
      <c r="B49" s="115"/>
      <c r="C49" s="116" t="s">
        <v>259</v>
      </c>
      <c r="D49" s="117"/>
      <c r="E49" s="117"/>
      <c r="F49" s="117"/>
      <c r="G49" s="117"/>
      <c r="H49" s="118"/>
      <c r="R49" t="s">
        <v>242</v>
      </c>
      <c r="S49" t="s">
        <v>163</v>
      </c>
      <c r="T49" t="s">
        <v>167</v>
      </c>
      <c r="U49" t="s">
        <v>182</v>
      </c>
      <c r="V49" t="s">
        <v>177</v>
      </c>
    </row>
    <row r="50" spans="1:24" ht="15.75" customHeight="1" x14ac:dyDescent="0.25">
      <c r="A50" s="177" t="s">
        <v>39</v>
      </c>
      <c r="B50" s="179"/>
      <c r="C50" s="114" t="s">
        <v>348</v>
      </c>
      <c r="D50" s="226"/>
      <c r="E50" s="115"/>
      <c r="F50" s="84" t="s">
        <v>40</v>
      </c>
      <c r="G50" s="232">
        <v>45785</v>
      </c>
      <c r="H50" s="115"/>
      <c r="R50"/>
      <c r="S50" t="s">
        <v>243</v>
      </c>
      <c r="T50" t="s">
        <v>248</v>
      </c>
      <c r="U50" t="s">
        <v>259</v>
      </c>
      <c r="V50" t="s">
        <v>264</v>
      </c>
    </row>
    <row r="51" spans="1:24" x14ac:dyDescent="0.25">
      <c r="A51" s="177" t="s">
        <v>41</v>
      </c>
      <c r="B51" s="179"/>
      <c r="C51" s="114" t="s">
        <v>348</v>
      </c>
      <c r="D51" s="226"/>
      <c r="E51" s="115"/>
      <c r="F51" s="84" t="s">
        <v>40</v>
      </c>
      <c r="G51" s="232">
        <v>45785</v>
      </c>
      <c r="H51" s="115"/>
      <c r="R51"/>
      <c r="S51" t="s">
        <v>244</v>
      </c>
      <c r="T51" t="s">
        <v>249</v>
      </c>
      <c r="U51" t="s">
        <v>257</v>
      </c>
      <c r="V51" t="s">
        <v>265</v>
      </c>
    </row>
    <row r="52" spans="1:24" s="23" customFormat="1" ht="33" customHeight="1" x14ac:dyDescent="0.25">
      <c r="A52" s="222" t="s">
        <v>147</v>
      </c>
      <c r="B52" s="223"/>
      <c r="C52" s="114" t="s">
        <v>351</v>
      </c>
      <c r="D52" s="226"/>
      <c r="E52" s="115"/>
      <c r="F52" s="88" t="s">
        <v>40</v>
      </c>
      <c r="G52" s="232" t="s">
        <v>352</v>
      </c>
      <c r="H52" s="115"/>
      <c r="R52"/>
      <c r="S52" t="s">
        <v>245</v>
      </c>
      <c r="T52" t="s">
        <v>250</v>
      </c>
      <c r="U52" t="s">
        <v>247</v>
      </c>
      <c r="V52" t="s">
        <v>266</v>
      </c>
    </row>
    <row r="53" spans="1:24" s="23" customFormat="1" ht="48" customHeight="1" x14ac:dyDescent="0.25">
      <c r="A53" s="224"/>
      <c r="B53" s="225"/>
      <c r="C53" s="240" t="s">
        <v>353</v>
      </c>
      <c r="D53" s="241"/>
      <c r="E53" s="241"/>
      <c r="F53" s="241"/>
      <c r="G53" s="241"/>
      <c r="H53" s="242"/>
      <c r="R53"/>
      <c r="S53" t="s">
        <v>246</v>
      </c>
      <c r="T53" t="s">
        <v>253</v>
      </c>
      <c r="U53" t="s">
        <v>260</v>
      </c>
    </row>
    <row r="54" spans="1:24" s="23" customFormat="1" ht="33" customHeight="1" x14ac:dyDescent="0.25">
      <c r="A54" s="222" t="s">
        <v>147</v>
      </c>
      <c r="B54" s="223"/>
      <c r="C54" s="114" t="s">
        <v>348</v>
      </c>
      <c r="D54" s="226"/>
      <c r="E54" s="115"/>
      <c r="F54" s="88" t="s">
        <v>40</v>
      </c>
      <c r="G54" s="232">
        <v>45785</v>
      </c>
      <c r="H54" s="115"/>
      <c r="R54"/>
      <c r="S54" t="s">
        <v>245</v>
      </c>
      <c r="T54" t="s">
        <v>250</v>
      </c>
      <c r="U54" t="s">
        <v>247</v>
      </c>
      <c r="V54" t="s">
        <v>266</v>
      </c>
    </row>
    <row r="55" spans="1:24" s="23" customFormat="1" x14ac:dyDescent="0.25">
      <c r="A55" s="224"/>
      <c r="B55" s="225"/>
      <c r="C55" s="240" t="s">
        <v>333</v>
      </c>
      <c r="D55" s="241"/>
      <c r="E55" s="241"/>
      <c r="F55" s="241"/>
      <c r="G55" s="241"/>
      <c r="H55" s="242"/>
      <c r="R55"/>
      <c r="S55" t="s">
        <v>246</v>
      </c>
      <c r="T55" t="s">
        <v>253</v>
      </c>
      <c r="U55" t="s">
        <v>260</v>
      </c>
    </row>
    <row r="56" spans="1:24" s="23" customFormat="1" ht="33" hidden="1" customHeight="1" x14ac:dyDescent="0.25">
      <c r="A56" s="235" t="s">
        <v>270</v>
      </c>
      <c r="B56" s="236"/>
      <c r="C56" s="177" t="str">
        <f>C53</f>
        <v>Wing A = Gr. + 1st to 16th Floor
Wing B = Gr. + 1st to 7th Floor
Total B.U.A = 11519.09 sq.mt.</v>
      </c>
      <c r="D56" s="178"/>
      <c r="E56" s="179"/>
      <c r="F56" s="18" t="s">
        <v>40</v>
      </c>
      <c r="G56" s="239">
        <v>45014</v>
      </c>
      <c r="H56" s="179"/>
      <c r="R56"/>
      <c r="S56" t="s">
        <v>245</v>
      </c>
      <c r="T56" t="s">
        <v>250</v>
      </c>
      <c r="U56" t="s">
        <v>247</v>
      </c>
      <c r="V56" t="s">
        <v>266</v>
      </c>
    </row>
    <row r="57" spans="1:24" s="23" customFormat="1" ht="32.25" hidden="1" customHeight="1" x14ac:dyDescent="0.25">
      <c r="A57" s="237"/>
      <c r="B57" s="238"/>
      <c r="C57" s="153"/>
      <c r="D57" s="154"/>
      <c r="E57" s="154"/>
      <c r="F57" s="154"/>
      <c r="G57" s="154"/>
      <c r="H57" s="155"/>
      <c r="R57"/>
      <c r="S57" t="s">
        <v>247</v>
      </c>
      <c r="T57" t="s">
        <v>251</v>
      </c>
      <c r="U57" t="s">
        <v>261</v>
      </c>
      <c r="V57" s="21"/>
      <c r="W57" s="21"/>
      <c r="X57" s="21"/>
    </row>
    <row r="58" spans="1:24" s="23" customFormat="1" ht="34.5" hidden="1" customHeight="1" x14ac:dyDescent="0.25">
      <c r="A58" s="235" t="s">
        <v>271</v>
      </c>
      <c r="B58" s="236"/>
      <c r="C58" s="177">
        <f>C57</f>
        <v>0</v>
      </c>
      <c r="D58" s="178"/>
      <c r="E58" s="179"/>
      <c r="F58" s="18" t="s">
        <v>40</v>
      </c>
      <c r="G58" s="177">
        <f>G57</f>
        <v>0</v>
      </c>
      <c r="H58" s="179"/>
      <c r="R58"/>
      <c r="S58" s="21"/>
      <c r="T58" t="s">
        <v>252</v>
      </c>
      <c r="U58" t="s">
        <v>262</v>
      </c>
      <c r="V58" s="21"/>
      <c r="W58" s="21"/>
      <c r="X58" s="21"/>
    </row>
    <row r="59" spans="1:24" s="23" customFormat="1" ht="41.25" hidden="1" customHeight="1" x14ac:dyDescent="0.25">
      <c r="A59" s="237"/>
      <c r="B59" s="238"/>
      <c r="C59" s="177"/>
      <c r="D59" s="178"/>
      <c r="E59" s="178"/>
      <c r="F59" s="178"/>
      <c r="G59" s="178"/>
      <c r="H59" s="179"/>
      <c r="R59"/>
      <c r="S59" s="21"/>
      <c r="T59" t="s">
        <v>254</v>
      </c>
      <c r="U59" t="s">
        <v>263</v>
      </c>
      <c r="V59" s="21"/>
      <c r="W59" s="21"/>
      <c r="X59" s="21"/>
    </row>
    <row r="60" spans="1:24" s="23" customFormat="1" ht="15.75" hidden="1" customHeight="1" x14ac:dyDescent="0.25">
      <c r="A60" s="235" t="s">
        <v>272</v>
      </c>
      <c r="B60" s="236"/>
      <c r="C60" s="177">
        <f>C59</f>
        <v>0</v>
      </c>
      <c r="D60" s="178"/>
      <c r="E60" s="179"/>
      <c r="F60" s="18" t="s">
        <v>40</v>
      </c>
      <c r="G60" s="177">
        <f>G59</f>
        <v>0</v>
      </c>
      <c r="H60" s="179"/>
      <c r="R60"/>
      <c r="S60" s="21"/>
      <c r="T60" t="s">
        <v>255</v>
      </c>
      <c r="U60" s="21" t="s">
        <v>286</v>
      </c>
      <c r="V60" s="21"/>
      <c r="W60" s="21"/>
      <c r="X60" s="21"/>
    </row>
    <row r="61" spans="1:24" s="23" customFormat="1" ht="33.75" hidden="1" customHeight="1" x14ac:dyDescent="0.25">
      <c r="A61" s="237"/>
      <c r="B61" s="238"/>
      <c r="C61" s="177"/>
      <c r="D61" s="178"/>
      <c r="E61" s="178"/>
      <c r="F61" s="178"/>
      <c r="G61" s="178"/>
      <c r="H61" s="179"/>
      <c r="R61"/>
      <c r="S61" s="21"/>
      <c r="T61" t="s">
        <v>256</v>
      </c>
      <c r="U61" s="21"/>
      <c r="V61" s="21"/>
      <c r="W61" s="21"/>
      <c r="X61" s="21"/>
    </row>
    <row r="62" spans="1:24" x14ac:dyDescent="0.25">
      <c r="A62" s="246" t="s">
        <v>42</v>
      </c>
      <c r="B62" s="247"/>
      <c r="C62" s="246" t="s">
        <v>99</v>
      </c>
      <c r="D62" s="248"/>
      <c r="E62" s="247"/>
      <c r="F62" s="45" t="s">
        <v>40</v>
      </c>
      <c r="G62" s="233" t="s">
        <v>28</v>
      </c>
      <c r="H62" s="234"/>
      <c r="R62"/>
      <c r="T62" t="s">
        <v>258</v>
      </c>
    </row>
    <row r="63" spans="1:24" x14ac:dyDescent="0.25">
      <c r="A63" s="206" t="s">
        <v>44</v>
      </c>
      <c r="B63" s="206"/>
      <c r="C63" s="206"/>
      <c r="D63" s="206"/>
      <c r="E63" s="206"/>
      <c r="F63" s="206"/>
      <c r="G63" s="206"/>
      <c r="H63" s="206"/>
      <c r="T63" t="s">
        <v>267</v>
      </c>
    </row>
    <row r="64" spans="1:24" x14ac:dyDescent="0.25">
      <c r="A64" s="184" t="s">
        <v>354</v>
      </c>
      <c r="B64" s="184"/>
      <c r="C64" s="184"/>
      <c r="D64" s="249">
        <f>E46</f>
        <v>16598.442999999999</v>
      </c>
      <c r="E64" s="134"/>
      <c r="F64" s="134"/>
      <c r="G64" s="134"/>
      <c r="H64" s="134"/>
      <c r="R64"/>
    </row>
    <row r="65" spans="1:19" x14ac:dyDescent="0.25">
      <c r="A65" s="150" t="s">
        <v>45</v>
      </c>
      <c r="B65" s="128"/>
      <c r="C65" s="128"/>
      <c r="D65" s="187" t="s">
        <v>368</v>
      </c>
      <c r="E65" s="187"/>
      <c r="F65" s="187"/>
      <c r="G65" s="187"/>
      <c r="H65" s="187"/>
      <c r="I65" s="24"/>
      <c r="R65"/>
    </row>
    <row r="66" spans="1:19" ht="33" customHeight="1" x14ac:dyDescent="0.25">
      <c r="A66" s="144" t="s">
        <v>46</v>
      </c>
      <c r="B66" s="145"/>
      <c r="C66" s="146"/>
      <c r="D66" s="142" t="s">
        <v>334</v>
      </c>
      <c r="E66" s="143"/>
      <c r="F66" s="143"/>
      <c r="G66" s="143"/>
      <c r="H66" s="143"/>
      <c r="R66"/>
    </row>
    <row r="67" spans="1:19" ht="15.75" customHeight="1" x14ac:dyDescent="0.25">
      <c r="A67" s="144" t="s">
        <v>85</v>
      </c>
      <c r="B67" s="145"/>
      <c r="C67" s="145"/>
      <c r="D67" s="258" t="s">
        <v>335</v>
      </c>
      <c r="E67" s="259"/>
      <c r="F67" s="259"/>
      <c r="G67" s="259"/>
      <c r="H67" s="260"/>
      <c r="R67"/>
    </row>
    <row r="68" spans="1:19" ht="15.75" customHeight="1" x14ac:dyDescent="0.25">
      <c r="A68" s="254"/>
      <c r="B68" s="255"/>
      <c r="C68" s="255"/>
      <c r="D68" s="261" t="s">
        <v>333</v>
      </c>
      <c r="E68" s="262"/>
      <c r="F68" s="262"/>
      <c r="G68" s="262"/>
      <c r="H68" s="263"/>
      <c r="R68"/>
    </row>
    <row r="69" spans="1:19" ht="15.75" hidden="1" customHeight="1" x14ac:dyDescent="0.25">
      <c r="A69" s="256"/>
      <c r="B69" s="257"/>
      <c r="C69" s="257"/>
      <c r="D69" s="251"/>
      <c r="E69" s="252"/>
      <c r="F69" s="252"/>
      <c r="G69" s="252"/>
      <c r="H69" s="253"/>
      <c r="S69"/>
    </row>
    <row r="70" spans="1:19" ht="15.75" customHeight="1" x14ac:dyDescent="0.25">
      <c r="A70" s="128" t="s">
        <v>43</v>
      </c>
      <c r="B70" s="128"/>
      <c r="C70" s="128"/>
      <c r="D70" s="167" t="s">
        <v>303</v>
      </c>
      <c r="E70" s="167"/>
      <c r="F70" s="167"/>
      <c r="G70" s="167"/>
      <c r="H70" s="167"/>
      <c r="J70" s="25"/>
      <c r="K70" s="24"/>
      <c r="N70" s="24"/>
      <c r="S70"/>
    </row>
    <row r="71" spans="1:19" ht="15.75" customHeight="1" x14ac:dyDescent="0.25">
      <c r="A71" s="128" t="s">
        <v>83</v>
      </c>
      <c r="B71" s="128"/>
      <c r="C71" s="128"/>
      <c r="D71" s="173" t="str">
        <f>(IF(G62="NA","60 Years After Completion",IF(G62&lt;&gt;"NA",""&amp;60-ROUNDDOWN((E3-G62)/360,0)&amp;" Years"," ")))</f>
        <v>60 Years After Completion</v>
      </c>
      <c r="E71" s="173"/>
      <c r="F71" s="173"/>
      <c r="G71" s="173"/>
      <c r="H71" s="173"/>
      <c r="N71" s="24"/>
      <c r="S71"/>
    </row>
    <row r="72" spans="1:19" ht="15.75" customHeight="1" x14ac:dyDescent="0.25">
      <c r="A72" s="128" t="s">
        <v>84</v>
      </c>
      <c r="B72" s="128"/>
      <c r="C72" s="128"/>
      <c r="D72" s="184" t="s">
        <v>23</v>
      </c>
      <c r="E72" s="184"/>
      <c r="F72" s="184"/>
      <c r="G72" s="184"/>
      <c r="H72" s="184"/>
      <c r="J72" s="26"/>
      <c r="K72" s="26"/>
      <c r="S72"/>
    </row>
    <row r="73" spans="1:19" ht="32.25" customHeight="1" x14ac:dyDescent="0.25">
      <c r="A73" s="128" t="s">
        <v>313</v>
      </c>
      <c r="B73" s="128"/>
      <c r="C73" s="128"/>
      <c r="D73" s="150" t="s">
        <v>339</v>
      </c>
      <c r="E73" s="184"/>
      <c r="F73" s="184"/>
      <c r="G73" s="184"/>
      <c r="H73" s="184"/>
      <c r="I73" s="82" t="s">
        <v>338</v>
      </c>
      <c r="S73"/>
    </row>
    <row r="74" spans="1:19" x14ac:dyDescent="0.25">
      <c r="A74" s="150" t="s">
        <v>140</v>
      </c>
      <c r="B74" s="150"/>
      <c r="C74" s="150"/>
      <c r="D74" s="184" t="s">
        <v>28</v>
      </c>
      <c r="E74" s="184"/>
      <c r="F74" s="184"/>
      <c r="G74" s="184"/>
      <c r="H74" s="184"/>
      <c r="I74" s="27"/>
      <c r="J74" s="27"/>
      <c r="K74" s="27"/>
      <c r="L74" s="27"/>
      <c r="M74" s="27"/>
      <c r="N74" s="27"/>
    </row>
    <row r="75" spans="1:19" ht="15.75" customHeight="1" x14ac:dyDescent="0.25">
      <c r="A75" s="250" t="s">
        <v>82</v>
      </c>
      <c r="B75" s="250"/>
      <c r="C75" s="250"/>
      <c r="D75" s="192" t="str">
        <f ca="1">(IF(G81&gt;95%,"Nothing",IF(G81&gt;0%,"Cement, Aggregate, Steel, etc",IF(G81=0%,"Work not yet Started"))))</f>
        <v>Cement, Aggregate, Steel, etc</v>
      </c>
      <c r="E75" s="192"/>
      <c r="F75" s="192"/>
      <c r="G75" s="192"/>
      <c r="H75" s="192"/>
      <c r="J75" s="26"/>
      <c r="S75"/>
    </row>
    <row r="76" spans="1:19" ht="33.75" customHeight="1" thickBot="1" x14ac:dyDescent="0.3">
      <c r="A76" s="191" t="s">
        <v>112</v>
      </c>
      <c r="B76" s="191"/>
      <c r="C76" s="191"/>
      <c r="D76" s="192" t="str">
        <f ca="1">(IF(D75="Nothing","Yes",IF(D75="Cement, Aggregate, Steel, etc","Under Construction",IF(D75="Work not yet Started","Work not yet Started"))))</f>
        <v>Under Construction</v>
      </c>
      <c r="E76" s="192"/>
      <c r="F76" s="192" t="str">
        <f ca="1">(IF(D75="Nothing","Yes",IF(D75="Cement, Aggregate, Steel, etc","Under Construction",IF(D75="Work not yet Started","Work not yet Started"))))</f>
        <v>Under Construction</v>
      </c>
      <c r="G76" s="192"/>
      <c r="H76" s="192"/>
      <c r="S76"/>
    </row>
    <row r="77" spans="1:19" ht="15.75" customHeight="1" x14ac:dyDescent="0.25">
      <c r="A77" s="194" t="s">
        <v>132</v>
      </c>
      <c r="B77" s="195"/>
      <c r="C77" s="196" t="str">
        <f>D67</f>
        <v>Wing A = Gr + 1st to 16th Floor</v>
      </c>
      <c r="D77" s="197"/>
      <c r="E77" s="197"/>
      <c r="F77" s="197"/>
      <c r="G77" s="197"/>
      <c r="H77" s="198"/>
      <c r="I77" s="49" t="str">
        <f ca="1">IF(D90=100%,"All work Completed. Possession granted to the Building.",IF(D89=100%,"All work Completed, Waiting for OC",I78&amp;""&amp;I79&amp;""&amp;J78&amp;""&amp;J77&amp;" "&amp;J79))</f>
        <v>Excavation, Plinth, RCC Slab, Brickwork, Internal Plaster, External Plaster Completed, Flooring upto 14 Floor, Painting upto 12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Flooring upto 14 Floor, Painting upto 12 Floor</v>
      </c>
      <c r="S77"/>
    </row>
    <row r="78" spans="1:19" x14ac:dyDescent="0.25">
      <c r="A78" s="16" t="s">
        <v>134</v>
      </c>
      <c r="B78" s="53">
        <f>IF(AND(ISNUMBER(SEARCH("1B",C77))),1,IF(AND(ISNUMBER(SEARCH("2B",C77))),2,IF(AND(ISNUMBER(SEARCH("3B",C77))),3,IF(AND(ISNUMBER(SEARCH("4B",C77))),4,IF(ISNUMBER(SEARCH("5B",C77)),5,0)))))</f>
        <v>0</v>
      </c>
      <c r="C78" s="53" t="s">
        <v>68</v>
      </c>
      <c r="D78" s="53">
        <v>1</v>
      </c>
      <c r="E78" s="53" t="s">
        <v>67</v>
      </c>
      <c r="F78" s="53">
        <v>0</v>
      </c>
      <c r="G78" s="53" t="s">
        <v>76</v>
      </c>
      <c r="H78" s="17">
        <f ca="1">--TRIM(RIGHT(SUBSTITUTE(LEFT(C77,_xlfn.AGGREGATE(16,6,FIND({0,1,2,3,4,5,6,7,8,9},C77,ROW(INDIRECT("1:"&amp;LEN(C77)))),1))," ",REPT(" ",LEN(C77))),LEN(C77)))</f>
        <v>16</v>
      </c>
      <c r="I78" s="51" t="str">
        <f ca="1">IF(D81=100%,"Excavation","")&amp;IF(D82=100%,", Plinth","")&amp;IF(D83=100%,", RCC Slab","")&amp;IF(D84=100%,", Brickwork","")&amp;IF(D85=100%,", Internal Plaster","")&amp;IF(D86=100%,", External Plaster","")&amp;IF(D87=100%,", Flooring","")&amp;IF(D88=100%,", Painting","")&amp;IF(D89=100%,", Building common Amenities","")</f>
        <v>Excavation, Plinth, RCC Slab, Brickwork, Internal Plaster, External Plaster</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48.75" customHeight="1" x14ac:dyDescent="0.25">
      <c r="A79" s="131" t="s">
        <v>86</v>
      </c>
      <c r="B79" s="132"/>
      <c r="C79" s="147" t="str">
        <f ca="1">I77</f>
        <v>Excavation, Plinth, RCC Slab, Brickwork, Internal Plaster, External Plaster Completed, Flooring upto 14 Floor, Painting upto 12 Floor Completed</v>
      </c>
      <c r="D79" s="147"/>
      <c r="E79" s="147"/>
      <c r="F79" s="147"/>
      <c r="G79" s="147"/>
      <c r="H79" s="148"/>
      <c r="I79" s="51" t="str">
        <f ca="1">IF(I78&lt;&gt;""," Completed","")</f>
        <v xml:space="preserve"> Completed</v>
      </c>
      <c r="J79" s="52" t="str">
        <f ca="1">IF(J77&lt;&gt;"","Completed","")</f>
        <v>Completed</v>
      </c>
      <c r="S79"/>
    </row>
    <row r="80" spans="1:19" ht="15.75" customHeight="1" x14ac:dyDescent="0.25">
      <c r="A80" s="112" t="s">
        <v>47</v>
      </c>
      <c r="B80" s="113"/>
      <c r="C80" s="73" t="s">
        <v>131</v>
      </c>
      <c r="D80" s="73" t="s">
        <v>79</v>
      </c>
      <c r="E80" s="113" t="s">
        <v>81</v>
      </c>
      <c r="F80" s="113"/>
      <c r="G80" s="113" t="s">
        <v>80</v>
      </c>
      <c r="H80" s="193"/>
      <c r="I80" s="13" t="s">
        <v>133</v>
      </c>
      <c r="J80" s="28">
        <f ca="1">H78*25%</f>
        <v>4</v>
      </c>
      <c r="S80"/>
    </row>
    <row r="81" spans="1:19" x14ac:dyDescent="0.25">
      <c r="A81" s="112" t="s">
        <v>120</v>
      </c>
      <c r="B81" s="113"/>
      <c r="C81" s="73">
        <f ca="1">J82</f>
        <v>16</v>
      </c>
      <c r="D81" s="74">
        <f ca="1">((100/H78)*C81)/100</f>
        <v>1</v>
      </c>
      <c r="E81" s="122">
        <f ca="1">(((C82/H78*10)+(40/(D78+F78+H78)*C83)+(7.5/(H78)*C84)+(7.5/(H78)*C85)+(10/H78*C86)+(10/H78*C87)+(5/H78*C88)+(5/H78*C89)+(5/H78*C90))/100)</f>
        <v>0.875</v>
      </c>
      <c r="F81" s="168"/>
      <c r="G81" s="122">
        <f ca="1">((((C81/H78)*20)+((C82/H78)*25)+(30/(H78+F78+D78)*C83)+(5/H78*C84)+(5/H78*C85)+(5/H78*C86)+(5/H78*C87)+(0/H78*C88)+(0/H78*C89)+(5/H78*C90))/100)</f>
        <v>0.94374999999999998</v>
      </c>
      <c r="H81" s="123"/>
      <c r="I81" s="13" t="s">
        <v>94</v>
      </c>
      <c r="J81" s="29">
        <f ca="1">H78*50%</f>
        <v>8</v>
      </c>
    </row>
    <row r="82" spans="1:19" x14ac:dyDescent="0.25">
      <c r="A82" s="112" t="s">
        <v>48</v>
      </c>
      <c r="B82" s="113"/>
      <c r="C82" s="73">
        <f ca="1">J90</f>
        <v>16</v>
      </c>
      <c r="D82" s="74">
        <f ca="1">((100/H78)*C82)/100</f>
        <v>1</v>
      </c>
      <c r="E82" s="124"/>
      <c r="F82" s="169"/>
      <c r="G82" s="124"/>
      <c r="H82" s="125"/>
      <c r="I82" s="13" t="s">
        <v>95</v>
      </c>
      <c r="J82" s="29">
        <f ca="1">H78</f>
        <v>16</v>
      </c>
      <c r="S82"/>
    </row>
    <row r="83" spans="1:19" ht="15.75" customHeight="1" x14ac:dyDescent="0.25">
      <c r="A83" s="112" t="s">
        <v>121</v>
      </c>
      <c r="B83" s="113"/>
      <c r="C83" s="73">
        <v>17</v>
      </c>
      <c r="D83" s="74">
        <f ca="1">((100/(D78+F78+H78))*C83)/100</f>
        <v>1</v>
      </c>
      <c r="E83" s="124"/>
      <c r="F83" s="169"/>
      <c r="G83" s="124"/>
      <c r="H83" s="125"/>
      <c r="I83" s="13" t="s">
        <v>96</v>
      </c>
      <c r="J83" s="30">
        <f ca="1">(IF(B78&gt;1,(H78/(B78+2)),H78/4))</f>
        <v>4</v>
      </c>
      <c r="S83"/>
    </row>
    <row r="84" spans="1:19" ht="15.75" customHeight="1" x14ac:dyDescent="0.25">
      <c r="A84" s="112" t="s">
        <v>128</v>
      </c>
      <c r="B84" s="113" t="s">
        <v>122</v>
      </c>
      <c r="C84" s="73">
        <v>16</v>
      </c>
      <c r="D84" s="74">
        <f ca="1">((100/H78)*C84)/100</f>
        <v>1</v>
      </c>
      <c r="E84" s="124"/>
      <c r="F84" s="169"/>
      <c r="G84" s="124"/>
      <c r="H84" s="125"/>
      <c r="I84" s="13" t="s">
        <v>97</v>
      </c>
      <c r="J84" s="30">
        <f ca="1">(IF(B78&gt;1,(H78/(B78+2)+J83),H78/4+J83))</f>
        <v>8</v>
      </c>
    </row>
    <row r="85" spans="1:19" ht="15.75" customHeight="1" x14ac:dyDescent="0.25">
      <c r="A85" s="112" t="s">
        <v>129</v>
      </c>
      <c r="B85" s="113" t="s">
        <v>122</v>
      </c>
      <c r="C85" s="73">
        <v>16</v>
      </c>
      <c r="D85" s="74">
        <f ca="1">((100/H78)*C85)/100</f>
        <v>1</v>
      </c>
      <c r="E85" s="124"/>
      <c r="F85" s="169"/>
      <c r="G85" s="124"/>
      <c r="H85" s="125"/>
      <c r="I85" s="13" t="s">
        <v>138</v>
      </c>
      <c r="J85" s="30">
        <f>(IF(B78&gt;1,(H78/(B78+2)+J84),0))</f>
        <v>0</v>
      </c>
    </row>
    <row r="86" spans="1:19" ht="15" customHeight="1" x14ac:dyDescent="0.25">
      <c r="A86" s="112" t="s">
        <v>127</v>
      </c>
      <c r="B86" s="113" t="s">
        <v>124</v>
      </c>
      <c r="C86" s="73">
        <v>16</v>
      </c>
      <c r="D86" s="74">
        <f ca="1">((100/(H78))*C86)/100</f>
        <v>1</v>
      </c>
      <c r="E86" s="124"/>
      <c r="F86" s="169"/>
      <c r="G86" s="124"/>
      <c r="H86" s="125"/>
      <c r="I86" s="13" t="s">
        <v>135</v>
      </c>
      <c r="J86" s="30">
        <f>(IF(B78&gt;2,(H78/(B78+2)+J85),0))</f>
        <v>0</v>
      </c>
    </row>
    <row r="87" spans="1:19" ht="15.75" customHeight="1" x14ac:dyDescent="0.25">
      <c r="A87" s="112" t="s">
        <v>123</v>
      </c>
      <c r="B87" s="113" t="s">
        <v>123</v>
      </c>
      <c r="C87" s="73">
        <v>14</v>
      </c>
      <c r="D87" s="74">
        <f ca="1">((100/H78)*C87)/100</f>
        <v>0.875</v>
      </c>
      <c r="E87" s="124"/>
      <c r="F87" s="169"/>
      <c r="G87" s="124"/>
      <c r="H87" s="125"/>
      <c r="I87" s="13" t="s">
        <v>136</v>
      </c>
      <c r="J87" s="31">
        <f>(IF(B78&gt;3,(H78/(B78+2)+J86),0))</f>
        <v>0</v>
      </c>
    </row>
    <row r="88" spans="1:19" ht="15.75" customHeight="1" x14ac:dyDescent="0.25">
      <c r="A88" s="112" t="s">
        <v>130</v>
      </c>
      <c r="B88" s="113"/>
      <c r="C88" s="73">
        <v>12</v>
      </c>
      <c r="D88" s="74">
        <f ca="1">((100/H78)*C88)/100</f>
        <v>0.75</v>
      </c>
      <c r="E88" s="124"/>
      <c r="F88" s="169"/>
      <c r="G88" s="124"/>
      <c r="H88" s="125"/>
      <c r="I88" s="13" t="s">
        <v>137</v>
      </c>
      <c r="J88" s="30">
        <f>(IF(B78&gt;4,(H78/(B78+2)+J87),0))</f>
        <v>0</v>
      </c>
    </row>
    <row r="89" spans="1:19" ht="15.75" customHeight="1" x14ac:dyDescent="0.25">
      <c r="A89" s="112" t="s">
        <v>125</v>
      </c>
      <c r="B89" s="113" t="s">
        <v>125</v>
      </c>
      <c r="C89" s="73">
        <v>0</v>
      </c>
      <c r="D89" s="74">
        <f ca="1">((100/(H78))*C89)/100</f>
        <v>0</v>
      </c>
      <c r="E89" s="124"/>
      <c r="F89" s="169"/>
      <c r="G89" s="124"/>
      <c r="H89" s="125"/>
      <c r="I89" s="13" t="s">
        <v>139</v>
      </c>
      <c r="J89" s="30">
        <f ca="1">(IF(B78=1,(H78/(B78+3)+J84),IF(B78=0,(H78/4+J84),IF(B78&gt;1,0))))</f>
        <v>12</v>
      </c>
    </row>
    <row r="90" spans="1:19" ht="16.5" thickBot="1" x14ac:dyDescent="0.3">
      <c r="A90" s="171" t="s">
        <v>126</v>
      </c>
      <c r="B90" s="172"/>
      <c r="C90" s="75">
        <v>0</v>
      </c>
      <c r="D90" s="76">
        <f ca="1">((100/(H78))*C90)/100</f>
        <v>0</v>
      </c>
      <c r="E90" s="126"/>
      <c r="F90" s="170"/>
      <c r="G90" s="126"/>
      <c r="H90" s="127"/>
      <c r="I90" s="15" t="s">
        <v>98</v>
      </c>
      <c r="J90" s="32">
        <f ca="1">(IF(B78&gt;1.5,(H78/(B78+2)+J84+MAX(0,J85-J84)+MAX(0,J86-J85)+MAX(0,J87-J86)+MAX(0,J88-J87)+MAX(0,J89-J88)),IF(B78=1,(H78/(B78+3)+J89),IF(B78=0,H78/4+J89))))</f>
        <v>16</v>
      </c>
    </row>
    <row r="91" spans="1:19" ht="15.75" customHeight="1" x14ac:dyDescent="0.25">
      <c r="A91" s="194" t="s">
        <v>132</v>
      </c>
      <c r="B91" s="195"/>
      <c r="C91" s="196" t="str">
        <f>D68</f>
        <v>Wing B = Gr + 1st to 16th Floor</v>
      </c>
      <c r="D91" s="197"/>
      <c r="E91" s="197"/>
      <c r="F91" s="197"/>
      <c r="G91" s="197"/>
      <c r="H91" s="198"/>
      <c r="I91" s="49" t="str">
        <f ca="1">IF(D104=100%,"All work Completed. Possession granted to the Building.",IF(D103=100%,"All work Completed, Waiting for OC",I92&amp;""&amp;I93&amp;""&amp;J92&amp;""&amp;J91&amp;" "&amp;J93))</f>
        <v>Excavation, Plinth, RCC Slab, Brickwork Completed, Internal Plaster upto 12 Floor, External Plaster upto 10 Floor, Flooring upto 5 Floor, Painting upto 3 Floor Completed</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Internal Plaster upto 12 Floor, External Plaster upto 10 Floor, Flooring upto 5 Floor, Painting upto 3 Floor</v>
      </c>
    </row>
    <row r="92" spans="1:19" x14ac:dyDescent="0.25">
      <c r="A92" s="16" t="s">
        <v>134</v>
      </c>
      <c r="B92" s="53">
        <f>IF(AND(ISNUMBER(SEARCH("1B",C91))),1,IF(AND(ISNUMBER(SEARCH("2B",C91))),2,IF(AND(ISNUMBER(SEARCH("3B",C91))),3,IF(AND(ISNUMBER(SEARCH("4B",C91))),4,IF(ISNUMBER(SEARCH("5B",C91)),5,0)))))</f>
        <v>0</v>
      </c>
      <c r="C92" s="53" t="s">
        <v>68</v>
      </c>
      <c r="D92" s="53">
        <v>1</v>
      </c>
      <c r="E92" s="53" t="s">
        <v>67</v>
      </c>
      <c r="F92" s="53">
        <v>0</v>
      </c>
      <c r="G92" s="53" t="s">
        <v>76</v>
      </c>
      <c r="H92" s="17">
        <f ca="1">--TRIM(RIGHT(SUBSTITUTE(LEFT(C91,_xlfn.AGGREGATE(16,6,FIND({0,1,2,3,4,5,6,7,8,9},C91,ROW(INDIRECT("1:"&amp;LEN(C91)))),1))," ",REPT(" ",LEN(C91))),LEN(C91)))</f>
        <v>16</v>
      </c>
      <c r="I92" s="51" t="str">
        <f ca="1">IF(D95=100%,"Excavation","")&amp;IF(D96=100%,", Plinth","")&amp;IF(D97=100%,", RCC Slab","")&amp;IF(D98=100%,", Brickwork","")&amp;IF(D99=100%,", Internal Plaster","")&amp;IF(D100=100%,", External Plaster","")&amp;IF(D101=100%,", Flooring","")&amp;IF(D102=100%,", Painting","")&amp;IF(D103=100%,", Building common Amenities","")</f>
        <v>Excavation, Plinth, RCC Slab, Brickwork</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row>
    <row r="93" spans="1:19" ht="50.25" customHeight="1" x14ac:dyDescent="0.25">
      <c r="A93" s="131" t="s">
        <v>86</v>
      </c>
      <c r="B93" s="132"/>
      <c r="C93" s="147" t="str">
        <f ca="1">(IF($G$62="NA",I91,"All work Completed. OC Received."))</f>
        <v>Excavation, Plinth, RCC Slab, Brickwork Completed, Internal Plaster upto 12 Floor, External Plaster upto 10 Floor, Flooring upto 5 Floor, Painting upto 3 Floor Completed</v>
      </c>
      <c r="D93" s="147"/>
      <c r="E93" s="147"/>
      <c r="F93" s="147"/>
      <c r="G93" s="147"/>
      <c r="H93" s="148"/>
      <c r="I93" s="51" t="str">
        <f ca="1">IF(I92&lt;&gt;""," Completed","")</f>
        <v xml:space="preserve"> Completed</v>
      </c>
      <c r="J93" s="52" t="str">
        <f ca="1">IF(J91&lt;&gt;"","Completed","")</f>
        <v>Completed</v>
      </c>
    </row>
    <row r="94" spans="1:19" ht="15.75" customHeight="1" x14ac:dyDescent="0.25">
      <c r="A94" s="112" t="s">
        <v>47</v>
      </c>
      <c r="B94" s="113"/>
      <c r="C94" s="73" t="s">
        <v>131</v>
      </c>
      <c r="D94" s="73" t="s">
        <v>79</v>
      </c>
      <c r="E94" s="113" t="s">
        <v>81</v>
      </c>
      <c r="F94" s="113"/>
      <c r="G94" s="113" t="s">
        <v>80</v>
      </c>
      <c r="H94" s="193"/>
      <c r="I94" s="13" t="s">
        <v>133</v>
      </c>
      <c r="J94" s="28">
        <f ca="1">H92*25%</f>
        <v>4</v>
      </c>
    </row>
    <row r="95" spans="1:19" x14ac:dyDescent="0.25">
      <c r="A95" s="112" t="s">
        <v>120</v>
      </c>
      <c r="B95" s="113"/>
      <c r="C95" s="73">
        <f ca="1">J96</f>
        <v>16</v>
      </c>
      <c r="D95" s="74">
        <f ca="1">((100/H92)*C95)/100</f>
        <v>1</v>
      </c>
      <c r="E95" s="122">
        <f ca="1">(((C96/H92*10)+(40/(D92+F92+H92)*C97)+(7.5/(H92)*C98)+(7.5/(H92)*C99)+(10/H92*C100)+(10/H92*C101)+(5/H92*C102)+(5/H92*C103)+(5/H92*C104))/100)</f>
        <v>0.734375</v>
      </c>
      <c r="F95" s="168"/>
      <c r="G95" s="122">
        <f ca="1">((((C95/H92)*20)+((C96/H92)*25)+(30/(H92+F92+D92)*C97)+(5/H92*C98)+(5/H92*C99)+(5/H92*C100)+(5/H92*C101)+(0/H92*C102)+(0/H92*C103)+(5/H92*C104))/100)</f>
        <v>0.88437500000000002</v>
      </c>
      <c r="H95" s="123"/>
      <c r="I95" s="13" t="s">
        <v>94</v>
      </c>
      <c r="J95" s="29">
        <f ca="1">H92*50%</f>
        <v>8</v>
      </c>
    </row>
    <row r="96" spans="1:19" x14ac:dyDescent="0.25">
      <c r="A96" s="112" t="s">
        <v>48</v>
      </c>
      <c r="B96" s="113"/>
      <c r="C96" s="77">
        <f ca="1">J104</f>
        <v>16</v>
      </c>
      <c r="D96" s="74">
        <f ca="1">((100/H92)*C96)/100</f>
        <v>1</v>
      </c>
      <c r="E96" s="124"/>
      <c r="F96" s="169"/>
      <c r="G96" s="124"/>
      <c r="H96" s="125"/>
      <c r="I96" s="13" t="s">
        <v>95</v>
      </c>
      <c r="J96" s="29">
        <f ca="1">H92</f>
        <v>16</v>
      </c>
    </row>
    <row r="97" spans="1:10" ht="15.75" customHeight="1" x14ac:dyDescent="0.25">
      <c r="A97" s="112" t="s">
        <v>121</v>
      </c>
      <c r="B97" s="113"/>
      <c r="C97" s="73">
        <v>17</v>
      </c>
      <c r="D97" s="74">
        <f ca="1">((100/(D92+F92+H92))*C97)/100</f>
        <v>1</v>
      </c>
      <c r="E97" s="124"/>
      <c r="F97" s="169"/>
      <c r="G97" s="124"/>
      <c r="H97" s="125"/>
      <c r="I97" s="13" t="s">
        <v>96</v>
      </c>
      <c r="J97" s="30">
        <f ca="1">(IF(B92&gt;1,(H92/(B92+2)),H92/4))</f>
        <v>4</v>
      </c>
    </row>
    <row r="98" spans="1:10" ht="15.75" customHeight="1" x14ac:dyDescent="0.25">
      <c r="A98" s="112" t="s">
        <v>128</v>
      </c>
      <c r="B98" s="113" t="s">
        <v>122</v>
      </c>
      <c r="C98" s="73">
        <v>16</v>
      </c>
      <c r="D98" s="74">
        <f ca="1">((100/H92)*C98)/100</f>
        <v>1</v>
      </c>
      <c r="E98" s="124"/>
      <c r="F98" s="169"/>
      <c r="G98" s="124"/>
      <c r="H98" s="125"/>
      <c r="I98" s="13" t="s">
        <v>97</v>
      </c>
      <c r="J98" s="30">
        <f ca="1">(IF(B92&gt;1,(H92/(B92+2)+J97),H92/4+J97))</f>
        <v>8</v>
      </c>
    </row>
    <row r="99" spans="1:10" ht="15.75" customHeight="1" x14ac:dyDescent="0.25">
      <c r="A99" s="112" t="s">
        <v>129</v>
      </c>
      <c r="B99" s="113" t="s">
        <v>122</v>
      </c>
      <c r="C99" s="73">
        <v>12</v>
      </c>
      <c r="D99" s="74">
        <f ca="1">((100/H92)*C99)/100</f>
        <v>0.75</v>
      </c>
      <c r="E99" s="124"/>
      <c r="F99" s="169"/>
      <c r="G99" s="124"/>
      <c r="H99" s="125"/>
      <c r="I99" s="13" t="s">
        <v>138</v>
      </c>
      <c r="J99" s="30">
        <f>(IF(B92&gt;1,(H92/(B92+2)+J98),0))</f>
        <v>0</v>
      </c>
    </row>
    <row r="100" spans="1:10" ht="15" customHeight="1" x14ac:dyDescent="0.25">
      <c r="A100" s="112" t="s">
        <v>127</v>
      </c>
      <c r="B100" s="113" t="s">
        <v>124</v>
      </c>
      <c r="C100" s="73">
        <v>10</v>
      </c>
      <c r="D100" s="74">
        <f ca="1">((100/(H92))*C100)/100</f>
        <v>0.625</v>
      </c>
      <c r="E100" s="124"/>
      <c r="F100" s="169"/>
      <c r="G100" s="124"/>
      <c r="H100" s="125"/>
      <c r="I100" s="13" t="s">
        <v>135</v>
      </c>
      <c r="J100" s="30">
        <f>(IF(B92&gt;2,(H92/(B92+2)+J99),0))</f>
        <v>0</v>
      </c>
    </row>
    <row r="101" spans="1:10" ht="15.75" customHeight="1" x14ac:dyDescent="0.25">
      <c r="A101" s="112" t="s">
        <v>123</v>
      </c>
      <c r="B101" s="113" t="s">
        <v>123</v>
      </c>
      <c r="C101" s="73">
        <v>5</v>
      </c>
      <c r="D101" s="74">
        <f ca="1">((100/H92)*C101)/100</f>
        <v>0.3125</v>
      </c>
      <c r="E101" s="124"/>
      <c r="F101" s="169"/>
      <c r="G101" s="124"/>
      <c r="H101" s="125"/>
      <c r="I101" s="13" t="s">
        <v>136</v>
      </c>
      <c r="J101" s="31">
        <f>(IF(B92&gt;3,(H92/(B92+2)+J100),0))</f>
        <v>0</v>
      </c>
    </row>
    <row r="102" spans="1:10" ht="15.75" customHeight="1" x14ac:dyDescent="0.25">
      <c r="A102" s="112" t="s">
        <v>130</v>
      </c>
      <c r="B102" s="113"/>
      <c r="C102" s="73">
        <v>3</v>
      </c>
      <c r="D102" s="74">
        <f ca="1">((100/H92)*C102)/100</f>
        <v>0.1875</v>
      </c>
      <c r="E102" s="124"/>
      <c r="F102" s="169"/>
      <c r="G102" s="124"/>
      <c r="H102" s="125"/>
      <c r="I102" s="13" t="s">
        <v>137</v>
      </c>
      <c r="J102" s="30">
        <f>(IF(B92&gt;4,(H92/(B92+2)+J101),0))</f>
        <v>0</v>
      </c>
    </row>
    <row r="103" spans="1:10" ht="15.75" customHeight="1" x14ac:dyDescent="0.25">
      <c r="A103" s="112" t="s">
        <v>125</v>
      </c>
      <c r="B103" s="113" t="s">
        <v>125</v>
      </c>
      <c r="C103" s="73">
        <v>0</v>
      </c>
      <c r="D103" s="74">
        <f ca="1">((100/(H92))*C103)/100</f>
        <v>0</v>
      </c>
      <c r="E103" s="124"/>
      <c r="F103" s="169"/>
      <c r="G103" s="124"/>
      <c r="H103" s="125"/>
      <c r="I103" s="13" t="s">
        <v>139</v>
      </c>
      <c r="J103" s="30">
        <f ca="1">(IF(B92=1,(H92/(B92+3)+J98),IF(B92=0,(H92/4+J98),IF(B92&gt;1,0))))</f>
        <v>12</v>
      </c>
    </row>
    <row r="104" spans="1:10" ht="16.5" thickBot="1" x14ac:dyDescent="0.3">
      <c r="A104" s="171" t="s">
        <v>126</v>
      </c>
      <c r="B104" s="172"/>
      <c r="C104" s="75">
        <v>0</v>
      </c>
      <c r="D104" s="76">
        <f ca="1">((100/(H92))*C104)/100</f>
        <v>0</v>
      </c>
      <c r="E104" s="126"/>
      <c r="F104" s="170"/>
      <c r="G104" s="126"/>
      <c r="H104" s="127"/>
      <c r="I104" s="15" t="s">
        <v>98</v>
      </c>
      <c r="J104" s="32">
        <f ca="1">(IF(B92&gt;1.5,(H92/(B92+2)+J98+MAX(0,J99-J98)+MAX(0,J100-J99)+MAX(0,J101-J100)+MAX(0,J102-J101)+MAX(0,J103-J102)),IF(B92=1,(H92/(B92+3)+J103),IF(B92=0,H92/4+J103))))</f>
        <v>16</v>
      </c>
    </row>
    <row r="105" spans="1:10" ht="15.75" hidden="1" customHeight="1" x14ac:dyDescent="0.25">
      <c r="A105" s="137" t="s">
        <v>132</v>
      </c>
      <c r="B105" s="138"/>
      <c r="C105" s="139">
        <f>D69</f>
        <v>0</v>
      </c>
      <c r="D105" s="140"/>
      <c r="E105" s="140"/>
      <c r="F105" s="140"/>
      <c r="G105" s="140"/>
      <c r="H105" s="141"/>
      <c r="I105" s="49" t="e">
        <f ca="1">IF(D118=100%,"All work Completed. Possession granted to the Building.",IF(D117=100%,"All work Completed, Waiting for OC",I106&amp;""&amp;I107&amp;""&amp;J106&amp;""&amp;J105&amp;" "&amp;J107))</f>
        <v>#DIV/0!</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row>
    <row r="106" spans="1:10" hidden="1" x14ac:dyDescent="0.25">
      <c r="A106" s="16" t="s">
        <v>134</v>
      </c>
      <c r="B106" s="53">
        <f>IF(AND(ISNUMBER(SEARCH("1B",C105))),1,IF(AND(ISNUMBER(SEARCH("2B",C105))),2,IF(AND(ISNUMBER(SEARCH("3B",C105))),3,IF(AND(ISNUMBER(SEARCH("4B",C105))),4,IF(ISNUMBER(SEARCH("5B",C105)),5,0)))))</f>
        <v>0</v>
      </c>
      <c r="C106" s="47" t="s">
        <v>68</v>
      </c>
      <c r="D106" s="47">
        <v>1</v>
      </c>
      <c r="E106" s="47" t="s">
        <v>67</v>
      </c>
      <c r="F106" s="14">
        <v>0</v>
      </c>
      <c r="G106" s="48" t="s">
        <v>76</v>
      </c>
      <c r="H106" s="17">
        <f ca="1">--TRIM(RIGHT(SUBSTITUTE(LEFT(C105,_xlfn.AGGREGATE(16,6,FIND({0,1,2,3,4,5,6,7,8,9},C105,ROW(INDIRECT("1:"&amp;LEN(C105)))),1))," ",REPT(" ",LEN(C105))),LEN(C105)))</f>
        <v>0</v>
      </c>
      <c r="I106" s="51" t="e">
        <f ca="1">IF(D109=100%,"Excavation","")&amp;IF(D110=100%,", Plinth","")&amp;IF(D111=100%,", RCC Slab","")&amp;IF(D112=100%,", Brickwork","")&amp;IF(D113=100%,", Internal Plaster","")&amp;IF(D114=100%,", External Plaster","")&amp;IF(D115=100%,", Flooring","")&amp;IF(D116=100%,", Painting","")&amp;IF(D117=100%,", Building common Amenities","")</f>
        <v>#DIV/0!</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Work not yet Started.</v>
      </c>
    </row>
    <row r="107" spans="1:10" hidden="1" x14ac:dyDescent="0.25">
      <c r="A107" s="131" t="s">
        <v>86</v>
      </c>
      <c r="B107" s="132"/>
      <c r="C107" s="147" t="e">
        <f ca="1">(IF($G$62="NA",I105,"All work Completed. OC Received."))</f>
        <v>#DIV/0!</v>
      </c>
      <c r="D107" s="147"/>
      <c r="E107" s="147"/>
      <c r="F107" s="147"/>
      <c r="G107" s="147"/>
      <c r="H107" s="148"/>
      <c r="I107" s="51" t="e">
        <f ca="1">IF(I106&lt;&gt;""," Completed","")</f>
        <v>#DIV/0!</v>
      </c>
      <c r="J107" s="52" t="str">
        <f ca="1">IF(J105&lt;&gt;"","Completed","")</f>
        <v/>
      </c>
    </row>
    <row r="108" spans="1:10" ht="15.75" hidden="1" customHeight="1" x14ac:dyDescent="0.25">
      <c r="A108" s="109" t="s">
        <v>47</v>
      </c>
      <c r="B108" s="110"/>
      <c r="C108" s="43" t="s">
        <v>131</v>
      </c>
      <c r="D108" s="43" t="s">
        <v>79</v>
      </c>
      <c r="E108" s="110" t="s">
        <v>81</v>
      </c>
      <c r="F108" s="110"/>
      <c r="G108" s="110" t="s">
        <v>80</v>
      </c>
      <c r="H108" s="130"/>
      <c r="I108" s="13" t="s">
        <v>133</v>
      </c>
      <c r="J108" s="28">
        <f ca="1">H106*25%</f>
        <v>0</v>
      </c>
    </row>
    <row r="109" spans="1:10" hidden="1" x14ac:dyDescent="0.25">
      <c r="A109" s="109" t="s">
        <v>120</v>
      </c>
      <c r="B109" s="110"/>
      <c r="C109" s="43">
        <f ca="1">J110</f>
        <v>0</v>
      </c>
      <c r="D109" s="19" t="e">
        <f ca="1">((100/H106)*C109)/100</f>
        <v>#DIV/0!</v>
      </c>
      <c r="E109" s="160" t="e">
        <f ca="1">(((C110/H106*10)+(40/(D106+F106+H106)*C111)+(7.5/(H106)*C112)+(7.5/(H106)*C113)+(10/H106*C114)+(10/H106*C115)+(5/H106*C116)+(5/H106*C117)+(5/H106*C118))/100)</f>
        <v>#DIV/0!</v>
      </c>
      <c r="F109" s="210"/>
      <c r="G109" s="160" t="e">
        <f ca="1">((((C109/H106)*20)+((C110/H106)*25)+(30/(H106+F106+D106)*C111)+(5/H106*C112)+(5/H106*C113)+(5/H106*C114)+(5/H106*C115)+(0/H106*C116)+(0/H106*C117)+(5/H106*C118))/100)</f>
        <v>#DIV/0!</v>
      </c>
      <c r="H109" s="161"/>
      <c r="I109" s="13" t="s">
        <v>94</v>
      </c>
      <c r="J109" s="29">
        <f ca="1">H106*50%</f>
        <v>0</v>
      </c>
    </row>
    <row r="110" spans="1:10" hidden="1" x14ac:dyDescent="0.25">
      <c r="A110" s="109" t="s">
        <v>48</v>
      </c>
      <c r="B110" s="110"/>
      <c r="C110" s="43">
        <f ca="1">J118</f>
        <v>0</v>
      </c>
      <c r="D110" s="19" t="e">
        <f ca="1">((100/H106)*C110)/100</f>
        <v>#DIV/0!</v>
      </c>
      <c r="E110" s="162"/>
      <c r="F110" s="211"/>
      <c r="G110" s="162"/>
      <c r="H110" s="163"/>
      <c r="I110" s="13" t="s">
        <v>95</v>
      </c>
      <c r="J110" s="29">
        <f ca="1">H106</f>
        <v>0</v>
      </c>
    </row>
    <row r="111" spans="1:10" ht="15.75" hidden="1" customHeight="1" x14ac:dyDescent="0.25">
      <c r="A111" s="109" t="s">
        <v>121</v>
      </c>
      <c r="B111" s="110"/>
      <c r="C111" s="43">
        <f ca="1">D106+H106</f>
        <v>1</v>
      </c>
      <c r="D111" s="19">
        <f ca="1">((100/(D106+F106+H106))*C111)/100</f>
        <v>1</v>
      </c>
      <c r="E111" s="162"/>
      <c r="F111" s="211"/>
      <c r="G111" s="162"/>
      <c r="H111" s="163"/>
      <c r="I111" s="13" t="s">
        <v>96</v>
      </c>
      <c r="J111" s="30">
        <f ca="1">(IF(B106&gt;1,(H106/(B106+2)),H106/4))</f>
        <v>0</v>
      </c>
    </row>
    <row r="112" spans="1:10" ht="15.75" hidden="1" customHeight="1" x14ac:dyDescent="0.25">
      <c r="A112" s="109" t="s">
        <v>128</v>
      </c>
      <c r="B112" s="110" t="s">
        <v>122</v>
      </c>
      <c r="C112" s="43">
        <v>0</v>
      </c>
      <c r="D112" s="19" t="e">
        <f ca="1">((100/H106)*C112)/100</f>
        <v>#DIV/0!</v>
      </c>
      <c r="E112" s="162"/>
      <c r="F112" s="211"/>
      <c r="G112" s="162"/>
      <c r="H112" s="163"/>
      <c r="I112" s="13" t="s">
        <v>97</v>
      </c>
      <c r="J112" s="30">
        <f ca="1">(IF(B106&gt;1,(H106/(B106+2)+J111),H106/4+J111))</f>
        <v>0</v>
      </c>
    </row>
    <row r="113" spans="1:22" ht="15.75" hidden="1" customHeight="1" x14ac:dyDescent="0.25">
      <c r="A113" s="109" t="s">
        <v>129</v>
      </c>
      <c r="B113" s="110" t="s">
        <v>122</v>
      </c>
      <c r="C113" s="43">
        <v>0</v>
      </c>
      <c r="D113" s="19" t="e">
        <f ca="1">((100/H106)*C113)/100</f>
        <v>#DIV/0!</v>
      </c>
      <c r="E113" s="162"/>
      <c r="F113" s="211"/>
      <c r="G113" s="162"/>
      <c r="H113" s="163"/>
      <c r="I113" s="13" t="s">
        <v>138</v>
      </c>
      <c r="J113" s="30">
        <f>(IF(B106&gt;1,(H106/(B106+2)+J112),0))</f>
        <v>0</v>
      </c>
    </row>
    <row r="114" spans="1:22" ht="15" hidden="1" customHeight="1" x14ac:dyDescent="0.25">
      <c r="A114" s="109" t="s">
        <v>127</v>
      </c>
      <c r="B114" s="110" t="s">
        <v>124</v>
      </c>
      <c r="C114" s="43">
        <v>0</v>
      </c>
      <c r="D114" s="19" t="e">
        <f ca="1">((100/(H106))*C114)/100</f>
        <v>#DIV/0!</v>
      </c>
      <c r="E114" s="162"/>
      <c r="F114" s="211"/>
      <c r="G114" s="162"/>
      <c r="H114" s="163"/>
      <c r="I114" s="13" t="s">
        <v>135</v>
      </c>
      <c r="J114" s="30">
        <f>(IF(B106&gt;2,(H106/(B106+2)+J113),0))</f>
        <v>0</v>
      </c>
    </row>
    <row r="115" spans="1:22" ht="15.75" hidden="1" customHeight="1" x14ac:dyDescent="0.25">
      <c r="A115" s="109" t="s">
        <v>123</v>
      </c>
      <c r="B115" s="110" t="s">
        <v>123</v>
      </c>
      <c r="C115" s="43">
        <v>0</v>
      </c>
      <c r="D115" s="19" t="e">
        <f ca="1">((100/H106)*C115)/100</f>
        <v>#DIV/0!</v>
      </c>
      <c r="E115" s="162"/>
      <c r="F115" s="211"/>
      <c r="G115" s="162"/>
      <c r="H115" s="163"/>
      <c r="I115" s="13" t="s">
        <v>136</v>
      </c>
      <c r="J115" s="31">
        <f>(IF(B106&gt;3,(H106/(B106+2)+J114),0))</f>
        <v>0</v>
      </c>
    </row>
    <row r="116" spans="1:22" ht="15.75" hidden="1" customHeight="1" x14ac:dyDescent="0.25">
      <c r="A116" s="109" t="s">
        <v>130</v>
      </c>
      <c r="B116" s="110"/>
      <c r="C116" s="43">
        <v>0</v>
      </c>
      <c r="D116" s="19" t="e">
        <f ca="1">((100/H106)*C116)/100</f>
        <v>#DIV/0!</v>
      </c>
      <c r="E116" s="162"/>
      <c r="F116" s="211"/>
      <c r="G116" s="162"/>
      <c r="H116" s="163"/>
      <c r="I116" s="13" t="s">
        <v>137</v>
      </c>
      <c r="J116" s="30">
        <f>(IF(B106&gt;4,(H106/(B106+2)+J115),0))</f>
        <v>0</v>
      </c>
    </row>
    <row r="117" spans="1:22" ht="15.75" hidden="1" customHeight="1" x14ac:dyDescent="0.25">
      <c r="A117" s="109" t="s">
        <v>125</v>
      </c>
      <c r="B117" s="110" t="s">
        <v>125</v>
      </c>
      <c r="C117" s="43">
        <v>0</v>
      </c>
      <c r="D117" s="19" t="e">
        <f ca="1">((100/(H106))*C117)/100</f>
        <v>#DIV/0!</v>
      </c>
      <c r="E117" s="162"/>
      <c r="F117" s="211"/>
      <c r="G117" s="162"/>
      <c r="H117" s="163"/>
      <c r="I117" s="13" t="s">
        <v>139</v>
      </c>
      <c r="J117" s="30">
        <f ca="1">(IF(B106=1,(H106/(B106+3)+J112),IF(B106=0,(H106/4+J112),IF(B106&gt;1,0))))</f>
        <v>0</v>
      </c>
    </row>
    <row r="118" spans="1:22" ht="16.5" hidden="1" thickBot="1" x14ac:dyDescent="0.3">
      <c r="A118" s="230" t="s">
        <v>126</v>
      </c>
      <c r="B118" s="231"/>
      <c r="C118" s="44">
        <v>0</v>
      </c>
      <c r="D118" s="20" t="e">
        <f ca="1">((100/(H106))*C118)/100</f>
        <v>#DIV/0!</v>
      </c>
      <c r="E118" s="164"/>
      <c r="F118" s="212"/>
      <c r="G118" s="164"/>
      <c r="H118" s="165"/>
      <c r="I118" s="15" t="s">
        <v>98</v>
      </c>
      <c r="J118" s="32">
        <f ca="1">(IF(B106&gt;1.5,(H106/(B106+2)+J112+MAX(0,J113-J112)+MAX(0,J114-J113)+MAX(0,J115-J114)+MAX(0,J116-J115)+MAX(0,J117-J116)),IF(B106=1,(H106/(B106+3)+J117),IF(B106=0,H106/4+J117))))</f>
        <v>0</v>
      </c>
    </row>
    <row r="119" spans="1:22" x14ac:dyDescent="0.25">
      <c r="A119" s="129" t="s">
        <v>148</v>
      </c>
      <c r="B119" s="129"/>
      <c r="C119" s="129"/>
      <c r="D119" s="129"/>
      <c r="E119" s="129"/>
      <c r="F119" s="107" t="s">
        <v>152</v>
      </c>
      <c r="G119" s="107"/>
      <c r="H119" s="107"/>
      <c r="R119" t="s">
        <v>242</v>
      </c>
      <c r="S119" t="s">
        <v>163</v>
      </c>
      <c r="T119" t="s">
        <v>167</v>
      </c>
      <c r="U119" t="s">
        <v>182</v>
      </c>
      <c r="V119" t="s">
        <v>177</v>
      </c>
    </row>
    <row r="120" spans="1:22" x14ac:dyDescent="0.25">
      <c r="A120" s="134" t="s">
        <v>150</v>
      </c>
      <c r="B120" s="134"/>
      <c r="C120" s="134"/>
      <c r="D120" s="134"/>
      <c r="E120" s="134"/>
      <c r="F120" s="108">
        <v>6200</v>
      </c>
      <c r="G120" s="108"/>
      <c r="H120" s="108"/>
      <c r="R120"/>
      <c r="S120">
        <v>800000</v>
      </c>
      <c r="T120">
        <v>150000</v>
      </c>
      <c r="U120">
        <v>100000</v>
      </c>
      <c r="V120">
        <v>100000</v>
      </c>
    </row>
    <row r="121" spans="1:22" s="22" customFormat="1" hidden="1" x14ac:dyDescent="0.25">
      <c r="A121" s="128" t="s">
        <v>149</v>
      </c>
      <c r="B121" s="128"/>
      <c r="C121" s="128"/>
      <c r="D121" s="128"/>
      <c r="E121" s="128"/>
      <c r="F121" s="108"/>
      <c r="G121" s="108"/>
      <c r="H121" s="108"/>
      <c r="R121" s="80"/>
      <c r="S121" s="80">
        <v>900000</v>
      </c>
      <c r="T121" s="80">
        <v>200000</v>
      </c>
      <c r="U121" s="80">
        <v>150000</v>
      </c>
      <c r="V121" s="80">
        <v>150000</v>
      </c>
    </row>
    <row r="122" spans="1:22" s="22" customFormat="1" hidden="1" x14ac:dyDescent="0.25">
      <c r="A122" s="128" t="s">
        <v>151</v>
      </c>
      <c r="B122" s="128"/>
      <c r="C122" s="128"/>
      <c r="D122" s="128"/>
      <c r="E122" s="128"/>
      <c r="F122" s="108"/>
      <c r="G122" s="108"/>
      <c r="H122" s="108"/>
      <c r="R122" s="80"/>
      <c r="S122" s="80">
        <v>1000000</v>
      </c>
      <c r="T122" s="80">
        <v>250000</v>
      </c>
      <c r="U122" s="80">
        <v>200000</v>
      </c>
      <c r="V122" s="80">
        <v>200000</v>
      </c>
    </row>
    <row r="123" spans="1:22" s="81" customFormat="1" hidden="1" x14ac:dyDescent="0.25">
      <c r="A123" s="128" t="s">
        <v>165</v>
      </c>
      <c r="B123" s="128"/>
      <c r="C123" s="128"/>
      <c r="D123" s="128"/>
      <c r="E123" s="128"/>
      <c r="F123" s="108"/>
      <c r="G123" s="108"/>
      <c r="H123" s="108"/>
      <c r="R123" s="80"/>
      <c r="S123" s="80">
        <v>1100000</v>
      </c>
      <c r="T123" s="80">
        <v>300000</v>
      </c>
      <c r="U123" s="80">
        <v>250000</v>
      </c>
      <c r="V123" s="22">
        <v>250000</v>
      </c>
    </row>
    <row r="124" spans="1:22" s="81" customFormat="1" x14ac:dyDescent="0.25">
      <c r="A124" s="128" t="s">
        <v>316</v>
      </c>
      <c r="B124" s="128"/>
      <c r="C124" s="128"/>
      <c r="D124" s="128"/>
      <c r="E124" s="128"/>
      <c r="F124" s="108">
        <v>100000</v>
      </c>
      <c r="G124" s="108"/>
      <c r="H124" s="108"/>
      <c r="I124" s="95">
        <v>100000</v>
      </c>
      <c r="J124" s="95"/>
      <c r="K124" s="95"/>
      <c r="R124" s="80"/>
      <c r="S124" s="80">
        <v>1200000</v>
      </c>
      <c r="T124" s="80">
        <v>350000</v>
      </c>
      <c r="U124" s="80">
        <v>300000</v>
      </c>
      <c r="V124" s="80">
        <v>300000</v>
      </c>
    </row>
    <row r="125" spans="1:22" s="81" customFormat="1" x14ac:dyDescent="0.25">
      <c r="A125" s="128" t="s">
        <v>90</v>
      </c>
      <c r="B125" s="128"/>
      <c r="C125" s="128"/>
      <c r="D125" s="128"/>
      <c r="E125" s="128"/>
      <c r="F125" s="108">
        <v>100000</v>
      </c>
      <c r="G125" s="108"/>
      <c r="H125" s="108"/>
      <c r="I125" s="95">
        <v>100000</v>
      </c>
      <c r="J125" s="95"/>
      <c r="K125" s="95"/>
      <c r="R125" s="80"/>
      <c r="S125" s="80">
        <v>1300000</v>
      </c>
      <c r="T125" s="80">
        <v>400000</v>
      </c>
      <c r="U125" s="80">
        <v>350000</v>
      </c>
      <c r="V125" s="22">
        <v>400000</v>
      </c>
    </row>
    <row r="126" spans="1:22" s="81" customFormat="1" hidden="1" x14ac:dyDescent="0.25">
      <c r="A126" s="128" t="s">
        <v>91</v>
      </c>
      <c r="B126" s="128"/>
      <c r="C126" s="128"/>
      <c r="D126" s="128"/>
      <c r="E126" s="128"/>
      <c r="F126" s="108"/>
      <c r="G126" s="108"/>
      <c r="H126" s="108"/>
      <c r="I126" s="95"/>
      <c r="J126" s="95"/>
      <c r="K126" s="95"/>
      <c r="N126" s="81">
        <f>522*400</f>
        <v>208800</v>
      </c>
      <c r="R126" s="80"/>
      <c r="S126" s="80">
        <v>1400000</v>
      </c>
      <c r="T126" s="80">
        <v>500000</v>
      </c>
      <c r="U126" s="80">
        <v>400000</v>
      </c>
      <c r="V126" s="80"/>
    </row>
    <row r="127" spans="1:22" s="81" customFormat="1" hidden="1" x14ac:dyDescent="0.25">
      <c r="A127" s="128" t="s">
        <v>92</v>
      </c>
      <c r="B127" s="128"/>
      <c r="C127" s="128"/>
      <c r="D127" s="128"/>
      <c r="E127" s="128"/>
      <c r="F127" s="108"/>
      <c r="G127" s="108"/>
      <c r="H127" s="108"/>
      <c r="I127" s="95"/>
      <c r="J127" s="95"/>
      <c r="K127" s="95"/>
      <c r="R127" s="80"/>
      <c r="S127" s="80">
        <v>1500000</v>
      </c>
      <c r="T127" s="80">
        <v>600000</v>
      </c>
      <c r="U127" s="80">
        <v>500000</v>
      </c>
      <c r="V127" s="22"/>
    </row>
    <row r="128" spans="1:22" s="81" customFormat="1" x14ac:dyDescent="0.25">
      <c r="A128" s="128" t="s">
        <v>315</v>
      </c>
      <c r="B128" s="128"/>
      <c r="C128" s="128"/>
      <c r="D128" s="128"/>
      <c r="E128" s="128"/>
      <c r="F128" s="108">
        <v>50000</v>
      </c>
      <c r="G128" s="108"/>
      <c r="H128" s="108"/>
      <c r="I128" s="95">
        <v>50000</v>
      </c>
      <c r="J128" s="95"/>
      <c r="K128" s="95"/>
      <c r="R128" s="80"/>
      <c r="S128" s="80">
        <v>1600000</v>
      </c>
      <c r="T128" s="80">
        <v>700000</v>
      </c>
      <c r="U128" s="80">
        <v>600000</v>
      </c>
      <c r="V128" s="80"/>
    </row>
    <row r="129" spans="1:22" s="33" customFormat="1" hidden="1" x14ac:dyDescent="0.25">
      <c r="A129" s="134" t="s">
        <v>93</v>
      </c>
      <c r="B129" s="134"/>
      <c r="C129" s="134"/>
      <c r="D129" s="134"/>
      <c r="E129" s="134"/>
      <c r="F129" s="108"/>
      <c r="G129" s="108"/>
      <c r="H129" s="108"/>
      <c r="R129"/>
      <c r="S129">
        <v>1700000</v>
      </c>
      <c r="T129">
        <v>800000</v>
      </c>
      <c r="U129"/>
      <c r="V129" s="23"/>
    </row>
    <row r="130" spans="1:22" x14ac:dyDescent="0.25">
      <c r="A130" s="134" t="s">
        <v>49</v>
      </c>
      <c r="B130" s="134"/>
      <c r="C130" s="134"/>
      <c r="D130" s="134"/>
      <c r="E130" s="134"/>
      <c r="F130" s="108">
        <v>250000</v>
      </c>
      <c r="G130" s="108"/>
      <c r="H130" s="108"/>
      <c r="R130"/>
      <c r="S130">
        <v>1800000</v>
      </c>
      <c r="T130">
        <v>900000</v>
      </c>
      <c r="U130"/>
    </row>
    <row r="131" spans="1:22" s="34" customFormat="1" x14ac:dyDescent="0.25">
      <c r="A131" s="135" t="s">
        <v>50</v>
      </c>
      <c r="B131" s="135"/>
      <c r="C131" s="135"/>
      <c r="D131" s="135"/>
      <c r="E131" s="135"/>
      <c r="F131" s="108">
        <f>F120*0.8</f>
        <v>4960</v>
      </c>
      <c r="G131" s="108"/>
      <c r="H131" s="108"/>
      <c r="R131" s="21"/>
      <c r="S131" s="21"/>
      <c r="T131">
        <v>1000000</v>
      </c>
      <c r="U131"/>
      <c r="V131" s="21"/>
    </row>
    <row r="132" spans="1:22" s="35" customFormat="1" ht="15.75" hidden="1" customHeight="1" x14ac:dyDescent="0.25">
      <c r="A132" s="201" t="s">
        <v>71</v>
      </c>
      <c r="B132" s="201"/>
      <c r="C132" s="201"/>
      <c r="D132" s="201"/>
      <c r="E132" s="201"/>
      <c r="F132" s="201"/>
      <c r="G132" s="201"/>
      <c r="H132" s="201"/>
      <c r="R132"/>
      <c r="S132" s="21"/>
      <c r="T132"/>
      <c r="U132"/>
      <c r="V132" s="21"/>
    </row>
    <row r="133" spans="1:22" s="35" customFormat="1" ht="15.75" hidden="1" customHeight="1" x14ac:dyDescent="0.25">
      <c r="A133" s="207" t="s">
        <v>51</v>
      </c>
      <c r="B133" s="207"/>
      <c r="C133" s="214" t="s">
        <v>74</v>
      </c>
      <c r="D133" s="214"/>
      <c r="E133" s="215" t="s">
        <v>52</v>
      </c>
      <c r="F133" s="215"/>
      <c r="G133" s="207" t="s">
        <v>53</v>
      </c>
      <c r="H133" s="207"/>
      <c r="R133"/>
      <c r="S133" s="21"/>
      <c r="T133"/>
      <c r="U133" s="21"/>
      <c r="V133" s="21"/>
    </row>
    <row r="134" spans="1:22" s="35" customFormat="1" hidden="1" x14ac:dyDescent="0.25">
      <c r="A134" s="205"/>
      <c r="B134" s="205"/>
      <c r="C134" s="151"/>
      <c r="D134" s="151"/>
      <c r="E134" s="152"/>
      <c r="F134" s="152"/>
      <c r="G134" s="213"/>
      <c r="H134" s="213"/>
      <c r="R134"/>
      <c r="S134" s="21"/>
      <c r="T134"/>
      <c r="U134" s="21"/>
      <c r="V134" s="21"/>
    </row>
    <row r="135" spans="1:22" s="35" customFormat="1" hidden="1" x14ac:dyDescent="0.25">
      <c r="A135" s="205"/>
      <c r="B135" s="205"/>
      <c r="C135" s="151"/>
      <c r="D135" s="151"/>
      <c r="E135" s="152"/>
      <c r="F135" s="152"/>
      <c r="G135" s="213"/>
      <c r="H135" s="213"/>
      <c r="R135"/>
      <c r="S135" s="21"/>
      <c r="T135"/>
      <c r="U135" s="21"/>
      <c r="V135" s="21"/>
    </row>
    <row r="136" spans="1:22" s="35" customFormat="1" hidden="1" x14ac:dyDescent="0.25">
      <c r="A136" s="201" t="s">
        <v>142</v>
      </c>
      <c r="B136" s="201"/>
      <c r="C136" s="214"/>
      <c r="D136" s="214"/>
      <c r="E136" s="215"/>
      <c r="F136" s="215"/>
      <c r="G136" s="207"/>
      <c r="H136" s="207"/>
      <c r="R136"/>
      <c r="S136" s="21"/>
      <c r="T136"/>
      <c r="U136" s="21"/>
      <c r="V136" s="21"/>
    </row>
    <row r="137" spans="1:22" s="35" customFormat="1" x14ac:dyDescent="0.25">
      <c r="A137" s="201" t="s">
        <v>66</v>
      </c>
      <c r="B137" s="201"/>
      <c r="C137" s="201"/>
      <c r="D137" s="201"/>
      <c r="E137" s="201"/>
      <c r="F137" s="201"/>
      <c r="G137" s="201"/>
      <c r="H137" s="201"/>
      <c r="T137"/>
    </row>
    <row r="138" spans="1:22" s="35" customFormat="1" ht="15.75" customHeight="1" x14ac:dyDescent="0.25">
      <c r="A138" s="207" t="s">
        <v>51</v>
      </c>
      <c r="B138" s="207"/>
      <c r="C138" s="214" t="s">
        <v>74</v>
      </c>
      <c r="D138" s="214"/>
      <c r="E138" s="215" t="s">
        <v>52</v>
      </c>
      <c r="F138" s="215"/>
      <c r="G138" s="207" t="s">
        <v>53</v>
      </c>
      <c r="H138" s="207"/>
      <c r="T138"/>
    </row>
    <row r="139" spans="1:22" s="35" customFormat="1" x14ac:dyDescent="0.25">
      <c r="A139" s="205" t="s">
        <v>304</v>
      </c>
      <c r="B139" s="205"/>
      <c r="C139" s="136">
        <f>COUNT(D149:D157)+COUNT(D159:D167)*6+COUNT(D170:D177)*3+COUNT(D179:D187)*4+COUNT(D189:D197)+COUNT(D199:D207)</f>
        <v>141</v>
      </c>
      <c r="D139" s="136"/>
      <c r="E139" s="136">
        <f>SUM(F149:F157)+SUM(F159:F167)*6+SUM(F170:F177)*3+SUM(F179:F187)*4+SUM(F189:F197)+SUM(F199:F207)</f>
        <v>60246.721548000009</v>
      </c>
      <c r="F139" s="136"/>
      <c r="G139" s="136">
        <f>SUM(H149:H157)+SUM(H159:H167)*6+SUM(H170:H177)*3+SUM(H179:H187)*4+SUM(H189:H197)+SUM(H199:H207)</f>
        <v>90370.082321999987</v>
      </c>
      <c r="H139" s="136"/>
      <c r="I139" s="89" t="s">
        <v>359</v>
      </c>
      <c r="T139"/>
    </row>
    <row r="140" spans="1:22" s="35" customFormat="1" x14ac:dyDescent="0.25">
      <c r="A140" s="205" t="s">
        <v>309</v>
      </c>
      <c r="B140" s="205"/>
      <c r="C140" s="136">
        <f>COUNT(D211:D218)+COUNT(D223:D233)*6+COUNT(D235:D236,D238:D245)*3+COUNT(D247:D257)*4+COUNT(D259:D269)+COUNT(D271:D281)</f>
        <v>170</v>
      </c>
      <c r="D140" s="136"/>
      <c r="E140" s="136">
        <f>SUM(F211:F218)+SUM(F223:F233)*6+SUM(F235:F236,F238:F245)*3+SUM(F247:F257)*4+SUM(F259:F269)+SUM(F271:F281)</f>
        <v>64275.826680000006</v>
      </c>
      <c r="F140" s="136"/>
      <c r="G140" s="136">
        <f>SUM(H211:H218)+SUM(H223:H233)*6+SUM(H235:H236,H238:H245)*3+SUM(H247:H257)*4+SUM(H259:H269)+SUM(H271:H281)</f>
        <v>96413.740019999983</v>
      </c>
      <c r="H140" s="136"/>
      <c r="I140" s="89" t="s">
        <v>359</v>
      </c>
      <c r="T140"/>
    </row>
    <row r="141" spans="1:22" s="35" customFormat="1" x14ac:dyDescent="0.25">
      <c r="A141" s="201" t="s">
        <v>142</v>
      </c>
      <c r="B141" s="201"/>
      <c r="C141" s="214">
        <f>SUM(C139:D140)</f>
        <v>311</v>
      </c>
      <c r="D141" s="214"/>
      <c r="E141" s="133">
        <f t="shared" ref="E141" si="0">SUM(E139:F140)</f>
        <v>124522.54822800001</v>
      </c>
      <c r="F141" s="133"/>
      <c r="G141" s="133">
        <f t="shared" ref="G141" si="1">SUM(G139:H140)</f>
        <v>186783.82234199997</v>
      </c>
      <c r="H141" s="133"/>
      <c r="I141" s="89" t="s">
        <v>359</v>
      </c>
      <c r="T141"/>
    </row>
    <row r="142" spans="1:22" s="34" customFormat="1" x14ac:dyDescent="0.25">
      <c r="A142" s="107" t="s">
        <v>336</v>
      </c>
      <c r="B142" s="107"/>
      <c r="C142" s="107"/>
      <c r="D142" s="107"/>
      <c r="E142" s="107"/>
      <c r="F142" s="107"/>
      <c r="G142" s="107"/>
      <c r="H142" s="107"/>
      <c r="T142" s="35"/>
    </row>
    <row r="143" spans="1:22" x14ac:dyDescent="0.25">
      <c r="A143" s="245" t="s">
        <v>341</v>
      </c>
      <c r="B143" s="245"/>
      <c r="C143" s="245"/>
      <c r="D143" s="245"/>
      <c r="E143" s="245"/>
      <c r="F143" s="245"/>
      <c r="G143" s="245"/>
      <c r="H143" s="245"/>
      <c r="T143" s="35"/>
    </row>
    <row r="144" spans="1:22" ht="47.25" customHeight="1" x14ac:dyDescent="0.25">
      <c r="A144" s="264" t="s">
        <v>113</v>
      </c>
      <c r="B144" s="208" t="s">
        <v>166</v>
      </c>
      <c r="C144" s="208" t="s">
        <v>54</v>
      </c>
      <c r="D144" s="228" t="s">
        <v>221</v>
      </c>
      <c r="E144" s="208" t="s">
        <v>220</v>
      </c>
      <c r="F144" s="208" t="s">
        <v>55</v>
      </c>
      <c r="G144" s="220" t="s">
        <v>56</v>
      </c>
      <c r="H144" s="67" t="s">
        <v>141</v>
      </c>
      <c r="I144" s="36"/>
      <c r="T144" s="37"/>
    </row>
    <row r="145" spans="1:20" s="37" customFormat="1" x14ac:dyDescent="0.25">
      <c r="A145" s="265"/>
      <c r="B145" s="209"/>
      <c r="C145" s="209"/>
      <c r="D145" s="229"/>
      <c r="E145" s="209"/>
      <c r="F145" s="209"/>
      <c r="G145" s="221"/>
      <c r="H145" s="78">
        <v>0.5</v>
      </c>
      <c r="I145" s="36"/>
    </row>
    <row r="146" spans="1:20" s="70" customFormat="1" x14ac:dyDescent="0.25">
      <c r="A146" s="101" t="s">
        <v>304</v>
      </c>
      <c r="B146" s="102"/>
      <c r="C146" s="102"/>
      <c r="D146" s="102"/>
      <c r="E146" s="102"/>
      <c r="F146" s="102"/>
      <c r="G146" s="102"/>
      <c r="H146" s="103"/>
      <c r="J146" s="36"/>
    </row>
    <row r="147" spans="1:20" s="37" customFormat="1" x14ac:dyDescent="0.25">
      <c r="A147" s="101" t="s">
        <v>349</v>
      </c>
      <c r="B147" s="102"/>
      <c r="C147" s="102"/>
      <c r="D147" s="102"/>
      <c r="E147" s="102"/>
      <c r="F147" s="102"/>
      <c r="G147" s="102"/>
      <c r="H147" s="103"/>
      <c r="I147" s="37">
        <f>6000*H153</f>
        <v>3139266.7799999993</v>
      </c>
      <c r="J147" s="36"/>
      <c r="L147" s="71"/>
      <c r="M147" s="71"/>
    </row>
    <row r="148" spans="1:20" s="70" customFormat="1" x14ac:dyDescent="0.25">
      <c r="A148" s="101" t="s">
        <v>350</v>
      </c>
      <c r="B148" s="102"/>
      <c r="C148" s="102"/>
      <c r="D148" s="102"/>
      <c r="E148" s="102"/>
      <c r="F148" s="102"/>
      <c r="G148" s="102"/>
      <c r="H148" s="103"/>
      <c r="J148" s="36"/>
      <c r="K148" s="70">
        <v>6000</v>
      </c>
      <c r="L148" s="71">
        <v>400000</v>
      </c>
      <c r="M148" s="71"/>
    </row>
    <row r="149" spans="1:20" s="37" customFormat="1" ht="15.75" customHeight="1" x14ac:dyDescent="0.25">
      <c r="A149" s="104">
        <v>1</v>
      </c>
      <c r="B149" s="105"/>
      <c r="C149" s="86" t="s">
        <v>307</v>
      </c>
      <c r="D149" s="86">
        <f>(40.597)*10.764</f>
        <v>436.986108</v>
      </c>
      <c r="E149" s="42">
        <v>0</v>
      </c>
      <c r="F149" s="42">
        <f t="shared" ref="F149:F157" si="2">D149+E149</f>
        <v>436.986108</v>
      </c>
      <c r="G149" s="57">
        <v>0</v>
      </c>
      <c r="H149" s="57">
        <f t="shared" ref="H149:H157" si="3">F149*(($H$145)+1)+(IF(G149&lt;101,G149,IF(G149&lt;201,G149/2,IF(G149&lt;=301,G149/3,G149/4))))</f>
        <v>655.47916199999997</v>
      </c>
      <c r="I149" s="36">
        <f>4.5*2.75+2.4*2.4+3.4*2.75+2.1*1.2+1.2*2.4+0.9*2.4+2.15*1.75</f>
        <v>38.807500000000005</v>
      </c>
      <c r="J149" s="69">
        <v>10.763999999999999</v>
      </c>
      <c r="K149" s="37">
        <f>K$148*H149</f>
        <v>3932874.9720000001</v>
      </c>
      <c r="L149" s="36">
        <f>L$148+K149</f>
        <v>4332874.9720000001</v>
      </c>
      <c r="M149" s="71"/>
      <c r="N149" s="36"/>
    </row>
    <row r="150" spans="1:20" s="37" customFormat="1" ht="15.75" customHeight="1" x14ac:dyDescent="0.25">
      <c r="A150" s="104">
        <v>2</v>
      </c>
      <c r="B150" s="105"/>
      <c r="C150" s="86" t="s">
        <v>307</v>
      </c>
      <c r="D150" s="86">
        <f>(40.597)*10.764</f>
        <v>436.986108</v>
      </c>
      <c r="E150" s="42">
        <v>0</v>
      </c>
      <c r="F150" s="57">
        <f t="shared" si="2"/>
        <v>436.986108</v>
      </c>
      <c r="G150" s="57">
        <v>0</v>
      </c>
      <c r="H150" s="57">
        <f t="shared" si="3"/>
        <v>655.47916199999997</v>
      </c>
      <c r="I150" s="36"/>
      <c r="K150" s="87">
        <f t="shared" ref="K150:K170" si="4">K$148*H150</f>
        <v>3932874.9720000001</v>
      </c>
      <c r="L150" s="36">
        <f t="shared" ref="L150:L167" si="5">L$148+K150</f>
        <v>4332874.9720000001</v>
      </c>
      <c r="M150" s="71"/>
      <c r="N150" s="36"/>
    </row>
    <row r="151" spans="1:20" s="37" customFormat="1" ht="15.75" customHeight="1" x14ac:dyDescent="0.25">
      <c r="A151" s="104">
        <v>3</v>
      </c>
      <c r="B151" s="105"/>
      <c r="C151" s="86" t="s">
        <v>305</v>
      </c>
      <c r="D151" s="86">
        <f>(33.7)*10.764</f>
        <v>362.74680000000001</v>
      </c>
      <c r="E151" s="42">
        <v>0</v>
      </c>
      <c r="F151" s="57">
        <f t="shared" si="2"/>
        <v>362.74680000000001</v>
      </c>
      <c r="G151" s="57">
        <v>0</v>
      </c>
      <c r="H151" s="57">
        <f t="shared" si="3"/>
        <v>544.12020000000007</v>
      </c>
      <c r="I151" s="36"/>
      <c r="K151" s="87">
        <f t="shared" si="4"/>
        <v>3264721.2</v>
      </c>
      <c r="L151" s="36">
        <f t="shared" si="5"/>
        <v>3664721.2</v>
      </c>
      <c r="M151" s="71"/>
      <c r="N151" s="36"/>
    </row>
    <row r="152" spans="1:20" s="37" customFormat="1" ht="15.75" customHeight="1" x14ac:dyDescent="0.25">
      <c r="A152" s="104">
        <v>4</v>
      </c>
      <c r="B152" s="105"/>
      <c r="C152" s="86" t="s">
        <v>307</v>
      </c>
      <c r="D152" s="86">
        <f>(43.273)*10.764</f>
        <v>465.790572</v>
      </c>
      <c r="E152" s="42">
        <v>0</v>
      </c>
      <c r="F152" s="57">
        <f t="shared" si="2"/>
        <v>465.790572</v>
      </c>
      <c r="G152" s="57">
        <v>0</v>
      </c>
      <c r="H152" s="57">
        <f t="shared" si="3"/>
        <v>698.68585800000005</v>
      </c>
      <c r="I152" s="36">
        <f>3*2.75*10.764</f>
        <v>88.802999999999997</v>
      </c>
      <c r="K152" s="87">
        <f t="shared" si="4"/>
        <v>4192115.1480000005</v>
      </c>
      <c r="L152" s="36">
        <f t="shared" si="5"/>
        <v>4592115.148</v>
      </c>
      <c r="M152" s="71"/>
      <c r="N152" s="36"/>
      <c r="T152" s="21"/>
    </row>
    <row r="153" spans="1:20" s="70" customFormat="1" ht="15.75" customHeight="1" x14ac:dyDescent="0.25">
      <c r="A153" s="104">
        <v>5</v>
      </c>
      <c r="B153" s="105"/>
      <c r="C153" s="86" t="s">
        <v>305</v>
      </c>
      <c r="D153" s="86">
        <f>(32.405)*10.764</f>
        <v>348.80741999999998</v>
      </c>
      <c r="E153" s="69">
        <v>0</v>
      </c>
      <c r="F153" s="69">
        <f t="shared" si="2"/>
        <v>348.80741999999998</v>
      </c>
      <c r="G153" s="69">
        <v>0</v>
      </c>
      <c r="H153" s="69">
        <f t="shared" si="3"/>
        <v>523.21112999999991</v>
      </c>
      <c r="I153" s="36">
        <f>4.5*2.75+2*2.1+3*2.75+1.8*1.2+1.8*1.2+0.9*2.1</f>
        <v>31.035</v>
      </c>
      <c r="K153" s="87">
        <f t="shared" si="4"/>
        <v>3139266.7799999993</v>
      </c>
      <c r="L153" s="36">
        <f t="shared" si="5"/>
        <v>3539266.7799999993</v>
      </c>
      <c r="M153" s="71"/>
      <c r="N153" s="36"/>
    </row>
    <row r="154" spans="1:20" s="70" customFormat="1" ht="15.75" customHeight="1" x14ac:dyDescent="0.25">
      <c r="A154" s="104">
        <v>6</v>
      </c>
      <c r="B154" s="105"/>
      <c r="C154" s="86" t="s">
        <v>306</v>
      </c>
      <c r="D154" s="86">
        <f>(51.099)*10.764</f>
        <v>550.02963599999998</v>
      </c>
      <c r="E154" s="69">
        <v>0</v>
      </c>
      <c r="F154" s="69">
        <f t="shared" si="2"/>
        <v>550.02963599999998</v>
      </c>
      <c r="G154" s="69">
        <v>0</v>
      </c>
      <c r="H154" s="69">
        <f t="shared" si="3"/>
        <v>825.04445399999997</v>
      </c>
      <c r="I154" s="36"/>
      <c r="K154" s="87">
        <f t="shared" si="4"/>
        <v>4950266.7239999995</v>
      </c>
      <c r="L154" s="36">
        <f t="shared" si="5"/>
        <v>5350266.7239999995</v>
      </c>
      <c r="M154" s="72"/>
      <c r="N154" s="36"/>
    </row>
    <row r="155" spans="1:20" s="70" customFormat="1" ht="15.75" customHeight="1" x14ac:dyDescent="0.25">
      <c r="A155" s="104">
        <v>7</v>
      </c>
      <c r="B155" s="105"/>
      <c r="C155" s="86" t="s">
        <v>306</v>
      </c>
      <c r="D155" s="86">
        <f>(51.099)*10.764</f>
        <v>550.02963599999998</v>
      </c>
      <c r="E155" s="69">
        <v>0</v>
      </c>
      <c r="F155" s="69">
        <f t="shared" si="2"/>
        <v>550.02963599999998</v>
      </c>
      <c r="G155" s="69">
        <v>0</v>
      </c>
      <c r="H155" s="69">
        <f t="shared" si="3"/>
        <v>825.04445399999997</v>
      </c>
      <c r="I155" s="36">
        <f>4.7*3+2.3*2.5+3.3*3+3.2*3+2.1*1.2+1.8*1.2+1*0.9+0.9*1.2+2.1*1.2</f>
        <v>48.53</v>
      </c>
      <c r="K155" s="87">
        <f t="shared" si="4"/>
        <v>4950266.7239999995</v>
      </c>
      <c r="L155" s="36">
        <f t="shared" si="5"/>
        <v>5350266.7239999995</v>
      </c>
      <c r="M155" s="72"/>
      <c r="N155" s="36"/>
    </row>
    <row r="156" spans="1:20" s="70" customFormat="1" ht="15.75" customHeight="1" x14ac:dyDescent="0.25">
      <c r="A156" s="104">
        <v>8</v>
      </c>
      <c r="B156" s="105"/>
      <c r="C156" s="86" t="s">
        <v>305</v>
      </c>
      <c r="D156" s="86">
        <f>(32.329)*10.764</f>
        <v>347.98935599999999</v>
      </c>
      <c r="E156" s="69">
        <v>0</v>
      </c>
      <c r="F156" s="69">
        <f t="shared" si="2"/>
        <v>347.98935599999999</v>
      </c>
      <c r="G156" s="69">
        <v>0</v>
      </c>
      <c r="H156" s="69">
        <f t="shared" si="3"/>
        <v>521.98403399999995</v>
      </c>
      <c r="I156" s="36"/>
      <c r="K156" s="87">
        <f t="shared" si="4"/>
        <v>3131904.2039999999</v>
      </c>
      <c r="L156" s="36">
        <f t="shared" si="5"/>
        <v>3531904.2039999999</v>
      </c>
      <c r="M156" s="72"/>
      <c r="N156" s="36"/>
      <c r="T156" s="21"/>
    </row>
    <row r="157" spans="1:20" s="70" customFormat="1" ht="15.75" customHeight="1" x14ac:dyDescent="0.25">
      <c r="A157" s="104">
        <v>9</v>
      </c>
      <c r="B157" s="105"/>
      <c r="C157" s="86" t="s">
        <v>305</v>
      </c>
      <c r="D157" s="86">
        <f>(32.329)*10.764</f>
        <v>347.98935599999999</v>
      </c>
      <c r="E157" s="69">
        <v>0</v>
      </c>
      <c r="F157" s="69">
        <f t="shared" si="2"/>
        <v>347.98935599999999</v>
      </c>
      <c r="G157" s="69">
        <v>0</v>
      </c>
      <c r="H157" s="69">
        <f t="shared" si="3"/>
        <v>521.98403399999995</v>
      </c>
      <c r="I157" s="36"/>
      <c r="K157" s="87">
        <f t="shared" si="4"/>
        <v>3131904.2039999999</v>
      </c>
      <c r="L157" s="36">
        <f t="shared" si="5"/>
        <v>3531904.2039999999</v>
      </c>
      <c r="M157" s="72"/>
      <c r="N157" s="36"/>
      <c r="T157" s="21"/>
    </row>
    <row r="158" spans="1:20" s="87" customFormat="1" x14ac:dyDescent="0.25">
      <c r="A158" s="101" t="s">
        <v>355</v>
      </c>
      <c r="B158" s="102"/>
      <c r="C158" s="102"/>
      <c r="D158" s="102"/>
      <c r="E158" s="102"/>
      <c r="F158" s="102"/>
      <c r="G158" s="102"/>
      <c r="H158" s="103"/>
      <c r="J158" s="36"/>
      <c r="K158" s="87">
        <f>K$148*H158</f>
        <v>0</v>
      </c>
      <c r="L158" s="36">
        <f t="shared" si="5"/>
        <v>400000</v>
      </c>
    </row>
    <row r="159" spans="1:20" s="87" customFormat="1" ht="15.75" customHeight="1" x14ac:dyDescent="0.25">
      <c r="A159" s="104">
        <v>1</v>
      </c>
      <c r="B159" s="105"/>
      <c r="C159" s="86" t="s">
        <v>307</v>
      </c>
      <c r="D159" s="86">
        <f>(40.597)*10.764</f>
        <v>436.986108</v>
      </c>
      <c r="E159" s="86">
        <v>0</v>
      </c>
      <c r="F159" s="86">
        <f t="shared" ref="F159:F167" si="6">D159+E159</f>
        <v>436.986108</v>
      </c>
      <c r="G159" s="86">
        <v>0</v>
      </c>
      <c r="H159" s="86">
        <f t="shared" ref="H159:H167" si="7">F159*(($H$145)+1)+(IF(G159&lt;101,G159,IF(G159&lt;201,G159/2,IF(G159&lt;=301,G159/3,G159/4))))</f>
        <v>655.47916199999997</v>
      </c>
      <c r="I159" s="36">
        <f>4.5*2.75+2.4*2.4+3.4*2.75+2.1*1.2+1.2*2.4+0.9*2.4+2.15*1.75</f>
        <v>38.807500000000005</v>
      </c>
      <c r="J159" s="86">
        <v>10.763999999999999</v>
      </c>
      <c r="K159" s="87">
        <f t="shared" si="4"/>
        <v>3932874.9720000001</v>
      </c>
      <c r="L159" s="36">
        <f t="shared" si="5"/>
        <v>4332874.9720000001</v>
      </c>
      <c r="N159" s="36"/>
    </row>
    <row r="160" spans="1:20" s="87" customFormat="1" ht="15.75" customHeight="1" x14ac:dyDescent="0.25">
      <c r="A160" s="104">
        <v>2</v>
      </c>
      <c r="B160" s="105"/>
      <c r="C160" s="86" t="s">
        <v>307</v>
      </c>
      <c r="D160" s="86">
        <f>(40.597)*10.764</f>
        <v>436.986108</v>
      </c>
      <c r="E160" s="86">
        <v>0</v>
      </c>
      <c r="F160" s="86">
        <f t="shared" si="6"/>
        <v>436.986108</v>
      </c>
      <c r="G160" s="86">
        <v>0</v>
      </c>
      <c r="H160" s="86">
        <f t="shared" si="7"/>
        <v>655.47916199999997</v>
      </c>
      <c r="I160" s="36"/>
      <c r="K160" s="87">
        <f t="shared" si="4"/>
        <v>3932874.9720000001</v>
      </c>
      <c r="L160" s="36">
        <f t="shared" si="5"/>
        <v>4332874.9720000001</v>
      </c>
      <c r="N160" s="36"/>
    </row>
    <row r="161" spans="1:20" s="87" customFormat="1" ht="15.75" customHeight="1" x14ac:dyDescent="0.25">
      <c r="A161" s="104">
        <v>3</v>
      </c>
      <c r="B161" s="105"/>
      <c r="C161" s="86" t="s">
        <v>305</v>
      </c>
      <c r="D161" s="86">
        <f>(33.7)*10.764</f>
        <v>362.74680000000001</v>
      </c>
      <c r="E161" s="86">
        <v>0</v>
      </c>
      <c r="F161" s="86">
        <f t="shared" si="6"/>
        <v>362.74680000000001</v>
      </c>
      <c r="G161" s="86">
        <v>0</v>
      </c>
      <c r="H161" s="86">
        <f t="shared" si="7"/>
        <v>544.12020000000007</v>
      </c>
      <c r="I161" s="36"/>
      <c r="K161" s="87">
        <f t="shared" si="4"/>
        <v>3264721.2</v>
      </c>
      <c r="L161" s="36">
        <f t="shared" si="5"/>
        <v>3664721.2</v>
      </c>
      <c r="N161" s="36"/>
    </row>
    <row r="162" spans="1:20" s="87" customFormat="1" ht="15.75" customHeight="1" x14ac:dyDescent="0.25">
      <c r="A162" s="104">
        <v>4</v>
      </c>
      <c r="B162" s="105"/>
      <c r="C162" s="86" t="s">
        <v>307</v>
      </c>
      <c r="D162" s="86">
        <f>(43.273)*10.764</f>
        <v>465.790572</v>
      </c>
      <c r="E162" s="86">
        <v>0</v>
      </c>
      <c r="F162" s="86">
        <f t="shared" si="6"/>
        <v>465.790572</v>
      </c>
      <c r="G162" s="86">
        <v>0</v>
      </c>
      <c r="H162" s="86">
        <f t="shared" si="7"/>
        <v>698.68585800000005</v>
      </c>
      <c r="I162" s="36"/>
      <c r="K162" s="87">
        <f>K$148*H162</f>
        <v>4192115.1480000005</v>
      </c>
      <c r="L162" s="36">
        <f t="shared" si="5"/>
        <v>4592115.148</v>
      </c>
      <c r="N162" s="36"/>
      <c r="T162" s="21"/>
    </row>
    <row r="163" spans="1:20" s="87" customFormat="1" ht="15.75" customHeight="1" x14ac:dyDescent="0.25">
      <c r="A163" s="104">
        <v>5</v>
      </c>
      <c r="B163" s="105"/>
      <c r="C163" s="86" t="s">
        <v>305</v>
      </c>
      <c r="D163" s="86">
        <f>(32.405)*10.764</f>
        <v>348.80741999999998</v>
      </c>
      <c r="E163" s="86">
        <v>0</v>
      </c>
      <c r="F163" s="86">
        <f t="shared" si="6"/>
        <v>348.80741999999998</v>
      </c>
      <c r="G163" s="86">
        <v>0</v>
      </c>
      <c r="H163" s="86">
        <f t="shared" si="7"/>
        <v>523.21112999999991</v>
      </c>
      <c r="I163" s="36">
        <f>4.5*2.75+2*2.1+3*2.75+1.8*1.2+1.8*1.2+0.9*2.1</f>
        <v>31.035</v>
      </c>
      <c r="K163" s="87">
        <f t="shared" si="4"/>
        <v>3139266.7799999993</v>
      </c>
      <c r="L163" s="36">
        <f t="shared" si="5"/>
        <v>3539266.7799999993</v>
      </c>
      <c r="N163" s="36"/>
    </row>
    <row r="164" spans="1:20" s="87" customFormat="1" ht="15.75" customHeight="1" x14ac:dyDescent="0.25">
      <c r="A164" s="104">
        <v>6</v>
      </c>
      <c r="B164" s="105"/>
      <c r="C164" s="86" t="s">
        <v>306</v>
      </c>
      <c r="D164" s="86">
        <f>(51.099)*10.764</f>
        <v>550.02963599999998</v>
      </c>
      <c r="E164" s="86">
        <v>0</v>
      </c>
      <c r="F164" s="86">
        <f t="shared" si="6"/>
        <v>550.02963599999998</v>
      </c>
      <c r="G164" s="86">
        <v>0</v>
      </c>
      <c r="H164" s="86">
        <f t="shared" si="7"/>
        <v>825.04445399999997</v>
      </c>
      <c r="I164" s="36"/>
      <c r="K164" s="87">
        <f t="shared" si="4"/>
        <v>4950266.7239999995</v>
      </c>
      <c r="L164" s="36">
        <f t="shared" si="5"/>
        <v>5350266.7239999995</v>
      </c>
      <c r="M164" s="72"/>
      <c r="N164" s="36"/>
    </row>
    <row r="165" spans="1:20" s="87" customFormat="1" ht="15.75" customHeight="1" x14ac:dyDescent="0.25">
      <c r="A165" s="104">
        <v>7</v>
      </c>
      <c r="B165" s="105"/>
      <c r="C165" s="86" t="s">
        <v>306</v>
      </c>
      <c r="D165" s="86">
        <f>(51.099)*10.764</f>
        <v>550.02963599999998</v>
      </c>
      <c r="E165" s="86">
        <v>0</v>
      </c>
      <c r="F165" s="86">
        <f t="shared" si="6"/>
        <v>550.02963599999998</v>
      </c>
      <c r="G165" s="86">
        <v>0</v>
      </c>
      <c r="H165" s="86">
        <f t="shared" si="7"/>
        <v>825.04445399999997</v>
      </c>
      <c r="I165" s="36">
        <f>4.7*3+2.3*2.5+3.3*3+3.2*3+2.1*1.2+1.8*1.2+1*0.9+0.9*1.2+2.1*1.2</f>
        <v>48.53</v>
      </c>
      <c r="K165" s="87">
        <f t="shared" si="4"/>
        <v>4950266.7239999995</v>
      </c>
      <c r="L165" s="36">
        <f t="shared" si="5"/>
        <v>5350266.7239999995</v>
      </c>
      <c r="M165" s="72"/>
      <c r="N165" s="36"/>
    </row>
    <row r="166" spans="1:20" s="87" customFormat="1" ht="15.75" customHeight="1" x14ac:dyDescent="0.25">
      <c r="A166" s="104">
        <v>8</v>
      </c>
      <c r="B166" s="105"/>
      <c r="C166" s="86" t="s">
        <v>305</v>
      </c>
      <c r="D166" s="86">
        <f>(32.329)*10.764</f>
        <v>347.98935599999999</v>
      </c>
      <c r="E166" s="86">
        <v>0</v>
      </c>
      <c r="F166" s="86">
        <f t="shared" si="6"/>
        <v>347.98935599999999</v>
      </c>
      <c r="G166" s="86">
        <v>0</v>
      </c>
      <c r="H166" s="86">
        <f t="shared" si="7"/>
        <v>521.98403399999995</v>
      </c>
      <c r="I166" s="36"/>
      <c r="K166" s="87">
        <f t="shared" si="4"/>
        <v>3131904.2039999999</v>
      </c>
      <c r="L166" s="36">
        <f t="shared" si="5"/>
        <v>3531904.2039999999</v>
      </c>
      <c r="M166" s="72"/>
      <c r="N166" s="36"/>
      <c r="T166" s="21"/>
    </row>
    <row r="167" spans="1:20" s="87" customFormat="1" ht="15.75" customHeight="1" x14ac:dyDescent="0.25">
      <c r="A167" s="104">
        <v>9</v>
      </c>
      <c r="B167" s="105"/>
      <c r="C167" s="86" t="s">
        <v>305</v>
      </c>
      <c r="D167" s="86">
        <f>(32.329)*10.764</f>
        <v>347.98935599999999</v>
      </c>
      <c r="E167" s="86">
        <v>0</v>
      </c>
      <c r="F167" s="86">
        <f t="shared" si="6"/>
        <v>347.98935599999999</v>
      </c>
      <c r="G167" s="86">
        <v>0</v>
      </c>
      <c r="H167" s="86">
        <f t="shared" si="7"/>
        <v>521.98403399999995</v>
      </c>
      <c r="I167" s="36"/>
      <c r="K167" s="87">
        <f t="shared" si="4"/>
        <v>3131904.2039999999</v>
      </c>
      <c r="L167" s="36">
        <f t="shared" si="5"/>
        <v>3531904.2039999999</v>
      </c>
      <c r="M167" s="72"/>
      <c r="N167" s="36"/>
      <c r="T167" s="21"/>
    </row>
    <row r="168" spans="1:20" s="70" customFormat="1" x14ac:dyDescent="0.25">
      <c r="A168" s="111" t="s">
        <v>312</v>
      </c>
      <c r="B168" s="111"/>
      <c r="C168" s="111"/>
      <c r="D168" s="111"/>
      <c r="E168" s="111"/>
      <c r="F168" s="111"/>
      <c r="G168" s="111"/>
      <c r="H168" s="111"/>
      <c r="I168" s="36"/>
      <c r="K168" s="87">
        <f t="shared" si="4"/>
        <v>0</v>
      </c>
      <c r="L168" s="72"/>
      <c r="M168" s="72"/>
    </row>
    <row r="169" spans="1:20" s="70" customFormat="1" ht="15.75" customHeight="1" x14ac:dyDescent="0.25">
      <c r="A169" s="104">
        <v>1</v>
      </c>
      <c r="B169" s="105"/>
      <c r="C169" s="104" t="s">
        <v>308</v>
      </c>
      <c r="D169" s="106"/>
      <c r="E169" s="106"/>
      <c r="F169" s="106"/>
      <c r="G169" s="106"/>
      <c r="H169" s="105"/>
      <c r="I169" s="36"/>
      <c r="K169" s="87">
        <f t="shared" si="4"/>
        <v>0</v>
      </c>
      <c r="L169" s="71"/>
      <c r="M169" s="71"/>
      <c r="N169" s="36"/>
    </row>
    <row r="170" spans="1:20" s="70" customFormat="1" ht="15.75" customHeight="1" x14ac:dyDescent="0.25">
      <c r="A170" s="104">
        <v>2</v>
      </c>
      <c r="B170" s="105"/>
      <c r="C170" s="86" t="s">
        <v>307</v>
      </c>
      <c r="D170" s="86">
        <f>(40.597)*10.764</f>
        <v>436.986108</v>
      </c>
      <c r="E170" s="69">
        <v>0</v>
      </c>
      <c r="F170" s="69">
        <f t="shared" ref="F170:F177" si="8">D170+E170</f>
        <v>436.986108</v>
      </c>
      <c r="G170" s="69">
        <v>0</v>
      </c>
      <c r="H170" s="69">
        <f t="shared" ref="H170:H177" si="9">F170*(($H$145)+1)+(IF(G170&lt;101,G170,IF(G170&lt;201,G170/2,IF(G170&lt;=301,G170/3,G170/4))))</f>
        <v>655.47916199999997</v>
      </c>
      <c r="I170" s="36"/>
      <c r="K170" s="87">
        <f t="shared" si="4"/>
        <v>3932874.9720000001</v>
      </c>
      <c r="L170" s="71"/>
      <c r="M170" s="71"/>
      <c r="N170" s="36"/>
    </row>
    <row r="171" spans="1:20" s="70" customFormat="1" ht="15.75" customHeight="1" x14ac:dyDescent="0.25">
      <c r="A171" s="104">
        <v>3</v>
      </c>
      <c r="B171" s="105"/>
      <c r="C171" s="86" t="s">
        <v>305</v>
      </c>
      <c r="D171" s="86">
        <f>(33.7)*10.764</f>
        <v>362.74680000000001</v>
      </c>
      <c r="E171" s="69">
        <v>0</v>
      </c>
      <c r="F171" s="69">
        <f t="shared" si="8"/>
        <v>362.74680000000001</v>
      </c>
      <c r="G171" s="69">
        <v>0</v>
      </c>
      <c r="H171" s="69">
        <f t="shared" si="9"/>
        <v>544.12020000000007</v>
      </c>
      <c r="I171" s="36"/>
      <c r="K171" s="87">
        <f>K$148*H171</f>
        <v>3264721.2</v>
      </c>
      <c r="L171" s="71"/>
      <c r="M171" s="71"/>
      <c r="N171" s="36"/>
    </row>
    <row r="172" spans="1:20" s="70" customFormat="1" ht="15.75" customHeight="1" x14ac:dyDescent="0.25">
      <c r="A172" s="104">
        <v>4</v>
      </c>
      <c r="B172" s="105"/>
      <c r="C172" s="86" t="s">
        <v>307</v>
      </c>
      <c r="D172" s="86">
        <f>(43.273)*10.764</f>
        <v>465.790572</v>
      </c>
      <c r="E172" s="69">
        <v>0</v>
      </c>
      <c r="F172" s="69">
        <f t="shared" si="8"/>
        <v>465.790572</v>
      </c>
      <c r="G172" s="69">
        <v>0</v>
      </c>
      <c r="H172" s="69">
        <f t="shared" si="9"/>
        <v>698.68585800000005</v>
      </c>
      <c r="I172" s="36"/>
      <c r="L172" s="71"/>
      <c r="M172" s="71"/>
      <c r="N172" s="36"/>
    </row>
    <row r="173" spans="1:20" s="70" customFormat="1" ht="15.75" customHeight="1" x14ac:dyDescent="0.25">
      <c r="A173" s="104">
        <v>5</v>
      </c>
      <c r="B173" s="105"/>
      <c r="C173" s="86" t="s">
        <v>305</v>
      </c>
      <c r="D173" s="86">
        <f>(32.405)*10.764</f>
        <v>348.80741999999998</v>
      </c>
      <c r="E173" s="69">
        <v>0</v>
      </c>
      <c r="F173" s="69">
        <f t="shared" si="8"/>
        <v>348.80741999999998</v>
      </c>
      <c r="G173" s="69">
        <v>0</v>
      </c>
      <c r="H173" s="69">
        <f t="shared" si="9"/>
        <v>523.21112999999991</v>
      </c>
      <c r="I173" s="36"/>
      <c r="L173" s="71"/>
      <c r="M173" s="71"/>
      <c r="N173" s="36"/>
    </row>
    <row r="174" spans="1:20" s="70" customFormat="1" ht="15.75" customHeight="1" x14ac:dyDescent="0.25">
      <c r="A174" s="104">
        <v>6</v>
      </c>
      <c r="B174" s="105"/>
      <c r="C174" s="86" t="s">
        <v>306</v>
      </c>
      <c r="D174" s="86">
        <f>(51.099)*10.764</f>
        <v>550.02963599999998</v>
      </c>
      <c r="E174" s="69">
        <v>0</v>
      </c>
      <c r="F174" s="69">
        <f t="shared" si="8"/>
        <v>550.02963599999998</v>
      </c>
      <c r="G174" s="69">
        <v>0</v>
      </c>
      <c r="H174" s="69">
        <f t="shared" si="9"/>
        <v>825.04445399999997</v>
      </c>
      <c r="I174" s="36"/>
      <c r="L174" s="71"/>
      <c r="M174" s="71"/>
      <c r="N174" s="36"/>
    </row>
    <row r="175" spans="1:20" s="70" customFormat="1" ht="15.75" customHeight="1" x14ac:dyDescent="0.25">
      <c r="A175" s="104">
        <v>7</v>
      </c>
      <c r="B175" s="105"/>
      <c r="C175" s="86" t="s">
        <v>306</v>
      </c>
      <c r="D175" s="86">
        <f>(51.099)*10.764</f>
        <v>550.02963599999998</v>
      </c>
      <c r="E175" s="69">
        <v>0</v>
      </c>
      <c r="F175" s="69">
        <f t="shared" si="8"/>
        <v>550.02963599999998</v>
      </c>
      <c r="G175" s="69">
        <v>0</v>
      </c>
      <c r="H175" s="69">
        <f t="shared" si="9"/>
        <v>825.04445399999997</v>
      </c>
      <c r="I175" s="36"/>
      <c r="L175" s="71"/>
      <c r="M175" s="71"/>
      <c r="N175" s="36"/>
    </row>
    <row r="176" spans="1:20" s="70" customFormat="1" ht="15.75" customHeight="1" x14ac:dyDescent="0.25">
      <c r="A176" s="104">
        <v>8</v>
      </c>
      <c r="B176" s="105"/>
      <c r="C176" s="86" t="s">
        <v>305</v>
      </c>
      <c r="D176" s="86">
        <f>(32.329)*10.764</f>
        <v>347.98935599999999</v>
      </c>
      <c r="E176" s="69">
        <v>0</v>
      </c>
      <c r="F176" s="69">
        <f t="shared" si="8"/>
        <v>347.98935599999999</v>
      </c>
      <c r="G176" s="69">
        <v>0</v>
      </c>
      <c r="H176" s="69">
        <f t="shared" si="9"/>
        <v>521.98403399999995</v>
      </c>
      <c r="I176" s="36"/>
      <c r="L176" s="71"/>
      <c r="M176" s="71"/>
      <c r="N176" s="36"/>
    </row>
    <row r="177" spans="1:14" s="70" customFormat="1" ht="15.75" customHeight="1" x14ac:dyDescent="0.25">
      <c r="A177" s="104">
        <v>9</v>
      </c>
      <c r="B177" s="105"/>
      <c r="C177" s="86" t="s">
        <v>305</v>
      </c>
      <c r="D177" s="86">
        <f>(32.329)*10.764</f>
        <v>347.98935599999999</v>
      </c>
      <c r="E177" s="69">
        <v>0</v>
      </c>
      <c r="F177" s="69">
        <f t="shared" si="8"/>
        <v>347.98935599999999</v>
      </c>
      <c r="G177" s="69">
        <v>0</v>
      </c>
      <c r="H177" s="69">
        <f t="shared" si="9"/>
        <v>521.98403399999995</v>
      </c>
      <c r="I177" s="36"/>
      <c r="L177" s="71"/>
      <c r="M177" s="71"/>
      <c r="N177" s="36"/>
    </row>
    <row r="178" spans="1:14" s="37" customFormat="1" ht="15.75" customHeight="1" x14ac:dyDescent="0.25">
      <c r="A178" s="101" t="s">
        <v>356</v>
      </c>
      <c r="B178" s="102"/>
      <c r="C178" s="102"/>
      <c r="D178" s="102"/>
      <c r="E178" s="102"/>
      <c r="F178" s="102"/>
      <c r="G178" s="102"/>
      <c r="H178" s="103"/>
      <c r="I178" s="36"/>
      <c r="L178" s="71"/>
      <c r="M178" s="71"/>
    </row>
    <row r="179" spans="1:14" s="37" customFormat="1" ht="15.75" customHeight="1" x14ac:dyDescent="0.25">
      <c r="A179" s="104">
        <v>1</v>
      </c>
      <c r="B179" s="105"/>
      <c r="C179" s="86" t="s">
        <v>307</v>
      </c>
      <c r="D179" s="86">
        <f>(40.597)*10.764</f>
        <v>436.986108</v>
      </c>
      <c r="E179" s="57">
        <v>0</v>
      </c>
      <c r="F179" s="57">
        <f t="shared" ref="F179:F187" si="10">D179+E179</f>
        <v>436.986108</v>
      </c>
      <c r="G179" s="57">
        <v>0</v>
      </c>
      <c r="H179" s="57">
        <f t="shared" ref="H179:H187" si="11">F179*(($H$145)+1)+(IF(G179&lt;101,G179,IF(G179&lt;201,G179/2,IF(G179&lt;=301,G179/3,G179/4))))</f>
        <v>655.47916199999997</v>
      </c>
      <c r="I179" s="36"/>
      <c r="L179" s="71"/>
      <c r="M179" s="71"/>
    </row>
    <row r="180" spans="1:14" s="37" customFormat="1" ht="15.75" customHeight="1" x14ac:dyDescent="0.25">
      <c r="A180" s="104">
        <v>2</v>
      </c>
      <c r="B180" s="105"/>
      <c r="C180" s="86" t="s">
        <v>307</v>
      </c>
      <c r="D180" s="86">
        <f>(40.597)*10.764</f>
        <v>436.986108</v>
      </c>
      <c r="E180" s="57">
        <v>0</v>
      </c>
      <c r="F180" s="57">
        <f t="shared" si="10"/>
        <v>436.986108</v>
      </c>
      <c r="G180" s="57">
        <v>0</v>
      </c>
      <c r="H180" s="57">
        <f t="shared" si="11"/>
        <v>655.47916199999997</v>
      </c>
      <c r="I180" s="36"/>
      <c r="L180" s="71"/>
      <c r="M180" s="71"/>
    </row>
    <row r="181" spans="1:14" s="37" customFormat="1" ht="15.75" customHeight="1" x14ac:dyDescent="0.25">
      <c r="A181" s="104">
        <v>3</v>
      </c>
      <c r="B181" s="105"/>
      <c r="C181" s="86" t="s">
        <v>305</v>
      </c>
      <c r="D181" s="86">
        <f>(33.7)*10.764</f>
        <v>362.74680000000001</v>
      </c>
      <c r="E181" s="57">
        <v>0</v>
      </c>
      <c r="F181" s="57">
        <f t="shared" si="10"/>
        <v>362.74680000000001</v>
      </c>
      <c r="G181" s="57">
        <v>0</v>
      </c>
      <c r="H181" s="57">
        <f t="shared" si="11"/>
        <v>544.12020000000007</v>
      </c>
      <c r="I181" s="36"/>
      <c r="L181" s="71"/>
      <c r="M181" s="71"/>
    </row>
    <row r="182" spans="1:14" s="37" customFormat="1" ht="15.75" customHeight="1" x14ac:dyDescent="0.25">
      <c r="A182" s="104">
        <v>4</v>
      </c>
      <c r="B182" s="105"/>
      <c r="C182" s="86" t="s">
        <v>307</v>
      </c>
      <c r="D182" s="86">
        <f>(43.273)*10.764</f>
        <v>465.790572</v>
      </c>
      <c r="E182" s="57">
        <v>0</v>
      </c>
      <c r="F182" s="57">
        <f t="shared" si="10"/>
        <v>465.790572</v>
      </c>
      <c r="G182" s="57">
        <v>0</v>
      </c>
      <c r="H182" s="57">
        <f t="shared" si="11"/>
        <v>698.68585800000005</v>
      </c>
      <c r="I182" s="36"/>
      <c r="L182" s="71"/>
      <c r="M182" s="71"/>
    </row>
    <row r="183" spans="1:14" s="37" customFormat="1" ht="15.75" customHeight="1" x14ac:dyDescent="0.25">
      <c r="A183" s="104">
        <v>5</v>
      </c>
      <c r="B183" s="105"/>
      <c r="C183" s="86" t="s">
        <v>305</v>
      </c>
      <c r="D183" s="86">
        <f>(32.405)*10.764</f>
        <v>348.80741999999998</v>
      </c>
      <c r="E183" s="57">
        <v>0</v>
      </c>
      <c r="F183" s="57">
        <f t="shared" si="10"/>
        <v>348.80741999999998</v>
      </c>
      <c r="G183" s="57">
        <v>0</v>
      </c>
      <c r="H183" s="57">
        <f t="shared" si="11"/>
        <v>523.21112999999991</v>
      </c>
      <c r="I183" s="36"/>
      <c r="L183" s="71"/>
      <c r="M183" s="71"/>
    </row>
    <row r="184" spans="1:14" s="70" customFormat="1" ht="15.75" customHeight="1" x14ac:dyDescent="0.25">
      <c r="A184" s="104">
        <v>6</v>
      </c>
      <c r="B184" s="105"/>
      <c r="C184" s="86" t="s">
        <v>306</v>
      </c>
      <c r="D184" s="86">
        <f>(51.099)*10.764</f>
        <v>550.02963599999998</v>
      </c>
      <c r="E184" s="69">
        <v>0</v>
      </c>
      <c r="F184" s="69">
        <f t="shared" si="10"/>
        <v>550.02963599999998</v>
      </c>
      <c r="G184" s="69">
        <v>0</v>
      </c>
      <c r="H184" s="69">
        <f t="shared" si="11"/>
        <v>825.04445399999997</v>
      </c>
      <c r="I184" s="36"/>
      <c r="L184" s="71"/>
      <c r="M184" s="71"/>
    </row>
    <row r="185" spans="1:14" s="70" customFormat="1" ht="15.75" customHeight="1" x14ac:dyDescent="0.25">
      <c r="A185" s="104">
        <v>7</v>
      </c>
      <c r="B185" s="105"/>
      <c r="C185" s="86" t="s">
        <v>306</v>
      </c>
      <c r="D185" s="86">
        <f>(51.099)*10.764</f>
        <v>550.02963599999998</v>
      </c>
      <c r="E185" s="69">
        <v>0</v>
      </c>
      <c r="F185" s="69">
        <f t="shared" si="10"/>
        <v>550.02963599999998</v>
      </c>
      <c r="G185" s="69">
        <v>0</v>
      </c>
      <c r="H185" s="69">
        <f t="shared" si="11"/>
        <v>825.04445399999997</v>
      </c>
      <c r="I185" s="36"/>
      <c r="L185" s="71"/>
      <c r="M185" s="71"/>
    </row>
    <row r="186" spans="1:14" s="70" customFormat="1" ht="15.75" customHeight="1" x14ac:dyDescent="0.25">
      <c r="A186" s="104">
        <v>8</v>
      </c>
      <c r="B186" s="105"/>
      <c r="C186" s="86" t="s">
        <v>305</v>
      </c>
      <c r="D186" s="86">
        <f>(32.329)*10.764</f>
        <v>347.98935599999999</v>
      </c>
      <c r="E186" s="69">
        <v>0</v>
      </c>
      <c r="F186" s="69">
        <f t="shared" si="10"/>
        <v>347.98935599999999</v>
      </c>
      <c r="G186" s="69">
        <v>0</v>
      </c>
      <c r="H186" s="69">
        <f t="shared" si="11"/>
        <v>521.98403399999995</v>
      </c>
      <c r="I186" s="36"/>
      <c r="L186" s="71"/>
      <c r="M186" s="71"/>
    </row>
    <row r="187" spans="1:14" s="70" customFormat="1" ht="15.75" customHeight="1" x14ac:dyDescent="0.25">
      <c r="A187" s="104">
        <v>9</v>
      </c>
      <c r="B187" s="105"/>
      <c r="C187" s="86" t="s">
        <v>305</v>
      </c>
      <c r="D187" s="86">
        <f>(32.329)*10.764</f>
        <v>347.98935599999999</v>
      </c>
      <c r="E187" s="69">
        <v>0</v>
      </c>
      <c r="F187" s="69">
        <f t="shared" si="10"/>
        <v>347.98935599999999</v>
      </c>
      <c r="G187" s="69">
        <v>0</v>
      </c>
      <c r="H187" s="69">
        <f t="shared" si="11"/>
        <v>521.98403399999995</v>
      </c>
      <c r="I187" s="36"/>
      <c r="L187" s="71"/>
      <c r="M187" s="71"/>
    </row>
    <row r="188" spans="1:14" s="87" customFormat="1" ht="15.75" customHeight="1" x14ac:dyDescent="0.25">
      <c r="A188" s="101" t="s">
        <v>357</v>
      </c>
      <c r="B188" s="102"/>
      <c r="C188" s="102"/>
      <c r="D188" s="102"/>
      <c r="E188" s="102"/>
      <c r="F188" s="102"/>
      <c r="G188" s="102"/>
      <c r="H188" s="103"/>
      <c r="I188" s="36"/>
    </row>
    <row r="189" spans="1:14" s="87" customFormat="1" ht="15.75" customHeight="1" x14ac:dyDescent="0.25">
      <c r="A189" s="104">
        <v>1</v>
      </c>
      <c r="B189" s="105"/>
      <c r="C189" s="86" t="s">
        <v>307</v>
      </c>
      <c r="D189" s="86">
        <f>(40.597)*10.764</f>
        <v>436.986108</v>
      </c>
      <c r="E189" s="86">
        <v>0</v>
      </c>
      <c r="F189" s="86">
        <f t="shared" ref="F189:F197" si="12">D189+E189</f>
        <v>436.986108</v>
      </c>
      <c r="G189" s="86">
        <v>0</v>
      </c>
      <c r="H189" s="86">
        <f t="shared" ref="H189:H197" si="13">F189*(($H$145)+1)+(IF(G189&lt;101,G189,IF(G189&lt;201,G189/2,IF(G189&lt;=301,G189/3,G189/4))))</f>
        <v>655.47916199999997</v>
      </c>
      <c r="I189" s="36"/>
    </row>
    <row r="190" spans="1:14" s="87" customFormat="1" ht="15.75" customHeight="1" x14ac:dyDescent="0.25">
      <c r="A190" s="104">
        <v>2</v>
      </c>
      <c r="B190" s="105"/>
      <c r="C190" s="86" t="s">
        <v>307</v>
      </c>
      <c r="D190" s="86">
        <f>(40.597)*10.764</f>
        <v>436.986108</v>
      </c>
      <c r="E190" s="86">
        <v>0</v>
      </c>
      <c r="F190" s="86">
        <f t="shared" si="12"/>
        <v>436.986108</v>
      </c>
      <c r="G190" s="86">
        <v>0</v>
      </c>
      <c r="H190" s="86">
        <f t="shared" si="13"/>
        <v>655.47916199999997</v>
      </c>
      <c r="I190" s="36"/>
    </row>
    <row r="191" spans="1:14" s="87" customFormat="1" ht="15.75" customHeight="1" x14ac:dyDescent="0.25">
      <c r="A191" s="104">
        <v>3</v>
      </c>
      <c r="B191" s="105"/>
      <c r="C191" s="86" t="s">
        <v>305</v>
      </c>
      <c r="D191" s="86">
        <f>(33.7)*10.764</f>
        <v>362.74680000000001</v>
      </c>
      <c r="E191" s="86">
        <v>0</v>
      </c>
      <c r="F191" s="86">
        <f t="shared" si="12"/>
        <v>362.74680000000001</v>
      </c>
      <c r="G191" s="86">
        <v>0</v>
      </c>
      <c r="H191" s="86">
        <f t="shared" si="13"/>
        <v>544.12020000000007</v>
      </c>
      <c r="I191" s="36"/>
    </row>
    <row r="192" spans="1:14" s="87" customFormat="1" ht="15.75" customHeight="1" x14ac:dyDescent="0.25">
      <c r="A192" s="104">
        <v>4</v>
      </c>
      <c r="B192" s="105"/>
      <c r="C192" s="86" t="s">
        <v>307</v>
      </c>
      <c r="D192" s="86">
        <f>(43.273)*10.764</f>
        <v>465.790572</v>
      </c>
      <c r="E192" s="86">
        <v>0</v>
      </c>
      <c r="F192" s="86">
        <f t="shared" si="12"/>
        <v>465.790572</v>
      </c>
      <c r="G192" s="86">
        <v>0</v>
      </c>
      <c r="H192" s="86">
        <f t="shared" si="13"/>
        <v>698.68585800000005</v>
      </c>
      <c r="I192" s="36"/>
    </row>
    <row r="193" spans="1:13" s="87" customFormat="1" ht="15.75" customHeight="1" x14ac:dyDescent="0.25">
      <c r="A193" s="104">
        <v>5</v>
      </c>
      <c r="B193" s="105"/>
      <c r="C193" s="86" t="s">
        <v>305</v>
      </c>
      <c r="D193" s="86">
        <f>(32.405)*10.764</f>
        <v>348.80741999999998</v>
      </c>
      <c r="E193" s="86">
        <v>0</v>
      </c>
      <c r="F193" s="86">
        <f t="shared" si="12"/>
        <v>348.80741999999998</v>
      </c>
      <c r="G193" s="86">
        <v>0</v>
      </c>
      <c r="H193" s="86">
        <f t="shared" si="13"/>
        <v>523.21112999999991</v>
      </c>
      <c r="I193" s="36"/>
    </row>
    <row r="194" spans="1:13" s="87" customFormat="1" ht="15.75" customHeight="1" x14ac:dyDescent="0.25">
      <c r="A194" s="104">
        <v>6</v>
      </c>
      <c r="B194" s="105"/>
      <c r="C194" s="86" t="s">
        <v>306</v>
      </c>
      <c r="D194" s="86">
        <f>(51.099)*10.764</f>
        <v>550.02963599999998</v>
      </c>
      <c r="E194" s="86">
        <v>0</v>
      </c>
      <c r="F194" s="86">
        <f t="shared" si="12"/>
        <v>550.02963599999998</v>
      </c>
      <c r="G194" s="86">
        <v>0</v>
      </c>
      <c r="H194" s="86">
        <f t="shared" si="13"/>
        <v>825.04445399999997</v>
      </c>
      <c r="I194" s="36"/>
    </row>
    <row r="195" spans="1:13" s="87" customFormat="1" ht="15.75" customHeight="1" x14ac:dyDescent="0.25">
      <c r="A195" s="104">
        <v>7</v>
      </c>
      <c r="B195" s="105"/>
      <c r="C195" s="86" t="s">
        <v>306</v>
      </c>
      <c r="D195" s="86">
        <f>(51.099)*10.764</f>
        <v>550.02963599999998</v>
      </c>
      <c r="E195" s="86">
        <v>0</v>
      </c>
      <c r="F195" s="86">
        <f t="shared" si="12"/>
        <v>550.02963599999998</v>
      </c>
      <c r="G195" s="86">
        <v>0</v>
      </c>
      <c r="H195" s="86">
        <f t="shared" si="13"/>
        <v>825.04445399999997</v>
      </c>
      <c r="I195" s="36"/>
    </row>
    <row r="196" spans="1:13" s="87" customFormat="1" ht="15.75" customHeight="1" x14ac:dyDescent="0.25">
      <c r="A196" s="104">
        <v>8</v>
      </c>
      <c r="B196" s="105"/>
      <c r="C196" s="86" t="s">
        <v>305</v>
      </c>
      <c r="D196" s="86">
        <f>(32.329)*10.764</f>
        <v>347.98935599999999</v>
      </c>
      <c r="E196" s="86">
        <v>0</v>
      </c>
      <c r="F196" s="86">
        <f t="shared" si="12"/>
        <v>347.98935599999999</v>
      </c>
      <c r="G196" s="86">
        <v>0</v>
      </c>
      <c r="H196" s="86">
        <f t="shared" si="13"/>
        <v>521.98403399999995</v>
      </c>
      <c r="I196" s="36"/>
    </row>
    <row r="197" spans="1:13" s="87" customFormat="1" ht="15.75" customHeight="1" x14ac:dyDescent="0.25">
      <c r="A197" s="104">
        <v>9</v>
      </c>
      <c r="B197" s="105"/>
      <c r="C197" s="86" t="s">
        <v>305</v>
      </c>
      <c r="D197" s="86">
        <f>(32.329)*10.764</f>
        <v>347.98935599999999</v>
      </c>
      <c r="E197" s="86">
        <v>0</v>
      </c>
      <c r="F197" s="86">
        <f t="shared" si="12"/>
        <v>347.98935599999999</v>
      </c>
      <c r="G197" s="86">
        <v>0</v>
      </c>
      <c r="H197" s="86">
        <f t="shared" si="13"/>
        <v>521.98403399999995</v>
      </c>
      <c r="I197" s="36"/>
    </row>
    <row r="198" spans="1:13" s="87" customFormat="1" ht="15.75" customHeight="1" x14ac:dyDescent="0.25">
      <c r="A198" s="101" t="s">
        <v>358</v>
      </c>
      <c r="B198" s="102"/>
      <c r="C198" s="102"/>
      <c r="D198" s="102"/>
      <c r="E198" s="102"/>
      <c r="F198" s="102"/>
      <c r="G198" s="102"/>
      <c r="H198" s="103"/>
      <c r="I198" s="36"/>
    </row>
    <row r="199" spans="1:13" s="87" customFormat="1" ht="15.75" customHeight="1" x14ac:dyDescent="0.25">
      <c r="A199" s="104">
        <v>1</v>
      </c>
      <c r="B199" s="105"/>
      <c r="C199" s="86" t="s">
        <v>307</v>
      </c>
      <c r="D199" s="86">
        <f>(40.597)*10.764</f>
        <v>436.986108</v>
      </c>
      <c r="E199" s="86">
        <v>0</v>
      </c>
      <c r="F199" s="86">
        <f t="shared" ref="F199:F207" si="14">D199+E199</f>
        <v>436.986108</v>
      </c>
      <c r="G199" s="86">
        <v>0</v>
      </c>
      <c r="H199" s="86">
        <f t="shared" ref="H199:H207" si="15">F199*(($H$145)+1)+(IF(G199&lt;101,G199,IF(G199&lt;201,G199/2,IF(G199&lt;=301,G199/3,G199/4))))</f>
        <v>655.47916199999997</v>
      </c>
      <c r="I199" s="36"/>
    </row>
    <row r="200" spans="1:13" s="87" customFormat="1" ht="15.75" customHeight="1" x14ac:dyDescent="0.25">
      <c r="A200" s="104">
        <v>2</v>
      </c>
      <c r="B200" s="105"/>
      <c r="C200" s="86" t="s">
        <v>307</v>
      </c>
      <c r="D200" s="86">
        <f>(40.597)*10.764</f>
        <v>436.986108</v>
      </c>
      <c r="E200" s="86">
        <v>0</v>
      </c>
      <c r="F200" s="86">
        <f t="shared" si="14"/>
        <v>436.986108</v>
      </c>
      <c r="G200" s="86">
        <v>0</v>
      </c>
      <c r="H200" s="86">
        <f t="shared" si="15"/>
        <v>655.47916199999997</v>
      </c>
      <c r="I200" s="36"/>
    </row>
    <row r="201" spans="1:13" s="87" customFormat="1" ht="15.75" customHeight="1" x14ac:dyDescent="0.25">
      <c r="A201" s="104">
        <v>3</v>
      </c>
      <c r="B201" s="105"/>
      <c r="C201" s="86" t="s">
        <v>305</v>
      </c>
      <c r="D201" s="86">
        <f>(33.7)*10.764</f>
        <v>362.74680000000001</v>
      </c>
      <c r="E201" s="86">
        <v>0</v>
      </c>
      <c r="F201" s="86">
        <f t="shared" si="14"/>
        <v>362.74680000000001</v>
      </c>
      <c r="G201" s="86">
        <v>0</v>
      </c>
      <c r="H201" s="86">
        <f t="shared" si="15"/>
        <v>544.12020000000007</v>
      </c>
      <c r="I201" s="36"/>
    </row>
    <row r="202" spans="1:13" s="87" customFormat="1" ht="15.75" customHeight="1" x14ac:dyDescent="0.25">
      <c r="A202" s="104">
        <v>4</v>
      </c>
      <c r="B202" s="105"/>
      <c r="C202" s="86" t="s">
        <v>307</v>
      </c>
      <c r="D202" s="86">
        <f>(43.273)*10.764</f>
        <v>465.790572</v>
      </c>
      <c r="E202" s="86">
        <v>0</v>
      </c>
      <c r="F202" s="86">
        <f t="shared" si="14"/>
        <v>465.790572</v>
      </c>
      <c r="G202" s="86">
        <v>0</v>
      </c>
      <c r="H202" s="86">
        <f t="shared" si="15"/>
        <v>698.68585800000005</v>
      </c>
      <c r="I202" s="36"/>
    </row>
    <row r="203" spans="1:13" s="87" customFormat="1" ht="15.75" customHeight="1" x14ac:dyDescent="0.25">
      <c r="A203" s="104">
        <v>5</v>
      </c>
      <c r="B203" s="105"/>
      <c r="C203" s="86" t="s">
        <v>305</v>
      </c>
      <c r="D203" s="86">
        <f>(32.405)*10.764</f>
        <v>348.80741999999998</v>
      </c>
      <c r="E203" s="86">
        <v>0</v>
      </c>
      <c r="F203" s="86">
        <f t="shared" si="14"/>
        <v>348.80741999999998</v>
      </c>
      <c r="G203" s="86">
        <v>0</v>
      </c>
      <c r="H203" s="86">
        <f t="shared" si="15"/>
        <v>523.21112999999991</v>
      </c>
      <c r="I203" s="36"/>
    </row>
    <row r="204" spans="1:13" s="87" customFormat="1" ht="15.75" customHeight="1" x14ac:dyDescent="0.25">
      <c r="A204" s="104">
        <v>6</v>
      </c>
      <c r="B204" s="105"/>
      <c r="C204" s="86" t="s">
        <v>306</v>
      </c>
      <c r="D204" s="86">
        <f>(51.099)*10.764</f>
        <v>550.02963599999998</v>
      </c>
      <c r="E204" s="86">
        <v>0</v>
      </c>
      <c r="F204" s="86">
        <f t="shared" si="14"/>
        <v>550.02963599999998</v>
      </c>
      <c r="G204" s="86">
        <v>0</v>
      </c>
      <c r="H204" s="86">
        <f t="shared" si="15"/>
        <v>825.04445399999997</v>
      </c>
      <c r="I204" s="36"/>
    </row>
    <row r="205" spans="1:13" s="87" customFormat="1" ht="15.75" customHeight="1" x14ac:dyDescent="0.25">
      <c r="A205" s="104">
        <v>7</v>
      </c>
      <c r="B205" s="105"/>
      <c r="C205" s="86" t="s">
        <v>306</v>
      </c>
      <c r="D205" s="86">
        <f>(51.099)*10.764</f>
        <v>550.02963599999998</v>
      </c>
      <c r="E205" s="86">
        <v>0</v>
      </c>
      <c r="F205" s="86">
        <f t="shared" si="14"/>
        <v>550.02963599999998</v>
      </c>
      <c r="G205" s="86">
        <v>0</v>
      </c>
      <c r="H205" s="86">
        <f t="shared" si="15"/>
        <v>825.04445399999997</v>
      </c>
      <c r="I205" s="36"/>
    </row>
    <row r="206" spans="1:13" s="87" customFormat="1" ht="15.75" customHeight="1" x14ac:dyDescent="0.25">
      <c r="A206" s="104">
        <v>8</v>
      </c>
      <c r="B206" s="105"/>
      <c r="C206" s="86" t="s">
        <v>305</v>
      </c>
      <c r="D206" s="86">
        <f>(32.329)*10.764</f>
        <v>347.98935599999999</v>
      </c>
      <c r="E206" s="86">
        <v>0</v>
      </c>
      <c r="F206" s="86">
        <f t="shared" si="14"/>
        <v>347.98935599999999</v>
      </c>
      <c r="G206" s="86">
        <v>0</v>
      </c>
      <c r="H206" s="86">
        <f t="shared" si="15"/>
        <v>521.98403399999995</v>
      </c>
      <c r="I206" s="36"/>
    </row>
    <row r="207" spans="1:13" s="87" customFormat="1" ht="15.75" customHeight="1" x14ac:dyDescent="0.25">
      <c r="A207" s="104">
        <v>9</v>
      </c>
      <c r="B207" s="105"/>
      <c r="C207" s="86" t="s">
        <v>305</v>
      </c>
      <c r="D207" s="86">
        <f>(32.329)*10.764</f>
        <v>347.98935599999999</v>
      </c>
      <c r="E207" s="86">
        <v>0</v>
      </c>
      <c r="F207" s="86">
        <f t="shared" si="14"/>
        <v>347.98935599999999</v>
      </c>
      <c r="G207" s="86">
        <v>0</v>
      </c>
      <c r="H207" s="86">
        <f t="shared" si="15"/>
        <v>521.98403399999995</v>
      </c>
      <c r="I207" s="36"/>
    </row>
    <row r="208" spans="1:13" s="70" customFormat="1" x14ac:dyDescent="0.25">
      <c r="A208" s="202" t="s">
        <v>309</v>
      </c>
      <c r="B208" s="203"/>
      <c r="C208" s="203"/>
      <c r="D208" s="203"/>
      <c r="E208" s="203"/>
      <c r="F208" s="203"/>
      <c r="G208" s="203"/>
      <c r="H208" s="204"/>
      <c r="J208" s="36"/>
      <c r="L208" s="71"/>
      <c r="M208" s="71"/>
    </row>
    <row r="209" spans="1:20" s="70" customFormat="1" x14ac:dyDescent="0.25">
      <c r="A209" s="202" t="s">
        <v>317</v>
      </c>
      <c r="B209" s="203"/>
      <c r="C209" s="203"/>
      <c r="D209" s="203"/>
      <c r="E209" s="203"/>
      <c r="F209" s="203"/>
      <c r="G209" s="203"/>
      <c r="H209" s="204"/>
      <c r="J209" s="36"/>
      <c r="L209" s="71"/>
      <c r="M209" s="71"/>
    </row>
    <row r="210" spans="1:20" s="70" customFormat="1" x14ac:dyDescent="0.25">
      <c r="A210" s="202" t="s">
        <v>363</v>
      </c>
      <c r="B210" s="203"/>
      <c r="C210" s="203"/>
      <c r="D210" s="203"/>
      <c r="E210" s="203"/>
      <c r="F210" s="203"/>
      <c r="G210" s="203"/>
      <c r="H210" s="204"/>
      <c r="J210" s="36"/>
      <c r="L210" s="71"/>
      <c r="M210" s="71"/>
    </row>
    <row r="211" spans="1:20" s="70" customFormat="1" ht="15.75" customHeight="1" x14ac:dyDescent="0.25">
      <c r="A211" s="99">
        <v>1</v>
      </c>
      <c r="B211" s="100"/>
      <c r="C211" s="86" t="s">
        <v>305</v>
      </c>
      <c r="D211" s="86">
        <f>(32.76)*10.764</f>
        <v>352.62863999999996</v>
      </c>
      <c r="E211" s="85">
        <v>0</v>
      </c>
      <c r="F211" s="85">
        <f t="shared" ref="F211:F218" si="16">D211+E211</f>
        <v>352.62863999999996</v>
      </c>
      <c r="G211" s="85">
        <v>0</v>
      </c>
      <c r="H211" s="85">
        <f t="shared" ref="H211:H218" si="17">F211*(($H$145)+1)+(IF(G211&lt;101,G211,IF(G211&lt;201,G211/2,IF(G211&lt;=301,G211/3,G211/4))))</f>
        <v>528.94295999999997</v>
      </c>
      <c r="I211" s="36">
        <f>4.5*2.75+2.4*2.4+3.4*2.75+2.1*1.2+1.2*2.4+0.9*2.4+2.15*1.75</f>
        <v>38.807500000000005</v>
      </c>
      <c r="J211" s="69">
        <v>10.763999999999999</v>
      </c>
      <c r="L211" s="72"/>
      <c r="M211" s="72"/>
      <c r="N211" s="36"/>
    </row>
    <row r="212" spans="1:20" s="70" customFormat="1" ht="15.75" customHeight="1" x14ac:dyDescent="0.25">
      <c r="A212" s="99">
        <v>2</v>
      </c>
      <c r="B212" s="100"/>
      <c r="C212" s="86" t="s">
        <v>305</v>
      </c>
      <c r="D212" s="86">
        <f>(32.77)*10.764</f>
        <v>352.73628000000002</v>
      </c>
      <c r="E212" s="85">
        <v>0</v>
      </c>
      <c r="F212" s="85">
        <f t="shared" si="16"/>
        <v>352.73628000000002</v>
      </c>
      <c r="G212" s="85">
        <v>0</v>
      </c>
      <c r="H212" s="85">
        <f t="shared" si="17"/>
        <v>529.10442</v>
      </c>
      <c r="I212" s="36"/>
      <c r="L212" s="72"/>
      <c r="M212" s="72"/>
      <c r="N212" s="36"/>
    </row>
    <row r="213" spans="1:20" s="70" customFormat="1" ht="15.75" customHeight="1" x14ac:dyDescent="0.25">
      <c r="A213" s="99">
        <v>3</v>
      </c>
      <c r="B213" s="100"/>
      <c r="C213" s="86" t="s">
        <v>305</v>
      </c>
      <c r="D213" s="86">
        <f>(32.25)*10.764</f>
        <v>347.13899999999995</v>
      </c>
      <c r="E213" s="85">
        <v>0</v>
      </c>
      <c r="F213" s="85">
        <f t="shared" si="16"/>
        <v>347.13899999999995</v>
      </c>
      <c r="G213" s="85">
        <v>0</v>
      </c>
      <c r="H213" s="85">
        <f t="shared" si="17"/>
        <v>520.70849999999996</v>
      </c>
      <c r="I213" s="36"/>
      <c r="L213" s="72"/>
      <c r="M213" s="72"/>
      <c r="N213" s="36"/>
    </row>
    <row r="214" spans="1:20" s="70" customFormat="1" ht="15.75" customHeight="1" x14ac:dyDescent="0.25">
      <c r="A214" s="99">
        <v>4</v>
      </c>
      <c r="B214" s="100"/>
      <c r="C214" s="86" t="s">
        <v>307</v>
      </c>
      <c r="D214" s="86">
        <f>(41.06)*10.764</f>
        <v>441.96983999999998</v>
      </c>
      <c r="E214" s="85">
        <v>0</v>
      </c>
      <c r="F214" s="85">
        <f t="shared" si="16"/>
        <v>441.96983999999998</v>
      </c>
      <c r="G214" s="85">
        <v>0</v>
      </c>
      <c r="H214" s="85">
        <f t="shared" si="17"/>
        <v>662.95475999999996</v>
      </c>
      <c r="I214" s="36">
        <f>5.76*10.764</f>
        <v>62.000639999999997</v>
      </c>
      <c r="L214" s="72"/>
      <c r="M214" s="72"/>
      <c r="N214" s="36"/>
      <c r="T214" s="21"/>
    </row>
    <row r="215" spans="1:20" s="70" customFormat="1" ht="15.75" customHeight="1" x14ac:dyDescent="0.25">
      <c r="A215" s="99">
        <v>5</v>
      </c>
      <c r="B215" s="100"/>
      <c r="C215" s="86" t="s">
        <v>305</v>
      </c>
      <c r="D215" s="86">
        <f>(32.78)*10.764</f>
        <v>352.84391999999997</v>
      </c>
      <c r="E215" s="85">
        <v>0</v>
      </c>
      <c r="F215" s="85">
        <f t="shared" si="16"/>
        <v>352.84391999999997</v>
      </c>
      <c r="G215" s="85">
        <v>0</v>
      </c>
      <c r="H215" s="85">
        <f t="shared" si="17"/>
        <v>529.26587999999992</v>
      </c>
      <c r="I215" s="36">
        <f>4.5*2.75+2*2.1+3*2.75+1.8*1.2+1.8*1.2+0.9*2.1</f>
        <v>31.035</v>
      </c>
      <c r="L215" s="72"/>
      <c r="M215" s="72"/>
      <c r="N215" s="36"/>
    </row>
    <row r="216" spans="1:20" s="70" customFormat="1" ht="15.75" customHeight="1" x14ac:dyDescent="0.25">
      <c r="A216" s="99">
        <v>6</v>
      </c>
      <c r="B216" s="100"/>
      <c r="C216" s="86" t="s">
        <v>305</v>
      </c>
      <c r="D216" s="86">
        <f>(32.77)*10.764</f>
        <v>352.73628000000002</v>
      </c>
      <c r="E216" s="85">
        <v>0</v>
      </c>
      <c r="F216" s="85">
        <f t="shared" si="16"/>
        <v>352.73628000000002</v>
      </c>
      <c r="G216" s="85">
        <v>0</v>
      </c>
      <c r="H216" s="85">
        <f t="shared" si="17"/>
        <v>529.10442</v>
      </c>
      <c r="I216" s="36"/>
      <c r="L216" s="72"/>
      <c r="M216" s="72"/>
      <c r="N216" s="36"/>
    </row>
    <row r="217" spans="1:20" s="70" customFormat="1" ht="15.75" customHeight="1" x14ac:dyDescent="0.25">
      <c r="A217" s="99">
        <v>7</v>
      </c>
      <c r="B217" s="100"/>
      <c r="C217" s="86" t="s">
        <v>305</v>
      </c>
      <c r="D217" s="86">
        <f>(32.77)*10.764</f>
        <v>352.73628000000002</v>
      </c>
      <c r="E217" s="85">
        <v>0</v>
      </c>
      <c r="F217" s="85">
        <f t="shared" si="16"/>
        <v>352.73628000000002</v>
      </c>
      <c r="G217" s="85">
        <v>0</v>
      </c>
      <c r="H217" s="85">
        <f t="shared" si="17"/>
        <v>529.10442</v>
      </c>
      <c r="I217" s="36">
        <f>4.7*3+2.3*2.5+3.3*3+3.2*3+2.1*1.2+1.8*1.2+1*0.9+0.9*1.2+2.1*1.2</f>
        <v>48.53</v>
      </c>
      <c r="L217" s="72"/>
      <c r="M217" s="72"/>
      <c r="N217" s="36"/>
    </row>
    <row r="218" spans="1:20" s="70" customFormat="1" ht="15.75" customHeight="1" x14ac:dyDescent="0.25">
      <c r="A218" s="99">
        <v>8</v>
      </c>
      <c r="B218" s="100"/>
      <c r="C218" s="86" t="s">
        <v>305</v>
      </c>
      <c r="D218" s="86">
        <f>(32.78)*10.764</f>
        <v>352.84391999999997</v>
      </c>
      <c r="E218" s="85">
        <v>0</v>
      </c>
      <c r="F218" s="85">
        <f t="shared" si="16"/>
        <v>352.84391999999997</v>
      </c>
      <c r="G218" s="85">
        <v>0</v>
      </c>
      <c r="H218" s="85">
        <f t="shared" si="17"/>
        <v>529.26587999999992</v>
      </c>
      <c r="I218" s="36"/>
      <c r="L218" s="72"/>
      <c r="M218" s="72"/>
      <c r="N218" s="36"/>
      <c r="T218" s="21"/>
    </row>
    <row r="219" spans="1:20" s="87" customFormat="1" ht="15.75" customHeight="1" x14ac:dyDescent="0.25">
      <c r="A219" s="99">
        <v>9</v>
      </c>
      <c r="B219" s="100"/>
      <c r="C219" s="86" t="s">
        <v>360</v>
      </c>
      <c r="D219" s="104" t="s">
        <v>366</v>
      </c>
      <c r="E219" s="106"/>
      <c r="F219" s="106"/>
      <c r="G219" s="106"/>
      <c r="H219" s="105"/>
      <c r="I219" s="36"/>
      <c r="L219" s="72"/>
      <c r="M219" s="72"/>
      <c r="N219" s="36"/>
    </row>
    <row r="220" spans="1:20" s="87" customFormat="1" ht="15.75" customHeight="1" x14ac:dyDescent="0.25">
      <c r="A220" s="99">
        <v>10</v>
      </c>
      <c r="B220" s="100"/>
      <c r="C220" s="86" t="s">
        <v>360</v>
      </c>
      <c r="D220" s="104" t="s">
        <v>361</v>
      </c>
      <c r="E220" s="106"/>
      <c r="F220" s="106"/>
      <c r="G220" s="106"/>
      <c r="H220" s="105"/>
      <c r="I220" s="36"/>
      <c r="L220" s="72"/>
      <c r="M220" s="72"/>
      <c r="N220" s="36"/>
    </row>
    <row r="221" spans="1:20" s="87" customFormat="1" ht="15.75" customHeight="1" x14ac:dyDescent="0.25">
      <c r="A221" s="99">
        <v>11</v>
      </c>
      <c r="B221" s="100"/>
      <c r="C221" s="86" t="s">
        <v>360</v>
      </c>
      <c r="D221" s="104" t="s">
        <v>362</v>
      </c>
      <c r="E221" s="106"/>
      <c r="F221" s="106"/>
      <c r="G221" s="106"/>
      <c r="H221" s="105"/>
      <c r="I221" s="36"/>
      <c r="L221" s="72"/>
      <c r="M221" s="72"/>
      <c r="N221" s="36"/>
      <c r="T221" s="21"/>
    </row>
    <row r="222" spans="1:20" s="87" customFormat="1" x14ac:dyDescent="0.25">
      <c r="A222" s="202" t="s">
        <v>364</v>
      </c>
      <c r="B222" s="203"/>
      <c r="C222" s="203"/>
      <c r="D222" s="203"/>
      <c r="E222" s="203"/>
      <c r="F222" s="203"/>
      <c r="G222" s="203"/>
      <c r="H222" s="204"/>
      <c r="J222" s="36"/>
    </row>
    <row r="223" spans="1:20" s="87" customFormat="1" ht="15.75" customHeight="1" x14ac:dyDescent="0.25">
      <c r="A223" s="99">
        <v>1</v>
      </c>
      <c r="B223" s="100"/>
      <c r="C223" s="86" t="s">
        <v>305</v>
      </c>
      <c r="D223" s="86">
        <f>(32.76)*10.764</f>
        <v>352.62863999999996</v>
      </c>
      <c r="E223" s="85">
        <v>0</v>
      </c>
      <c r="F223" s="85">
        <f t="shared" ref="F223:F230" si="18">D223+E223</f>
        <v>352.62863999999996</v>
      </c>
      <c r="G223" s="85">
        <v>0</v>
      </c>
      <c r="H223" s="85">
        <f t="shared" ref="H223:H230" si="19">F223*(($H$145)+1)+(IF(G223&lt;101,G223,IF(G223&lt;201,G223/2,IF(G223&lt;=301,G223/3,G223/4))))</f>
        <v>528.94295999999997</v>
      </c>
      <c r="I223" s="36">
        <f>4.5*2.75+2.4*2.4+3.4*2.75+2.1*1.2+1.2*2.4+0.9*2.4+2.15*1.75</f>
        <v>38.807500000000005</v>
      </c>
      <c r="J223" s="86">
        <v>10.763999999999999</v>
      </c>
      <c r="L223" s="72"/>
      <c r="M223" s="72"/>
      <c r="N223" s="36"/>
    </row>
    <row r="224" spans="1:20" s="87" customFormat="1" ht="15.75" customHeight="1" x14ac:dyDescent="0.25">
      <c r="A224" s="99">
        <v>2</v>
      </c>
      <c r="B224" s="100"/>
      <c r="C224" s="86" t="s">
        <v>305</v>
      </c>
      <c r="D224" s="86">
        <f>(32.77)*10.764</f>
        <v>352.73628000000002</v>
      </c>
      <c r="E224" s="85">
        <v>0</v>
      </c>
      <c r="F224" s="85">
        <f t="shared" si="18"/>
        <v>352.73628000000002</v>
      </c>
      <c r="G224" s="85">
        <v>0</v>
      </c>
      <c r="H224" s="85">
        <f t="shared" si="19"/>
        <v>529.10442</v>
      </c>
      <c r="I224" s="36"/>
      <c r="L224" s="72"/>
      <c r="M224" s="72"/>
      <c r="N224" s="36"/>
    </row>
    <row r="225" spans="1:20" s="87" customFormat="1" ht="15.75" customHeight="1" x14ac:dyDescent="0.25">
      <c r="A225" s="99">
        <v>3</v>
      </c>
      <c r="B225" s="100"/>
      <c r="C225" s="86" t="s">
        <v>305</v>
      </c>
      <c r="D225" s="86">
        <f>(32.25)*10.764</f>
        <v>347.13899999999995</v>
      </c>
      <c r="E225" s="85">
        <v>0</v>
      </c>
      <c r="F225" s="85">
        <f t="shared" si="18"/>
        <v>347.13899999999995</v>
      </c>
      <c r="G225" s="85">
        <v>0</v>
      </c>
      <c r="H225" s="85">
        <f t="shared" si="19"/>
        <v>520.70849999999996</v>
      </c>
      <c r="I225" s="36"/>
      <c r="L225" s="72"/>
      <c r="M225" s="72"/>
      <c r="N225" s="36"/>
    </row>
    <row r="226" spans="1:20" s="87" customFormat="1" ht="15.75" customHeight="1" x14ac:dyDescent="0.25">
      <c r="A226" s="99">
        <v>4</v>
      </c>
      <c r="B226" s="100"/>
      <c r="C226" s="86" t="s">
        <v>307</v>
      </c>
      <c r="D226" s="86">
        <f>(41.06)*10.764</f>
        <v>441.96983999999998</v>
      </c>
      <c r="E226" s="85">
        <v>0</v>
      </c>
      <c r="F226" s="85">
        <f t="shared" si="18"/>
        <v>441.96983999999998</v>
      </c>
      <c r="G226" s="85">
        <v>0</v>
      </c>
      <c r="H226" s="85">
        <f t="shared" si="19"/>
        <v>662.95475999999996</v>
      </c>
      <c r="I226" s="36"/>
      <c r="L226" s="72"/>
      <c r="M226" s="72"/>
      <c r="N226" s="36"/>
      <c r="T226" s="21"/>
    </row>
    <row r="227" spans="1:20" s="87" customFormat="1" ht="15.75" customHeight="1" x14ac:dyDescent="0.25">
      <c r="A227" s="99">
        <v>5</v>
      </c>
      <c r="B227" s="100"/>
      <c r="C227" s="86" t="s">
        <v>305</v>
      </c>
      <c r="D227" s="86">
        <f>(32.78)*10.764</f>
        <v>352.84391999999997</v>
      </c>
      <c r="E227" s="85">
        <v>0</v>
      </c>
      <c r="F227" s="85">
        <f t="shared" si="18"/>
        <v>352.84391999999997</v>
      </c>
      <c r="G227" s="85">
        <v>0</v>
      </c>
      <c r="H227" s="85">
        <f t="shared" si="19"/>
        <v>529.26587999999992</v>
      </c>
      <c r="I227" s="36">
        <f>4.5*2.75+2*2.1+3*2.75+1.8*1.2+1.8*1.2+0.9*2.1</f>
        <v>31.035</v>
      </c>
      <c r="L227" s="72"/>
      <c r="M227" s="72"/>
      <c r="N227" s="36"/>
    </row>
    <row r="228" spans="1:20" s="87" customFormat="1" ht="15.75" customHeight="1" x14ac:dyDescent="0.25">
      <c r="A228" s="99">
        <v>6</v>
      </c>
      <c r="B228" s="100"/>
      <c r="C228" s="86" t="s">
        <v>305</v>
      </c>
      <c r="D228" s="86">
        <f>(32.77)*10.764</f>
        <v>352.73628000000002</v>
      </c>
      <c r="E228" s="85">
        <v>0</v>
      </c>
      <c r="F228" s="85">
        <f t="shared" si="18"/>
        <v>352.73628000000002</v>
      </c>
      <c r="G228" s="85">
        <v>0</v>
      </c>
      <c r="H228" s="85">
        <f t="shared" si="19"/>
        <v>529.10442</v>
      </c>
      <c r="I228" s="36"/>
      <c r="L228" s="72"/>
      <c r="M228" s="72"/>
      <c r="N228" s="36"/>
    </row>
    <row r="229" spans="1:20" s="87" customFormat="1" ht="15.75" customHeight="1" x14ac:dyDescent="0.25">
      <c r="A229" s="99">
        <v>7</v>
      </c>
      <c r="B229" s="100"/>
      <c r="C229" s="86" t="s">
        <v>305</v>
      </c>
      <c r="D229" s="86">
        <f>(32.77)*10.764</f>
        <v>352.73628000000002</v>
      </c>
      <c r="E229" s="85">
        <v>0</v>
      </c>
      <c r="F229" s="85">
        <f t="shared" si="18"/>
        <v>352.73628000000002</v>
      </c>
      <c r="G229" s="85">
        <v>0</v>
      </c>
      <c r="H229" s="85">
        <f t="shared" si="19"/>
        <v>529.10442</v>
      </c>
      <c r="I229" s="36">
        <f>4.7*3+2.3*2.5+3.3*3+3.2*3+2.1*1.2+1.8*1.2+1*0.9+0.9*1.2+2.1*1.2</f>
        <v>48.53</v>
      </c>
      <c r="L229" s="72"/>
      <c r="M229" s="72"/>
      <c r="N229" s="36"/>
    </row>
    <row r="230" spans="1:20" s="87" customFormat="1" ht="15.75" customHeight="1" x14ac:dyDescent="0.25">
      <c r="A230" s="99">
        <v>8</v>
      </c>
      <c r="B230" s="100"/>
      <c r="C230" s="86" t="s">
        <v>305</v>
      </c>
      <c r="D230" s="86">
        <f>(32.78)*10.764</f>
        <v>352.84391999999997</v>
      </c>
      <c r="E230" s="85">
        <v>0</v>
      </c>
      <c r="F230" s="85">
        <f t="shared" si="18"/>
        <v>352.84391999999997</v>
      </c>
      <c r="G230" s="85">
        <v>0</v>
      </c>
      <c r="H230" s="85">
        <f t="shared" si="19"/>
        <v>529.26587999999992</v>
      </c>
      <c r="I230" s="36"/>
      <c r="L230" s="72"/>
      <c r="M230" s="72"/>
      <c r="N230" s="36"/>
      <c r="T230" s="21"/>
    </row>
    <row r="231" spans="1:20" s="87" customFormat="1" ht="15.75" customHeight="1" x14ac:dyDescent="0.25">
      <c r="A231" s="99">
        <v>9</v>
      </c>
      <c r="B231" s="100"/>
      <c r="C231" s="86" t="s">
        <v>305</v>
      </c>
      <c r="D231" s="86">
        <f>(32.77)*10.764</f>
        <v>352.73628000000002</v>
      </c>
      <c r="E231" s="85">
        <v>0</v>
      </c>
      <c r="F231" s="85">
        <f t="shared" ref="F231:F232" si="20">D231+E231</f>
        <v>352.73628000000002</v>
      </c>
      <c r="G231" s="85">
        <v>0</v>
      </c>
      <c r="H231" s="85">
        <f t="shared" ref="H231:H232" si="21">F231*(($H$145)+1)+(IF(G231&lt;101,G231,IF(G231&lt;201,G231/2,IF(G231&lt;=301,G231/3,G231/4))))</f>
        <v>529.10442</v>
      </c>
      <c r="I231" s="36">
        <f>4.7*3+2.3*2.5+3.3*3+3.2*3+2.1*1.2+1.8*1.2+1*0.9+0.9*1.2+2.1*1.2</f>
        <v>48.53</v>
      </c>
      <c r="L231" s="72"/>
      <c r="M231" s="72"/>
      <c r="N231" s="36"/>
    </row>
    <row r="232" spans="1:20" s="87" customFormat="1" ht="15.75" customHeight="1" x14ac:dyDescent="0.25">
      <c r="A232" s="99">
        <v>10</v>
      </c>
      <c r="B232" s="100"/>
      <c r="C232" s="86" t="s">
        <v>307</v>
      </c>
      <c r="D232" s="86">
        <f>(41.07)*10.764</f>
        <v>442.07747999999998</v>
      </c>
      <c r="E232" s="85">
        <v>0</v>
      </c>
      <c r="F232" s="85">
        <f t="shared" si="20"/>
        <v>442.07747999999998</v>
      </c>
      <c r="G232" s="85">
        <v>0</v>
      </c>
      <c r="H232" s="85">
        <f t="shared" si="21"/>
        <v>663.11622</v>
      </c>
      <c r="I232" s="36"/>
      <c r="L232" s="72"/>
      <c r="M232" s="72"/>
      <c r="N232" s="36"/>
      <c r="T232" s="21"/>
    </row>
    <row r="233" spans="1:20" s="87" customFormat="1" ht="15.75" customHeight="1" x14ac:dyDescent="0.25">
      <c r="A233" s="99">
        <v>11</v>
      </c>
      <c r="B233" s="100"/>
      <c r="C233" s="86" t="s">
        <v>307</v>
      </c>
      <c r="D233" s="86">
        <f>(40.45)*10.764</f>
        <v>435.40379999999999</v>
      </c>
      <c r="E233" s="85">
        <v>0</v>
      </c>
      <c r="F233" s="85">
        <f t="shared" ref="F233" si="22">D233+E233</f>
        <v>435.40379999999999</v>
      </c>
      <c r="G233" s="85">
        <v>0</v>
      </c>
      <c r="H233" s="85">
        <f t="shared" ref="H233" si="23">F233*(($H$145)+1)+(IF(G233&lt;101,G233,IF(G233&lt;201,G233/2,IF(G233&lt;=301,G233/3,G233/4))))</f>
        <v>653.10569999999996</v>
      </c>
      <c r="I233" s="36"/>
      <c r="L233" s="72"/>
      <c r="M233" s="72"/>
      <c r="N233" s="36"/>
      <c r="T233" s="21"/>
    </row>
    <row r="234" spans="1:20" s="87" customFormat="1" x14ac:dyDescent="0.25">
      <c r="A234" s="202" t="s">
        <v>312</v>
      </c>
      <c r="B234" s="203"/>
      <c r="C234" s="203"/>
      <c r="D234" s="203"/>
      <c r="E234" s="203"/>
      <c r="F234" s="203"/>
      <c r="G234" s="203"/>
      <c r="H234" s="204"/>
      <c r="J234" s="36"/>
    </row>
    <row r="235" spans="1:20" s="87" customFormat="1" ht="15.75" customHeight="1" x14ac:dyDescent="0.25">
      <c r="A235" s="99">
        <v>1</v>
      </c>
      <c r="B235" s="100"/>
      <c r="C235" s="86" t="s">
        <v>305</v>
      </c>
      <c r="D235" s="86">
        <f>(32.76)*10.764</f>
        <v>352.62863999999996</v>
      </c>
      <c r="E235" s="85">
        <v>0</v>
      </c>
      <c r="F235" s="85">
        <f t="shared" ref="F235:F245" si="24">D235+E235</f>
        <v>352.62863999999996</v>
      </c>
      <c r="G235" s="85">
        <v>0</v>
      </c>
      <c r="H235" s="85">
        <f>F235*(($H$145)+1)+(IF(G235&lt;101,G235,IF(G235&lt;201,G235/2,IF(G235&lt;=301,G235/3,G235/4))))</f>
        <v>528.94295999999997</v>
      </c>
      <c r="I235" s="36">
        <f>4.5*2.75+2.4*2.4+3.4*2.75+2.1*1.2+1.2*2.4+0.9*2.4+2.15*1.75</f>
        <v>38.807500000000005</v>
      </c>
      <c r="J235" s="86">
        <v>10.763999999999999</v>
      </c>
      <c r="L235" s="72"/>
      <c r="M235" s="72"/>
      <c r="N235" s="36"/>
    </row>
    <row r="236" spans="1:20" s="87" customFormat="1" ht="15.75" customHeight="1" x14ac:dyDescent="0.25">
      <c r="A236" s="99">
        <v>2</v>
      </c>
      <c r="B236" s="100"/>
      <c r="C236" s="86" t="s">
        <v>305</v>
      </c>
      <c r="D236" s="86">
        <f>(32.77)*10.764</f>
        <v>352.73628000000002</v>
      </c>
      <c r="E236" s="85">
        <v>0</v>
      </c>
      <c r="F236" s="85">
        <f t="shared" si="24"/>
        <v>352.73628000000002</v>
      </c>
      <c r="G236" s="85">
        <v>0</v>
      </c>
      <c r="H236" s="85">
        <f>F236*(($H$145)+1)+(IF(G236&lt;101,G236,IF(G236&lt;201,G236/2,IF(G236&lt;=301,G236/3,G236/4))))</f>
        <v>529.10442</v>
      </c>
      <c r="I236" s="36"/>
      <c r="L236" s="72"/>
      <c r="M236" s="72"/>
      <c r="N236" s="36"/>
    </row>
    <row r="237" spans="1:20" s="87" customFormat="1" ht="15.75" customHeight="1" x14ac:dyDescent="0.25">
      <c r="A237" s="99" t="s">
        <v>360</v>
      </c>
      <c r="B237" s="100"/>
      <c r="C237" s="86" t="s">
        <v>360</v>
      </c>
      <c r="D237" s="104" t="s">
        <v>308</v>
      </c>
      <c r="E237" s="106"/>
      <c r="F237" s="106"/>
      <c r="G237" s="106"/>
      <c r="H237" s="105"/>
      <c r="I237" s="36"/>
      <c r="L237" s="72"/>
      <c r="M237" s="72"/>
      <c r="N237" s="36"/>
    </row>
    <row r="238" spans="1:20" s="87" customFormat="1" ht="15.75" customHeight="1" x14ac:dyDescent="0.25">
      <c r="A238" s="99">
        <v>4</v>
      </c>
      <c r="B238" s="100"/>
      <c r="C238" s="86" t="s">
        <v>307</v>
      </c>
      <c r="D238" s="86">
        <f>(41.06)*10.764</f>
        <v>441.96983999999998</v>
      </c>
      <c r="E238" s="85">
        <v>0</v>
      </c>
      <c r="F238" s="85">
        <f t="shared" si="24"/>
        <v>441.96983999999998</v>
      </c>
      <c r="G238" s="85">
        <v>0</v>
      </c>
      <c r="H238" s="85">
        <f t="shared" ref="H238:H245" si="25">F238*(($H$145)+1)+(IF(G238&lt;101,G238,IF(G238&lt;201,G238/2,IF(G238&lt;=301,G238/3,G238/4))))</f>
        <v>662.95475999999996</v>
      </c>
      <c r="I238" s="36"/>
      <c r="L238" s="72"/>
      <c r="M238" s="72"/>
      <c r="N238" s="36"/>
      <c r="T238" s="21"/>
    </row>
    <row r="239" spans="1:20" s="87" customFormat="1" ht="15.75" customHeight="1" x14ac:dyDescent="0.25">
      <c r="A239" s="99">
        <v>5</v>
      </c>
      <c r="B239" s="100"/>
      <c r="C239" s="86" t="s">
        <v>305</v>
      </c>
      <c r="D239" s="86">
        <f>(32.78)*10.764</f>
        <v>352.84391999999997</v>
      </c>
      <c r="E239" s="85">
        <v>0</v>
      </c>
      <c r="F239" s="85">
        <f t="shared" si="24"/>
        <v>352.84391999999997</v>
      </c>
      <c r="G239" s="85">
        <v>0</v>
      </c>
      <c r="H239" s="85">
        <f t="shared" si="25"/>
        <v>529.26587999999992</v>
      </c>
      <c r="I239" s="36">
        <f>4.5*2.75+2*2.1+3*2.75+1.8*1.2+1.8*1.2+0.9*2.1</f>
        <v>31.035</v>
      </c>
      <c r="L239" s="72"/>
      <c r="M239" s="72"/>
      <c r="N239" s="36"/>
    </row>
    <row r="240" spans="1:20" s="87" customFormat="1" ht="15.75" customHeight="1" x14ac:dyDescent="0.25">
      <c r="A240" s="99">
        <v>6</v>
      </c>
      <c r="B240" s="100"/>
      <c r="C240" s="86" t="s">
        <v>305</v>
      </c>
      <c r="D240" s="86">
        <f>(32.77)*10.764</f>
        <v>352.73628000000002</v>
      </c>
      <c r="E240" s="85">
        <v>0</v>
      </c>
      <c r="F240" s="85">
        <f t="shared" si="24"/>
        <v>352.73628000000002</v>
      </c>
      <c r="G240" s="85">
        <v>0</v>
      </c>
      <c r="H240" s="85">
        <f t="shared" si="25"/>
        <v>529.10442</v>
      </c>
      <c r="I240" s="36"/>
      <c r="L240" s="72"/>
      <c r="M240" s="72"/>
      <c r="N240" s="36"/>
    </row>
    <row r="241" spans="1:20" s="87" customFormat="1" ht="15.75" customHeight="1" x14ac:dyDescent="0.25">
      <c r="A241" s="99">
        <v>7</v>
      </c>
      <c r="B241" s="100"/>
      <c r="C241" s="86" t="s">
        <v>305</v>
      </c>
      <c r="D241" s="86">
        <f>(32.77)*10.764</f>
        <v>352.73628000000002</v>
      </c>
      <c r="E241" s="85">
        <v>0</v>
      </c>
      <c r="F241" s="85">
        <f t="shared" si="24"/>
        <v>352.73628000000002</v>
      </c>
      <c r="G241" s="85">
        <v>0</v>
      </c>
      <c r="H241" s="85">
        <f t="shared" si="25"/>
        <v>529.10442</v>
      </c>
      <c r="I241" s="36">
        <f>4.7*3+2.3*2.5+3.3*3+3.2*3+2.1*1.2+1.8*1.2+1*0.9+0.9*1.2+2.1*1.2</f>
        <v>48.53</v>
      </c>
      <c r="L241" s="72"/>
      <c r="M241" s="72"/>
      <c r="N241" s="36"/>
    </row>
    <row r="242" spans="1:20" s="87" customFormat="1" ht="15.75" customHeight="1" x14ac:dyDescent="0.25">
      <c r="A242" s="99">
        <v>8</v>
      </c>
      <c r="B242" s="100"/>
      <c r="C242" s="86" t="s">
        <v>305</v>
      </c>
      <c r="D242" s="86">
        <f>(32.78)*10.764</f>
        <v>352.84391999999997</v>
      </c>
      <c r="E242" s="85">
        <v>0</v>
      </c>
      <c r="F242" s="85">
        <f t="shared" si="24"/>
        <v>352.84391999999997</v>
      </c>
      <c r="G242" s="85">
        <v>0</v>
      </c>
      <c r="H242" s="85">
        <f t="shared" si="25"/>
        <v>529.26587999999992</v>
      </c>
      <c r="I242" s="36"/>
      <c r="L242" s="72"/>
      <c r="M242" s="72"/>
      <c r="N242" s="36"/>
      <c r="T242" s="21"/>
    </row>
    <row r="243" spans="1:20" s="87" customFormat="1" ht="15.75" customHeight="1" x14ac:dyDescent="0.25">
      <c r="A243" s="99">
        <v>9</v>
      </c>
      <c r="B243" s="100"/>
      <c r="C243" s="86" t="s">
        <v>305</v>
      </c>
      <c r="D243" s="86">
        <f>(32.77)*10.764</f>
        <v>352.73628000000002</v>
      </c>
      <c r="E243" s="85">
        <v>0</v>
      </c>
      <c r="F243" s="85">
        <f t="shared" si="24"/>
        <v>352.73628000000002</v>
      </c>
      <c r="G243" s="85">
        <v>0</v>
      </c>
      <c r="H243" s="85">
        <f t="shared" si="25"/>
        <v>529.10442</v>
      </c>
      <c r="I243" s="36">
        <f>4.7*3+2.3*2.5+3.3*3+3.2*3+2.1*1.2+1.8*1.2+1*0.9+0.9*1.2+2.1*1.2</f>
        <v>48.53</v>
      </c>
      <c r="L243" s="72"/>
      <c r="M243" s="72"/>
      <c r="N243" s="36"/>
    </row>
    <row r="244" spans="1:20" s="87" customFormat="1" ht="15.75" customHeight="1" x14ac:dyDescent="0.25">
      <c r="A244" s="99">
        <v>10</v>
      </c>
      <c r="B244" s="100"/>
      <c r="C244" s="86" t="s">
        <v>307</v>
      </c>
      <c r="D244" s="86">
        <f>(41.07)*10.764</f>
        <v>442.07747999999998</v>
      </c>
      <c r="E244" s="85">
        <v>0</v>
      </c>
      <c r="F244" s="85">
        <f t="shared" si="24"/>
        <v>442.07747999999998</v>
      </c>
      <c r="G244" s="85">
        <v>0</v>
      </c>
      <c r="H244" s="85">
        <f t="shared" si="25"/>
        <v>663.11622</v>
      </c>
      <c r="I244" s="36"/>
      <c r="L244" s="72"/>
      <c r="M244" s="72"/>
      <c r="N244" s="36"/>
      <c r="T244" s="21"/>
    </row>
    <row r="245" spans="1:20" s="87" customFormat="1" ht="15.75" customHeight="1" x14ac:dyDescent="0.25">
      <c r="A245" s="99">
        <v>11</v>
      </c>
      <c r="B245" s="100"/>
      <c r="C245" s="86" t="s">
        <v>307</v>
      </c>
      <c r="D245" s="86">
        <f>(40.45)*10.764</f>
        <v>435.40379999999999</v>
      </c>
      <c r="E245" s="85">
        <v>0</v>
      </c>
      <c r="F245" s="85">
        <f t="shared" si="24"/>
        <v>435.40379999999999</v>
      </c>
      <c r="G245" s="85">
        <v>0</v>
      </c>
      <c r="H245" s="85">
        <f t="shared" si="25"/>
        <v>653.10569999999996</v>
      </c>
      <c r="I245" s="36"/>
      <c r="L245" s="72"/>
      <c r="M245" s="72"/>
      <c r="N245" s="36"/>
      <c r="T245" s="21"/>
    </row>
    <row r="246" spans="1:20" s="87" customFormat="1" x14ac:dyDescent="0.25">
      <c r="A246" s="202" t="s">
        <v>356</v>
      </c>
      <c r="B246" s="203"/>
      <c r="C246" s="203"/>
      <c r="D246" s="203"/>
      <c r="E246" s="203"/>
      <c r="F246" s="203"/>
      <c r="G246" s="203"/>
      <c r="H246" s="204"/>
      <c r="J246" s="36"/>
    </row>
    <row r="247" spans="1:20" s="87" customFormat="1" ht="15.75" customHeight="1" x14ac:dyDescent="0.25">
      <c r="A247" s="99">
        <v>1</v>
      </c>
      <c r="B247" s="100"/>
      <c r="C247" s="86" t="s">
        <v>305</v>
      </c>
      <c r="D247" s="86">
        <f>(32.76)*10.764</f>
        <v>352.62863999999996</v>
      </c>
      <c r="E247" s="85">
        <v>0</v>
      </c>
      <c r="F247" s="85">
        <f t="shared" ref="F247:F257" si="26">D247+E247</f>
        <v>352.62863999999996</v>
      </c>
      <c r="G247" s="85">
        <v>0</v>
      </c>
      <c r="H247" s="85">
        <f t="shared" ref="H247:H257" si="27">F247*(($H$145)+1)+(IF(G247&lt;101,G247,IF(G247&lt;201,G247/2,IF(G247&lt;=301,G247/3,G247/4))))</f>
        <v>528.94295999999997</v>
      </c>
      <c r="I247" s="36">
        <f>4.5*2.75+2.4*2.4+3.4*2.75+2.1*1.2+1.2*2.4+0.9*2.4+2.15*1.75</f>
        <v>38.807500000000005</v>
      </c>
      <c r="J247" s="86">
        <v>10.763999999999999</v>
      </c>
      <c r="L247" s="72"/>
      <c r="M247" s="72"/>
      <c r="N247" s="36"/>
    </row>
    <row r="248" spans="1:20" s="87" customFormat="1" ht="15.75" customHeight="1" x14ac:dyDescent="0.25">
      <c r="A248" s="99">
        <v>2</v>
      </c>
      <c r="B248" s="100"/>
      <c r="C248" s="86" t="s">
        <v>305</v>
      </c>
      <c r="D248" s="86">
        <f>(32.77)*10.764</f>
        <v>352.73628000000002</v>
      </c>
      <c r="E248" s="85">
        <v>0</v>
      </c>
      <c r="F248" s="85">
        <f t="shared" si="26"/>
        <v>352.73628000000002</v>
      </c>
      <c r="G248" s="85">
        <v>0</v>
      </c>
      <c r="H248" s="85">
        <f t="shared" si="27"/>
        <v>529.10442</v>
      </c>
      <c r="I248" s="36"/>
      <c r="L248" s="72"/>
      <c r="M248" s="72"/>
      <c r="N248" s="36"/>
    </row>
    <row r="249" spans="1:20" s="87" customFormat="1" ht="15.75" customHeight="1" x14ac:dyDescent="0.25">
      <c r="A249" s="99">
        <v>3</v>
      </c>
      <c r="B249" s="100"/>
      <c r="C249" s="86" t="s">
        <v>305</v>
      </c>
      <c r="D249" s="86">
        <f>(32.25)*10.764</f>
        <v>347.13899999999995</v>
      </c>
      <c r="E249" s="85">
        <v>0</v>
      </c>
      <c r="F249" s="85">
        <f t="shared" si="26"/>
        <v>347.13899999999995</v>
      </c>
      <c r="G249" s="85">
        <v>0</v>
      </c>
      <c r="H249" s="85">
        <f t="shared" si="27"/>
        <v>520.70849999999996</v>
      </c>
      <c r="I249" s="36"/>
      <c r="L249" s="72"/>
      <c r="M249" s="72"/>
      <c r="N249" s="36"/>
    </row>
    <row r="250" spans="1:20" s="87" customFormat="1" ht="15.75" customHeight="1" x14ac:dyDescent="0.25">
      <c r="A250" s="99">
        <v>4</v>
      </c>
      <c r="B250" s="100"/>
      <c r="C250" s="86" t="s">
        <v>307</v>
      </c>
      <c r="D250" s="86">
        <f>(41.06)*10.764</f>
        <v>441.96983999999998</v>
      </c>
      <c r="E250" s="85">
        <v>0</v>
      </c>
      <c r="F250" s="85">
        <f t="shared" si="26"/>
        <v>441.96983999999998</v>
      </c>
      <c r="G250" s="85">
        <v>0</v>
      </c>
      <c r="H250" s="85">
        <f t="shared" si="27"/>
        <v>662.95475999999996</v>
      </c>
      <c r="I250" s="36"/>
      <c r="L250" s="72"/>
      <c r="M250" s="72"/>
      <c r="N250" s="36"/>
      <c r="T250" s="21"/>
    </row>
    <row r="251" spans="1:20" s="87" customFormat="1" ht="15.75" customHeight="1" x14ac:dyDescent="0.25">
      <c r="A251" s="99">
        <v>5</v>
      </c>
      <c r="B251" s="100"/>
      <c r="C251" s="86" t="s">
        <v>305</v>
      </c>
      <c r="D251" s="86">
        <f>(32.78)*10.764</f>
        <v>352.84391999999997</v>
      </c>
      <c r="E251" s="85">
        <v>0</v>
      </c>
      <c r="F251" s="85">
        <f t="shared" si="26"/>
        <v>352.84391999999997</v>
      </c>
      <c r="G251" s="85">
        <v>0</v>
      </c>
      <c r="H251" s="85">
        <f t="shared" si="27"/>
        <v>529.26587999999992</v>
      </c>
      <c r="I251" s="36">
        <f>4.5*2.75+2*2.1+3*2.75+1.8*1.2+1.8*1.2+0.9*2.1</f>
        <v>31.035</v>
      </c>
      <c r="L251" s="72"/>
      <c r="M251" s="72"/>
      <c r="N251" s="36"/>
    </row>
    <row r="252" spans="1:20" s="87" customFormat="1" ht="15.75" customHeight="1" x14ac:dyDescent="0.25">
      <c r="A252" s="99">
        <v>6</v>
      </c>
      <c r="B252" s="100"/>
      <c r="C252" s="86" t="s">
        <v>305</v>
      </c>
      <c r="D252" s="86">
        <f>(32.77)*10.764</f>
        <v>352.73628000000002</v>
      </c>
      <c r="E252" s="85">
        <v>0</v>
      </c>
      <c r="F252" s="85">
        <f t="shared" si="26"/>
        <v>352.73628000000002</v>
      </c>
      <c r="G252" s="85">
        <v>0</v>
      </c>
      <c r="H252" s="85">
        <f t="shared" si="27"/>
        <v>529.10442</v>
      </c>
      <c r="I252" s="36"/>
      <c r="L252" s="72"/>
      <c r="M252" s="72"/>
      <c r="N252" s="36"/>
    </row>
    <row r="253" spans="1:20" s="87" customFormat="1" ht="15.75" customHeight="1" x14ac:dyDescent="0.25">
      <c r="A253" s="99">
        <v>7</v>
      </c>
      <c r="B253" s="100"/>
      <c r="C253" s="86" t="s">
        <v>305</v>
      </c>
      <c r="D253" s="86">
        <f>(32.77)*10.764</f>
        <v>352.73628000000002</v>
      </c>
      <c r="E253" s="85">
        <v>0</v>
      </c>
      <c r="F253" s="85">
        <f t="shared" si="26"/>
        <v>352.73628000000002</v>
      </c>
      <c r="G253" s="85">
        <v>0</v>
      </c>
      <c r="H253" s="85">
        <f t="shared" si="27"/>
        <v>529.10442</v>
      </c>
      <c r="I253" s="36">
        <f>4.7*3+2.3*2.5+3.3*3+3.2*3+2.1*1.2+1.8*1.2+1*0.9+0.9*1.2+2.1*1.2</f>
        <v>48.53</v>
      </c>
      <c r="L253" s="72"/>
      <c r="M253" s="72"/>
      <c r="N253" s="36"/>
    </row>
    <row r="254" spans="1:20" s="87" customFormat="1" ht="15.75" customHeight="1" x14ac:dyDescent="0.25">
      <c r="A254" s="99">
        <v>8</v>
      </c>
      <c r="B254" s="100"/>
      <c r="C254" s="86" t="s">
        <v>305</v>
      </c>
      <c r="D254" s="86">
        <f>(32.78)*10.764</f>
        <v>352.84391999999997</v>
      </c>
      <c r="E254" s="85">
        <v>0</v>
      </c>
      <c r="F254" s="85">
        <f t="shared" si="26"/>
        <v>352.84391999999997</v>
      </c>
      <c r="G254" s="85">
        <v>0</v>
      </c>
      <c r="H254" s="85">
        <f t="shared" si="27"/>
        <v>529.26587999999992</v>
      </c>
      <c r="I254" s="36"/>
      <c r="L254" s="72"/>
      <c r="M254" s="72"/>
      <c r="N254" s="36"/>
      <c r="T254" s="21"/>
    </row>
    <row r="255" spans="1:20" s="87" customFormat="1" ht="15.75" customHeight="1" x14ac:dyDescent="0.25">
      <c r="A255" s="99">
        <v>9</v>
      </c>
      <c r="B255" s="100"/>
      <c r="C255" s="86" t="s">
        <v>305</v>
      </c>
      <c r="D255" s="86">
        <f>(32.77)*10.764</f>
        <v>352.73628000000002</v>
      </c>
      <c r="E255" s="85">
        <v>0</v>
      </c>
      <c r="F255" s="85">
        <f t="shared" si="26"/>
        <v>352.73628000000002</v>
      </c>
      <c r="G255" s="85">
        <v>0</v>
      </c>
      <c r="H255" s="85">
        <f t="shared" si="27"/>
        <v>529.10442</v>
      </c>
      <c r="I255" s="36">
        <f>4.7*3+2.3*2.5+3.3*3+3.2*3+2.1*1.2+1.8*1.2+1*0.9+0.9*1.2+2.1*1.2</f>
        <v>48.53</v>
      </c>
      <c r="L255" s="72"/>
      <c r="M255" s="72"/>
      <c r="N255" s="36"/>
    </row>
    <row r="256" spans="1:20" s="87" customFormat="1" ht="15.75" customHeight="1" x14ac:dyDescent="0.25">
      <c r="A256" s="99">
        <v>10</v>
      </c>
      <c r="B256" s="100"/>
      <c r="C256" s="86" t="s">
        <v>307</v>
      </c>
      <c r="D256" s="86">
        <f>(41.07)*10.764</f>
        <v>442.07747999999998</v>
      </c>
      <c r="E256" s="85">
        <v>0</v>
      </c>
      <c r="F256" s="85">
        <f t="shared" si="26"/>
        <v>442.07747999999998</v>
      </c>
      <c r="G256" s="85">
        <v>0</v>
      </c>
      <c r="H256" s="85">
        <f t="shared" si="27"/>
        <v>663.11622</v>
      </c>
      <c r="I256" s="36"/>
      <c r="L256" s="72"/>
      <c r="M256" s="72"/>
      <c r="N256" s="36"/>
      <c r="T256" s="21"/>
    </row>
    <row r="257" spans="1:20" s="87" customFormat="1" ht="15.75" customHeight="1" x14ac:dyDescent="0.25">
      <c r="A257" s="99">
        <v>11</v>
      </c>
      <c r="B257" s="100"/>
      <c r="C257" s="86" t="s">
        <v>307</v>
      </c>
      <c r="D257" s="86">
        <f>(40.45)*10.764</f>
        <v>435.40379999999999</v>
      </c>
      <c r="E257" s="85">
        <v>0</v>
      </c>
      <c r="F257" s="85">
        <f t="shared" si="26"/>
        <v>435.40379999999999</v>
      </c>
      <c r="G257" s="85">
        <v>0</v>
      </c>
      <c r="H257" s="85">
        <f t="shared" si="27"/>
        <v>653.10569999999996</v>
      </c>
      <c r="I257" s="36"/>
      <c r="L257" s="72"/>
      <c r="M257" s="72"/>
      <c r="N257" s="36"/>
      <c r="T257" s="21"/>
    </row>
    <row r="258" spans="1:20" s="87" customFormat="1" x14ac:dyDescent="0.25">
      <c r="A258" s="202" t="s">
        <v>357</v>
      </c>
      <c r="B258" s="203"/>
      <c r="C258" s="203"/>
      <c r="D258" s="203"/>
      <c r="E258" s="203"/>
      <c r="F258" s="203"/>
      <c r="G258" s="203"/>
      <c r="H258" s="204"/>
      <c r="J258" s="36"/>
    </row>
    <row r="259" spans="1:20" s="87" customFormat="1" ht="15.75" customHeight="1" x14ac:dyDescent="0.25">
      <c r="A259" s="99">
        <v>1</v>
      </c>
      <c r="B259" s="100"/>
      <c r="C259" s="86" t="s">
        <v>305</v>
      </c>
      <c r="D259" s="86">
        <f>(32.76)*10.764</f>
        <v>352.62863999999996</v>
      </c>
      <c r="E259" s="85">
        <v>0</v>
      </c>
      <c r="F259" s="85">
        <f t="shared" ref="F259:F269" si="28">D259+E259</f>
        <v>352.62863999999996</v>
      </c>
      <c r="G259" s="85">
        <v>0</v>
      </c>
      <c r="H259" s="85">
        <f t="shared" ref="H259:H269" si="29">F259*(($H$145)+1)+(IF(G259&lt;101,G259,IF(G259&lt;201,G259/2,IF(G259&lt;=301,G259/3,G259/4))))</f>
        <v>528.94295999999997</v>
      </c>
      <c r="I259" s="36">
        <f>4.5*2.75+2.4*2.4+3.4*2.75+2.1*1.2+1.2*2.4+0.9*2.4+2.15*1.75</f>
        <v>38.807500000000005</v>
      </c>
      <c r="J259" s="86">
        <v>10.763999999999999</v>
      </c>
      <c r="L259" s="72"/>
      <c r="M259" s="72"/>
      <c r="N259" s="36"/>
    </row>
    <row r="260" spans="1:20" s="87" customFormat="1" ht="15.75" customHeight="1" x14ac:dyDescent="0.25">
      <c r="A260" s="99">
        <v>2</v>
      </c>
      <c r="B260" s="100"/>
      <c r="C260" s="86" t="s">
        <v>305</v>
      </c>
      <c r="D260" s="86">
        <f>(32.77)*10.764</f>
        <v>352.73628000000002</v>
      </c>
      <c r="E260" s="85">
        <v>0</v>
      </c>
      <c r="F260" s="85">
        <f t="shared" si="28"/>
        <v>352.73628000000002</v>
      </c>
      <c r="G260" s="85">
        <v>0</v>
      </c>
      <c r="H260" s="85">
        <f t="shared" si="29"/>
        <v>529.10442</v>
      </c>
      <c r="I260" s="36"/>
      <c r="L260" s="72"/>
      <c r="M260" s="72"/>
      <c r="N260" s="36"/>
    </row>
    <row r="261" spans="1:20" s="87" customFormat="1" ht="15.75" customHeight="1" x14ac:dyDescent="0.25">
      <c r="A261" s="99">
        <v>3</v>
      </c>
      <c r="B261" s="100"/>
      <c r="C261" s="86" t="s">
        <v>305</v>
      </c>
      <c r="D261" s="86">
        <f>(32.25)*10.764</f>
        <v>347.13899999999995</v>
      </c>
      <c r="E261" s="85">
        <v>0</v>
      </c>
      <c r="F261" s="85">
        <f t="shared" si="28"/>
        <v>347.13899999999995</v>
      </c>
      <c r="G261" s="85">
        <v>0</v>
      </c>
      <c r="H261" s="85">
        <f t="shared" si="29"/>
        <v>520.70849999999996</v>
      </c>
      <c r="I261" s="36"/>
      <c r="L261" s="72"/>
      <c r="M261" s="72"/>
      <c r="N261" s="36"/>
    </row>
    <row r="262" spans="1:20" s="87" customFormat="1" ht="15.75" customHeight="1" x14ac:dyDescent="0.25">
      <c r="A262" s="99">
        <v>4</v>
      </c>
      <c r="B262" s="100"/>
      <c r="C262" s="86" t="s">
        <v>307</v>
      </c>
      <c r="D262" s="86">
        <f>(41.06)*10.764</f>
        <v>441.96983999999998</v>
      </c>
      <c r="E262" s="85">
        <v>0</v>
      </c>
      <c r="F262" s="85">
        <f t="shared" si="28"/>
        <v>441.96983999999998</v>
      </c>
      <c r="G262" s="85">
        <v>0</v>
      </c>
      <c r="H262" s="85">
        <f t="shared" si="29"/>
        <v>662.95475999999996</v>
      </c>
      <c r="I262" s="36"/>
      <c r="L262" s="72"/>
      <c r="M262" s="72"/>
      <c r="N262" s="36"/>
      <c r="T262" s="21"/>
    </row>
    <row r="263" spans="1:20" s="87" customFormat="1" ht="15.75" customHeight="1" x14ac:dyDescent="0.25">
      <c r="A263" s="266">
        <v>5</v>
      </c>
      <c r="B263" s="267"/>
      <c r="C263" s="90" t="s">
        <v>305</v>
      </c>
      <c r="D263" s="90">
        <f>(28.67+4.84)*10.764</f>
        <v>360.70164000000005</v>
      </c>
      <c r="E263" s="91">
        <f>4.95*10.764</f>
        <v>53.281799999999997</v>
      </c>
      <c r="F263" s="91">
        <f t="shared" si="28"/>
        <v>413.98344000000003</v>
      </c>
      <c r="G263" s="91">
        <v>0</v>
      </c>
      <c r="H263" s="91">
        <f t="shared" si="29"/>
        <v>620.97516000000007</v>
      </c>
      <c r="I263" s="36">
        <f>4.5*2.75+2*2.1+3*2.75+1.8*1.2+1.8*1.2+0.9*2.1</f>
        <v>31.035</v>
      </c>
      <c r="L263" s="72"/>
      <c r="M263" s="72"/>
      <c r="N263" s="36"/>
    </row>
    <row r="264" spans="1:20" s="87" customFormat="1" ht="15.75" customHeight="1" x14ac:dyDescent="0.25">
      <c r="A264" s="266">
        <v>6</v>
      </c>
      <c r="B264" s="267"/>
      <c r="C264" s="90" t="s">
        <v>305</v>
      </c>
      <c r="D264" s="90">
        <f>(32.77)*10.764</f>
        <v>352.73628000000002</v>
      </c>
      <c r="E264" s="91">
        <v>0</v>
      </c>
      <c r="F264" s="91">
        <f t="shared" si="28"/>
        <v>352.73628000000002</v>
      </c>
      <c r="G264" s="91">
        <v>0</v>
      </c>
      <c r="H264" s="91">
        <f t="shared" si="29"/>
        <v>529.10442</v>
      </c>
      <c r="I264" s="36"/>
      <c r="L264" s="72"/>
      <c r="M264" s="72"/>
      <c r="N264" s="36"/>
    </row>
    <row r="265" spans="1:20" s="87" customFormat="1" ht="15.75" customHeight="1" x14ac:dyDescent="0.25">
      <c r="A265" s="266">
        <v>7</v>
      </c>
      <c r="B265" s="267"/>
      <c r="C265" s="90" t="s">
        <v>305</v>
      </c>
      <c r="D265" s="90">
        <f>(32.77)*10.764</f>
        <v>352.73628000000002</v>
      </c>
      <c r="E265" s="91">
        <v>0</v>
      </c>
      <c r="F265" s="91">
        <f t="shared" si="28"/>
        <v>352.73628000000002</v>
      </c>
      <c r="G265" s="91">
        <v>0</v>
      </c>
      <c r="H265" s="91">
        <f t="shared" si="29"/>
        <v>529.10442</v>
      </c>
      <c r="I265" s="36">
        <f>4.7*3+2.3*2.5+3.3*3+3.2*3+2.1*1.2+1.8*1.2+1*0.9+0.9*1.2+2.1*1.2</f>
        <v>48.53</v>
      </c>
      <c r="L265" s="72"/>
      <c r="M265" s="72"/>
      <c r="N265" s="36"/>
    </row>
    <row r="266" spans="1:20" s="87" customFormat="1" ht="15.75" customHeight="1" x14ac:dyDescent="0.25">
      <c r="A266" s="266">
        <v>8</v>
      </c>
      <c r="B266" s="267"/>
      <c r="C266" s="90" t="s">
        <v>305</v>
      </c>
      <c r="D266" s="90">
        <f>(32.78)*10.764</f>
        <v>352.84391999999997</v>
      </c>
      <c r="E266" s="91">
        <v>0</v>
      </c>
      <c r="F266" s="91">
        <f t="shared" si="28"/>
        <v>352.84391999999997</v>
      </c>
      <c r="G266" s="91">
        <v>0</v>
      </c>
      <c r="H266" s="91">
        <f t="shared" si="29"/>
        <v>529.26587999999992</v>
      </c>
      <c r="I266" s="36"/>
      <c r="L266" s="72"/>
      <c r="M266" s="72"/>
      <c r="N266" s="36"/>
      <c r="T266" s="21"/>
    </row>
    <row r="267" spans="1:20" s="87" customFormat="1" ht="15.75" customHeight="1" x14ac:dyDescent="0.25">
      <c r="A267" s="266">
        <v>9</v>
      </c>
      <c r="B267" s="267"/>
      <c r="C267" s="90" t="s">
        <v>305</v>
      </c>
      <c r="D267" s="90">
        <f>(32.77)*10.764</f>
        <v>352.73628000000002</v>
      </c>
      <c r="E267" s="91">
        <v>0</v>
      </c>
      <c r="F267" s="91">
        <f t="shared" si="28"/>
        <v>352.73628000000002</v>
      </c>
      <c r="G267" s="91">
        <v>0</v>
      </c>
      <c r="H267" s="91">
        <f t="shared" si="29"/>
        <v>529.10442</v>
      </c>
      <c r="I267" s="36">
        <f>4.7*3+2.3*2.5+3.3*3+3.2*3+2.1*1.2+1.8*1.2+1*0.9+0.9*1.2+2.1*1.2</f>
        <v>48.53</v>
      </c>
      <c r="L267" s="72"/>
      <c r="M267" s="72"/>
      <c r="N267" s="36"/>
    </row>
    <row r="268" spans="1:20" s="87" customFormat="1" ht="15.75" customHeight="1" x14ac:dyDescent="0.25">
      <c r="A268" s="266">
        <v>10</v>
      </c>
      <c r="B268" s="267"/>
      <c r="C268" s="90" t="s">
        <v>307</v>
      </c>
      <c r="D268" s="90">
        <f>(41.07)*10.764</f>
        <v>442.07747999999998</v>
      </c>
      <c r="E268" s="91">
        <v>0</v>
      </c>
      <c r="F268" s="91">
        <f t="shared" si="28"/>
        <v>442.07747999999998</v>
      </c>
      <c r="G268" s="91">
        <v>0</v>
      </c>
      <c r="H268" s="91">
        <f t="shared" si="29"/>
        <v>663.11622</v>
      </c>
      <c r="I268" s="36"/>
      <c r="L268" s="72"/>
      <c r="M268" s="72"/>
      <c r="N268" s="36"/>
      <c r="T268" s="21"/>
    </row>
    <row r="269" spans="1:20" s="87" customFormat="1" ht="15.75" customHeight="1" x14ac:dyDescent="0.25">
      <c r="A269" s="266">
        <v>11</v>
      </c>
      <c r="B269" s="267"/>
      <c r="C269" s="90" t="s">
        <v>307</v>
      </c>
      <c r="D269" s="90">
        <f>(36.09+5.13)*10.764</f>
        <v>443.69208000000003</v>
      </c>
      <c r="E269" s="91">
        <f>5.24*10.764</f>
        <v>56.403359999999999</v>
      </c>
      <c r="F269" s="91">
        <f t="shared" si="28"/>
        <v>500.09544000000005</v>
      </c>
      <c r="G269" s="91">
        <v>0</v>
      </c>
      <c r="H269" s="91">
        <f t="shared" si="29"/>
        <v>750.14316000000008</v>
      </c>
      <c r="I269" s="36"/>
      <c r="L269" s="72"/>
      <c r="M269" s="72"/>
      <c r="N269" s="36"/>
      <c r="T269" s="21"/>
    </row>
    <row r="270" spans="1:20" s="87" customFormat="1" x14ac:dyDescent="0.25">
      <c r="A270" s="268" t="s">
        <v>358</v>
      </c>
      <c r="B270" s="269"/>
      <c r="C270" s="269"/>
      <c r="D270" s="269"/>
      <c r="E270" s="269"/>
      <c r="F270" s="269"/>
      <c r="G270" s="269"/>
      <c r="H270" s="270"/>
      <c r="J270" s="36"/>
    </row>
    <row r="271" spans="1:20" s="87" customFormat="1" ht="15.75" customHeight="1" x14ac:dyDescent="0.25">
      <c r="A271" s="266">
        <v>1</v>
      </c>
      <c r="B271" s="267"/>
      <c r="C271" s="90" t="s">
        <v>305</v>
      </c>
      <c r="D271" s="90">
        <f>(32.76)*10.764</f>
        <v>352.62863999999996</v>
      </c>
      <c r="E271" s="91">
        <v>0</v>
      </c>
      <c r="F271" s="91">
        <f t="shared" ref="F271:F281" si="30">D271+E271</f>
        <v>352.62863999999996</v>
      </c>
      <c r="G271" s="91">
        <v>0</v>
      </c>
      <c r="H271" s="91">
        <f t="shared" ref="H271:H281" si="31">F271*(($H$145)+1)+(IF(G271&lt;101,G271,IF(G271&lt;201,G271/2,IF(G271&lt;=301,G271/3,G271/4))))</f>
        <v>528.94295999999997</v>
      </c>
      <c r="I271" s="36">
        <f>4.5*2.75+2.4*2.4+3.4*2.75+2.1*1.2+1.2*2.4+0.9*2.4+2.15*1.75</f>
        <v>38.807500000000005</v>
      </c>
      <c r="J271" s="86">
        <v>10.763999999999999</v>
      </c>
      <c r="L271" s="72"/>
      <c r="M271" s="72"/>
      <c r="N271" s="36"/>
    </row>
    <row r="272" spans="1:20" s="87" customFormat="1" ht="15.75" customHeight="1" x14ac:dyDescent="0.25">
      <c r="A272" s="266">
        <v>2</v>
      </c>
      <c r="B272" s="267"/>
      <c r="C272" s="90" t="s">
        <v>305</v>
      </c>
      <c r="D272" s="90">
        <f>(32.77)*10.764</f>
        <v>352.73628000000002</v>
      </c>
      <c r="E272" s="91">
        <v>0</v>
      </c>
      <c r="F272" s="91">
        <f t="shared" si="30"/>
        <v>352.73628000000002</v>
      </c>
      <c r="G272" s="91">
        <v>0</v>
      </c>
      <c r="H272" s="91">
        <f t="shared" si="31"/>
        <v>529.10442</v>
      </c>
      <c r="I272" s="36"/>
      <c r="L272" s="72"/>
      <c r="M272" s="72"/>
      <c r="N272" s="36"/>
    </row>
    <row r="273" spans="1:20" s="87" customFormat="1" ht="15.75" customHeight="1" x14ac:dyDescent="0.25">
      <c r="A273" s="266">
        <v>3</v>
      </c>
      <c r="B273" s="267"/>
      <c r="C273" s="90" t="s">
        <v>305</v>
      </c>
      <c r="D273" s="90">
        <f>(32.25)*10.764</f>
        <v>347.13899999999995</v>
      </c>
      <c r="E273" s="91">
        <v>0</v>
      </c>
      <c r="F273" s="91">
        <f t="shared" si="30"/>
        <v>347.13899999999995</v>
      </c>
      <c r="G273" s="91">
        <v>0</v>
      </c>
      <c r="H273" s="91">
        <f t="shared" si="31"/>
        <v>520.70849999999996</v>
      </c>
      <c r="I273" s="36"/>
      <c r="L273" s="72"/>
      <c r="M273" s="72"/>
      <c r="N273" s="36"/>
    </row>
    <row r="274" spans="1:20" s="87" customFormat="1" ht="15.75" customHeight="1" x14ac:dyDescent="0.25">
      <c r="A274" s="266">
        <v>4</v>
      </c>
      <c r="B274" s="267"/>
      <c r="C274" s="90" t="s">
        <v>306</v>
      </c>
      <c r="D274" s="90">
        <f>(41.06)*10.764</f>
        <v>441.96983999999998</v>
      </c>
      <c r="E274" s="91">
        <v>0</v>
      </c>
      <c r="F274" s="91">
        <f t="shared" si="30"/>
        <v>441.96983999999998</v>
      </c>
      <c r="G274" s="91">
        <v>0</v>
      </c>
      <c r="H274" s="91">
        <f t="shared" si="31"/>
        <v>662.95475999999996</v>
      </c>
      <c r="I274" s="36"/>
      <c r="L274" s="72"/>
      <c r="M274" s="72"/>
      <c r="N274" s="36"/>
      <c r="T274" s="21"/>
    </row>
    <row r="275" spans="1:20" s="87" customFormat="1" ht="15.75" customHeight="1" x14ac:dyDescent="0.25">
      <c r="A275" s="266">
        <v>5</v>
      </c>
      <c r="B275" s="267"/>
      <c r="C275" s="90" t="s">
        <v>305</v>
      </c>
      <c r="D275" s="90">
        <f>(28.67+4.84)*10.764</f>
        <v>360.70164000000005</v>
      </c>
      <c r="E275" s="91">
        <f>4.95*10.764</f>
        <v>53.281799999999997</v>
      </c>
      <c r="F275" s="91">
        <f t="shared" si="30"/>
        <v>413.98344000000003</v>
      </c>
      <c r="G275" s="91">
        <v>0</v>
      </c>
      <c r="H275" s="91">
        <f t="shared" si="31"/>
        <v>620.97516000000007</v>
      </c>
      <c r="I275" s="36">
        <f>4.5*2.75+2*2.1+3*2.75+1.8*1.2+1.8*1.2+0.9*2.1</f>
        <v>31.035</v>
      </c>
      <c r="L275" s="72"/>
      <c r="M275" s="72"/>
      <c r="N275" s="36"/>
    </row>
    <row r="276" spans="1:20" s="87" customFormat="1" ht="15.75" customHeight="1" x14ac:dyDescent="0.25">
      <c r="A276" s="266">
        <v>6</v>
      </c>
      <c r="B276" s="267"/>
      <c r="C276" s="90" t="s">
        <v>305</v>
      </c>
      <c r="D276" s="90">
        <f>(28.66+4.84)*10.764</f>
        <v>360.59399999999999</v>
      </c>
      <c r="E276" s="91">
        <f>4.94*10.764</f>
        <v>53.174160000000001</v>
      </c>
      <c r="F276" s="91">
        <f t="shared" si="30"/>
        <v>413.76815999999997</v>
      </c>
      <c r="G276" s="91">
        <v>0</v>
      </c>
      <c r="H276" s="91">
        <f t="shared" si="31"/>
        <v>620.65223999999989</v>
      </c>
      <c r="I276" s="36"/>
      <c r="L276" s="72"/>
      <c r="M276" s="72"/>
      <c r="N276" s="36"/>
    </row>
    <row r="277" spans="1:20" s="87" customFormat="1" ht="15.75" customHeight="1" x14ac:dyDescent="0.25">
      <c r="A277" s="266">
        <v>7</v>
      </c>
      <c r="B277" s="267"/>
      <c r="C277" s="90" t="s">
        <v>305</v>
      </c>
      <c r="D277" s="90">
        <f>(28.67+4.84)*10.764</f>
        <v>360.70164000000005</v>
      </c>
      <c r="E277" s="91">
        <f>4.94*10.764</f>
        <v>53.174160000000001</v>
      </c>
      <c r="F277" s="91">
        <f t="shared" si="30"/>
        <v>413.87580000000003</v>
      </c>
      <c r="G277" s="91">
        <v>0</v>
      </c>
      <c r="H277" s="91">
        <f t="shared" si="31"/>
        <v>620.81370000000004</v>
      </c>
      <c r="I277" s="36">
        <f>4.7*3+2.3*2.5+3.3*3+3.2*3+2.1*1.2+1.8*1.2+1*0.9+0.9*1.2+2.1*1.2</f>
        <v>48.53</v>
      </c>
      <c r="L277" s="72"/>
      <c r="M277" s="72"/>
      <c r="N277" s="36"/>
    </row>
    <row r="278" spans="1:20" s="87" customFormat="1" ht="15.75" customHeight="1" x14ac:dyDescent="0.25">
      <c r="A278" s="266">
        <v>8</v>
      </c>
      <c r="B278" s="267"/>
      <c r="C278" s="90" t="s">
        <v>305</v>
      </c>
      <c r="D278" s="90">
        <f>(32.78)*10.764</f>
        <v>352.84391999999997</v>
      </c>
      <c r="E278" s="91">
        <v>0</v>
      </c>
      <c r="F278" s="91">
        <f t="shared" si="30"/>
        <v>352.84391999999997</v>
      </c>
      <c r="G278" s="91">
        <v>0</v>
      </c>
      <c r="H278" s="91">
        <f t="shared" si="31"/>
        <v>529.26587999999992</v>
      </c>
      <c r="I278" s="36"/>
      <c r="L278" s="72"/>
      <c r="M278" s="72"/>
      <c r="N278" s="36"/>
      <c r="T278" s="21"/>
    </row>
    <row r="279" spans="1:20" s="87" customFormat="1" ht="15.75" customHeight="1" x14ac:dyDescent="0.25">
      <c r="A279" s="266">
        <v>9</v>
      </c>
      <c r="B279" s="267"/>
      <c r="C279" s="90" t="s">
        <v>305</v>
      </c>
      <c r="D279" s="90">
        <f>(32.77)*10.764</f>
        <v>352.73628000000002</v>
      </c>
      <c r="E279" s="91">
        <v>0</v>
      </c>
      <c r="F279" s="91">
        <f t="shared" si="30"/>
        <v>352.73628000000002</v>
      </c>
      <c r="G279" s="91">
        <v>0</v>
      </c>
      <c r="H279" s="91">
        <f t="shared" si="31"/>
        <v>529.10442</v>
      </c>
      <c r="I279" s="36">
        <f>4.7*3+2.3*2.5+3.3*3+3.2*3+2.1*1.2+1.8*1.2+1*0.9+0.9*1.2+2.1*1.2</f>
        <v>48.53</v>
      </c>
      <c r="L279" s="72"/>
      <c r="M279" s="72"/>
      <c r="N279" s="36"/>
    </row>
    <row r="280" spans="1:20" s="87" customFormat="1" ht="15.75" customHeight="1" x14ac:dyDescent="0.25">
      <c r="A280" s="266">
        <v>10</v>
      </c>
      <c r="B280" s="267"/>
      <c r="C280" s="90" t="s">
        <v>306</v>
      </c>
      <c r="D280" s="90">
        <f>(41.07)*10.764</f>
        <v>442.07747999999998</v>
      </c>
      <c r="E280" s="91">
        <v>0</v>
      </c>
      <c r="F280" s="91">
        <f t="shared" si="30"/>
        <v>442.07747999999998</v>
      </c>
      <c r="G280" s="91">
        <v>0</v>
      </c>
      <c r="H280" s="91">
        <f t="shared" si="31"/>
        <v>663.11622</v>
      </c>
      <c r="I280" s="36"/>
      <c r="L280" s="72"/>
      <c r="M280" s="72"/>
      <c r="N280" s="36"/>
      <c r="T280" s="21"/>
    </row>
    <row r="281" spans="1:20" s="87" customFormat="1" ht="15.75" customHeight="1" x14ac:dyDescent="0.25">
      <c r="A281" s="266">
        <v>11</v>
      </c>
      <c r="B281" s="267"/>
      <c r="C281" s="90" t="s">
        <v>306</v>
      </c>
      <c r="D281" s="90">
        <f>(36.09+5.13)*10.764</f>
        <v>443.69208000000003</v>
      </c>
      <c r="E281" s="91">
        <f>5.24*10.764</f>
        <v>56.403359999999999</v>
      </c>
      <c r="F281" s="91">
        <f t="shared" si="30"/>
        <v>500.09544000000005</v>
      </c>
      <c r="G281" s="91">
        <v>0</v>
      </c>
      <c r="H281" s="91">
        <f t="shared" si="31"/>
        <v>750.14316000000008</v>
      </c>
      <c r="I281" s="36"/>
      <c r="L281" s="72"/>
      <c r="M281" s="72"/>
      <c r="N281" s="36"/>
      <c r="T281" s="21"/>
    </row>
    <row r="282" spans="1:20" s="35" customFormat="1" x14ac:dyDescent="0.25">
      <c r="A282" s="219" t="s">
        <v>64</v>
      </c>
      <c r="B282" s="219"/>
      <c r="C282" s="219"/>
      <c r="D282" s="219"/>
      <c r="E282" s="219"/>
      <c r="F282" s="219"/>
      <c r="G282" s="219"/>
      <c r="H282" s="219"/>
      <c r="T282" s="37"/>
    </row>
    <row r="283" spans="1:20" s="35" customFormat="1" x14ac:dyDescent="0.25">
      <c r="A283" s="46" t="s">
        <v>145</v>
      </c>
      <c r="B283" s="216" t="s">
        <v>310</v>
      </c>
      <c r="C283" s="217"/>
      <c r="D283" s="217"/>
      <c r="E283" s="217"/>
      <c r="F283" s="217"/>
      <c r="G283" s="217"/>
      <c r="H283" s="218"/>
      <c r="T283" s="37"/>
    </row>
    <row r="284" spans="1:20" s="35" customFormat="1" x14ac:dyDescent="0.25">
      <c r="A284" s="46" t="s">
        <v>145</v>
      </c>
      <c r="B284" s="96" t="str">
        <f>(IF(H144="Saleable area Loading :","We have considered Saleable area of Flats as per our Calculation.","We considered Saleable area of Flat as per Builder area Sheet."))</f>
        <v>We have considered Saleable area of Flats as per our Calculation.</v>
      </c>
      <c r="C284" s="97"/>
      <c r="D284" s="97"/>
      <c r="E284" s="97"/>
      <c r="F284" s="97"/>
      <c r="G284" s="97"/>
      <c r="H284" s="98"/>
      <c r="T284" s="37"/>
    </row>
    <row r="285" spans="1:20" s="35" customFormat="1" x14ac:dyDescent="0.25">
      <c r="A285" s="46" t="s">
        <v>145</v>
      </c>
      <c r="B285" s="119" t="s">
        <v>115</v>
      </c>
      <c r="C285" s="120"/>
      <c r="D285" s="120"/>
      <c r="E285" s="120"/>
      <c r="F285" s="120"/>
      <c r="G285" s="120"/>
      <c r="H285" s="121"/>
      <c r="T285" s="37"/>
    </row>
    <row r="286" spans="1:20" s="35" customFormat="1" x14ac:dyDescent="0.25">
      <c r="A286" s="46" t="s">
        <v>145</v>
      </c>
      <c r="B286" s="119" t="s">
        <v>367</v>
      </c>
      <c r="C286" s="120"/>
      <c r="D286" s="120"/>
      <c r="E286" s="120"/>
      <c r="F286" s="120"/>
      <c r="G286" s="120"/>
      <c r="H286" s="121"/>
      <c r="T286" s="37"/>
    </row>
    <row r="287" spans="1:20" s="35" customFormat="1" x14ac:dyDescent="0.25">
      <c r="A287" s="46" t="s">
        <v>145</v>
      </c>
      <c r="B287" s="119" t="s">
        <v>144</v>
      </c>
      <c r="C287" s="120"/>
      <c r="D287" s="120"/>
      <c r="E287" s="120"/>
      <c r="F287" s="120"/>
      <c r="G287" s="120"/>
      <c r="H287" s="121"/>
    </row>
    <row r="288" spans="1:20" s="35" customFormat="1" x14ac:dyDescent="0.25">
      <c r="A288" s="46" t="s">
        <v>145</v>
      </c>
      <c r="B288" s="119" t="s">
        <v>116</v>
      </c>
      <c r="C288" s="120"/>
      <c r="D288" s="120"/>
      <c r="E288" s="120"/>
      <c r="F288" s="120"/>
      <c r="G288" s="120"/>
      <c r="H288" s="121"/>
    </row>
    <row r="289" spans="1:20" s="35" customFormat="1" ht="32.25" customHeight="1" x14ac:dyDescent="0.25">
      <c r="A289" s="46" t="s">
        <v>145</v>
      </c>
      <c r="B289" s="119" t="s">
        <v>146</v>
      </c>
      <c r="C289" s="120"/>
      <c r="D289" s="120"/>
      <c r="E289" s="120"/>
      <c r="F289" s="120"/>
      <c r="G289" s="120"/>
      <c r="H289" s="121"/>
    </row>
    <row r="290" spans="1:20" s="35" customFormat="1" x14ac:dyDescent="0.25">
      <c r="A290" s="46" t="s">
        <v>145</v>
      </c>
      <c r="B290" s="119" t="s">
        <v>117</v>
      </c>
      <c r="C290" s="120"/>
      <c r="D290" s="120"/>
      <c r="E290" s="120"/>
      <c r="F290" s="120"/>
      <c r="G290" s="120"/>
      <c r="H290" s="121"/>
    </row>
    <row r="291" spans="1:20" s="35" customFormat="1" ht="48.75" customHeight="1" x14ac:dyDescent="0.25">
      <c r="A291" s="79" t="s">
        <v>145</v>
      </c>
      <c r="B291" s="96" t="s">
        <v>343</v>
      </c>
      <c r="C291" s="97"/>
      <c r="D291" s="97"/>
      <c r="E291" s="97"/>
      <c r="F291" s="97"/>
      <c r="G291" s="97"/>
      <c r="H291" s="98"/>
      <c r="I291" s="92" t="s">
        <v>342</v>
      </c>
      <c r="J291" s="93"/>
      <c r="K291" s="93"/>
      <c r="L291" s="93"/>
      <c r="M291" s="93"/>
      <c r="N291" s="93"/>
      <c r="O291" s="94"/>
    </row>
    <row r="292" spans="1:20" s="35" customFormat="1" ht="47.25" hidden="1" customHeight="1" x14ac:dyDescent="0.25">
      <c r="A292" s="83" t="s">
        <v>145</v>
      </c>
      <c r="B292" s="96" t="s">
        <v>344</v>
      </c>
      <c r="C292" s="97"/>
      <c r="D292" s="97"/>
      <c r="E292" s="97"/>
      <c r="F292" s="97"/>
      <c r="G292" s="97"/>
      <c r="H292" s="98"/>
    </row>
    <row r="293" spans="1:20" s="35" customFormat="1" hidden="1" x14ac:dyDescent="0.25">
      <c r="A293" s="54" t="s">
        <v>145</v>
      </c>
      <c r="B293" s="96" t="s">
        <v>318</v>
      </c>
      <c r="C293" s="97"/>
      <c r="D293" s="97"/>
      <c r="E293" s="97"/>
      <c r="F293" s="97"/>
      <c r="G293" s="97"/>
      <c r="H293" s="98"/>
    </row>
    <row r="294" spans="1:20" x14ac:dyDescent="0.25">
      <c r="A294" s="206" t="s">
        <v>57</v>
      </c>
      <c r="B294" s="206"/>
      <c r="C294" s="206"/>
      <c r="D294" s="206"/>
      <c r="E294" s="206"/>
      <c r="F294" s="206"/>
      <c r="G294" s="206"/>
      <c r="H294" s="206"/>
      <c r="T294" s="35"/>
    </row>
    <row r="295" spans="1:20" x14ac:dyDescent="0.25">
      <c r="A295" s="134" t="s">
        <v>58</v>
      </c>
      <c r="B295" s="134"/>
      <c r="C295" s="134"/>
      <c r="D295" s="134"/>
      <c r="E295" s="134"/>
      <c r="F295" s="134"/>
      <c r="G295" s="134"/>
      <c r="H295" s="134"/>
      <c r="T295" s="35"/>
    </row>
    <row r="296" spans="1:20" ht="15.75" customHeight="1" x14ac:dyDescent="0.25">
      <c r="A296" s="227" t="s">
        <v>59</v>
      </c>
      <c r="B296" s="227"/>
      <c r="C296" s="227"/>
      <c r="D296" s="227"/>
      <c r="E296" s="227"/>
      <c r="F296" s="227"/>
      <c r="G296" s="227"/>
      <c r="H296" s="227"/>
      <c r="T296" s="35"/>
    </row>
    <row r="297" spans="1:20" x14ac:dyDescent="0.25">
      <c r="A297" s="134" t="s">
        <v>60</v>
      </c>
      <c r="B297" s="134"/>
      <c r="C297" s="134"/>
      <c r="D297" s="134"/>
      <c r="E297" s="134"/>
      <c r="F297" s="134"/>
      <c r="G297" s="134"/>
      <c r="H297" s="134"/>
      <c r="T297" s="35"/>
    </row>
    <row r="298" spans="1:20" x14ac:dyDescent="0.25">
      <c r="A298" s="128" t="s">
        <v>61</v>
      </c>
      <c r="B298" s="128"/>
      <c r="C298" s="128"/>
      <c r="D298" s="128"/>
      <c r="E298" s="128"/>
      <c r="F298" s="128"/>
      <c r="G298" s="128"/>
      <c r="H298" s="128"/>
      <c r="T298" s="35"/>
    </row>
    <row r="299" spans="1:20" x14ac:dyDescent="0.25">
      <c r="A299" s="128" t="s">
        <v>118</v>
      </c>
      <c r="B299" s="128"/>
      <c r="C299" s="128"/>
      <c r="D299" s="128"/>
      <c r="E299" s="128"/>
      <c r="F299" s="128"/>
      <c r="G299" s="128"/>
      <c r="H299" s="128"/>
      <c r="T299" s="35"/>
    </row>
    <row r="300" spans="1:20" ht="33.950000000000003" customHeight="1" x14ac:dyDescent="0.25">
      <c r="A300" s="150" t="s">
        <v>119</v>
      </c>
      <c r="B300" s="150"/>
      <c r="C300" s="150"/>
      <c r="D300" s="150"/>
      <c r="E300" s="150"/>
      <c r="F300" s="150"/>
      <c r="G300" s="150"/>
      <c r="H300" s="150"/>
    </row>
    <row r="301" spans="1:20" x14ac:dyDescent="0.25">
      <c r="A301" s="200" t="s">
        <v>73</v>
      </c>
      <c r="B301" s="200"/>
      <c r="C301" s="200" t="s">
        <v>314</v>
      </c>
      <c r="D301" s="200"/>
      <c r="E301" s="200" t="s">
        <v>100</v>
      </c>
      <c r="F301" s="200"/>
      <c r="G301" s="200" t="s">
        <v>365</v>
      </c>
      <c r="H301" s="200"/>
    </row>
    <row r="302" spans="1:20" x14ac:dyDescent="0.25">
      <c r="A302" s="199" t="s">
        <v>75</v>
      </c>
      <c r="B302" s="199"/>
      <c r="C302" s="199"/>
      <c r="D302" s="199"/>
      <c r="E302" s="199"/>
      <c r="F302" s="199"/>
      <c r="G302" s="199"/>
      <c r="H302" s="199"/>
    </row>
    <row r="303" spans="1:20" x14ac:dyDescent="0.25">
      <c r="A303" s="199"/>
      <c r="B303" s="199"/>
      <c r="C303" s="199"/>
      <c r="D303" s="199"/>
      <c r="E303" s="199"/>
      <c r="F303" s="199"/>
      <c r="G303" s="199"/>
      <c r="H303" s="199"/>
    </row>
    <row r="304" spans="1:20" x14ac:dyDescent="0.25">
      <c r="A304" s="199"/>
      <c r="B304" s="199"/>
      <c r="C304" s="199"/>
      <c r="D304" s="199"/>
      <c r="E304" s="199"/>
      <c r="F304" s="199"/>
      <c r="G304" s="199"/>
      <c r="H304" s="199"/>
    </row>
    <row r="305" spans="1:8" x14ac:dyDescent="0.25">
      <c r="A305" s="199"/>
      <c r="B305" s="199"/>
      <c r="C305" s="199"/>
      <c r="D305" s="199"/>
      <c r="E305" s="199"/>
      <c r="F305" s="199"/>
      <c r="G305" s="199"/>
      <c r="H305" s="199"/>
    </row>
    <row r="306" spans="1:8" x14ac:dyDescent="0.25">
      <c r="A306" s="38" t="s">
        <v>62</v>
      </c>
      <c r="B306" s="39"/>
      <c r="C306" s="39"/>
      <c r="D306" s="38" t="str">
        <f>E9</f>
        <v>Gami Tiara</v>
      </c>
      <c r="F306" s="39"/>
      <c r="G306" s="39"/>
      <c r="H306" s="39"/>
    </row>
    <row r="307" spans="1:8" x14ac:dyDescent="0.25">
      <c r="A307" s="39"/>
      <c r="B307" s="39"/>
      <c r="C307" s="39"/>
      <c r="D307" s="39"/>
      <c r="E307" s="39"/>
      <c r="F307" s="39"/>
      <c r="G307" s="39"/>
      <c r="H307" s="39"/>
    </row>
    <row r="308" spans="1:8" x14ac:dyDescent="0.25">
      <c r="A308" s="39"/>
      <c r="B308" s="39"/>
      <c r="C308" s="39"/>
      <c r="D308" s="39"/>
      <c r="E308" s="39"/>
      <c r="F308" s="39"/>
      <c r="G308" s="39"/>
      <c r="H308" s="39"/>
    </row>
    <row r="309" spans="1:8" ht="15" customHeight="1" x14ac:dyDescent="0.25"/>
    <row r="350" spans="1:1" x14ac:dyDescent="0.25">
      <c r="A350" s="41" t="s">
        <v>155</v>
      </c>
    </row>
    <row r="394" spans="1:1" x14ac:dyDescent="0.25">
      <c r="A394" s="41" t="s">
        <v>63</v>
      </c>
    </row>
  </sheetData>
  <mergeCells count="456">
    <mergeCell ref="A279:B279"/>
    <mergeCell ref="A280:B280"/>
    <mergeCell ref="A281:B281"/>
    <mergeCell ref="A270:H270"/>
    <mergeCell ref="A271:B271"/>
    <mergeCell ref="A272:B272"/>
    <mergeCell ref="A273:B273"/>
    <mergeCell ref="A274:B274"/>
    <mergeCell ref="A275:B275"/>
    <mergeCell ref="A276:B276"/>
    <mergeCell ref="A277:B277"/>
    <mergeCell ref="A278:B278"/>
    <mergeCell ref="A261:B261"/>
    <mergeCell ref="A262:B262"/>
    <mergeCell ref="A263:B263"/>
    <mergeCell ref="A264:B264"/>
    <mergeCell ref="A265:B265"/>
    <mergeCell ref="A266:B266"/>
    <mergeCell ref="A267:B267"/>
    <mergeCell ref="A268:B268"/>
    <mergeCell ref="A269:B269"/>
    <mergeCell ref="A252:B252"/>
    <mergeCell ref="A253:B253"/>
    <mergeCell ref="A254:B254"/>
    <mergeCell ref="A255:B255"/>
    <mergeCell ref="A256:B256"/>
    <mergeCell ref="A257:B257"/>
    <mergeCell ref="A258:H258"/>
    <mergeCell ref="A259:B259"/>
    <mergeCell ref="A260:B260"/>
    <mergeCell ref="A233:B233"/>
    <mergeCell ref="A240:B240"/>
    <mergeCell ref="D237:H237"/>
    <mergeCell ref="A246:H246"/>
    <mergeCell ref="A247:B247"/>
    <mergeCell ref="A248:B248"/>
    <mergeCell ref="A249:B249"/>
    <mergeCell ref="A250:B250"/>
    <mergeCell ref="A251:B251"/>
    <mergeCell ref="A225:B225"/>
    <mergeCell ref="A226:B226"/>
    <mergeCell ref="A227:B227"/>
    <mergeCell ref="A228:B228"/>
    <mergeCell ref="A229:B229"/>
    <mergeCell ref="A230:B230"/>
    <mergeCell ref="A231:B231"/>
    <mergeCell ref="A232:B232"/>
    <mergeCell ref="A206:B206"/>
    <mergeCell ref="A207:B207"/>
    <mergeCell ref="A220:B220"/>
    <mergeCell ref="A221:B221"/>
    <mergeCell ref="A209:H209"/>
    <mergeCell ref="A210:H210"/>
    <mergeCell ref="A211:B211"/>
    <mergeCell ref="D221:H221"/>
    <mergeCell ref="A222:H222"/>
    <mergeCell ref="A223:B223"/>
    <mergeCell ref="A224:B224"/>
    <mergeCell ref="A219:B219"/>
    <mergeCell ref="A214:B214"/>
    <mergeCell ref="A215:B215"/>
    <mergeCell ref="A216:B216"/>
    <mergeCell ref="A166:B166"/>
    <mergeCell ref="A167:B167"/>
    <mergeCell ref="A188:H188"/>
    <mergeCell ref="A189:B189"/>
    <mergeCell ref="A190:B190"/>
    <mergeCell ref="A191:B191"/>
    <mergeCell ref="A192:B192"/>
    <mergeCell ref="A193:B193"/>
    <mergeCell ref="A186:B186"/>
    <mergeCell ref="A187:B187"/>
    <mergeCell ref="A179:B179"/>
    <mergeCell ref="G54:H54"/>
    <mergeCell ref="C55:H55"/>
    <mergeCell ref="A158:H158"/>
    <mergeCell ref="A159:B159"/>
    <mergeCell ref="A160:B160"/>
    <mergeCell ref="A161:B161"/>
    <mergeCell ref="A162:B162"/>
    <mergeCell ref="A163:B163"/>
    <mergeCell ref="A164:B164"/>
    <mergeCell ref="D69:H69"/>
    <mergeCell ref="A67:C69"/>
    <mergeCell ref="D67:H67"/>
    <mergeCell ref="D68:H68"/>
    <mergeCell ref="A142:H142"/>
    <mergeCell ref="A144:A145"/>
    <mergeCell ref="F144:F145"/>
    <mergeCell ref="E94:F94"/>
    <mergeCell ref="G94:H94"/>
    <mergeCell ref="A125:E125"/>
    <mergeCell ref="F125:H125"/>
    <mergeCell ref="A127:E127"/>
    <mergeCell ref="F122:H122"/>
    <mergeCell ref="A126:E126"/>
    <mergeCell ref="A112:B112"/>
    <mergeCell ref="I15:P15"/>
    <mergeCell ref="F129:H129"/>
    <mergeCell ref="F127:H127"/>
    <mergeCell ref="A180:B180"/>
    <mergeCell ref="A143:H143"/>
    <mergeCell ref="G133:H133"/>
    <mergeCell ref="A128:E128"/>
    <mergeCell ref="A62:B62"/>
    <mergeCell ref="C62:E62"/>
    <mergeCell ref="D64:H64"/>
    <mergeCell ref="F128:H128"/>
    <mergeCell ref="E133:F133"/>
    <mergeCell ref="A133:B133"/>
    <mergeCell ref="A135:B135"/>
    <mergeCell ref="C138:D138"/>
    <mergeCell ref="D74:H74"/>
    <mergeCell ref="A75:C75"/>
    <mergeCell ref="E43:H43"/>
    <mergeCell ref="A43:D43"/>
    <mergeCell ref="A91:B91"/>
    <mergeCell ref="C91:H91"/>
    <mergeCell ref="A86:B86"/>
    <mergeCell ref="A50:B50"/>
    <mergeCell ref="C50:E50"/>
    <mergeCell ref="G50:H50"/>
    <mergeCell ref="G52:H52"/>
    <mergeCell ref="A51:B51"/>
    <mergeCell ref="A63:H63"/>
    <mergeCell ref="A64:C64"/>
    <mergeCell ref="A65:C65"/>
    <mergeCell ref="D65:H65"/>
    <mergeCell ref="G62:H62"/>
    <mergeCell ref="A56:B57"/>
    <mergeCell ref="C56:E56"/>
    <mergeCell ref="G56:H56"/>
    <mergeCell ref="A58:B59"/>
    <mergeCell ref="C58:E58"/>
    <mergeCell ref="G58:H58"/>
    <mergeCell ref="A60:B61"/>
    <mergeCell ref="C60:E60"/>
    <mergeCell ref="G60:H60"/>
    <mergeCell ref="G51:H51"/>
    <mergeCell ref="A52:B53"/>
    <mergeCell ref="C53:H53"/>
    <mergeCell ref="C51:E51"/>
    <mergeCell ref="A54:B55"/>
    <mergeCell ref="C54:E54"/>
    <mergeCell ref="C52:E52"/>
    <mergeCell ref="A299:H299"/>
    <mergeCell ref="A296:H296"/>
    <mergeCell ref="A235:B235"/>
    <mergeCell ref="A138:B138"/>
    <mergeCell ref="D144:D145"/>
    <mergeCell ref="E144:E145"/>
    <mergeCell ref="A99:B99"/>
    <mergeCell ref="A100:B100"/>
    <mergeCell ref="A101:B101"/>
    <mergeCell ref="A115:B115"/>
    <mergeCell ref="F120:H120"/>
    <mergeCell ref="G134:H134"/>
    <mergeCell ref="A118:B118"/>
    <mergeCell ref="F126:H126"/>
    <mergeCell ref="C133:D133"/>
    <mergeCell ref="C141:D141"/>
    <mergeCell ref="A147:H147"/>
    <mergeCell ref="A182:B182"/>
    <mergeCell ref="A244:B244"/>
    <mergeCell ref="A245:B245"/>
    <mergeCell ref="A178:H178"/>
    <mergeCell ref="B289:H289"/>
    <mergeCell ref="B293:H293"/>
    <mergeCell ref="E138:F138"/>
    <mergeCell ref="B288:H288"/>
    <mergeCell ref="B283:H283"/>
    <mergeCell ref="B284:H284"/>
    <mergeCell ref="B285:H285"/>
    <mergeCell ref="B286:H286"/>
    <mergeCell ref="A282:H282"/>
    <mergeCell ref="A239:B239"/>
    <mergeCell ref="A236:B236"/>
    <mergeCell ref="A237:B237"/>
    <mergeCell ref="A241:B241"/>
    <mergeCell ref="C144:C145"/>
    <mergeCell ref="G144:G145"/>
    <mergeCell ref="A150:B150"/>
    <mergeCell ref="A151:B151"/>
    <mergeCell ref="A152:B152"/>
    <mergeCell ref="B292:H292"/>
    <mergeCell ref="D220:H220"/>
    <mergeCell ref="A217:B217"/>
    <mergeCell ref="A218:B218"/>
    <mergeCell ref="A208:H208"/>
    <mergeCell ref="A165:B165"/>
    <mergeCell ref="E95:F104"/>
    <mergeCell ref="A102:B102"/>
    <mergeCell ref="A103:B103"/>
    <mergeCell ref="E108:F108"/>
    <mergeCell ref="E109:F118"/>
    <mergeCell ref="A124:E124"/>
    <mergeCell ref="A104:B104"/>
    <mergeCell ref="A109:B109"/>
    <mergeCell ref="A141:B141"/>
    <mergeCell ref="C107:H107"/>
    <mergeCell ref="A108:B108"/>
    <mergeCell ref="A129:E129"/>
    <mergeCell ref="G141:H141"/>
    <mergeCell ref="C135:D135"/>
    <mergeCell ref="E135:F135"/>
    <mergeCell ref="G135:H135"/>
    <mergeCell ref="A136:B136"/>
    <mergeCell ref="C136:D136"/>
    <mergeCell ref="E136:F136"/>
    <mergeCell ref="G136:H136"/>
    <mergeCell ref="A140:B140"/>
    <mergeCell ref="C140:D140"/>
    <mergeCell ref="E140:F140"/>
    <mergeCell ref="G140:H140"/>
    <mergeCell ref="A302:H305"/>
    <mergeCell ref="A301:B301"/>
    <mergeCell ref="E301:F301"/>
    <mergeCell ref="C301:D301"/>
    <mergeCell ref="G301:H301"/>
    <mergeCell ref="A132:H132"/>
    <mergeCell ref="A130:E130"/>
    <mergeCell ref="F130:H130"/>
    <mergeCell ref="A131:E131"/>
    <mergeCell ref="F131:H131"/>
    <mergeCell ref="A234:H234"/>
    <mergeCell ref="A139:B139"/>
    <mergeCell ref="A181:B181"/>
    <mergeCell ref="A134:B134"/>
    <mergeCell ref="A297:H297"/>
    <mergeCell ref="A137:H137"/>
    <mergeCell ref="A300:H300"/>
    <mergeCell ref="A298:H298"/>
    <mergeCell ref="B290:H290"/>
    <mergeCell ref="A294:H294"/>
    <mergeCell ref="G138:H138"/>
    <mergeCell ref="A183:B183"/>
    <mergeCell ref="B144:B145"/>
    <mergeCell ref="A295:H295"/>
    <mergeCell ref="A72:C72"/>
    <mergeCell ref="D72:H72"/>
    <mergeCell ref="C79:H79"/>
    <mergeCell ref="A82:B82"/>
    <mergeCell ref="A84:B84"/>
    <mergeCell ref="E80:F80"/>
    <mergeCell ref="A73:C73"/>
    <mergeCell ref="D73:H73"/>
    <mergeCell ref="A76:C76"/>
    <mergeCell ref="D76:H76"/>
    <mergeCell ref="A74:C74"/>
    <mergeCell ref="D75:H75"/>
    <mergeCell ref="A81:B81"/>
    <mergeCell ref="G80:H80"/>
    <mergeCell ref="A79:B79"/>
    <mergeCell ref="A77:B77"/>
    <mergeCell ref="C77:H7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9:H118"/>
    <mergeCell ref="A42:D42"/>
    <mergeCell ref="E42:H42"/>
    <mergeCell ref="A41:H41"/>
    <mergeCell ref="A70:C70"/>
    <mergeCell ref="A71:C71"/>
    <mergeCell ref="D70:H70"/>
    <mergeCell ref="E81:F90"/>
    <mergeCell ref="G81:H90"/>
    <mergeCell ref="A89:B89"/>
    <mergeCell ref="A90:B90"/>
    <mergeCell ref="D71:H71"/>
    <mergeCell ref="A44:D44"/>
    <mergeCell ref="E44:H44"/>
    <mergeCell ref="E45:H45"/>
    <mergeCell ref="E46:H46"/>
    <mergeCell ref="A94:B94"/>
    <mergeCell ref="E47:H47"/>
    <mergeCell ref="C59:H59"/>
    <mergeCell ref="C61:H61"/>
    <mergeCell ref="A93:B93"/>
    <mergeCell ref="A39:B39"/>
    <mergeCell ref="C39:H39"/>
    <mergeCell ref="A46:D46"/>
    <mergeCell ref="A88:B88"/>
    <mergeCell ref="C139:D139"/>
    <mergeCell ref="E139:F139"/>
    <mergeCell ref="G139:H139"/>
    <mergeCell ref="A120:E120"/>
    <mergeCell ref="A105:B105"/>
    <mergeCell ref="C105:H105"/>
    <mergeCell ref="A95:B95"/>
    <mergeCell ref="A47:D47"/>
    <mergeCell ref="A48:H48"/>
    <mergeCell ref="D66:H66"/>
    <mergeCell ref="A66:C66"/>
    <mergeCell ref="A87:B87"/>
    <mergeCell ref="C93:H93"/>
    <mergeCell ref="A45:D45"/>
    <mergeCell ref="A40:B40"/>
    <mergeCell ref="C40:H40"/>
    <mergeCell ref="C134:D134"/>
    <mergeCell ref="E134:F134"/>
    <mergeCell ref="C57:H57"/>
    <mergeCell ref="A80:B80"/>
    <mergeCell ref="A85:B85"/>
    <mergeCell ref="A49:B49"/>
    <mergeCell ref="C49:H49"/>
    <mergeCell ref="B287:H287"/>
    <mergeCell ref="A110:B110"/>
    <mergeCell ref="A111:B111"/>
    <mergeCell ref="G95:H104"/>
    <mergeCell ref="A96:B96"/>
    <mergeCell ref="A97:B97"/>
    <mergeCell ref="A98:B98"/>
    <mergeCell ref="F121:H121"/>
    <mergeCell ref="A121:E121"/>
    <mergeCell ref="A123:E123"/>
    <mergeCell ref="A114:B114"/>
    <mergeCell ref="A116:B116"/>
    <mergeCell ref="A117:B117"/>
    <mergeCell ref="A122:E122"/>
    <mergeCell ref="A119:E119"/>
    <mergeCell ref="F123:H123"/>
    <mergeCell ref="G108:H108"/>
    <mergeCell ref="A107:B107"/>
    <mergeCell ref="A242:B242"/>
    <mergeCell ref="A83:B83"/>
    <mergeCell ref="E141:F141"/>
    <mergeCell ref="F119:H119"/>
    <mergeCell ref="F124:H124"/>
    <mergeCell ref="A113:B113"/>
    <mergeCell ref="A203:B203"/>
    <mergeCell ref="A204:B204"/>
    <mergeCell ref="A205:B205"/>
    <mergeCell ref="A168:H168"/>
    <mergeCell ref="A169:B169"/>
    <mergeCell ref="A170:B170"/>
    <mergeCell ref="A171:B171"/>
    <mergeCell ref="A172:B172"/>
    <mergeCell ref="A173:B173"/>
    <mergeCell ref="A177:B177"/>
    <mergeCell ref="A184:B184"/>
    <mergeCell ref="A185:B185"/>
    <mergeCell ref="A194:B194"/>
    <mergeCell ref="A195:B195"/>
    <mergeCell ref="A196:B196"/>
    <mergeCell ref="A197:B197"/>
    <mergeCell ref="A198:H198"/>
    <mergeCell ref="A199:B199"/>
    <mergeCell ref="A200:B200"/>
    <mergeCell ref="A201:B201"/>
    <mergeCell ref="A202:B202"/>
    <mergeCell ref="I291:O291"/>
    <mergeCell ref="I124:K124"/>
    <mergeCell ref="I125:K125"/>
    <mergeCell ref="I126:K126"/>
    <mergeCell ref="I127:K127"/>
    <mergeCell ref="I128:K128"/>
    <mergeCell ref="B291:H291"/>
    <mergeCell ref="A212:B212"/>
    <mergeCell ref="A213:B213"/>
    <mergeCell ref="A146:H146"/>
    <mergeCell ref="A148:H148"/>
    <mergeCell ref="A153:B153"/>
    <mergeCell ref="A154:B154"/>
    <mergeCell ref="A155:B155"/>
    <mergeCell ref="A156:B156"/>
    <mergeCell ref="A174:B174"/>
    <mergeCell ref="A175:B175"/>
    <mergeCell ref="A176:B176"/>
    <mergeCell ref="C169:H169"/>
    <mergeCell ref="A149:B149"/>
    <mergeCell ref="A243:B243"/>
    <mergeCell ref="A238:B238"/>
    <mergeCell ref="A157:B157"/>
    <mergeCell ref="D219:H219"/>
  </mergeCells>
  <dataValidations count="15">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F119:H119">
      <formula1>"On Saleable Area,On Builtup Area,On Carpet Area,On Plot Area"</formula1>
    </dataValidation>
    <dataValidation type="list" allowBlank="1" showInputMessage="1" showErrorMessage="1" sqref="F130:H130">
      <formula1>OFFSET($S$119,1,MATCH($G20,$S$119:$W$119,0)-1,15,1)</formula1>
    </dataValidation>
    <dataValidation type="list" allowBlank="1" showInputMessage="1" showErrorMessage="1" sqref="B144:B14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4:E145">
      <formula1>"Fungible area,Balcony Area,Chajja Area,Cornice Area,AP Area,WS Area"</formula1>
    </dataValidation>
    <dataValidation type="list" allowBlank="1" showInputMessage="1" showErrorMessage="1" sqref="H145">
      <formula1>".45,.50,.55,.60"</formula1>
    </dataValidation>
    <dataValidation type="list" allowBlank="1" showInputMessage="1" showErrorMessage="1" sqref="E4:H4">
      <formula1>$L$3:$S$3</formula1>
    </dataValidation>
    <dataValidation type="list" allowBlank="1" showInputMessage="1" showErrorMessage="1" sqref="C49:H49">
      <formula1>OFFSET($S$49,1,MATCH($G20,$S$49:$W$49,0)-1,15,1)</formula1>
    </dataValidation>
    <dataValidation type="whole" allowBlank="1" showInputMessage="1" showErrorMessage="1" sqref="C86">
      <formula1>0</formula1>
      <formula2>H78</formula2>
    </dataValidation>
    <dataValidation type="list" allowBlank="1" showInputMessage="1" showErrorMessage="1" sqref="H144">
      <formula1>"Saleable area Loading :,Builder Saleable Area"</formula1>
    </dataValidation>
    <dataValidation type="list" allowBlank="1" showInputMessage="1" showErrorMessage="1" sqref="D144:D145">
      <formula1>"Carpet area,RERA Carpet area"</formula1>
    </dataValidation>
    <dataValidation type="list" allowBlank="1" showInputMessage="1" showErrorMessage="1" sqref="E5:H5">
      <formula1>$M$4:$M$11</formula1>
    </dataValidation>
  </dataValidations>
  <hyperlinks>
    <hyperlink ref="C40" r:id="rId1"/>
    <hyperlink ref="I73"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6" max="7" man="1"/>
    <brk id="305" max="16383" man="1"/>
    <brk id="349" max="16383" man="1"/>
    <brk id="39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9"/>
  <sheetViews>
    <sheetView zoomScale="55" zoomScaleNormal="55" workbookViewId="0">
      <selection activeCell="G19" sqref="G19"/>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1" t="s">
        <v>101</v>
      </c>
      <c r="C3" s="271"/>
      <c r="D3" s="271"/>
      <c r="E3" s="271"/>
      <c r="F3" s="271"/>
      <c r="G3" s="271"/>
      <c r="H3" s="271"/>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row r="19" spans="7:7" x14ac:dyDescent="0.25">
      <c r="G19"/>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167</v>
      </c>
      <c r="E4" s="56" t="s">
        <v>177</v>
      </c>
      <c r="F4" s="56" t="s">
        <v>163</v>
      </c>
      <c r="G4" s="56" t="s">
        <v>182</v>
      </c>
      <c r="H4" s="56" t="s">
        <v>200</v>
      </c>
      <c r="J4" t="s">
        <v>182</v>
      </c>
      <c r="K4" t="s">
        <v>198</v>
      </c>
    </row>
    <row r="5" spans="2:11" x14ac:dyDescent="0.25">
      <c r="B5" s="55"/>
      <c r="C5" s="55"/>
      <c r="D5" s="56" t="s">
        <v>168</v>
      </c>
      <c r="E5" s="56" t="s">
        <v>175</v>
      </c>
      <c r="F5" s="56" t="s">
        <v>197</v>
      </c>
      <c r="G5" s="56" t="s">
        <v>183</v>
      </c>
      <c r="H5" s="56" t="s">
        <v>201</v>
      </c>
    </row>
    <row r="6" spans="2:11" x14ac:dyDescent="0.25">
      <c r="B6" s="55"/>
      <c r="C6" s="55"/>
      <c r="D6" s="56" t="s">
        <v>169</v>
      </c>
      <c r="E6" s="56" t="s">
        <v>176</v>
      </c>
      <c r="F6" s="56" t="s">
        <v>198</v>
      </c>
      <c r="G6" s="56" t="s">
        <v>184</v>
      </c>
      <c r="H6" s="56" t="s">
        <v>214</v>
      </c>
    </row>
    <row r="7" spans="2:11" x14ac:dyDescent="0.25">
      <c r="B7" s="55"/>
      <c r="C7" s="55"/>
      <c r="D7" s="56" t="s">
        <v>170</v>
      </c>
      <c r="E7" s="56" t="s">
        <v>178</v>
      </c>
      <c r="F7" s="56" t="s">
        <v>199</v>
      </c>
      <c r="G7" s="56" t="s">
        <v>185</v>
      </c>
      <c r="H7" s="56" t="s">
        <v>202</v>
      </c>
    </row>
    <row r="8" spans="2:11" x14ac:dyDescent="0.25">
      <c r="B8" s="55"/>
      <c r="C8" s="55"/>
      <c r="D8" s="56" t="s">
        <v>171</v>
      </c>
      <c r="E8" s="56" t="s">
        <v>179</v>
      </c>
      <c r="F8" s="56"/>
      <c r="G8" s="56" t="s">
        <v>186</v>
      </c>
      <c r="H8" s="56" t="s">
        <v>203</v>
      </c>
    </row>
    <row r="9" spans="2:11" x14ac:dyDescent="0.25">
      <c r="B9" s="55"/>
      <c r="C9" s="55"/>
      <c r="D9" s="56" t="s">
        <v>172</v>
      </c>
      <c r="E9" s="56" t="s">
        <v>177</v>
      </c>
      <c r="F9" s="56"/>
      <c r="G9" s="56" t="s">
        <v>187</v>
      </c>
      <c r="H9" s="56" t="s">
        <v>204</v>
      </c>
    </row>
    <row r="10" spans="2:11" x14ac:dyDescent="0.25">
      <c r="B10" s="55"/>
      <c r="C10" s="55"/>
      <c r="D10" s="56" t="s">
        <v>173</v>
      </c>
      <c r="E10" s="56" t="s">
        <v>180</v>
      </c>
      <c r="F10" s="56"/>
      <c r="G10" s="56" t="s">
        <v>188</v>
      </c>
      <c r="H10" s="56" t="s">
        <v>205</v>
      </c>
    </row>
    <row r="11" spans="2:11" x14ac:dyDescent="0.25">
      <c r="B11" s="55"/>
      <c r="C11" s="55"/>
      <c r="D11" s="56" t="s">
        <v>174</v>
      </c>
      <c r="E11" s="56" t="s">
        <v>181</v>
      </c>
      <c r="F11" s="56"/>
      <c r="G11" s="56" t="s">
        <v>189</v>
      </c>
      <c r="H11" s="56" t="s">
        <v>206</v>
      </c>
    </row>
    <row r="12" spans="2:11" x14ac:dyDescent="0.25">
      <c r="B12" s="55"/>
      <c r="C12" s="55"/>
      <c r="D12" s="56"/>
      <c r="E12" s="56"/>
      <c r="F12" s="56"/>
      <c r="G12" s="56" t="s">
        <v>190</v>
      </c>
      <c r="H12" s="56" t="s">
        <v>207</v>
      </c>
    </row>
    <row r="13" spans="2:11" x14ac:dyDescent="0.25">
      <c r="B13" s="55"/>
      <c r="C13" s="55"/>
      <c r="D13" s="56"/>
      <c r="E13" s="56"/>
      <c r="F13" s="56"/>
      <c r="G13" s="56" t="s">
        <v>191</v>
      </c>
      <c r="H13" s="56" t="s">
        <v>208</v>
      </c>
    </row>
    <row r="14" spans="2:11" x14ac:dyDescent="0.25">
      <c r="B14" s="55"/>
      <c r="C14" s="55"/>
      <c r="D14" s="56"/>
      <c r="E14" s="56"/>
      <c r="F14" s="56"/>
      <c r="G14" s="56" t="s">
        <v>192</v>
      </c>
      <c r="H14" s="56" t="s">
        <v>209</v>
      </c>
    </row>
    <row r="15" spans="2:11" x14ac:dyDescent="0.25">
      <c r="B15" s="55"/>
      <c r="C15" s="55"/>
      <c r="D15" s="56"/>
      <c r="E15" s="56"/>
      <c r="F15" s="56"/>
      <c r="G15" s="56" t="s">
        <v>193</v>
      </c>
      <c r="H15" s="56" t="s">
        <v>210</v>
      </c>
    </row>
    <row r="16" spans="2:11" x14ac:dyDescent="0.25">
      <c r="B16" s="55"/>
      <c r="C16" s="55"/>
      <c r="D16" s="56"/>
      <c r="E16" s="56"/>
      <c r="F16" s="56"/>
      <c r="G16" s="56" t="s">
        <v>194</v>
      </c>
      <c r="H16" s="56" t="s">
        <v>211</v>
      </c>
    </row>
    <row r="17" spans="2:8" x14ac:dyDescent="0.25">
      <c r="B17" s="55"/>
      <c r="C17" s="55"/>
      <c r="D17" s="56"/>
      <c r="E17" s="56"/>
      <c r="F17" s="56"/>
      <c r="G17" s="56" t="s">
        <v>195</v>
      </c>
      <c r="H17" s="56" t="s">
        <v>212</v>
      </c>
    </row>
    <row r="18" spans="2:8" x14ac:dyDescent="0.25">
      <c r="B18" s="55"/>
      <c r="C18" s="55"/>
      <c r="D18" s="56"/>
      <c r="E18" s="56"/>
      <c r="F18" s="56"/>
      <c r="G18" s="56" t="s">
        <v>196</v>
      </c>
      <c r="H18" s="56" t="s">
        <v>213</v>
      </c>
    </row>
    <row r="24" spans="2:8" x14ac:dyDescent="0.25">
      <c r="C24" t="s">
        <v>160</v>
      </c>
    </row>
    <row r="25" spans="2:8" x14ac:dyDescent="0.25">
      <c r="C25" t="s">
        <v>215</v>
      </c>
    </row>
    <row r="26" spans="2:8" x14ac:dyDescent="0.25">
      <c r="C26" t="s">
        <v>216</v>
      </c>
    </row>
    <row r="27" spans="2:8" x14ac:dyDescent="0.25">
      <c r="C27" t="s">
        <v>217</v>
      </c>
    </row>
    <row r="28" spans="2:8" x14ac:dyDescent="0.25">
      <c r="C28" t="s">
        <v>218</v>
      </c>
    </row>
    <row r="29" spans="2:8" x14ac:dyDescent="0.25">
      <c r="C29" t="s">
        <v>219</v>
      </c>
    </row>
    <row r="30" spans="2:8" x14ac:dyDescent="0.25">
      <c r="C30" t="s">
        <v>160</v>
      </c>
    </row>
    <row r="33" spans="3:11" x14ac:dyDescent="0.25">
      <c r="J33">
        <v>1</v>
      </c>
      <c r="K33">
        <v>2</v>
      </c>
    </row>
    <row r="34" spans="3:11" x14ac:dyDescent="0.25">
      <c r="C34" s="58" t="s">
        <v>225</v>
      </c>
      <c r="D34" s="56" t="s">
        <v>223</v>
      </c>
      <c r="E34" s="56" t="s">
        <v>228</v>
      </c>
      <c r="F34" s="56" t="s">
        <v>226</v>
      </c>
      <c r="G34" s="56" t="s">
        <v>227</v>
      </c>
      <c r="H34" s="56" t="s">
        <v>229</v>
      </c>
      <c r="J34" t="s">
        <v>182</v>
      </c>
      <c r="K34" t="s">
        <v>198</v>
      </c>
    </row>
    <row r="35" spans="3:11" x14ac:dyDescent="0.25">
      <c r="C35" s="55" t="s">
        <v>224</v>
      </c>
      <c r="D35" s="56" t="s">
        <v>161</v>
      </c>
      <c r="E35" s="56" t="s">
        <v>233</v>
      </c>
      <c r="F35" s="56" t="s">
        <v>235</v>
      </c>
      <c r="G35" s="56" t="s">
        <v>237</v>
      </c>
      <c r="H35" s="56"/>
    </row>
    <row r="36" spans="3:11" x14ac:dyDescent="0.25">
      <c r="C36" s="55"/>
      <c r="D36" s="56" t="s">
        <v>230</v>
      </c>
      <c r="E36" s="56" t="s">
        <v>234</v>
      </c>
      <c r="F36" s="56" t="s">
        <v>236</v>
      </c>
      <c r="G36" s="56" t="s">
        <v>238</v>
      </c>
      <c r="H36" s="56"/>
    </row>
    <row r="37" spans="3:11" x14ac:dyDescent="0.25">
      <c r="C37" s="55"/>
      <c r="D37" s="56" t="s">
        <v>231</v>
      </c>
      <c r="E37" s="56"/>
      <c r="F37" s="56"/>
      <c r="G37" s="56" t="s">
        <v>239</v>
      </c>
      <c r="H37" s="56"/>
    </row>
    <row r="38" spans="3:11" x14ac:dyDescent="0.25">
      <c r="C38" s="55"/>
      <c r="D38" s="56" t="s">
        <v>232</v>
      </c>
      <c r="E38" s="56"/>
      <c r="F38" s="56"/>
      <c r="G38" s="56" t="s">
        <v>239</v>
      </c>
      <c r="H38" s="56"/>
    </row>
    <row r="39" spans="3:11" x14ac:dyDescent="0.25">
      <c r="C39" s="55"/>
      <c r="D39" s="56"/>
      <c r="E39" s="56"/>
      <c r="F39" s="56"/>
      <c r="G39" s="56" t="s">
        <v>240</v>
      </c>
      <c r="H39" s="56"/>
    </row>
    <row r="40" spans="3:11" x14ac:dyDescent="0.25">
      <c r="C40" s="55"/>
      <c r="D40" s="56"/>
      <c r="E40" s="56"/>
      <c r="F40" s="56"/>
      <c r="G40" s="56" t="s">
        <v>241</v>
      </c>
      <c r="H40" s="56"/>
    </row>
    <row r="41" spans="3:11" x14ac:dyDescent="0.25">
      <c r="C41" s="55"/>
      <c r="D41" s="56"/>
      <c r="E41" s="56"/>
      <c r="F41" s="56"/>
      <c r="G41" s="56"/>
      <c r="H41" s="56"/>
    </row>
    <row r="43" spans="3:11" x14ac:dyDescent="0.25">
      <c r="C43" t="s">
        <v>242</v>
      </c>
    </row>
    <row r="44" spans="3:11" x14ac:dyDescent="0.25">
      <c r="C44" t="s">
        <v>163</v>
      </c>
      <c r="D44" t="s">
        <v>243</v>
      </c>
    </row>
    <row r="45" spans="3:11" x14ac:dyDescent="0.25">
      <c r="D45" t="s">
        <v>244</v>
      </c>
    </row>
    <row r="46" spans="3:11" x14ac:dyDescent="0.25">
      <c r="D46" t="s">
        <v>245</v>
      </c>
    </row>
    <row r="47" spans="3:11" x14ac:dyDescent="0.25">
      <c r="D47" t="s">
        <v>246</v>
      </c>
    </row>
    <row r="48" spans="3:11" x14ac:dyDescent="0.25">
      <c r="D48" t="s">
        <v>247</v>
      </c>
    </row>
    <row r="49" spans="3:4" x14ac:dyDescent="0.25">
      <c r="C49" t="s">
        <v>167</v>
      </c>
      <c r="D49" t="s">
        <v>248</v>
      </c>
    </row>
    <row r="50" spans="3:4" x14ac:dyDescent="0.25">
      <c r="D50" t="s">
        <v>249</v>
      </c>
    </row>
    <row r="51" spans="3:4" x14ac:dyDescent="0.25">
      <c r="D51" t="s">
        <v>250</v>
      </c>
    </row>
    <row r="52" spans="3:4" x14ac:dyDescent="0.25">
      <c r="D52" t="s">
        <v>253</v>
      </c>
    </row>
    <row r="53" spans="3:4" x14ac:dyDescent="0.25">
      <c r="D53" t="s">
        <v>251</v>
      </c>
    </row>
    <row r="54" spans="3:4" x14ac:dyDescent="0.25">
      <c r="D54" t="s">
        <v>252</v>
      </c>
    </row>
    <row r="55" spans="3:4" x14ac:dyDescent="0.25">
      <c r="D55" t="s">
        <v>254</v>
      </c>
    </row>
    <row r="56" spans="3:4" x14ac:dyDescent="0.25">
      <c r="D56" t="s">
        <v>255</v>
      </c>
    </row>
    <row r="57" spans="3:4" x14ac:dyDescent="0.25">
      <c r="D57" t="s">
        <v>256</v>
      </c>
    </row>
    <row r="58" spans="3:4" x14ac:dyDescent="0.25">
      <c r="D58" t="s">
        <v>258</v>
      </c>
    </row>
    <row r="59" spans="3:4" x14ac:dyDescent="0.25">
      <c r="D59" t="s">
        <v>267</v>
      </c>
    </row>
    <row r="60" spans="3:4" x14ac:dyDescent="0.25">
      <c r="C60" t="s">
        <v>182</v>
      </c>
      <c r="D60" t="s">
        <v>259</v>
      </c>
    </row>
    <row r="61" spans="3:4" x14ac:dyDescent="0.25">
      <c r="D61" t="s">
        <v>257</v>
      </c>
    </row>
    <row r="62" spans="3:4" x14ac:dyDescent="0.25">
      <c r="D62" t="s">
        <v>247</v>
      </c>
    </row>
    <row r="63" spans="3:4" x14ac:dyDescent="0.25">
      <c r="D63" t="s">
        <v>260</v>
      </c>
    </row>
    <row r="64" spans="3:4" x14ac:dyDescent="0.25">
      <c r="D64" t="s">
        <v>261</v>
      </c>
    </row>
    <row r="65" spans="3:4" x14ac:dyDescent="0.25">
      <c r="D65" t="s">
        <v>262</v>
      </c>
    </row>
    <row r="66" spans="3:4" x14ac:dyDescent="0.25">
      <c r="D66" t="s">
        <v>263</v>
      </c>
    </row>
    <row r="67" spans="3:4" x14ac:dyDescent="0.25">
      <c r="C67" t="s">
        <v>177</v>
      </c>
      <c r="D67" t="s">
        <v>264</v>
      </c>
    </row>
    <row r="68" spans="3:4" x14ac:dyDescent="0.25">
      <c r="D68" t="s">
        <v>265</v>
      </c>
    </row>
    <row r="69" spans="3:4" x14ac:dyDescent="0.2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9">
        <v>1</v>
      </c>
      <c r="C2" s="62" t="s">
        <v>273</v>
      </c>
    </row>
    <row r="3" spans="2:3" x14ac:dyDescent="0.25">
      <c r="B3" s="59">
        <v>2</v>
      </c>
      <c r="C3" s="60" t="s">
        <v>274</v>
      </c>
    </row>
    <row r="4" spans="2:3" x14ac:dyDescent="0.25">
      <c r="B4" s="59">
        <v>3</v>
      </c>
      <c r="C4" s="61" t="s">
        <v>275</v>
      </c>
    </row>
    <row r="5" spans="2:3" ht="30" x14ac:dyDescent="0.25">
      <c r="B5" s="59">
        <v>4</v>
      </c>
      <c r="C5" s="60" t="s">
        <v>276</v>
      </c>
    </row>
    <row r="6" spans="2:3" x14ac:dyDescent="0.25">
      <c r="B6" s="59">
        <v>5</v>
      </c>
      <c r="C6" s="61" t="s">
        <v>277</v>
      </c>
    </row>
    <row r="7" spans="2:3" ht="30" x14ac:dyDescent="0.25">
      <c r="B7" s="59">
        <v>6</v>
      </c>
      <c r="C7" s="60" t="s">
        <v>278</v>
      </c>
    </row>
    <row r="8" spans="2:3" ht="90" x14ac:dyDescent="0.25">
      <c r="B8" s="59">
        <v>7</v>
      </c>
      <c r="C8" s="60" t="s">
        <v>279</v>
      </c>
    </row>
    <row r="9" spans="2:3" x14ac:dyDescent="0.25">
      <c r="B9" s="59">
        <v>8</v>
      </c>
      <c r="C9" s="61" t="s">
        <v>280</v>
      </c>
    </row>
    <row r="10" spans="2:3" x14ac:dyDescent="0.25">
      <c r="B10" s="59">
        <v>9</v>
      </c>
      <c r="C10" s="61" t="s">
        <v>281</v>
      </c>
    </row>
    <row r="11" spans="2:3" x14ac:dyDescent="0.25">
      <c r="B11" s="59">
        <v>10</v>
      </c>
      <c r="C11" s="61" t="s">
        <v>282</v>
      </c>
    </row>
    <row r="12" spans="2:3" x14ac:dyDescent="0.25">
      <c r="B12" s="59">
        <v>11</v>
      </c>
      <c r="C12" s="61" t="s">
        <v>283</v>
      </c>
    </row>
    <row r="13" spans="2:3" x14ac:dyDescent="0.25">
      <c r="B13" s="59">
        <v>12</v>
      </c>
      <c r="C13" s="61" t="s">
        <v>284</v>
      </c>
    </row>
    <row r="14" spans="2:3" x14ac:dyDescent="0.25">
      <c r="B14" s="59">
        <v>13</v>
      </c>
      <c r="C14" s="61" t="s">
        <v>285</v>
      </c>
    </row>
    <row r="15" spans="2:3" x14ac:dyDescent="0.25">
      <c r="B15" s="59">
        <v>14</v>
      </c>
      <c r="C15" s="61" t="s">
        <v>275</v>
      </c>
    </row>
    <row r="16" spans="2:3" x14ac:dyDescent="0.25">
      <c r="B16" s="59">
        <v>15</v>
      </c>
      <c r="C16" s="61" t="s">
        <v>287</v>
      </c>
    </row>
    <row r="17" spans="2:3" ht="31.5" customHeight="1" x14ac:dyDescent="0.25">
      <c r="B17" s="63">
        <v>16</v>
      </c>
      <c r="C17" s="65" t="s">
        <v>288</v>
      </c>
    </row>
    <row r="18" spans="2:3" x14ac:dyDescent="0.25">
      <c r="B18" s="64">
        <v>17</v>
      </c>
      <c r="C18" s="65" t="s">
        <v>289</v>
      </c>
    </row>
    <row r="19" spans="2:3" x14ac:dyDescent="0.25">
      <c r="B19" s="63">
        <v>18</v>
      </c>
      <c r="C19" s="59" t="s">
        <v>290</v>
      </c>
    </row>
    <row r="20" spans="2:3" x14ac:dyDescent="0.25">
      <c r="B20" s="64">
        <v>19</v>
      </c>
      <c r="C20" s="59"/>
    </row>
    <row r="21" spans="2:3" x14ac:dyDescent="0.25">
      <c r="B21" s="66">
        <v>20</v>
      </c>
      <c r="C21" s="59"/>
    </row>
    <row r="22" spans="2:3" x14ac:dyDescent="0.25">
      <c r="B22" s="59"/>
      <c r="C22" s="59"/>
    </row>
    <row r="23" spans="2:3" x14ac:dyDescent="0.25">
      <c r="B23" s="59"/>
      <c r="C23" s="59"/>
    </row>
    <row r="24" spans="2:3" x14ac:dyDescent="0.25">
      <c r="B24" s="59"/>
      <c r="C24" s="59"/>
    </row>
    <row r="25" spans="2:3" x14ac:dyDescent="0.25">
      <c r="B25" s="59"/>
      <c r="C25" s="59"/>
    </row>
    <row r="26" spans="2:3" x14ac:dyDescent="0.25">
      <c r="B26" s="59"/>
      <c r="C26" s="5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2025-09-04T06:28:25Z</cp:lastPrinted>
  <dcterms:created xsi:type="dcterms:W3CDTF">2019-07-16T09:29:46Z</dcterms:created>
  <dcterms:modified xsi:type="dcterms:W3CDTF">2025-09-04T06:30:16Z</dcterms:modified>
</cp:coreProperties>
</file>