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Aug 2025\16-08-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Report!$A$1:$H$287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1" i="1" l="1"/>
  <c r="E135" i="1" l="1"/>
  <c r="D135" i="1"/>
  <c r="E134" i="1"/>
  <c r="D134" i="1"/>
  <c r="E133" i="1"/>
  <c r="D133" i="1"/>
  <c r="E132" i="1"/>
  <c r="D132" i="1"/>
  <c r="E131" i="1"/>
  <c r="D131" i="1"/>
  <c r="F131" i="1" s="1"/>
  <c r="H131" i="1" s="1"/>
  <c r="A131" i="1"/>
  <c r="A132" i="1" s="1"/>
  <c r="A133" i="1" s="1"/>
  <c r="A134" i="1" s="1"/>
  <c r="A135" i="1" s="1"/>
  <c r="E130" i="1"/>
  <c r="D130" i="1"/>
  <c r="E126" i="1"/>
  <c r="D126" i="1"/>
  <c r="E125" i="1"/>
  <c r="D125" i="1"/>
  <c r="E124" i="1"/>
  <c r="D124" i="1"/>
  <c r="E123" i="1"/>
  <c r="D123" i="1"/>
  <c r="E122" i="1"/>
  <c r="D122" i="1"/>
  <c r="E121" i="1"/>
  <c r="D121" i="1"/>
  <c r="I116" i="1"/>
  <c r="E43" i="1"/>
  <c r="F126" i="1" l="1"/>
  <c r="H126" i="1" s="1"/>
  <c r="K126" i="1" s="1"/>
  <c r="C111" i="1"/>
  <c r="C112" i="1"/>
  <c r="F130" i="1"/>
  <c r="F132" i="1"/>
  <c r="H132" i="1" s="1"/>
  <c r="F133" i="1"/>
  <c r="H133" i="1" s="1"/>
  <c r="F134" i="1"/>
  <c r="H134" i="1" s="1"/>
  <c r="F135" i="1"/>
  <c r="H135" i="1" s="1"/>
  <c r="C113" i="1" l="1"/>
  <c r="H130" i="1"/>
  <c r="G112" i="1" s="1"/>
  <c r="E112" i="1"/>
  <c r="B38" i="6" l="1"/>
  <c r="B39" i="6" s="1"/>
  <c r="B40" i="6" s="1"/>
  <c r="B41" i="6" s="1"/>
  <c r="B42" i="6" s="1"/>
  <c r="B43" i="6" s="1"/>
  <c r="B44" i="6" s="1"/>
  <c r="B45" i="6" s="1"/>
  <c r="B46" i="6" s="1"/>
  <c r="B47" i="6" s="1"/>
  <c r="B48" i="6" s="1"/>
  <c r="B49" i="6" s="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159" i="1"/>
  <c r="B138" i="1"/>
  <c r="F125" i="1"/>
  <c r="H125" i="1" s="1"/>
  <c r="K125" i="1" s="1"/>
  <c r="F124" i="1"/>
  <c r="H124" i="1" s="1"/>
  <c r="K124" i="1" s="1"/>
  <c r="F123" i="1"/>
  <c r="H123" i="1" s="1"/>
  <c r="F122" i="1"/>
  <c r="H122" i="1" s="1"/>
  <c r="K122" i="1" s="1"/>
  <c r="F121" i="1"/>
  <c r="A122" i="1"/>
  <c r="A123" i="1" s="1"/>
  <c r="A124" i="1" s="1"/>
  <c r="A125" i="1" s="1"/>
  <c r="A126" i="1" s="1"/>
  <c r="F108" i="1"/>
  <c r="C82" i="1"/>
  <c r="C68" i="1"/>
  <c r="B69" i="1" s="1"/>
  <c r="D62" i="1"/>
  <c r="D56" i="1"/>
  <c r="G51" i="1"/>
  <c r="C51" i="1"/>
  <c r="C52" i="1" s="1"/>
  <c r="E44" i="1"/>
  <c r="E45" i="1" s="1"/>
  <c r="S33" i="1"/>
  <c r="E31" i="1"/>
  <c r="E28" i="1"/>
  <c r="E26" i="1"/>
  <c r="C16" i="1"/>
  <c r="I15" i="1"/>
  <c r="Z13" i="1"/>
  <c r="E8" i="1"/>
  <c r="E3" i="1"/>
  <c r="B146" i="1" s="1"/>
  <c r="H83" i="1"/>
  <c r="H69" i="1"/>
  <c r="I123" i="1" l="1"/>
  <c r="K123" i="1"/>
  <c r="E42" i="7"/>
  <c r="H121" i="1"/>
  <c r="E111" i="1"/>
  <c r="E113" i="1" s="1"/>
  <c r="J76" i="1"/>
  <c r="J77" i="1"/>
  <c r="I42" i="7"/>
  <c r="H42" i="7" s="1"/>
  <c r="L42" i="7"/>
  <c r="K42" i="7" s="1"/>
  <c r="J82" i="1"/>
  <c r="J84" i="1" s="1"/>
  <c r="D91" i="1"/>
  <c r="D90" i="1"/>
  <c r="D95" i="1"/>
  <c r="D89" i="1"/>
  <c r="J85" i="1"/>
  <c r="D94" i="1"/>
  <c r="J87" i="1"/>
  <c r="C86" i="1" s="1"/>
  <c r="D88" i="1"/>
  <c r="D93" i="1"/>
  <c r="J86" i="1"/>
  <c r="D92" i="1"/>
  <c r="D77" i="1"/>
  <c r="J71" i="1"/>
  <c r="D76" i="1"/>
  <c r="D81" i="1"/>
  <c r="D75" i="1"/>
  <c r="D80" i="1"/>
  <c r="D74" i="1"/>
  <c r="J73" i="1"/>
  <c r="C72" i="1" s="1"/>
  <c r="D79" i="1"/>
  <c r="D78" i="1"/>
  <c r="J72" i="1"/>
  <c r="J68" i="1"/>
  <c r="J70" i="1" s="1"/>
  <c r="D42" i="7"/>
  <c r="B83" i="1"/>
  <c r="J78" i="1"/>
  <c r="J79" i="1"/>
  <c r="I52" i="1"/>
  <c r="J74" i="1"/>
  <c r="J75" i="1" s="1"/>
  <c r="J80" i="1" s="1"/>
  <c r="J81" i="1" s="1"/>
  <c r="C73" i="1" s="1"/>
  <c r="K121" i="1" l="1"/>
  <c r="G111" i="1"/>
  <c r="G113" i="1" s="1"/>
  <c r="D44" i="7"/>
  <c r="E44" i="7"/>
  <c r="E72" i="1"/>
  <c r="D73" i="1"/>
  <c r="G72" i="1"/>
  <c r="D66" i="1" s="1"/>
  <c r="D72" i="1"/>
  <c r="D86" i="1"/>
  <c r="J91" i="1"/>
  <c r="J88" i="1"/>
  <c r="J89" i="1" s="1"/>
  <c r="J94" i="1" s="1"/>
  <c r="J95" i="1" s="1"/>
  <c r="C87" i="1" s="1"/>
  <c r="J93" i="1"/>
  <c r="J90" i="1"/>
  <c r="J92" i="1"/>
  <c r="I69" i="1" l="1"/>
  <c r="I70" i="1" s="1"/>
  <c r="J69" i="1"/>
  <c r="E86" i="1"/>
  <c r="D87" i="1"/>
  <c r="I83" i="1" s="1"/>
  <c r="J83" i="1"/>
  <c r="G86" i="1"/>
  <c r="D67" i="1"/>
  <c r="F67" i="1"/>
  <c r="I68" i="1" l="1"/>
  <c r="C70" i="1" s="1"/>
  <c r="I84" i="1"/>
  <c r="I82" i="1" s="1"/>
  <c r="C84"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D56"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1"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17"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<sst xmlns="http://schemas.openxmlformats.org/spreadsheetml/2006/main" count="614" uniqueCount="402">
  <si>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</si>
  <si>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</si>
  <si>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</si>
  <si>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</si>
  <si>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</si>
  <si>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</si>
  <si>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</si>
  <si>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</si>
  <si>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</si>
  <si>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</si>
  <si>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</si>
  <si>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</si>
  <si>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</si>
  <si>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</si>
  <si>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</si>
  <si>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</si>
  <si>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</si>
  <si>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</si>
  <si>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</si>
  <si>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</si>
  <si>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</si>
  <si>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</si>
  <si>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</si>
  <si>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</si>
  <si>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</si>
  <si>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</si>
  <si>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</si>
  <si>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</si>
  <si>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</si>
  <si>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</si>
  <si>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</si>
  <si>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</si>
  <si>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</si>
  <si>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</si>
  <si>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</si>
  <si>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</si>
  <si>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</si>
  <si>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</si>
  <si>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</si>
  <si>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</si>
  <si>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</si>
  <si>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</si>
  <si>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</si>
  <si>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</si>
  <si>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</si>
  <si>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</si>
  <si>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</si>
  <si>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</si>
  <si>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</si>
  <si>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</si>
  <si>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</si>
  <si>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</si>
  <si>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</si>
  <si>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</si>
  <si>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</si>
  <si>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</si>
  <si>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</si>
  <si>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</si>
  <si>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</si>
  <si>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</si>
  <si>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</si>
  <si>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</si>
  <si>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</si>
  <si>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</si>
  <si>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</si>
  <si>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</si>
  <si>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</si>
  <si>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</si>
  <si>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</si>
  <si>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</si>
  <si>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</si>
  <si>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</si>
  <si>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</si>
  <si>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</si>
  <si>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</si>
  <si>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</si>
  <si>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</si>
  <si>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</si>
  <si>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</si>
  <si>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</si>
  <si>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</si>
  <si>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</si>
  <si>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</si>
  <si>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</si>
  <si>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</si>
  <si>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</si>
  <si>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</si>
  <si>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</si>
  <si>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</si>
  <si>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</si>
  <si>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</si>
  <si>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</si>
  <si>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</si>
  <si>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</si>
  <si>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</si>
  <si>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</si>
  <si>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</si>
  <si>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</si>
  <si>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</si>
  <si>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</si>
  <si>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</si>
  <si>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</si>
  <si>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</si>
  <si>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</si>
  <si>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</si>
  <si>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</si>
  <si>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</si>
  <si>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</si>
  <si>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</si>
  <si>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</si>
  <si>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</si>
  <si>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</si>
  <si>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</si>
  <si>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</si>
  <si>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</si>
  <si>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</si>
  <si>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</si>
  <si>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</si>
  <si>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</si>
  <si>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</si>
  <si>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</si>
  <si>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</si>
  <si>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</si>
  <si>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</si>
  <si>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</si>
  <si>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</si>
  <si>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</si>
  <si>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</si>
  <si>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</si>
  <si>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</si>
  <si>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</si>
  <si>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</si>
  <si>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</si>
  <si>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</si>
  <si>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</si>
  <si>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</si>
  <si>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</si>
  <si>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</si>
  <si>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</si>
  <si>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</si>
  <si>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</si>
  <si>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</si>
  <si>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</si>
  <si>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</si>
  <si>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</si>
  <si>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</si>
  <si>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</si>
  <si>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</si>
  <si>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</si>
  <si>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</si>
  <si>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</si>
  <si>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</si>
  <si>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</si>
  <si>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</si>
  <si>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</si>
  <si>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</si>
  <si>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</si>
  <si>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</si>
  <si>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</si>
  <si>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</si>
  <si>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</si>
  <si>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</si>
  <si>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</si>
  <si>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</si>
  <si>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</si>
  <si>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</si>
  <si>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</si>
  <si>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</si>
  <si>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</si>
  <si>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</si>
  <si>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</si>
  <si>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</si>
  <si>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</si>
  <si>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</si>
  <si>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</si>
  <si>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</si>
  <si>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</si>
  <si>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</si>
  <si>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</si>
  <si>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</si>
  <si>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</si>
  <si>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</si>
  <si>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</si>
  <si>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</si>
  <si>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</si>
  <si>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</si>
  <si>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</si>
  <si>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</si>
  <si>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</si>
  <si>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</si>
  <si>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</si>
  <si>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</si>
  <si>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</si>
  <si>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</si>
  <si>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</si>
  <si>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</si>
  <si>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</si>
  <si>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</si>
  <si>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</si>
  <si>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</si>
  <si>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</si>
  <si>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</si>
  <si>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</si>
  <si>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</si>
  <si>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</si>
  <si>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</si>
  <si>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</si>
  <si>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</si>
  <si>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</si>
  <si>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</si>
  <si>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</si>
  <si>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</si>
  <si>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</si>
  <si>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</si>
  <si>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</si>
  <si>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</si>
  <si>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</si>
  <si>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</si>
  <si>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</si>
  <si>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</si>
  <si>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</si>
  <si>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</si>
  <si>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</si>
  <si>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</si>
  <si>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</si>
  <si>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</si>
  <si>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</si>
  <si>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</si>
  <si>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</si>
  <si>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</si>
  <si>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</si>
  <si>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</si>
  <si>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</si>
  <si>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</si>
  <si>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</si>
  <si>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</si>
  <si>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</si>
  <si>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</si>
  <si>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</si>
  <si>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</si>
  <si>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</si>
  <si>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</si>
  <si>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</si>
  <si>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</si>
  <si>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</si>
  <si>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</si>
  <si>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</si>
  <si>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</si>
  <si>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</si>
  <si>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</si>
  <si>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</si>
  <si>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</si>
  <si>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</si>
  <si>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</si>
  <si>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</si>
  <si>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</si>
  <si>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</si>
  <si>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</si>
  <si>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</si>
  <si>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</si>
  <si>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</si>
  <si>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</si>
  <si>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</si>
  <si>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</si>
  <si>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</si>
  <si>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</si>
  <si>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</si>
  <si>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</si>
  <si>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</si>
  <si>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</si>
  <si>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</si>
  <si>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</si>
  <si>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</si>
  <si>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</si>
  <si>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</si>
  <si>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</si>
  <si>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</si>
  <si>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</si>
  <si>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</si>
  <si>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</si>
  <si>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</si>
  <si>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</si>
  <si>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</si>
  <si>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</si>
  <si>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</si>
  <si>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</si>
  <si>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</si>
  <si>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</si>
  <si>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</si>
  <si>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</si>
  <si>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</si>
  <si>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</si>
  <si>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</si>
  <si>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</si>
  <si>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</si>
  <si>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</si>
  <si>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</si>
  <si>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</si>
  <si>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</si>
  <si>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</si>
  <si>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</si>
  <si>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</si>
  <si>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</si>
  <si>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</si>
  <si>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</si>
  <si>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</si>
  <si>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</si>
  <si>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</si>
  <si>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</si>
  <si>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</si>
  <si>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</si>
  <si>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</si>
  <si>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</si>
  <si>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</si>
  <si>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</si>
  <si>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</si>
  <si>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</si>
  <si>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</si>
  <si>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</si>
  <si>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</si>
  <si>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</si>
  <si>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</si>
  <si>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</si>
  <si>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</si>
  <si>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</si>
  <si>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</si>
  <si>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</si>
  <si>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</si>
  <si>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</si>
  <si>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</si>
  <si>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</si>
  <si>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</si>
  <si>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</si>
  <si>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</si>
  <si>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</si>
  <si>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</si>
  <si>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</si>
  <si>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</si>
  <si>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</si>
  <si>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</si>
  <si>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</si>
  <si>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</si>
  <si>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</si>
  <si>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</si>
  <si>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</si>
  <si>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</si>
  <si>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</si>
  <si>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</si>
  <si>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</si>
  <si>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</si>
  <si>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</si>
  <si>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</si>
  <si>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</si>
  <si>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</si>
  <si>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</si>
  <si>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</si>
  <si>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</si>
  <si>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M/s. SRS Developers</t>
  </si>
  <si>
    <t>Sukh Shanti Residential Project</t>
  </si>
  <si>
    <t>Mr. Ranjit Mhatre 8308105111</t>
  </si>
  <si>
    <t>P52000077959</t>
  </si>
  <si>
    <t>As per RERA - 31/12/2026</t>
  </si>
  <si>
    <t>18.659656,72.881487</t>
  </si>
  <si>
    <t>https://maps.app.goo.gl/fS6WehvNwTYfvqZt7</t>
  </si>
  <si>
    <t>02 Wings</t>
  </si>
  <si>
    <t>Wing A = G + 1st to 7th Floor
Wing B = G + 1st to 7th Floor</t>
  </si>
  <si>
    <t>Wing A = G + 1st to 7th Floor</t>
  </si>
  <si>
    <t>Wing B = G + 1st to 7th Floor</t>
  </si>
  <si>
    <t xml:space="preserve">Wing A </t>
  </si>
  <si>
    <t>1st to 7th Floor For Residential</t>
  </si>
  <si>
    <t>2BHK</t>
  </si>
  <si>
    <t>1BHK</t>
  </si>
  <si>
    <t xml:space="preserve">Details of Residential in Building   </t>
  </si>
  <si>
    <t>9.00 M Wide Internal Road</t>
  </si>
  <si>
    <t>Savta Mali Road</t>
  </si>
  <si>
    <t>Adj. S. No. 45/1A/1</t>
  </si>
  <si>
    <t>Wing B</t>
  </si>
  <si>
    <r>
      <t xml:space="preserve">Flat No.
</t>
    </r>
    <r>
      <rPr>
        <b/>
        <sz val="11"/>
        <rFont val="Times New Roman"/>
        <family val="1"/>
      </rPr>
      <t>(Approved Plan)</t>
    </r>
  </si>
  <si>
    <t>Wing A</t>
  </si>
  <si>
    <t>Flats - 84</t>
  </si>
  <si>
    <r>
      <t xml:space="preserve">Proposed Amenities :                                                                                                                                                                                                                         </t>
    </r>
    <r>
      <rPr>
        <b/>
        <sz val="12"/>
        <rFont val="Times New Roman"/>
        <family val="1"/>
      </rPr>
      <t xml:space="preserve">                                               </t>
    </r>
  </si>
  <si>
    <t>Basics</t>
  </si>
  <si>
    <t>We considered Gross carpet area = Net carpet + Balcony.</t>
  </si>
  <si>
    <t>Survey No</t>
  </si>
  <si>
    <t>Gondhalpada</t>
  </si>
  <si>
    <t>Open Plot</t>
  </si>
  <si>
    <t>Bungalow</t>
  </si>
  <si>
    <t>http://sukhshantialibag.com/</t>
  </si>
  <si>
    <t>Nitesh Patil</t>
  </si>
  <si>
    <t>Wing A &amp; B</t>
  </si>
  <si>
    <t>45, Hissa No.1A/2</t>
  </si>
  <si>
    <t>Chendhare</t>
  </si>
  <si>
    <t>Vitthal Recidancy Building</t>
  </si>
  <si>
    <t>1.9 KM from Alibag Bus Station</t>
  </si>
  <si>
    <t>S.No.45/1B</t>
  </si>
  <si>
    <t>Adj. S. No. 44, H. No.1A/7 &amp; 1A/8</t>
  </si>
  <si>
    <t>MS/LNA/A-1/Token No.17046/P.K. 20/2023</t>
  </si>
  <si>
    <t xml:space="preserve">Vitrified tiles flooring, Granite Kitchen Platform, Decorative Entrance, Landscaping &amp; Garden, Childerns Play Area, Lift etc.
</t>
  </si>
  <si>
    <t>Ground Floor For Parking</t>
  </si>
  <si>
    <t>Ground Floor For Parking, Society Office &amp; Driver Room</t>
  </si>
  <si>
    <t>Construction work is in process at the time of Visit.</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</si>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</sst>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12">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7" fillId="0" borderId="1" xfId="1" applyFont="1" applyBorder="1" applyAlignment="1" applyProtection="1">
      <alignment vertical="top"/>
      <protection locked="0"/>
    </xf>
    <xf numFmtId="0" fontId="23" fillId="2" borderId="26" xfId="0" applyFont="1" applyFill="1" applyBorder="1"/>
    <xf numFmtId="0" fontId="24" fillId="0" borderId="27"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21"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1" fillId="0" borderId="1" xfId="1" applyFont="1" applyBorder="1"/>
    <xf numFmtId="0" fontId="6" fillId="0" borderId="1" xfId="1" applyFont="1" applyBorder="1"/>
    <xf numFmtId="0" fontId="0" fillId="0" borderId="8" xfId="0" applyBorder="1" applyAlignment="1">
      <alignment vertical="top"/>
    </xf>
    <xf numFmtId="0" fontId="0" fillId="0" borderId="21" xfId="0" applyFill="1" applyBorder="1" applyAlignment="1">
      <alignment horizontal="center" vertical="top"/>
    </xf>
    <xf numFmtId="0" fontId="0" fillId="0" borderId="8" xfId="0" applyFill="1" applyBorder="1" applyAlignment="1">
      <alignment horizontal="left" vertical="top"/>
    </xf>
    <xf numFmtId="0" fontId="14" fillId="2" borderId="0" xfId="1" applyFont="1" applyFill="1"/>
    <xf numFmtId="0" fontId="0" fillId="0" borderId="1" xfId="0" applyBorder="1" applyAlignment="1">
      <alignment horizontal="left" vertical="top"/>
    </xf>
    <xf numFmtId="0" fontId="0" fillId="0" borderId="3" xfId="0" applyBorder="1" applyAlignment="1">
      <alignment vertical="top"/>
    </xf>
    <xf numFmtId="0" fontId="0" fillId="0" borderId="3" xfId="0" applyBorder="1" applyAlignment="1">
      <alignment wrapText="1"/>
    </xf>
    <xf numFmtId="0" fontId="0" fillId="0" borderId="21" xfId="0" applyBorder="1" applyAlignment="1">
      <alignment vertical="top"/>
    </xf>
    <xf numFmtId="0" fontId="0" fillId="0" borderId="22" xfId="0" applyBorder="1" applyAlignment="1">
      <alignment vertical="top" wrapText="1"/>
    </xf>
    <xf numFmtId="0" fontId="0" fillId="0" borderId="28" xfId="0" applyBorder="1" applyAlignment="1">
      <alignment vertical="top"/>
    </xf>
    <xf numFmtId="0" fontId="0" fillId="0" borderId="29" xfId="0" applyBorder="1" applyAlignment="1">
      <alignment vertical="top" wrapText="1"/>
    </xf>
    <xf numFmtId="0" fontId="0" fillId="0" borderId="30"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29" xfId="0" applyBorder="1" applyAlignment="1">
      <alignment horizontal="left" wrapText="1"/>
    </xf>
    <xf numFmtId="0" fontId="0" fillId="0" borderId="14" xfId="0" applyBorder="1" applyAlignment="1">
      <alignment vertical="top"/>
    </xf>
    <xf numFmtId="0" fontId="0" fillId="0" borderId="14" xfId="0" applyBorder="1" applyAlignment="1">
      <alignment vertical="top" wrapText="1"/>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28" fillId="0" borderId="0" xfId="1" applyFont="1"/>
    <xf numFmtId="1" fontId="6" fillId="0" borderId="1" xfId="1" applyNumberFormat="1" applyFont="1" applyBorder="1" applyAlignment="1">
      <alignment horizontal="center" vertical="center"/>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0" fontId="25" fillId="0" borderId="0" xfId="10"/>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11"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0" xfId="1" applyFont="1" applyAlignment="1">
      <alignment horizontal="center" vertical="center"/>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1" fillId="0" borderId="5" xfId="1" applyFont="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1" fontId="7" fillId="0" borderId="1" xfId="0" applyNumberFormat="1" applyFont="1" applyBorder="1" applyAlignment="1" applyProtection="1">
      <alignment horizontal="left" vertical="top" wrapText="1"/>
      <protection locked="0"/>
    </xf>
    <xf numFmtId="1" fontId="7" fillId="0" borderId="8" xfId="1" applyNumberFormat="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12" fillId="0" borderId="14" xfId="1" applyFont="1" applyBorder="1" applyAlignment="1" applyProtection="1">
      <alignment horizontal="left" vertical="top"/>
      <protection locked="0"/>
    </xf>
    <xf numFmtId="167" fontId="11" fillId="0" borderId="1" xfId="9" applyNumberFormat="1" applyFont="1" applyFill="1" applyBorder="1" applyAlignment="1" applyProtection="1">
      <alignment horizontal="left" vertical="top"/>
      <protection locked="0"/>
    </xf>
    <xf numFmtId="0" fontId="6" fillId="0" borderId="21"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 fontId="9" fillId="0" borderId="1" xfId="0" applyNumberFormat="1" applyFont="1" applyBorder="1" applyAlignment="1" applyProtection="1">
      <alignment horizontal="center" vertical="center"/>
      <protection locked="0"/>
    </xf>
    <xf numFmtId="0" fontId="12" fillId="0" borderId="14" xfId="1" applyFont="1" applyBorder="1" applyAlignment="1" applyProtection="1">
      <alignment horizontal="center" vertical="top"/>
      <protection locked="0"/>
    </xf>
    <xf numFmtId="0" fontId="9" fillId="0" borderId="1" xfId="0"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vertical="top"/>
      <protection locked="0"/>
    </xf>
    <xf numFmtId="0" fontId="10" fillId="0" borderId="1" xfId="1" applyFont="1" applyBorder="1" applyAlignment="1" applyProtection="1">
      <alignment horizontal="center" vertical="top" wrapText="1"/>
      <protection locked="0"/>
    </xf>
    <xf numFmtId="14"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2" fillId="0" borderId="1" xfId="1" applyFont="1" applyBorder="1" applyAlignment="1" applyProtection="1">
      <alignment horizontal="center"/>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11" fillId="0" borderId="3" xfId="1" applyFont="1" applyBorder="1" applyAlignment="1" applyProtection="1">
      <alignment horizontal="left" vertical="top"/>
      <protection locked="0"/>
    </xf>
    <xf numFmtId="0" fontId="11" fillId="0" borderId="15"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1" fillId="0" borderId="21"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15"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11" fillId="0" borderId="16" xfId="1" applyFont="1" applyBorder="1" applyAlignment="1" applyProtection="1">
      <alignment horizontal="left" vertical="top"/>
      <protection locked="0"/>
    </xf>
    <xf numFmtId="0" fontId="11" fillId="0" borderId="17"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6" fillId="0" borderId="0" xfId="1" applyFont="1" applyAlignment="1">
      <alignment horizontal="center" vertical="center"/>
    </xf>
    <xf numFmtId="0" fontId="25" fillId="0" borderId="1" xfId="10" applyFill="1" applyBorder="1" applyAlignment="1" applyProtection="1">
      <alignment horizontal="left" vertical="top" wrapText="1"/>
      <protection locked="0"/>
    </xf>
    <xf numFmtId="1" fontId="6" fillId="0" borderId="1" xfId="0" applyNumberFormat="1" applyFont="1" applyBorder="1" applyAlignment="1" applyProtection="1">
      <alignment horizontal="center" vertical="top" wrapText="1"/>
      <protection locked="0"/>
    </xf>
    <xf numFmtId="0" fontId="5" fillId="0" borderId="20" xfId="1" applyFont="1" applyBorder="1" applyAlignment="1" applyProtection="1">
      <alignment horizontal="left" vertical="top" wrapText="1"/>
      <protection locked="0"/>
    </xf>
    <xf numFmtId="9" fontId="11" fillId="0" borderId="15" xfId="8" applyFont="1" applyFill="1" applyBorder="1" applyAlignment="1" applyProtection="1">
      <alignment horizontal="center" vertical="center" wrapText="1"/>
      <protection locked="0"/>
    </xf>
    <xf numFmtId="9" fontId="11" fillId="0" borderId="16" xfId="8" applyFont="1" applyFill="1" applyBorder="1" applyAlignment="1" applyProtection="1">
      <alignment horizontal="center" vertical="center" wrapText="1"/>
      <protection locked="0"/>
    </xf>
    <xf numFmtId="9" fontId="11" fillId="0" borderId="21" xfId="8" applyFont="1" applyFill="1" applyBorder="1" applyAlignment="1" applyProtection="1">
      <alignment horizontal="center" vertical="center" wrapText="1"/>
      <protection locked="0"/>
    </xf>
    <xf numFmtId="9" fontId="11" fillId="0" borderId="22" xfId="8" applyFont="1" applyFill="1" applyBorder="1" applyAlignment="1" applyProtection="1">
      <alignment horizontal="center" vertical="center" wrapText="1"/>
      <protection locked="0"/>
    </xf>
    <xf numFmtId="9" fontId="11" fillId="0" borderId="24"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3"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11" fillId="0" borderId="1" xfId="1" applyFont="1" applyBorder="1" applyAlignment="1" applyProtection="1">
      <alignment horizontal="center" vertical="top"/>
      <protection locked="0"/>
    </xf>
    <xf numFmtId="0" fontId="23" fillId="2" borderId="13" xfId="0" applyFont="1" applyFill="1" applyBorder="1"/>
    <xf numFmtId="0" fontId="24" fillId="0" borderId="9" xfId="0" applyFont="1" applyBorder="1"/>
    <xf numFmtId="0" fontId="12" fillId="0" borderId="31"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32" xfId="1" applyFont="1" applyBorder="1" applyAlignment="1" applyProtection="1">
      <alignment horizontal="left" vertical="top" wrapText="1"/>
      <protection locked="0"/>
    </xf>
    <xf numFmtId="9" fontId="11" fillId="0" borderId="1" xfId="8" applyFont="1" applyFill="1" applyBorder="1" applyAlignment="1" applyProtection="1">
      <alignment horizontal="center" vertical="center" wrapText="1"/>
      <protection locked="0"/>
    </xf>
    <xf numFmtId="1" fontId="12" fillId="0" borderId="1" xfId="1" applyNumberFormat="1" applyFont="1" applyBorder="1" applyAlignment="1" applyProtection="1">
      <alignment horizontal="center" vertical="top" wrapText="1"/>
      <protection locked="0"/>
    </xf>
    <xf numFmtId="1" fontId="30" fillId="0" borderId="1" xfId="1" applyNumberFormat="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1" fontId="12" fillId="0" borderId="1" xfId="0" applyNumberFormat="1" applyFont="1" applyBorder="1" applyAlignment="1" applyProtection="1">
      <alignment vertical="top" wrapText="1"/>
      <protection locked="0"/>
    </xf>
    <xf numFmtId="1" fontId="7" fillId="0" borderId="1" xfId="0" applyNumberFormat="1" applyFont="1" applyBorder="1" applyAlignment="1" applyProtection="1">
      <alignment vertical="top" wrapText="1"/>
      <protection locked="0"/>
    </xf>
    <xf numFmtId="1" fontId="16" fillId="0" borderId="1" xfId="0" applyNumberFormat="1" applyFont="1" applyBorder="1" applyAlignment="1" applyProtection="1">
      <alignmen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jp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8</xdr:col>
      <xdr:colOff>693645</xdr:colOff>
      <xdr:row>13</xdr:row>
      <xdr:rowOff>112059</xdr:rowOff>
    </xdr:from>
    <xdr:to>
      <xdr:col>20</xdr:col>
      <xdr:colOff>282812</xdr:colOff>
      <xdr:row>20</xdr:row>
      <xdr:rowOff>91103</xdr:rowOff>
    </xdr:to>
    <xdr:pic>
      <xdr:nvPicPr>
        <xdr:cNvPr id="2" name="Picture 1"/>
        <xdr:cNvPicPr>
          <a:picLocks noChangeAspect="1"/>
        </xdr:cNvPicPr>
      </xdr:nvPicPr>
      <xdr:blipFill>
        <a:blip xmlns:r="http://schemas.openxmlformats.org/officeDocument/2006/relationships" r:embed="rId1"/>
        <a:stretch>
          <a:fillRect/>
        </a:stretch>
      </xdr:blipFill>
      <xdr:spPr>
        <a:xfrm>
          <a:off x="7008720" y="3093384"/>
          <a:ext cx="9608107" cy="1798319"/>
        </a:xfrm>
        <a:prstGeom prst="rect">
          <a:avLst/>
        </a:prstGeom>
      </xdr:spPr>
    </xdr:pic>
    <xdr:clientData/>
  </xdr:twoCellAnchor>
  <xdr:twoCellAnchor editAs="oneCell">
    <xdr:from>
      <xdr:col>8</xdr:col>
      <xdr:colOff>1076326</xdr:colOff>
      <xdr:row>39</xdr:row>
      <xdr:rowOff>57150</xdr:rowOff>
    </xdr:from>
    <xdr:to>
      <xdr:col>10</xdr:col>
      <xdr:colOff>931173</xdr:colOff>
      <xdr:row>48</xdr:row>
      <xdr:rowOff>56925</xdr:rowOff>
    </xdr:to>
    <xdr:pic>
      <xdr:nvPicPr>
        <xdr:cNvPr id="3" name="Picture 2"/>
        <xdr:cNvPicPr>
          <a:picLocks noChangeAspect="1"/>
        </xdr:cNvPicPr>
      </xdr:nvPicPr>
      <xdr:blipFill>
        <a:blip xmlns:r="http://schemas.openxmlformats.org/officeDocument/2006/relationships" r:embed="rId2"/>
        <a:stretch>
          <a:fillRect/>
        </a:stretch>
      </xdr:blipFill>
      <xdr:spPr>
        <a:xfrm>
          <a:off x="7391401" y="8867775"/>
          <a:ext cx="1782979" cy="1800000"/>
        </a:xfrm>
        <a:prstGeom prst="rect">
          <a:avLst/>
        </a:prstGeom>
      </xdr:spPr>
    </xdr:pic>
    <xdr:clientData/>
  </xdr:twoCellAnchor>
  <xdr:twoCellAnchor editAs="oneCell">
    <xdr:from>
      <xdr:col>9</xdr:col>
      <xdr:colOff>420220</xdr:colOff>
      <xdr:row>49</xdr:row>
      <xdr:rowOff>38100</xdr:rowOff>
    </xdr:from>
    <xdr:to>
      <xdr:col>18</xdr:col>
      <xdr:colOff>124983</xdr:colOff>
      <xdr:row>53</xdr:row>
      <xdr:rowOff>172906</xdr:rowOff>
    </xdr:to>
    <xdr:pic>
      <xdr:nvPicPr>
        <xdr:cNvPr id="4" name="Picture 3"/>
        <xdr:cNvPicPr>
          <a:picLocks noChangeAspect="1"/>
        </xdr:cNvPicPr>
      </xdr:nvPicPr>
      <xdr:blipFill>
        <a:blip xmlns:r="http://schemas.openxmlformats.org/officeDocument/2006/relationships" r:embed="rId3"/>
        <a:stretch>
          <a:fillRect/>
        </a:stretch>
      </xdr:blipFill>
      <xdr:spPr>
        <a:xfrm>
          <a:off x="7894544" y="11143129"/>
          <a:ext cx="7111851" cy="1804483"/>
        </a:xfrm>
        <a:prstGeom prst="rect">
          <a:avLst/>
        </a:prstGeom>
      </xdr:spPr>
    </xdr:pic>
    <xdr:clientData/>
  </xdr:twoCellAnchor>
  <xdr:twoCellAnchor>
    <xdr:from>
      <xdr:col>1</xdr:col>
      <xdr:colOff>225879</xdr:colOff>
      <xdr:row>202</xdr:row>
      <xdr:rowOff>112939</xdr:rowOff>
    </xdr:from>
    <xdr:to>
      <xdr:col>6</xdr:col>
      <xdr:colOff>625780</xdr:colOff>
      <xdr:row>242</xdr:row>
      <xdr:rowOff>152400</xdr:rowOff>
    </xdr:to>
    <xdr:grpSp>
      <xdr:nvGrpSpPr>
        <xdr:cNvPr id="6" name="Group 5"/>
        <xdr:cNvGrpSpPr/>
      </xdr:nvGrpSpPr>
      <xdr:grpSpPr>
        <a:xfrm>
          <a:off x="1025979" y="41432389"/>
          <a:ext cx="4686151" cy="7913461"/>
          <a:chOff x="1231041" y="346075"/>
          <a:chExt cx="4487162" cy="8226000"/>
        </a:xfrm>
      </xdr:grpSpPr>
      <xdr:grpSp>
        <xdr:nvGrpSpPr>
          <xdr:cNvPr id="7" name="Group 6"/>
          <xdr:cNvGrpSpPr/>
        </xdr:nvGrpSpPr>
        <xdr:grpSpPr>
          <a:xfrm>
            <a:off x="1676400" y="346075"/>
            <a:ext cx="3524250" cy="4905375"/>
            <a:chOff x="9525" y="28575"/>
            <a:chExt cx="3524250" cy="4905375"/>
          </a:xfrm>
        </xdr:grpSpPr>
        <xdr:pic>
          <xdr:nvPicPr>
            <xdr:cNvPr id="9" name="Picture 8"/>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5" y="28575"/>
              <a:ext cx="3524250" cy="4905375"/>
            </a:xfrm>
            <a:prstGeom prst="rect">
              <a:avLst/>
            </a:prstGeom>
            <a:ln>
              <a:solidFill>
                <a:schemeClr val="tx1"/>
              </a:solidFill>
            </a:ln>
          </xdr:spPr>
        </xdr:pic>
        <xdr:sp macro="" textlink="">
          <xdr:nvSpPr>
            <xdr:cNvPr id="10" name="Rectangle 9"/>
            <xdr:cNvSpPr/>
          </xdr:nvSpPr>
          <xdr:spPr>
            <a:xfrm rot="21320751">
              <a:off x="881754" y="652085"/>
              <a:ext cx="1165947" cy="10725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1" name="Rectangle 10"/>
            <xdr:cNvSpPr/>
          </xdr:nvSpPr>
          <xdr:spPr>
            <a:xfrm rot="21320751">
              <a:off x="972178" y="1734292"/>
              <a:ext cx="1167051" cy="110954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2" name="TextBox 16"/>
            <xdr:cNvSpPr txBox="1"/>
          </xdr:nvSpPr>
          <xdr:spPr>
            <a:xfrm>
              <a:off x="1136972" y="2251471"/>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13" name="TextBox 17"/>
            <xdr:cNvSpPr txBox="1"/>
          </xdr:nvSpPr>
          <xdr:spPr>
            <a:xfrm>
              <a:off x="1117922" y="1018548"/>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pic>
          <xdr:nvPicPr>
            <xdr:cNvPr id="14" name="Picture 13"/>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967038" y="4286251"/>
              <a:ext cx="557212" cy="557212"/>
            </a:xfrm>
            <a:prstGeom prst="rect">
              <a:avLst/>
            </a:prstGeom>
          </xdr:spPr>
        </xdr:pic>
      </xdr:grpSp>
      <xdr:pic>
        <xdr:nvPicPr>
          <xdr:cNvPr id="8" name="Picture 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31041" y="5412240"/>
            <a:ext cx="4487162" cy="3159835"/>
          </a:xfrm>
          <a:prstGeom prst="rect">
            <a:avLst/>
          </a:prstGeom>
          <a:ln>
            <a:solidFill>
              <a:schemeClr val="tx1"/>
            </a:solidFill>
          </a:ln>
        </xdr:spPr>
      </xdr:pic>
    </xdr:grpSp>
    <xdr:clientData/>
  </xdr:twoCellAnchor>
  <xdr:twoCellAnchor editAs="oneCell">
    <xdr:from>
      <xdr:col>12</xdr:col>
      <xdr:colOff>253092</xdr:colOff>
      <xdr:row>116</xdr:row>
      <xdr:rowOff>40822</xdr:rowOff>
    </xdr:from>
    <xdr:to>
      <xdr:col>17</xdr:col>
      <xdr:colOff>368753</xdr:colOff>
      <xdr:row>127</xdr:row>
      <xdr:rowOff>16265</xdr:rowOff>
    </xdr:to>
    <xdr:pic>
      <xdr:nvPicPr>
        <xdr:cNvPr id="20" name="Picture 19"/>
        <xdr:cNvPicPr>
          <a:picLocks noChangeAspect="1"/>
        </xdr:cNvPicPr>
      </xdr:nvPicPr>
      <xdr:blipFill>
        <a:blip xmlns:r="http://schemas.openxmlformats.org/officeDocument/2006/relationships" r:embed="rId7"/>
        <a:stretch>
          <a:fillRect/>
        </a:stretch>
      </xdr:blipFill>
      <xdr:spPr>
        <a:xfrm>
          <a:off x="10159092" y="24982715"/>
          <a:ext cx="3952875" cy="2220621"/>
        </a:xfrm>
        <a:prstGeom prst="rect">
          <a:avLst/>
        </a:prstGeom>
      </xdr:spPr>
    </xdr:pic>
    <xdr:clientData/>
  </xdr:twoCellAnchor>
  <xdr:twoCellAnchor editAs="oneCell">
    <xdr:from>
      <xdr:col>10</xdr:col>
      <xdr:colOff>381001</xdr:colOff>
      <xdr:row>52</xdr:row>
      <xdr:rowOff>304800</xdr:rowOff>
    </xdr:from>
    <xdr:to>
      <xdr:col>13</xdr:col>
      <xdr:colOff>68422</xdr:colOff>
      <xdr:row>60</xdr:row>
      <xdr:rowOff>85500</xdr:rowOff>
    </xdr:to>
    <xdr:pic>
      <xdr:nvPicPr>
        <xdr:cNvPr id="21" name="Picture 20" descr="https://i0.wp.com/www.sukhshantialibag.com/wp-content/uploads/2024/02/Sukh-Shanti-Residency-1.jpeg?fit=1024%2C683&amp;ssl=1"/>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620126" y="12582525"/>
          <a:ext cx="2698682"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963706</xdr:colOff>
      <xdr:row>21</xdr:row>
      <xdr:rowOff>113459</xdr:rowOff>
    </xdr:from>
    <xdr:to>
      <xdr:col>15</xdr:col>
      <xdr:colOff>268235</xdr:colOff>
      <xdr:row>31</xdr:row>
      <xdr:rowOff>106290</xdr:rowOff>
    </xdr:to>
    <xdr:pic>
      <xdr:nvPicPr>
        <xdr:cNvPr id="5" name="Picture 4"/>
        <xdr:cNvPicPr>
          <a:picLocks noChangeAspect="1"/>
        </xdr:cNvPicPr>
      </xdr:nvPicPr>
      <xdr:blipFill>
        <a:blip xmlns:r="http://schemas.openxmlformats.org/officeDocument/2006/relationships" r:embed="rId9"/>
        <a:stretch>
          <a:fillRect/>
        </a:stretch>
      </xdr:blipFill>
      <xdr:spPr>
        <a:xfrm>
          <a:off x="7272618" y="5144900"/>
          <a:ext cx="5897589" cy="2211596"/>
        </a:xfrm>
        <a:prstGeom prst="rect">
          <a:avLst/>
        </a:prstGeom>
      </xdr:spPr>
    </xdr:pic>
    <xdr:clientData/>
  </xdr:twoCellAnchor>
  <xdr:twoCellAnchor>
    <xdr:from>
      <xdr:col>0</xdr:col>
      <xdr:colOff>283029</xdr:colOff>
      <xdr:row>245</xdr:row>
      <xdr:rowOff>110218</xdr:rowOff>
    </xdr:from>
    <xdr:to>
      <xdr:col>7</xdr:col>
      <xdr:colOff>394607</xdr:colOff>
      <xdr:row>286</xdr:row>
      <xdr:rowOff>62593</xdr:rowOff>
    </xdr:to>
    <xdr:grpSp>
      <xdr:nvGrpSpPr>
        <xdr:cNvPr id="35" name="Group 34"/>
        <xdr:cNvGrpSpPr/>
      </xdr:nvGrpSpPr>
      <xdr:grpSpPr>
        <a:xfrm>
          <a:off x="283029" y="49894218"/>
          <a:ext cx="5966278" cy="8023225"/>
          <a:chOff x="742950" y="52473225"/>
          <a:chExt cx="4680000" cy="6959987"/>
        </a:xfrm>
      </xdr:grpSpPr>
      <xdr:grpSp>
        <xdr:nvGrpSpPr>
          <xdr:cNvPr id="16" name="Group 15"/>
          <xdr:cNvGrpSpPr/>
        </xdr:nvGrpSpPr>
        <xdr:grpSpPr>
          <a:xfrm>
            <a:off x="742950" y="55473212"/>
            <a:ext cx="4680000" cy="3960000"/>
            <a:chOff x="-1570008" y="1984074"/>
            <a:chExt cx="9813805" cy="5434643"/>
          </a:xfrm>
        </xdr:grpSpPr>
        <xdr:pic>
          <xdr:nvPicPr>
            <xdr:cNvPr id="18" name="Picture 17"/>
            <xdr:cNvPicPr>
              <a:picLocks noChangeAspect="1"/>
            </xdr:cNvPicPr>
          </xdr:nvPicPr>
          <xdr:blipFill rotWithShape="1">
            <a:blip xmlns:r="http://schemas.openxmlformats.org/officeDocument/2006/relationships" r:embed="rId10"/>
            <a:srcRect l="11579" t="14622" r="12995" b="11084"/>
            <a:stretch/>
          </xdr:blipFill>
          <xdr:spPr>
            <a:xfrm>
              <a:off x="-1570008" y="1984074"/>
              <a:ext cx="9813805" cy="5434643"/>
            </a:xfrm>
            <a:prstGeom prst="rect">
              <a:avLst/>
            </a:prstGeom>
            <a:ln>
              <a:solidFill>
                <a:schemeClr val="tx1"/>
              </a:solidFill>
            </a:ln>
          </xdr:spPr>
        </xdr:pic>
        <xdr:sp macro="" textlink="">
          <xdr:nvSpPr>
            <xdr:cNvPr id="19" name="Rectangle 18"/>
            <xdr:cNvSpPr/>
          </xdr:nvSpPr>
          <xdr:spPr>
            <a:xfrm rot="21308547">
              <a:off x="2722967" y="3565121"/>
              <a:ext cx="1144359" cy="1826505"/>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pic>
        <xdr:nvPicPr>
          <xdr:cNvPr id="34" name="Picture 33"/>
          <xdr:cNvPicPr>
            <a:picLocks noChangeAspect="1"/>
          </xdr:cNvPicPr>
        </xdr:nvPicPr>
        <xdr:blipFill>
          <a:blip xmlns:r="http://schemas.openxmlformats.org/officeDocument/2006/relationships" r:embed="rId11"/>
          <a:stretch>
            <a:fillRect/>
          </a:stretch>
        </xdr:blipFill>
        <xdr:spPr>
          <a:xfrm>
            <a:off x="1307318" y="52473225"/>
            <a:ext cx="3448615" cy="2855963"/>
          </a:xfrm>
          <a:prstGeom prst="rect">
            <a:avLst/>
          </a:prstGeom>
          <a:ln>
            <a:solidFill>
              <a:sysClr val="windowText" lastClr="000000"/>
            </a:solidFill>
          </a:ln>
        </xdr:spPr>
      </xdr:pic>
    </xdr:grpSp>
    <xdr:clientData/>
  </xdr:twoCellAnchor>
  <xdr:twoCellAnchor editAs="oneCell">
    <xdr:from>
      <xdr:col>10</xdr:col>
      <xdr:colOff>561975</xdr:colOff>
      <xdr:row>95</xdr:row>
      <xdr:rowOff>161925</xdr:rowOff>
    </xdr:from>
    <xdr:to>
      <xdr:col>12</xdr:col>
      <xdr:colOff>754173</xdr:colOff>
      <xdr:row>115</xdr:row>
      <xdr:rowOff>590917</xdr:rowOff>
    </xdr:to>
    <xdr:pic>
      <xdr:nvPicPr>
        <xdr:cNvPr id="36" name="Picture 35"/>
        <xdr:cNvPicPr>
          <a:picLocks noChangeAspect="1"/>
        </xdr:cNvPicPr>
      </xdr:nvPicPr>
      <xdr:blipFill>
        <a:blip xmlns:r="http://schemas.openxmlformats.org/officeDocument/2006/relationships" r:embed="rId12"/>
        <a:stretch>
          <a:fillRect/>
        </a:stretch>
      </xdr:blipFill>
      <xdr:spPr>
        <a:xfrm>
          <a:off x="8794296" y="22259925"/>
          <a:ext cx="2410163" cy="2674171"/>
        </a:xfrm>
        <a:prstGeom prst="rect">
          <a:avLst/>
        </a:prstGeom>
      </xdr:spPr>
    </xdr:pic>
    <xdr:clientData/>
  </xdr:twoCellAnchor>
  <xdr:twoCellAnchor editAs="oneCell">
    <xdr:from>
      <xdr:col>10</xdr:col>
      <xdr:colOff>104775</xdr:colOff>
      <xdr:row>94</xdr:row>
      <xdr:rowOff>9525</xdr:rowOff>
    </xdr:from>
    <xdr:to>
      <xdr:col>14</xdr:col>
      <xdr:colOff>577545</xdr:colOff>
      <xdr:row>113</xdr:row>
      <xdr:rowOff>38385</xdr:rowOff>
    </xdr:to>
    <xdr:pic>
      <xdr:nvPicPr>
        <xdr:cNvPr id="37" name="Picture 36"/>
        <xdr:cNvPicPr>
          <a:picLocks noChangeAspect="1"/>
        </xdr:cNvPicPr>
      </xdr:nvPicPr>
      <xdr:blipFill>
        <a:blip xmlns:r="http://schemas.openxmlformats.org/officeDocument/2006/relationships" r:embed="rId13"/>
        <a:stretch>
          <a:fillRect/>
        </a:stretch>
      </xdr:blipFill>
      <xdr:spPr>
        <a:xfrm>
          <a:off x="8343900" y="21612225"/>
          <a:ext cx="4315427" cy="2038635"/>
        </a:xfrm>
        <a:prstGeom prst="rect">
          <a:avLst/>
        </a:prstGeom>
      </xdr:spPr>
    </xdr:pic>
    <xdr:clientData/>
  </xdr:twoCellAnchor>
  <xdr:twoCellAnchor editAs="oneCell">
    <xdr:from>
      <xdr:col>11</xdr:col>
      <xdr:colOff>344821</xdr:colOff>
      <xdr:row>126</xdr:row>
      <xdr:rowOff>112378</xdr:rowOff>
    </xdr:from>
    <xdr:to>
      <xdr:col>15</xdr:col>
      <xdr:colOff>628361</xdr:colOff>
      <xdr:row>133</xdr:row>
      <xdr:rowOff>74473</xdr:rowOff>
    </xdr:to>
    <xdr:pic>
      <xdr:nvPicPr>
        <xdr:cNvPr id="38" name="Picture 37"/>
        <xdr:cNvPicPr>
          <a:picLocks noChangeAspect="1"/>
        </xdr:cNvPicPr>
      </xdr:nvPicPr>
      <xdr:blipFill>
        <a:blip xmlns:r="http://schemas.openxmlformats.org/officeDocument/2006/relationships" r:embed="rId14"/>
        <a:stretch>
          <a:fillRect/>
        </a:stretch>
      </xdr:blipFill>
      <xdr:spPr>
        <a:xfrm>
          <a:off x="9869821" y="26894437"/>
          <a:ext cx="3645305" cy="1374036"/>
        </a:xfrm>
        <a:prstGeom prst="rect">
          <a:avLst/>
        </a:prstGeom>
      </xdr:spPr>
    </xdr:pic>
    <xdr:clientData/>
  </xdr:twoCellAnchor>
  <xdr:twoCellAnchor editAs="oneCell">
    <xdr:from>
      <xdr:col>10</xdr:col>
      <xdr:colOff>1098177</xdr:colOff>
      <xdr:row>114</xdr:row>
      <xdr:rowOff>145677</xdr:rowOff>
    </xdr:from>
    <xdr:to>
      <xdr:col>18</xdr:col>
      <xdr:colOff>283203</xdr:colOff>
      <xdr:row>122</xdr:row>
      <xdr:rowOff>176779</xdr:rowOff>
    </xdr:to>
    <xdr:pic>
      <xdr:nvPicPr>
        <xdr:cNvPr id="39" name="Picture 38"/>
        <xdr:cNvPicPr>
          <a:picLocks noChangeAspect="1"/>
        </xdr:cNvPicPr>
      </xdr:nvPicPr>
      <xdr:blipFill>
        <a:blip xmlns:r="http://schemas.openxmlformats.org/officeDocument/2006/relationships" r:embed="rId15"/>
        <a:stretch>
          <a:fillRect/>
        </a:stretch>
      </xdr:blipFill>
      <xdr:spPr>
        <a:xfrm>
          <a:off x="9334501" y="24103853"/>
          <a:ext cx="5830114" cy="2048161"/>
        </a:xfrm>
        <a:prstGeom prst="rect">
          <a:avLst/>
        </a:prstGeom>
      </xdr:spPr>
    </xdr:pic>
    <xdr:clientData/>
  </xdr:twoCellAnchor>
  <xdr:oneCellAnchor>
    <xdr:from>
      <xdr:col>9</xdr:col>
      <xdr:colOff>527050</xdr:colOff>
      <xdr:row>163</xdr:row>
      <xdr:rowOff>6350</xdr:rowOff>
    </xdr:from>
    <xdr:ext cx="634084" cy="280205"/>
    <xdr:sp macro="" textlink="">
      <xdr:nvSpPr>
        <xdr:cNvPr id="15" name="TextBox 14"/>
        <xdr:cNvSpPr txBox="1"/>
      </xdr:nvSpPr>
      <xdr:spPr>
        <a:xfrm>
          <a:off x="8369300" y="33648650"/>
          <a:ext cx="63408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rgbClr val="FFFF00"/>
              </a:solidFill>
              <a:effectLst>
                <a:outerShdw blurRad="38100" dist="25400" dir="5400000" algn="ctr" rotWithShape="0">
                  <a:srgbClr val="6E747A">
                    <a:alpha val="43000"/>
                  </a:srgbClr>
                </a:outerShdw>
              </a:effectLst>
            </a:rPr>
            <a:t>A Wing</a:t>
          </a:r>
        </a:p>
      </xdr:txBody>
    </xdr:sp>
    <xdr:clientData/>
  </xdr:oneCellAnchor>
  <xdr:twoCellAnchor>
    <xdr:from>
      <xdr:col>0</xdr:col>
      <xdr:colOff>70372</xdr:colOff>
      <xdr:row>159</xdr:row>
      <xdr:rowOff>63500</xdr:rowOff>
    </xdr:from>
    <xdr:to>
      <xdr:col>7</xdr:col>
      <xdr:colOff>723371</xdr:colOff>
      <xdr:row>195</xdr:row>
      <xdr:rowOff>31376</xdr:rowOff>
    </xdr:to>
    <xdr:grpSp>
      <xdr:nvGrpSpPr>
        <xdr:cNvPr id="17" name="Group 16"/>
        <xdr:cNvGrpSpPr/>
      </xdr:nvGrpSpPr>
      <xdr:grpSpPr>
        <a:xfrm>
          <a:off x="70372" y="32924750"/>
          <a:ext cx="6507699" cy="7048126"/>
          <a:chOff x="70372" y="32924750"/>
          <a:chExt cx="6507699" cy="7048126"/>
        </a:xfrm>
      </xdr:grpSpPr>
      <xdr:pic>
        <xdr:nvPicPr>
          <xdr:cNvPr id="40" name="Picture 39"/>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5562983" y="38352876"/>
            <a:ext cx="1015088" cy="1620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505220" y="32924750"/>
            <a:ext cx="2696250" cy="3600000"/>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2248896" y="38352876"/>
            <a:ext cx="2012231" cy="162000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4359373" y="38352876"/>
            <a:ext cx="1127027" cy="1620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3338356" y="32924750"/>
            <a:ext cx="2696250" cy="3600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107950" y="36638338"/>
            <a:ext cx="2086628" cy="1620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70372" y="38352876"/>
            <a:ext cx="2086628" cy="1620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4541720" y="36638338"/>
            <a:ext cx="2011480" cy="1620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2286474" y="36638338"/>
            <a:ext cx="2157000" cy="1620000"/>
          </a:xfrm>
          <a:prstGeom prst="rect">
            <a:avLst/>
          </a:prstGeom>
          <a:ln>
            <a:solidFill>
              <a:schemeClr val="tx1"/>
            </a:solidFill>
          </a:ln>
        </xdr:spPr>
      </xdr:pic>
      <xdr:sp macro="" textlink="">
        <xdr:nvSpPr>
          <xdr:cNvPr id="49" name="TextBox 48"/>
          <xdr:cNvSpPr txBox="1"/>
        </xdr:nvSpPr>
        <xdr:spPr>
          <a:xfrm>
            <a:off x="1114820" y="35763200"/>
            <a:ext cx="64549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1" cap="none" spc="0">
                <a:ln w="0"/>
                <a:solidFill>
                  <a:srgbClr val="FFFF00"/>
                </a:solidFill>
                <a:effectLst>
                  <a:outerShdw blurRad="38100" dist="25400" dir="5400000" algn="ctr" rotWithShape="0">
                    <a:srgbClr val="6E747A">
                      <a:alpha val="43000"/>
                    </a:srgbClr>
                  </a:outerShdw>
                </a:effectLst>
              </a:rPr>
              <a:t>A Wing</a:t>
            </a:r>
          </a:p>
        </xdr:txBody>
      </xdr:sp>
      <xdr:sp macro="" textlink="">
        <xdr:nvSpPr>
          <xdr:cNvPr id="50" name="TextBox 49"/>
          <xdr:cNvSpPr txBox="1"/>
        </xdr:nvSpPr>
        <xdr:spPr>
          <a:xfrm>
            <a:off x="4367056" y="35426650"/>
            <a:ext cx="64549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1" cap="none" spc="0">
                <a:ln w="0"/>
                <a:solidFill>
                  <a:srgbClr val="FFFF00"/>
                </a:solidFill>
                <a:effectLst>
                  <a:outerShdw blurRad="38100" dist="25400" dir="5400000" algn="ctr" rotWithShape="0">
                    <a:srgbClr val="6E747A">
                      <a:alpha val="43000"/>
                    </a:srgbClr>
                  </a:outerShdw>
                </a:effectLst>
              </a:rPr>
              <a:t>B Wing</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ukhshantialibag.com/" TargetMode="External"/><Relationship Id="rId1" Type="http://schemas.openxmlformats.org/officeDocument/2006/relationships/hyperlink" Target="https://maps.app.goo.gl/fS6WehvNwTYfvqZt7"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45"/>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8" width="11" style="37" customWidth="1"/>
    <col min="9" max="9" width="17.453125" style="18" customWidth="1"/>
    <col min="10" max="10" width="11.453125" style="18" customWidth="1"/>
    <col min="11" max="11" width="19.26953125" style="18"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140" t="s">
        <v>157</v>
      </c>
      <c r="B1" s="140"/>
      <c r="C1" s="140"/>
      <c r="D1" s="140"/>
      <c r="E1" s="140"/>
      <c r="F1" s="140"/>
      <c r="G1" s="140"/>
      <c r="H1" s="140"/>
    </row>
    <row r="2" spans="1:26" ht="16.5" customHeight="1" x14ac:dyDescent="0.35">
      <c r="A2" s="130" t="s">
        <v>0</v>
      </c>
      <c r="B2" s="130"/>
      <c r="C2" s="130"/>
      <c r="D2" s="130"/>
      <c r="E2" s="130"/>
      <c r="F2" s="130"/>
      <c r="G2" s="130"/>
      <c r="H2" s="130"/>
    </row>
    <row r="3" spans="1:26" x14ac:dyDescent="0.35">
      <c r="A3" s="106" t="s">
        <v>1</v>
      </c>
      <c r="B3" s="106"/>
      <c r="C3" s="106"/>
      <c r="D3" s="106"/>
      <c r="E3" s="106" t="str">
        <f ca="1">TEXT(TODAY(),"DD/MM/YYYY")</f>
        <v>16/08/2025</v>
      </c>
      <c r="F3" s="106"/>
      <c r="G3" s="106"/>
      <c r="H3" s="106"/>
      <c r="K3" s="48" t="s">
        <v>226</v>
      </c>
      <c r="L3" s="46" t="s">
        <v>224</v>
      </c>
      <c r="M3" s="46" t="s">
        <v>229</v>
      </c>
      <c r="N3" s="46" t="s">
        <v>227</v>
      </c>
      <c r="O3" s="46" t="s">
        <v>341</v>
      </c>
      <c r="P3" s="46" t="s">
        <v>230</v>
      </c>
    </row>
    <row r="4" spans="1:26" ht="15" customHeight="1" x14ac:dyDescent="0.35">
      <c r="A4" s="106" t="s">
        <v>223</v>
      </c>
      <c r="B4" s="106"/>
      <c r="C4" s="106"/>
      <c r="D4" s="106"/>
      <c r="E4" s="106" t="s">
        <v>224</v>
      </c>
      <c r="F4" s="106"/>
      <c r="G4" s="106"/>
      <c r="H4" s="106"/>
      <c r="K4" s="45" t="s">
        <v>225</v>
      </c>
      <c r="L4" s="46" t="s">
        <v>162</v>
      </c>
      <c r="M4" s="46" t="s">
        <v>234</v>
      </c>
      <c r="N4" s="46" t="s">
        <v>236</v>
      </c>
      <c r="O4" s="46" t="s">
        <v>329</v>
      </c>
      <c r="P4" s="46"/>
    </row>
    <row r="5" spans="1:26" ht="15" customHeight="1" x14ac:dyDescent="0.35">
      <c r="A5" s="106" t="s">
        <v>2</v>
      </c>
      <c r="B5" s="106"/>
      <c r="C5" s="106"/>
      <c r="D5" s="106"/>
      <c r="E5" s="106" t="s">
        <v>232</v>
      </c>
      <c r="F5" s="106"/>
      <c r="G5" s="106"/>
      <c r="H5" s="106"/>
      <c r="K5" s="45"/>
      <c r="L5" s="46" t="s">
        <v>231</v>
      </c>
      <c r="M5" s="46" t="s">
        <v>235</v>
      </c>
      <c r="N5" s="46" t="s">
        <v>237</v>
      </c>
      <c r="O5" s="46" t="s">
        <v>330</v>
      </c>
      <c r="P5" s="46"/>
    </row>
    <row r="6" spans="1:26" x14ac:dyDescent="0.35">
      <c r="A6" s="106" t="s">
        <v>3</v>
      </c>
      <c r="B6" s="106"/>
      <c r="C6" s="106"/>
      <c r="D6" s="106"/>
      <c r="E6" s="141">
        <v>45879</v>
      </c>
      <c r="F6" s="106"/>
      <c r="G6" s="106"/>
      <c r="H6" s="106"/>
      <c r="K6" s="45"/>
      <c r="L6" s="46" t="s">
        <v>232</v>
      </c>
      <c r="M6" s="46" t="s">
        <v>339</v>
      </c>
      <c r="N6" s="46"/>
      <c r="O6" s="46" t="s">
        <v>331</v>
      </c>
      <c r="P6" s="46"/>
    </row>
    <row r="7" spans="1:26" ht="16.5" customHeight="1" x14ac:dyDescent="0.35">
      <c r="A7" s="106" t="s">
        <v>4</v>
      </c>
      <c r="B7" s="106"/>
      <c r="C7" s="106"/>
      <c r="D7" s="106"/>
      <c r="E7" s="106" t="s">
        <v>357</v>
      </c>
      <c r="F7" s="106"/>
      <c r="G7" s="106"/>
      <c r="H7" s="106"/>
      <c r="K7" s="45"/>
      <c r="L7" s="46" t="s">
        <v>233</v>
      </c>
      <c r="M7" s="46"/>
      <c r="N7" s="46"/>
      <c r="O7" s="46" t="s">
        <v>331</v>
      </c>
      <c r="P7" s="46"/>
    </row>
    <row r="8" spans="1:26" ht="15" customHeight="1" x14ac:dyDescent="0.35">
      <c r="A8" s="106" t="s">
        <v>5</v>
      </c>
      <c r="B8" s="106"/>
      <c r="C8" s="106"/>
      <c r="D8" s="106"/>
      <c r="E8" s="106" t="str">
        <f>E7</f>
        <v>M/s. SRS Developers</v>
      </c>
      <c r="F8" s="106"/>
      <c r="G8" s="106"/>
      <c r="H8" s="106"/>
      <c r="K8" s="45"/>
      <c r="L8" s="46"/>
      <c r="M8" s="46"/>
      <c r="N8" s="46"/>
      <c r="O8" s="46" t="s">
        <v>332</v>
      </c>
      <c r="P8" s="46"/>
    </row>
    <row r="9" spans="1:26" x14ac:dyDescent="0.35">
      <c r="A9" s="106" t="s">
        <v>6</v>
      </c>
      <c r="B9" s="106"/>
      <c r="C9" s="106"/>
      <c r="D9" s="106"/>
      <c r="E9" s="134" t="s">
        <v>358</v>
      </c>
      <c r="F9" s="134"/>
      <c r="G9" s="134"/>
      <c r="H9" s="134"/>
      <c r="K9" s="45"/>
      <c r="L9" s="46"/>
      <c r="M9" s="46"/>
      <c r="N9" s="46"/>
      <c r="O9" s="46" t="s">
        <v>333</v>
      </c>
      <c r="P9" s="46"/>
    </row>
    <row r="10" spans="1:26" x14ac:dyDescent="0.35">
      <c r="A10" s="106" t="s">
        <v>159</v>
      </c>
      <c r="B10" s="106"/>
      <c r="C10" s="106"/>
      <c r="D10" s="106"/>
      <c r="E10" s="106" t="s">
        <v>359</v>
      </c>
      <c r="F10" s="106"/>
      <c r="G10" s="106"/>
      <c r="H10" s="106"/>
      <c r="K10" s="45"/>
      <c r="L10" s="46"/>
      <c r="M10" s="46"/>
      <c r="N10" s="46"/>
      <c r="O10" s="46" t="s">
        <v>334</v>
      </c>
      <c r="P10" s="46"/>
    </row>
    <row r="11" spans="1:26" x14ac:dyDescent="0.35">
      <c r="A11" s="106" t="s">
        <v>160</v>
      </c>
      <c r="B11" s="106"/>
      <c r="C11" s="106"/>
      <c r="D11" s="106"/>
      <c r="E11" s="106" t="s">
        <v>359</v>
      </c>
      <c r="F11" s="106"/>
      <c r="G11" s="106"/>
      <c r="H11" s="106"/>
      <c r="O11" s="46" t="s">
        <v>335</v>
      </c>
    </row>
    <row r="12" spans="1:26" x14ac:dyDescent="0.35">
      <c r="A12" s="106" t="s">
        <v>7</v>
      </c>
      <c r="B12" s="106"/>
      <c r="C12" s="106"/>
      <c r="D12" s="106"/>
      <c r="E12" s="106" t="s">
        <v>389</v>
      </c>
      <c r="F12" s="106"/>
      <c r="G12" s="106"/>
      <c r="H12" s="106"/>
    </row>
    <row r="13" spans="1:26" x14ac:dyDescent="0.35">
      <c r="A13" s="106" t="s">
        <v>163</v>
      </c>
      <c r="B13" s="106"/>
      <c r="C13" s="106"/>
      <c r="D13" s="106"/>
      <c r="E13" s="106" t="s">
        <v>28</v>
      </c>
      <c r="F13" s="106"/>
      <c r="G13" s="106"/>
      <c r="H13" s="106"/>
      <c r="S13" s="46" t="s">
        <v>169</v>
      </c>
      <c r="T13" s="46" t="s">
        <v>178</v>
      </c>
      <c r="U13" s="46" t="s">
        <v>164</v>
      </c>
      <c r="V13" s="46" t="s">
        <v>183</v>
      </c>
      <c r="W13" s="46" t="s">
        <v>201</v>
      </c>
      <c r="X13"/>
      <c r="Y13" t="s">
        <v>183</v>
      </c>
      <c r="Z13" t="e">
        <f ca="1">OFFSET($S$13,1,MATCH($G20,$S$13:$W$13,0)-1,15,1)</f>
        <v>#VALUE!</v>
      </c>
    </row>
    <row r="14" spans="1:26" x14ac:dyDescent="0.35">
      <c r="A14" s="105" t="s">
        <v>269</v>
      </c>
      <c r="B14" s="105"/>
      <c r="C14" s="105"/>
      <c r="D14" s="105"/>
      <c r="E14" s="142" t="s">
        <v>216</v>
      </c>
      <c r="F14" s="142"/>
      <c r="G14" s="142"/>
      <c r="H14" s="142"/>
      <c r="S14" s="46" t="s">
        <v>169</v>
      </c>
      <c r="T14" s="46" t="s">
        <v>176</v>
      </c>
      <c r="U14" s="46" t="s">
        <v>198</v>
      </c>
      <c r="V14" s="46" t="s">
        <v>184</v>
      </c>
      <c r="W14" s="46" t="s">
        <v>202</v>
      </c>
      <c r="X14"/>
      <c r="Y14"/>
      <c r="Z14"/>
    </row>
    <row r="15" spans="1:26" x14ac:dyDescent="0.35">
      <c r="A15" s="105" t="s">
        <v>8</v>
      </c>
      <c r="B15" s="105"/>
      <c r="C15" s="105"/>
      <c r="D15" s="105"/>
      <c r="E15" s="142" t="s">
        <v>360</v>
      </c>
      <c r="F15" s="106"/>
      <c r="G15" s="106"/>
      <c r="H15" s="106"/>
      <c r="I15" s="114" t="e">
        <f ca="1">OFFSET($D$5,1,MATCH($J13,$D$5:$H$5,0)-1,15,1)</f>
        <v>#N/A</v>
      </c>
      <c r="J15" s="115"/>
      <c r="K15" s="115"/>
      <c r="L15" s="115"/>
      <c r="M15" s="115"/>
      <c r="N15" s="115"/>
      <c r="O15" s="115"/>
      <c r="P15" s="115"/>
      <c r="S15" s="46" t="s">
        <v>170</v>
      </c>
      <c r="T15" s="46" t="s">
        <v>177</v>
      </c>
      <c r="U15" s="46" t="s">
        <v>199</v>
      </c>
      <c r="V15" s="46" t="s">
        <v>185</v>
      </c>
      <c r="W15" s="46" t="s">
        <v>215</v>
      </c>
      <c r="X15"/>
      <c r="Y15"/>
      <c r="Z15"/>
    </row>
    <row r="16" spans="1:26" ht="48.75" customHeight="1" x14ac:dyDescent="0.35">
      <c r="A16" s="142" t="s">
        <v>9</v>
      </c>
      <c r="B16" s="142"/>
      <c r="C16" s="142" t="str">
        <f>CONCATENATE((IF(OR(E9="",E9="NA"),"",E9)),", ",(IF(OR(A17="",A17="NA"),"",A17)),".",(IF(OR(C17="",C17="NA"),"",C17)),", near ",(IF(OR(C22="",C22="NA"),"",C22)),", ",(IF(OR(C19="",C19="NA"),"",C19)),", ",(IF(OR(C18="",C18="NA"),"",C18)),", ",(IF(OR(G19="",G19="NA"),"",G19)),", ",(IF(OR(C20="",C20="NA"),"",C20)),", ",(IF(OR(C21="",C21="NA"),"",C21)),", ",(IF(OR(G20="",G20="NA"),"",G20))," - ",(IF(OR(G21="",G21="NA"),"",G21)),".")</f>
        <v>Sukh Shanti Residential Project, Survey No.45, Hissa No.1A/2, near Vitthal Recidancy Building, Savta Mali Road, Gondhalpada, Chendhare, Alibag, Alibag, Raigad - 402201.</v>
      </c>
      <c r="D16" s="142"/>
      <c r="E16" s="142"/>
      <c r="F16" s="142"/>
      <c r="G16" s="142"/>
      <c r="H16" s="142"/>
      <c r="S16" s="46" t="s">
        <v>171</v>
      </c>
      <c r="T16" s="46" t="s">
        <v>179</v>
      </c>
      <c r="U16" s="46" t="s">
        <v>200</v>
      </c>
      <c r="V16" s="46" t="s">
        <v>186</v>
      </c>
      <c r="W16" s="46" t="s">
        <v>203</v>
      </c>
      <c r="X16"/>
      <c r="Y16"/>
      <c r="Z16"/>
    </row>
    <row r="17" spans="1:26" x14ac:dyDescent="0.35">
      <c r="A17" s="142" t="s">
        <v>383</v>
      </c>
      <c r="B17" s="142"/>
      <c r="C17" s="142" t="s">
        <v>390</v>
      </c>
      <c r="D17" s="142"/>
      <c r="E17" s="142"/>
      <c r="F17" s="142"/>
      <c r="G17" s="142"/>
      <c r="H17" s="142"/>
      <c r="S17" s="46" t="s">
        <v>172</v>
      </c>
      <c r="T17" s="46" t="s">
        <v>180</v>
      </c>
      <c r="U17" s="46" t="s">
        <v>164</v>
      </c>
      <c r="V17" s="46" t="s">
        <v>187</v>
      </c>
      <c r="W17" s="46" t="s">
        <v>204</v>
      </c>
      <c r="X17"/>
      <c r="Y17"/>
      <c r="Z17"/>
    </row>
    <row r="18" spans="1:26" ht="15.75" customHeight="1" x14ac:dyDescent="0.35">
      <c r="A18" s="142" t="s">
        <v>155</v>
      </c>
      <c r="B18" s="142"/>
      <c r="C18" s="142" t="s">
        <v>384</v>
      </c>
      <c r="D18" s="142"/>
      <c r="E18" s="142"/>
      <c r="F18" s="142"/>
      <c r="G18" s="142"/>
      <c r="H18" s="142"/>
      <c r="S18" s="46" t="s">
        <v>173</v>
      </c>
      <c r="T18" s="46" t="s">
        <v>178</v>
      </c>
      <c r="U18" s="46"/>
      <c r="V18" s="46" t="s">
        <v>188</v>
      </c>
      <c r="W18" s="46" t="s">
        <v>205</v>
      </c>
      <c r="X18"/>
      <c r="Y18"/>
      <c r="Z18"/>
    </row>
    <row r="19" spans="1:26" ht="15.75" customHeight="1" x14ac:dyDescent="0.35">
      <c r="A19" s="142" t="s">
        <v>10</v>
      </c>
      <c r="B19" s="142"/>
      <c r="C19" s="106" t="s">
        <v>374</v>
      </c>
      <c r="D19" s="106"/>
      <c r="E19" s="142" t="s">
        <v>69</v>
      </c>
      <c r="F19" s="142"/>
      <c r="G19" s="142" t="s">
        <v>391</v>
      </c>
      <c r="H19" s="142"/>
      <c r="S19" s="46" t="s">
        <v>174</v>
      </c>
      <c r="T19" s="46" t="s">
        <v>181</v>
      </c>
      <c r="U19" s="46"/>
      <c r="V19" s="46" t="s">
        <v>189</v>
      </c>
      <c r="W19" s="46" t="s">
        <v>206</v>
      </c>
      <c r="X19"/>
      <c r="Y19"/>
      <c r="Z19"/>
    </row>
    <row r="20" spans="1:26" x14ac:dyDescent="0.35">
      <c r="A20" s="106" t="s">
        <v>12</v>
      </c>
      <c r="B20" s="106"/>
      <c r="C20" s="142" t="s">
        <v>184</v>
      </c>
      <c r="D20" s="142"/>
      <c r="E20" s="142" t="s">
        <v>11</v>
      </c>
      <c r="F20" s="142"/>
      <c r="G20" s="143" t="s">
        <v>183</v>
      </c>
      <c r="H20" s="143"/>
      <c r="S20" s="46" t="s">
        <v>175</v>
      </c>
      <c r="T20" s="46" t="s">
        <v>182</v>
      </c>
      <c r="U20" s="46"/>
      <c r="V20" s="46" t="s">
        <v>190</v>
      </c>
      <c r="W20" s="46" t="s">
        <v>207</v>
      </c>
      <c r="X20"/>
      <c r="Y20"/>
      <c r="Z20"/>
    </row>
    <row r="21" spans="1:26" x14ac:dyDescent="0.35">
      <c r="A21" s="106" t="s">
        <v>70</v>
      </c>
      <c r="B21" s="106"/>
      <c r="C21" s="142" t="s">
        <v>184</v>
      </c>
      <c r="D21" s="142"/>
      <c r="E21" s="142" t="s">
        <v>13</v>
      </c>
      <c r="F21" s="142"/>
      <c r="G21" s="142">
        <v>402201</v>
      </c>
      <c r="H21" s="142"/>
      <c r="S21" s="46"/>
      <c r="T21" s="46"/>
      <c r="U21" s="46"/>
      <c r="V21" s="46" t="s">
        <v>191</v>
      </c>
      <c r="W21" s="46" t="s">
        <v>208</v>
      </c>
      <c r="X21"/>
      <c r="Y21"/>
      <c r="Z21"/>
    </row>
    <row r="22" spans="1:26" ht="32.25" customHeight="1" x14ac:dyDescent="0.35">
      <c r="A22" s="106" t="s">
        <v>115</v>
      </c>
      <c r="B22" s="106"/>
      <c r="C22" s="142" t="s">
        <v>392</v>
      </c>
      <c r="D22" s="142"/>
      <c r="E22" s="142" t="s">
        <v>14</v>
      </c>
      <c r="F22" s="142"/>
      <c r="G22" s="142" t="s">
        <v>393</v>
      </c>
      <c r="H22" s="142"/>
      <c r="S22" s="46"/>
      <c r="T22" s="46"/>
      <c r="U22" s="46"/>
      <c r="V22" s="46" t="s">
        <v>192</v>
      </c>
      <c r="W22" s="46" t="s">
        <v>209</v>
      </c>
      <c r="X22"/>
      <c r="Y22"/>
      <c r="Z22"/>
    </row>
    <row r="23" spans="1:26" ht="15" customHeight="1" x14ac:dyDescent="0.35">
      <c r="A23" s="121" t="s">
        <v>71</v>
      </c>
      <c r="B23" s="121"/>
      <c r="C23" s="121"/>
      <c r="D23" s="121"/>
      <c r="E23" s="106" t="s">
        <v>15</v>
      </c>
      <c r="F23" s="106"/>
      <c r="G23" s="106"/>
      <c r="H23" s="106"/>
      <c r="S23" s="46"/>
      <c r="T23" s="46"/>
      <c r="U23" s="46"/>
      <c r="V23" s="46" t="s">
        <v>193</v>
      </c>
      <c r="W23" s="46" t="s">
        <v>210</v>
      </c>
      <c r="X23"/>
      <c r="Y23"/>
      <c r="Z23"/>
    </row>
    <row r="24" spans="1:26" ht="18.75" customHeight="1" x14ac:dyDescent="0.35">
      <c r="A24" s="121"/>
      <c r="B24" s="121"/>
      <c r="C24" s="121"/>
      <c r="D24" s="121"/>
      <c r="E24" s="106"/>
      <c r="F24" s="106"/>
      <c r="G24" s="106"/>
      <c r="H24" s="106"/>
      <c r="S24" s="46"/>
      <c r="T24" s="46"/>
      <c r="U24" s="46"/>
      <c r="V24" s="46" t="s">
        <v>194</v>
      </c>
      <c r="W24" s="46" t="s">
        <v>211</v>
      </c>
      <c r="X24"/>
      <c r="Y24"/>
      <c r="Z24"/>
    </row>
    <row r="25" spans="1:26" ht="15" customHeight="1" x14ac:dyDescent="0.35">
      <c r="A25" s="121" t="s">
        <v>16</v>
      </c>
      <c r="B25" s="121"/>
      <c r="C25" s="121"/>
      <c r="D25" s="121"/>
      <c r="E25" s="142" t="s">
        <v>17</v>
      </c>
      <c r="F25" s="142"/>
      <c r="G25" s="142"/>
      <c r="H25" s="142"/>
      <c r="S25" s="46"/>
      <c r="T25" s="46"/>
      <c r="U25" s="46"/>
      <c r="V25" s="46" t="s">
        <v>195</v>
      </c>
      <c r="W25" s="46" t="s">
        <v>212</v>
      </c>
      <c r="X25"/>
      <c r="Y25"/>
      <c r="Z25"/>
    </row>
    <row r="26" spans="1:26" ht="15" customHeight="1" x14ac:dyDescent="0.35">
      <c r="A26" s="105" t="s">
        <v>18</v>
      </c>
      <c r="B26" s="105"/>
      <c r="C26" s="105"/>
      <c r="D26" s="105"/>
      <c r="E26" s="142" t="str">
        <f>IF(AND(G20="Mumbai"),"Upper Class","Middle Class")</f>
        <v>Middle Class</v>
      </c>
      <c r="F26" s="142"/>
      <c r="G26" s="142"/>
      <c r="H26" s="142"/>
      <c r="S26" s="46"/>
      <c r="T26" s="46"/>
      <c r="U26" s="46"/>
      <c r="V26" s="46" t="s">
        <v>196</v>
      </c>
      <c r="W26" s="46" t="s">
        <v>213</v>
      </c>
      <c r="X26"/>
      <c r="Y26"/>
      <c r="Z26"/>
    </row>
    <row r="27" spans="1:26" x14ac:dyDescent="0.35">
      <c r="A27" s="105" t="s">
        <v>19</v>
      </c>
      <c r="B27" s="105"/>
      <c r="C27" s="105"/>
      <c r="D27" s="105"/>
      <c r="E27" s="142" t="s">
        <v>20</v>
      </c>
      <c r="F27" s="142"/>
      <c r="G27" s="142"/>
      <c r="H27" s="142"/>
      <c r="S27" s="46"/>
      <c r="T27" s="46"/>
      <c r="U27" s="46"/>
      <c r="V27" s="46" t="s">
        <v>197</v>
      </c>
      <c r="W27" s="46" t="s">
        <v>214</v>
      </c>
      <c r="X27"/>
      <c r="Y27"/>
      <c r="Z27"/>
    </row>
    <row r="28" spans="1:26" ht="15.75" customHeight="1" x14ac:dyDescent="0.35">
      <c r="A28" s="105" t="s">
        <v>21</v>
      </c>
      <c r="B28" s="105"/>
      <c r="C28" s="105"/>
      <c r="D28" s="105"/>
      <c r="E28" s="142" t="str">
        <f>IF(AND(G20="Mumbai"),"Developed","Developing")</f>
        <v>Developing</v>
      </c>
      <c r="F28" s="142"/>
      <c r="G28" s="142"/>
      <c r="H28" s="142"/>
    </row>
    <row r="29" spans="1:26" x14ac:dyDescent="0.35">
      <c r="A29" s="105" t="s">
        <v>22</v>
      </c>
      <c r="B29" s="105"/>
      <c r="C29" s="105"/>
      <c r="D29" s="105"/>
      <c r="E29" s="142" t="s">
        <v>23</v>
      </c>
      <c r="F29" s="142"/>
      <c r="G29" s="142"/>
      <c r="H29" s="142"/>
    </row>
    <row r="30" spans="1:26" ht="15.75" customHeight="1" x14ac:dyDescent="0.35">
      <c r="A30" s="105" t="s">
        <v>76</v>
      </c>
      <c r="B30" s="105"/>
      <c r="C30" s="105"/>
      <c r="D30" s="105"/>
      <c r="E30" s="142" t="s">
        <v>77</v>
      </c>
      <c r="F30" s="142"/>
      <c r="G30" s="142"/>
      <c r="H30" s="142"/>
    </row>
    <row r="31" spans="1:26" ht="15" customHeight="1" x14ac:dyDescent="0.35">
      <c r="A31" s="105" t="s">
        <v>30</v>
      </c>
      <c r="B31" s="105"/>
      <c r="C31" s="105"/>
      <c r="D31" s="105"/>
      <c r="E31" s="142" t="str">
        <f>IF(AND(ISNUMBER(SEARCH("Flat",D57)),ISNUMBER(SEARCH("Shop",D57)),ISNUMBER(SEARCH("Office",D57))),"Residential + Commercial",IF(AND(ISNUMBER(SEARCH("Flat",D57)),ISNUMBER(SEARCH("Shop",D57))),"Residential + Commercial",IF(AND(ISNUMBER(SEARCH("Flat",D57)),ISNUMBER(SEARCH("Office",D57))),"Residential + Commercial",IF(AND(ISNUMBER(SEARCH("Shop",D57)),ISNUMBER(SEARCH("Office",D57))),"Commercial",IF(ISNUMBER(SEARCH("Shop",D57)),"Commercial",IF(ISNUMBER(SEARCH("Office",D57)),"Commercial",IF(ISNUMBER(SEARCH("Flat",D57)),"Residential")))))))</f>
        <v>Residential</v>
      </c>
      <c r="F31" s="142"/>
      <c r="G31" s="142"/>
      <c r="H31" s="142"/>
    </row>
    <row r="32" spans="1:26" ht="15.75" customHeight="1" x14ac:dyDescent="0.35">
      <c r="A32" s="105" t="s">
        <v>88</v>
      </c>
      <c r="B32" s="105"/>
      <c r="C32" s="105"/>
      <c r="D32" s="105"/>
      <c r="E32" s="142" t="s">
        <v>31</v>
      </c>
      <c r="F32" s="142"/>
      <c r="G32" s="142"/>
      <c r="H32" s="142"/>
    </row>
    <row r="33" spans="1:19" s="19" customFormat="1" x14ac:dyDescent="0.35">
      <c r="A33" s="145" t="s">
        <v>89</v>
      </c>
      <c r="B33" s="145"/>
      <c r="C33" s="116" t="s">
        <v>165</v>
      </c>
      <c r="D33" s="116"/>
      <c r="E33" s="116"/>
      <c r="F33" s="116" t="s">
        <v>29</v>
      </c>
      <c r="G33" s="116"/>
      <c r="H33" s="116"/>
      <c r="S33" s="19" t="e">
        <f ca="1">OFFSET($S$13,1,MATCH($G20,$S$13:$W$13,0)-1,15,1)</f>
        <v>#VALUE!</v>
      </c>
    </row>
    <row r="34" spans="1:19" s="19" customFormat="1" x14ac:dyDescent="0.35">
      <c r="A34" s="144" t="s">
        <v>24</v>
      </c>
      <c r="B34" s="144" t="s">
        <v>28</v>
      </c>
      <c r="C34" s="196" t="s">
        <v>394</v>
      </c>
      <c r="D34" s="196"/>
      <c r="E34" s="196"/>
      <c r="F34" s="196" t="s">
        <v>392</v>
      </c>
      <c r="G34" s="196"/>
      <c r="H34" s="196"/>
    </row>
    <row r="35" spans="1:19" x14ac:dyDescent="0.35">
      <c r="A35" s="144" t="s">
        <v>25</v>
      </c>
      <c r="B35" s="144" t="s">
        <v>28</v>
      </c>
      <c r="C35" s="196" t="s">
        <v>375</v>
      </c>
      <c r="D35" s="196"/>
      <c r="E35" s="196"/>
      <c r="F35" s="196" t="s">
        <v>385</v>
      </c>
      <c r="G35" s="196"/>
      <c r="H35" s="196"/>
    </row>
    <row r="36" spans="1:19" s="19" customFormat="1" x14ac:dyDescent="0.35">
      <c r="A36" s="144" t="s">
        <v>27</v>
      </c>
      <c r="B36" s="144" t="s">
        <v>28</v>
      </c>
      <c r="C36" s="196" t="s">
        <v>395</v>
      </c>
      <c r="D36" s="196"/>
      <c r="E36" s="196"/>
      <c r="F36" s="196" t="s">
        <v>386</v>
      </c>
      <c r="G36" s="196"/>
      <c r="H36" s="196"/>
    </row>
    <row r="37" spans="1:19" x14ac:dyDescent="0.35">
      <c r="A37" s="144" t="s">
        <v>26</v>
      </c>
      <c r="B37" s="144" t="s">
        <v>28</v>
      </c>
      <c r="C37" s="196" t="s">
        <v>373</v>
      </c>
      <c r="D37" s="196"/>
      <c r="E37" s="196"/>
      <c r="F37" s="196" t="s">
        <v>374</v>
      </c>
      <c r="G37" s="196"/>
      <c r="H37" s="196"/>
    </row>
    <row r="38" spans="1:19" x14ac:dyDescent="0.35">
      <c r="A38" s="105" t="s">
        <v>270</v>
      </c>
      <c r="B38" s="105"/>
      <c r="C38" s="105"/>
      <c r="D38" s="105"/>
      <c r="E38" s="105"/>
      <c r="F38" s="105"/>
      <c r="G38" s="105"/>
      <c r="H38" s="105"/>
    </row>
    <row r="39" spans="1:19" ht="15.75" customHeight="1" x14ac:dyDescent="0.35">
      <c r="A39" s="105" t="s">
        <v>158</v>
      </c>
      <c r="B39" s="105"/>
      <c r="C39" s="152" t="s">
        <v>362</v>
      </c>
      <c r="D39" s="152"/>
      <c r="E39" s="152"/>
      <c r="F39" s="152"/>
      <c r="G39" s="152"/>
      <c r="H39" s="152"/>
    </row>
    <row r="40" spans="1:19" x14ac:dyDescent="0.35">
      <c r="A40" s="105" t="s">
        <v>154</v>
      </c>
      <c r="B40" s="105"/>
      <c r="C40" s="178" t="s">
        <v>363</v>
      </c>
      <c r="D40" s="142"/>
      <c r="E40" s="142"/>
      <c r="F40" s="142"/>
      <c r="G40" s="142"/>
      <c r="H40" s="142"/>
    </row>
    <row r="41" spans="1:19" x14ac:dyDescent="0.35">
      <c r="A41" s="152" t="s">
        <v>32</v>
      </c>
      <c r="B41" s="152"/>
      <c r="C41" s="152"/>
      <c r="D41" s="152"/>
      <c r="E41" s="152"/>
      <c r="F41" s="152"/>
      <c r="G41" s="152"/>
      <c r="H41" s="152"/>
    </row>
    <row r="42" spans="1:19" x14ac:dyDescent="0.35">
      <c r="A42" s="105" t="s">
        <v>33</v>
      </c>
      <c r="B42" s="105"/>
      <c r="C42" s="105"/>
      <c r="D42" s="105"/>
      <c r="E42" s="171">
        <v>2567</v>
      </c>
      <c r="F42" s="171"/>
      <c r="G42" s="171"/>
      <c r="H42" s="171"/>
    </row>
    <row r="43" spans="1:19" x14ac:dyDescent="0.35">
      <c r="A43" s="105" t="s">
        <v>34</v>
      </c>
      <c r="B43" s="105"/>
      <c r="C43" s="105"/>
      <c r="D43" s="105"/>
      <c r="E43" s="124">
        <f>2823.7/E42</f>
        <v>1.0999999999999999</v>
      </c>
      <c r="F43" s="124"/>
      <c r="G43" s="124"/>
      <c r="H43" s="124"/>
    </row>
    <row r="44" spans="1:19" x14ac:dyDescent="0.35">
      <c r="A44" s="105" t="s">
        <v>35</v>
      </c>
      <c r="B44" s="105"/>
      <c r="C44" s="105"/>
      <c r="D44" s="105"/>
      <c r="E44" s="124">
        <f>E46/E42-E43</f>
        <v>1.0903038566419949</v>
      </c>
      <c r="F44" s="124"/>
      <c r="G44" s="124"/>
      <c r="H44" s="124"/>
    </row>
    <row r="45" spans="1:19" x14ac:dyDescent="0.35">
      <c r="A45" s="105" t="s">
        <v>36</v>
      </c>
      <c r="B45" s="105"/>
      <c r="C45" s="105"/>
      <c r="D45" s="105"/>
      <c r="E45" s="124">
        <f>E43+E44</f>
        <v>2.1903038566419948</v>
      </c>
      <c r="F45" s="124"/>
      <c r="G45" s="124"/>
      <c r="H45" s="124"/>
    </row>
    <row r="46" spans="1:19" x14ac:dyDescent="0.35">
      <c r="A46" s="105" t="s">
        <v>87</v>
      </c>
      <c r="B46" s="105"/>
      <c r="C46" s="105"/>
      <c r="D46" s="105"/>
      <c r="E46" s="151">
        <v>5622.51</v>
      </c>
      <c r="F46" s="151"/>
      <c r="G46" s="151"/>
      <c r="H46" s="151"/>
    </row>
    <row r="47" spans="1:19" x14ac:dyDescent="0.35">
      <c r="A47" s="106" t="s">
        <v>37</v>
      </c>
      <c r="B47" s="106"/>
      <c r="C47" s="106"/>
      <c r="D47" s="106"/>
      <c r="E47" s="106" t="s">
        <v>364</v>
      </c>
      <c r="F47" s="106"/>
      <c r="G47" s="106"/>
      <c r="H47" s="106"/>
    </row>
    <row r="48" spans="1:19" x14ac:dyDescent="0.35">
      <c r="A48" s="152" t="s">
        <v>38</v>
      </c>
      <c r="B48" s="152"/>
      <c r="C48" s="152"/>
      <c r="D48" s="152"/>
      <c r="E48" s="152"/>
      <c r="F48" s="152"/>
      <c r="G48" s="152"/>
      <c r="H48" s="152"/>
    </row>
    <row r="49" spans="1:22" ht="33.75" customHeight="1" x14ac:dyDescent="0.35">
      <c r="A49" s="125" t="s">
        <v>144</v>
      </c>
      <c r="B49" s="126"/>
      <c r="C49" s="157" t="s">
        <v>284</v>
      </c>
      <c r="D49" s="158"/>
      <c r="E49" s="158"/>
      <c r="F49" s="158"/>
      <c r="G49" s="158"/>
      <c r="H49" s="159"/>
      <c r="R49" t="s">
        <v>243</v>
      </c>
      <c r="S49" s="49" t="s">
        <v>164</v>
      </c>
      <c r="T49" s="49" t="s">
        <v>169</v>
      </c>
      <c r="U49" s="49" t="s">
        <v>183</v>
      </c>
      <c r="V49" s="49" t="s">
        <v>178</v>
      </c>
    </row>
    <row r="50" spans="1:22" ht="31.5" customHeight="1" x14ac:dyDescent="0.35">
      <c r="A50" s="125" t="s">
        <v>39</v>
      </c>
      <c r="B50" s="126"/>
      <c r="C50" s="125" t="s">
        <v>396</v>
      </c>
      <c r="D50" s="170"/>
      <c r="E50" s="126"/>
      <c r="F50" s="17" t="s">
        <v>40</v>
      </c>
      <c r="G50" s="168">
        <v>45280</v>
      </c>
      <c r="H50" s="169"/>
      <c r="R50"/>
      <c r="S50" s="49" t="s">
        <v>244</v>
      </c>
      <c r="T50" s="49" t="s">
        <v>249</v>
      </c>
      <c r="U50" s="49" t="s">
        <v>260</v>
      </c>
      <c r="V50" s="49" t="s">
        <v>265</v>
      </c>
    </row>
    <row r="51" spans="1:22" ht="31.5" customHeight="1" x14ac:dyDescent="0.35">
      <c r="A51" s="125" t="s">
        <v>41</v>
      </c>
      <c r="B51" s="126"/>
      <c r="C51" s="125" t="str">
        <f>C50</f>
        <v>MS/LNA/A-1/Token No.17046/P.K. 20/2023</v>
      </c>
      <c r="D51" s="170"/>
      <c r="E51" s="126"/>
      <c r="F51" s="17" t="s">
        <v>40</v>
      </c>
      <c r="G51" s="168">
        <f>G50</f>
        <v>45280</v>
      </c>
      <c r="H51" s="169"/>
      <c r="R51"/>
      <c r="S51" s="49" t="s">
        <v>245</v>
      </c>
      <c r="T51" s="49" t="s">
        <v>342</v>
      </c>
      <c r="U51" s="49" t="s">
        <v>258</v>
      </c>
      <c r="V51" s="49" t="s">
        <v>266</v>
      </c>
    </row>
    <row r="52" spans="1:22" s="20" customFormat="1" ht="34.5" customHeight="1" x14ac:dyDescent="0.35">
      <c r="A52" s="173" t="s">
        <v>148</v>
      </c>
      <c r="B52" s="174"/>
      <c r="C52" s="173" t="str">
        <f>C51</f>
        <v>MS/LNA/A-1/Token No.17046/P.K. 20/2023</v>
      </c>
      <c r="D52" s="180"/>
      <c r="E52" s="174"/>
      <c r="F52" s="17" t="s">
        <v>40</v>
      </c>
      <c r="G52" s="168">
        <v>45280</v>
      </c>
      <c r="H52" s="169"/>
      <c r="I52" s="19" t="str">
        <f ca="1">IF(G52&gt;EDATE(E3,-48),"NO REMARK","CC REMARK FOR CC")</f>
        <v>NO REMARK</v>
      </c>
      <c r="J52" s="72"/>
      <c r="R52"/>
      <c r="S52" s="49" t="s">
        <v>246</v>
      </c>
      <c r="T52" s="49" t="s">
        <v>251</v>
      </c>
      <c r="U52" s="49" t="s">
        <v>248</v>
      </c>
      <c r="V52" s="49" t="s">
        <v>267</v>
      </c>
    </row>
    <row r="53" spans="1:22" s="20" customFormat="1" ht="33.75" customHeight="1" x14ac:dyDescent="0.35">
      <c r="A53" s="175"/>
      <c r="B53" s="176"/>
      <c r="C53" s="125" t="s">
        <v>365</v>
      </c>
      <c r="D53" s="170"/>
      <c r="E53" s="170"/>
      <c r="F53" s="170"/>
      <c r="G53" s="170"/>
      <c r="H53" s="126"/>
      <c r="R53"/>
      <c r="S53" s="49"/>
      <c r="T53" s="49"/>
      <c r="U53" s="49"/>
      <c r="V53" s="67"/>
    </row>
    <row r="54" spans="1:22" x14ac:dyDescent="0.35">
      <c r="A54" s="117" t="s">
        <v>42</v>
      </c>
      <c r="B54" s="118"/>
      <c r="C54" s="117" t="s">
        <v>101</v>
      </c>
      <c r="D54" s="119"/>
      <c r="E54" s="118"/>
      <c r="F54" s="39" t="s">
        <v>40</v>
      </c>
      <c r="G54" s="122" t="s">
        <v>28</v>
      </c>
      <c r="H54" s="123"/>
      <c r="R54"/>
      <c r="S54" s="68"/>
      <c r="T54" s="49" t="s">
        <v>259</v>
      </c>
      <c r="U54" s="68"/>
      <c r="V54" s="68"/>
    </row>
    <row r="55" spans="1:22" x14ac:dyDescent="0.35">
      <c r="A55" s="138" t="s">
        <v>44</v>
      </c>
      <c r="B55" s="138"/>
      <c r="C55" s="138"/>
      <c r="D55" s="138"/>
      <c r="E55" s="138"/>
      <c r="F55" s="138"/>
      <c r="G55" s="138"/>
      <c r="H55" s="138"/>
      <c r="S55" s="68"/>
      <c r="T55" s="49" t="s">
        <v>268</v>
      </c>
      <c r="U55" s="68"/>
      <c r="V55" s="68"/>
    </row>
    <row r="56" spans="1:22" x14ac:dyDescent="0.35">
      <c r="A56" s="121" t="s">
        <v>86</v>
      </c>
      <c r="B56" s="121"/>
      <c r="C56" s="121"/>
      <c r="D56" s="105">
        <f>E46</f>
        <v>5622.51</v>
      </c>
      <c r="E56" s="105"/>
      <c r="F56" s="105"/>
      <c r="G56" s="105"/>
      <c r="H56" s="105"/>
      <c r="R56"/>
    </row>
    <row r="57" spans="1:22" x14ac:dyDescent="0.35">
      <c r="A57" s="142" t="s">
        <v>45</v>
      </c>
      <c r="B57" s="106"/>
      <c r="C57" s="106"/>
      <c r="D57" s="106" t="s">
        <v>379</v>
      </c>
      <c r="E57" s="106"/>
      <c r="F57" s="106"/>
      <c r="G57" s="106"/>
      <c r="H57" s="106"/>
      <c r="I57" s="21"/>
      <c r="J57"/>
      <c r="R57"/>
    </row>
    <row r="58" spans="1:22" ht="30.75" customHeight="1" x14ac:dyDescent="0.35">
      <c r="A58" s="154" t="s">
        <v>46</v>
      </c>
      <c r="B58" s="155"/>
      <c r="C58" s="156"/>
      <c r="D58" s="149" t="s">
        <v>365</v>
      </c>
      <c r="E58" s="153"/>
      <c r="F58" s="153"/>
      <c r="G58" s="153"/>
      <c r="H58" s="153"/>
      <c r="R58"/>
    </row>
    <row r="59" spans="1:22" ht="15.75" customHeight="1" x14ac:dyDescent="0.35">
      <c r="A59" s="154" t="s">
        <v>84</v>
      </c>
      <c r="B59" s="155"/>
      <c r="C59" s="155"/>
      <c r="D59" s="162" t="s">
        <v>366</v>
      </c>
      <c r="E59" s="163"/>
      <c r="F59" s="163"/>
      <c r="G59" s="163"/>
      <c r="H59" s="164"/>
      <c r="R59"/>
    </row>
    <row r="60" spans="1:22" ht="15.75" customHeight="1" x14ac:dyDescent="0.35">
      <c r="A60" s="160"/>
      <c r="B60" s="161"/>
      <c r="C60" s="161"/>
      <c r="D60" s="165" t="s">
        <v>367</v>
      </c>
      <c r="E60" s="166"/>
      <c r="F60" s="166"/>
      <c r="G60" s="166"/>
      <c r="H60" s="167"/>
      <c r="I60" s="94" t="s">
        <v>387</v>
      </c>
      <c r="R60"/>
    </row>
    <row r="61" spans="1:22" ht="15.75" customHeight="1" x14ac:dyDescent="0.35">
      <c r="A61" s="105" t="s">
        <v>43</v>
      </c>
      <c r="B61" s="105"/>
      <c r="C61" s="105"/>
      <c r="D61" s="172" t="s">
        <v>361</v>
      </c>
      <c r="E61" s="172"/>
      <c r="F61" s="172"/>
      <c r="G61" s="172"/>
      <c r="H61" s="172"/>
      <c r="J61" s="22"/>
      <c r="K61" s="21"/>
      <c r="N61" s="21"/>
      <c r="S61"/>
    </row>
    <row r="62" spans="1:22" ht="15.75" customHeight="1" x14ac:dyDescent="0.35">
      <c r="A62" s="105" t="s">
        <v>82</v>
      </c>
      <c r="B62" s="105"/>
      <c r="C62" s="105"/>
      <c r="D62" s="150" t="str">
        <f>(IF(G54="NA","60 Years After Completion",IF(G54&lt;&gt;"NA",""&amp;60-ROUNDDOWN((E3-G54)/360,0)&amp;" Years"," ")))</f>
        <v>60 Years After Completion</v>
      </c>
      <c r="E62" s="150"/>
      <c r="F62" s="150"/>
      <c r="G62" s="150"/>
      <c r="H62" s="150"/>
      <c r="J62"/>
      <c r="N62" s="21"/>
      <c r="S62"/>
    </row>
    <row r="63" spans="1:22" ht="15.75" customHeight="1" x14ac:dyDescent="0.35">
      <c r="A63" s="105" t="s">
        <v>83</v>
      </c>
      <c r="B63" s="105"/>
      <c r="C63" s="105"/>
      <c r="D63" s="121" t="s">
        <v>23</v>
      </c>
      <c r="E63" s="121"/>
      <c r="F63" s="121"/>
      <c r="G63" s="121"/>
      <c r="H63" s="121"/>
      <c r="J63" s="23"/>
      <c r="K63" s="23"/>
      <c r="S63"/>
    </row>
    <row r="64" spans="1:22" ht="38.5" customHeight="1" x14ac:dyDescent="0.35">
      <c r="A64" s="106" t="s">
        <v>380</v>
      </c>
      <c r="B64" s="106"/>
      <c r="C64" s="106"/>
      <c r="D64" s="142" t="s">
        <v>397</v>
      </c>
      <c r="E64" s="121"/>
      <c r="F64" s="121"/>
      <c r="G64" s="121"/>
      <c r="H64" s="121"/>
      <c r="I64" s="18" t="s">
        <v>381</v>
      </c>
      <c r="S64"/>
    </row>
    <row r="65" spans="1:19" x14ac:dyDescent="0.35">
      <c r="A65" s="121" t="s">
        <v>141</v>
      </c>
      <c r="B65" s="121"/>
      <c r="C65" s="121"/>
      <c r="D65" s="121" t="s">
        <v>28</v>
      </c>
      <c r="E65" s="121"/>
      <c r="F65" s="121"/>
      <c r="G65" s="121"/>
      <c r="H65" s="121"/>
      <c r="I65" s="24"/>
      <c r="J65" s="24"/>
      <c r="K65" s="24"/>
      <c r="L65" s="24"/>
      <c r="M65" s="24"/>
      <c r="N65" s="24"/>
    </row>
    <row r="66" spans="1:19" ht="15.75" customHeight="1" x14ac:dyDescent="0.35">
      <c r="A66" s="105" t="s">
        <v>81</v>
      </c>
      <c r="B66" s="105"/>
      <c r="C66" s="105"/>
      <c r="D66" s="142" t="str">
        <f ca="1">(IF(G72&gt;95%,"Nothing",IF(G72&gt;0%,"Cement, Aggregate, Steel, etc",IF(G72=0%,"Work not yet Started"))))</f>
        <v>Cement, Aggregate, Steel, etc</v>
      </c>
      <c r="E66" s="142"/>
      <c r="F66" s="142"/>
      <c r="G66" s="142"/>
      <c r="H66" s="142"/>
      <c r="J66" s="23"/>
      <c r="S66"/>
    </row>
    <row r="67" spans="1:19" ht="33.75" customHeight="1" thickBot="1" x14ac:dyDescent="0.4">
      <c r="A67" s="121" t="s">
        <v>114</v>
      </c>
      <c r="B67" s="121"/>
      <c r="C67" s="121"/>
      <c r="D67" s="142" t="str">
        <f ca="1">(IF(D66="Nothing","Yes",IF(D66="Cement, Aggregate, Steel, etc","Under Construction",IF(D66="Work not yet Started","Work not yet Started"))))</f>
        <v>Under Construction</v>
      </c>
      <c r="E67" s="142"/>
      <c r="F67" s="142" t="str">
        <f ca="1">(IF(D66="Nothing","Yes",IF(D66="Cement, Aggregate, Steel, etc","Under Construction",IF(D66="Work not yet Started","Work not yet Started"))))</f>
        <v>Under Construction</v>
      </c>
      <c r="G67" s="142"/>
      <c r="H67" s="142"/>
      <c r="S67"/>
    </row>
    <row r="68" spans="1:19" ht="15.75" customHeight="1" x14ac:dyDescent="0.35">
      <c r="A68" s="147" t="s">
        <v>133</v>
      </c>
      <c r="B68" s="147"/>
      <c r="C68" s="147" t="str">
        <f>D59</f>
        <v>Wing A = G + 1st to 7th Floor</v>
      </c>
      <c r="D68" s="147"/>
      <c r="E68" s="147"/>
      <c r="F68" s="147"/>
      <c r="G68" s="147"/>
      <c r="H68" s="147"/>
      <c r="I68" s="197" t="str">
        <f ca="1">IF(D81=100%,"All work Completed. Possession granted to the Building.",IF(D80=100%,"All work Completed, Waiting for OC",I69&amp;""&amp;I70&amp;""&amp;J69&amp;""&amp;J68&amp;" "&amp;J70))</f>
        <v>Excavation, Plinth, RCC Slab Completed, Brickwork upto 1 Floor Completed</v>
      </c>
      <c r="J68" s="41" t="str">
        <f ca="1">(IF(C74=(D69+F69+H69),"",IF(C74&gt;0,", RCC upto "&amp;C74&amp;" Slab","")))&amp;(IF(C75=H69,"",IF(C75&gt;0,", Brickwork upto "&amp;C75&amp;" Floor","")))&amp;(IF(C76=H69,"",IF(C76&gt;0,", Internal Plaster upto "&amp;C76&amp;" Floor","")))&amp;(IF(C77=H69,"",IF(C77&gt;0,", External Plaster upto "&amp;C77&amp;" Floor","")))&amp;(IF(C78=H69,"",IF(C78&gt;0,", Flooring upto "&amp;C78&amp;" Floor","")))&amp;(IF(C79=H69,"",IF(C79&gt;0,", Painting upto "&amp;C79&amp;" Floor","")))&amp;(IF(C80=H69,"",IF(C80&gt;0,", Finishing upto "&amp;C80&amp;" Floor","")))&amp;(IF(C81=H69,"",IF(C81&gt;0,", Possession upto "&amp;C81&amp;" Floor","")))</f>
        <v>, Brickwork upto 1 Floor</v>
      </c>
      <c r="S68"/>
    </row>
    <row r="69" spans="1:19" x14ac:dyDescent="0.35">
      <c r="A69" s="44" t="s">
        <v>135</v>
      </c>
      <c r="B69" s="44">
        <f>IF(AND(ISNUMBER(SEARCH("1B",C68))),1,IF(AND(ISNUMBER(SEARCH("2B",C68))),2,IF(AND(ISNUMBER(SEARCH("3B",C68))),3,IF(AND(ISNUMBER(SEARCH("4B",C68))),4,IF(ISNUMBER(SEARCH("5B",C68)),5,0)))))</f>
        <v>0</v>
      </c>
      <c r="C69" s="44" t="s">
        <v>68</v>
      </c>
      <c r="D69" s="44">
        <v>1</v>
      </c>
      <c r="E69" s="44" t="s">
        <v>67</v>
      </c>
      <c r="F69" s="44">
        <v>0</v>
      </c>
      <c r="G69" s="44" t="s">
        <v>75</v>
      </c>
      <c r="H69" s="44">
        <f ca="1">--TRIM(RIGHT(SUBSTITUTE(LEFT(C68,_xlfn.AGGREGATE(16,6,FIND({0,1,2,3,4,5,6,7,8,9},C68,ROW(INDIRECT("1:"&amp;LEN(C68)))),1))," ",REPT(" ",LEN(C68))),LEN(C68)))</f>
        <v>7</v>
      </c>
      <c r="I69" s="198" t="str">
        <f ca="1">IF(D72=100%,"Excavation","")&amp;IF(D73=100%,", Plinth","")&amp;IF(D74=100%,", RCC Slab","")&amp;IF(D75=100%,", Brickwork","")&amp;IF(D76=100%,", Internal Plaster","")&amp;IF(D77=100%,", External Plaster","")&amp;IF(D78=100%,", Flooring","")&amp;IF(D79=100%,", Painting","")&amp;IF(D80=100%,", Building common Amenities","")</f>
        <v>Excavation, Plinth, RCC Slab</v>
      </c>
      <c r="J69" s="43" t="str">
        <f ca="1">(IF(C72=0,"Work not yet Started.",IF(D72=25%,"Piling work in process",IF(D72=50%,"Excavation work in process",IF(D72=100%,"","0")))))&amp;(IF(C73=0%,"",IF(C73=J74,", Footing work is process",IF(C73=J75,", Footing work Completed",IF(C73=J76,", 1st Basement Completed",IF(C73=J77,", 1st &amp; 2nd Basement Completed",IF(C73=J78,", 1st to 3rd Basement Completed",IF(C73=J79,", 1st to 4th Basement Completed",IF(C73=J80,", Plinth work is process",IF(C73=J81,"","0"))))))))))</f>
        <v/>
      </c>
      <c r="S69"/>
    </row>
    <row r="70" spans="1:19" ht="30.5" customHeight="1" x14ac:dyDescent="0.35">
      <c r="A70" s="134" t="s">
        <v>85</v>
      </c>
      <c r="B70" s="134"/>
      <c r="C70" s="147" t="str">
        <f ca="1">I68</f>
        <v>Excavation, Plinth, RCC Slab Completed, Brickwork upto 1 Floor Completed</v>
      </c>
      <c r="D70" s="147"/>
      <c r="E70" s="147"/>
      <c r="F70" s="147"/>
      <c r="G70" s="147"/>
      <c r="H70" s="147"/>
      <c r="I70" s="198" t="str">
        <f ca="1">IF(I69&lt;&gt;""," Completed","")</f>
        <v xml:space="preserve"> Completed</v>
      </c>
      <c r="J70" s="43" t="str">
        <f ca="1">IF(J68&lt;&gt;"","Completed","")</f>
        <v>Completed</v>
      </c>
      <c r="S70"/>
    </row>
    <row r="71" spans="1:19" ht="15.75" customHeight="1" x14ac:dyDescent="0.35">
      <c r="A71" s="101" t="s">
        <v>47</v>
      </c>
      <c r="B71" s="101"/>
      <c r="C71" s="97" t="s">
        <v>132</v>
      </c>
      <c r="D71" s="97" t="s">
        <v>78</v>
      </c>
      <c r="E71" s="101" t="s">
        <v>80</v>
      </c>
      <c r="F71" s="101"/>
      <c r="G71" s="101" t="s">
        <v>79</v>
      </c>
      <c r="H71" s="101"/>
      <c r="I71" s="13" t="s">
        <v>134</v>
      </c>
      <c r="J71" s="25">
        <f ca="1">H69*25%</f>
        <v>1.75</v>
      </c>
      <c r="S71"/>
    </row>
    <row r="72" spans="1:19" x14ac:dyDescent="0.35">
      <c r="A72" s="101" t="s">
        <v>121</v>
      </c>
      <c r="B72" s="101"/>
      <c r="C72" s="97">
        <f ca="1">J73</f>
        <v>7</v>
      </c>
      <c r="D72" s="91">
        <f ca="1">((100/H69)*C72)/100</f>
        <v>1</v>
      </c>
      <c r="E72" s="204">
        <f ca="1">(((C73/H69*10)+(40/(D69+F69+H69)*C74)+(7.5/(H69)*C75)+(7.5/(H69)*C76)+(10/H69*C77)+(10/H69*C78)+(5/H69*C79)+(5/H69*C80)+(5/H69*C81))/100)</f>
        <v>0.51071428571428568</v>
      </c>
      <c r="F72" s="204"/>
      <c r="G72" s="204">
        <f ca="1">((((C72/H69)*20)+((C73/H69)*25)+(30/(H69+F69+D69)*C74)+(5/H69*C75)+(5/H69*C76)+(5/H69*C77)+(5/H69*C78)+(0/H69*C79)+(0/H69*C80)+(5/H69*C81))/100)</f>
        <v>0.75714285714285712</v>
      </c>
      <c r="H72" s="204"/>
      <c r="I72" s="13" t="s">
        <v>96</v>
      </c>
      <c r="J72" s="26">
        <f ca="1">H69*50%</f>
        <v>3.5</v>
      </c>
    </row>
    <row r="73" spans="1:19" x14ac:dyDescent="0.35">
      <c r="A73" s="101" t="s">
        <v>48</v>
      </c>
      <c r="B73" s="101"/>
      <c r="C73" s="97">
        <f ca="1">J81</f>
        <v>7</v>
      </c>
      <c r="D73" s="91">
        <f ca="1">((100/H69)*C73)/100</f>
        <v>1</v>
      </c>
      <c r="E73" s="204"/>
      <c r="F73" s="204"/>
      <c r="G73" s="204"/>
      <c r="H73" s="204"/>
      <c r="I73" s="13" t="s">
        <v>97</v>
      </c>
      <c r="J73" s="26">
        <f ca="1">H69</f>
        <v>7</v>
      </c>
      <c r="S73"/>
    </row>
    <row r="74" spans="1:19" ht="15.75" customHeight="1" x14ac:dyDescent="0.35">
      <c r="A74" s="101" t="s">
        <v>122</v>
      </c>
      <c r="B74" s="101"/>
      <c r="C74" s="97">
        <v>8</v>
      </c>
      <c r="D74" s="91">
        <f ca="1">((100/(D69+F69+H69))*C74)/100</f>
        <v>1</v>
      </c>
      <c r="E74" s="204"/>
      <c r="F74" s="204"/>
      <c r="G74" s="204"/>
      <c r="H74" s="204"/>
      <c r="I74" s="13" t="s">
        <v>98</v>
      </c>
      <c r="J74" s="27">
        <f ca="1">(IF(B69&gt;1,(H69/(B69+2)),H69/4))</f>
        <v>1.75</v>
      </c>
      <c r="S74"/>
    </row>
    <row r="75" spans="1:19" ht="15.75" customHeight="1" x14ac:dyDescent="0.35">
      <c r="A75" s="101" t="s">
        <v>129</v>
      </c>
      <c r="B75" s="101" t="s">
        <v>123</v>
      </c>
      <c r="C75" s="97">
        <v>1</v>
      </c>
      <c r="D75" s="91">
        <f ca="1">((100/H69)*C75)/100</f>
        <v>0.14285714285714288</v>
      </c>
      <c r="E75" s="204"/>
      <c r="F75" s="204"/>
      <c r="G75" s="204"/>
      <c r="H75" s="204"/>
      <c r="I75" s="13" t="s">
        <v>99</v>
      </c>
      <c r="J75" s="27">
        <f ca="1">(IF(B69&gt;1,(H69/(B69+2)+J74),H69/4+J74))</f>
        <v>3.5</v>
      </c>
    </row>
    <row r="76" spans="1:19" ht="15.75" customHeight="1" x14ac:dyDescent="0.35">
      <c r="A76" s="101" t="s">
        <v>130</v>
      </c>
      <c r="B76" s="101" t="s">
        <v>123</v>
      </c>
      <c r="C76" s="97">
        <v>0</v>
      </c>
      <c r="D76" s="91">
        <f ca="1">((100/H69)*C76)/100</f>
        <v>0</v>
      </c>
      <c r="E76" s="204"/>
      <c r="F76" s="204"/>
      <c r="G76" s="204"/>
      <c r="H76" s="204"/>
      <c r="I76" s="13" t="s">
        <v>139</v>
      </c>
      <c r="J76" s="27">
        <f>(IF(B69&gt;1,(H69/(B69+2)+J75),0))</f>
        <v>0</v>
      </c>
    </row>
    <row r="77" spans="1:19" ht="15" customHeight="1" x14ac:dyDescent="0.35">
      <c r="A77" s="101" t="s">
        <v>128</v>
      </c>
      <c r="B77" s="101" t="s">
        <v>125</v>
      </c>
      <c r="C77" s="97">
        <v>0</v>
      </c>
      <c r="D77" s="91">
        <f ca="1">((100/(H69))*C77)/100</f>
        <v>0</v>
      </c>
      <c r="E77" s="204"/>
      <c r="F77" s="204"/>
      <c r="G77" s="204"/>
      <c r="H77" s="204"/>
      <c r="I77" s="13" t="s">
        <v>136</v>
      </c>
      <c r="J77" s="27">
        <f>(IF(B69&gt;2,(H69/(B69+2)+J76),0))</f>
        <v>0</v>
      </c>
    </row>
    <row r="78" spans="1:19" ht="15.75" customHeight="1" x14ac:dyDescent="0.35">
      <c r="A78" s="101" t="s">
        <v>124</v>
      </c>
      <c r="B78" s="101" t="s">
        <v>124</v>
      </c>
      <c r="C78" s="97">
        <v>0</v>
      </c>
      <c r="D78" s="91">
        <f ca="1">((100/H69)*C78)/100</f>
        <v>0</v>
      </c>
      <c r="E78" s="204"/>
      <c r="F78" s="204"/>
      <c r="G78" s="204"/>
      <c r="H78" s="204"/>
      <c r="I78" s="13" t="s">
        <v>137</v>
      </c>
      <c r="J78" s="28">
        <f>(IF(B69&gt;3,(H69/(B69+2)+J77),0))</f>
        <v>0</v>
      </c>
    </row>
    <row r="79" spans="1:19" ht="15.75" customHeight="1" x14ac:dyDescent="0.35">
      <c r="A79" s="101" t="s">
        <v>131</v>
      </c>
      <c r="B79" s="101"/>
      <c r="C79" s="97">
        <v>0</v>
      </c>
      <c r="D79" s="91">
        <f ca="1">((100/H69)*C79)/100</f>
        <v>0</v>
      </c>
      <c r="E79" s="204"/>
      <c r="F79" s="204"/>
      <c r="G79" s="204"/>
      <c r="H79" s="204"/>
      <c r="I79" s="13" t="s">
        <v>138</v>
      </c>
      <c r="J79" s="27">
        <f>(IF(B69&gt;4,(H69/(B69+2)+J78),0))</f>
        <v>0</v>
      </c>
    </row>
    <row r="80" spans="1:19" ht="15.75" customHeight="1" x14ac:dyDescent="0.35">
      <c r="A80" s="101" t="s">
        <v>126</v>
      </c>
      <c r="B80" s="101" t="s">
        <v>126</v>
      </c>
      <c r="C80" s="97">
        <v>0</v>
      </c>
      <c r="D80" s="91">
        <f ca="1">((100/(H69))*C80)/100</f>
        <v>0</v>
      </c>
      <c r="E80" s="204"/>
      <c r="F80" s="204"/>
      <c r="G80" s="204"/>
      <c r="H80" s="204"/>
      <c r="I80" s="13" t="s">
        <v>140</v>
      </c>
      <c r="J80" s="27">
        <f ca="1">(IF(B69=1,(H69/(B69+3)+J75),IF(B69=0,(H69/4+J75),IF(B69&gt;1,0))))</f>
        <v>5.25</v>
      </c>
    </row>
    <row r="81" spans="1:22" ht="16" thickBot="1" x14ac:dyDescent="0.4">
      <c r="A81" s="101" t="s">
        <v>127</v>
      </c>
      <c r="B81" s="101"/>
      <c r="C81" s="97">
        <v>0</v>
      </c>
      <c r="D81" s="91">
        <f ca="1">((100/(H69))*C81)/100</f>
        <v>0</v>
      </c>
      <c r="E81" s="204"/>
      <c r="F81" s="204"/>
      <c r="G81" s="204"/>
      <c r="H81" s="204"/>
      <c r="I81" s="14" t="s">
        <v>100</v>
      </c>
      <c r="J81" s="29">
        <f ca="1">(IF(B69&gt;1.5,(H69/(B69+2)+J75+MAX(0,J76-J75)+MAX(0,J77-J76)+MAX(0,J78-J77)+MAX(0,J79-J78)+MAX(0,J80-J79)),IF(B69=1,(H69/(B69+3)+J80),IF(B69=0,H69/4+J80))))</f>
        <v>7</v>
      </c>
    </row>
    <row r="82" spans="1:22" ht="15.75" customHeight="1" x14ac:dyDescent="0.35">
      <c r="A82" s="199" t="s">
        <v>133</v>
      </c>
      <c r="B82" s="200"/>
      <c r="C82" s="201" t="str">
        <f>D60</f>
        <v>Wing B = G + 1st to 7th Floor</v>
      </c>
      <c r="D82" s="202"/>
      <c r="E82" s="202"/>
      <c r="F82" s="202"/>
      <c r="G82" s="202"/>
      <c r="H82" s="203"/>
      <c r="I82" s="40" t="str">
        <f ca="1">IF(D95=100%,"All work Completed. Possession granted to the Building.",IF(D94=100%,"All work Completed, Waiting for OC",I83&amp;""&amp;I84&amp;""&amp;J83&amp;""&amp;J82&amp;" "&amp;J84))</f>
        <v>Excavation, Plinth Completed, RCC upto 6 Slab Completed</v>
      </c>
      <c r="J82" s="41" t="str">
        <f ca="1">(IF(C88=(D83+F83+H83),"",IF(C88&gt;0,", RCC upto "&amp;C88&amp;" Slab","")))&amp;(IF(C89=H83,"",IF(C89&gt;0,", Brickwork upto "&amp;C89&amp;" Floor","")))&amp;(IF(C90=H83,"",IF(C90&gt;0,", Internal Plaster upto "&amp;C90&amp;" Floor","")))&amp;(IF(C91=H83,"",IF(C91&gt;0,", External Plaster upto "&amp;C91&amp;" Floor","")))&amp;(IF(C92=H83,"",IF(C92&gt;0,", Flooring upto "&amp;C92&amp;" Floor","")))&amp;(IF(C93=H83,"",IF(C93&gt;0,", Painting upto "&amp;C93&amp;" Floor","")))&amp;(IF(C94=H83,"",IF(C94&gt;0,", Finishing upto "&amp;C94&amp;" Floor","")))&amp;(IF(C95=H83,"",IF(C95&gt;0,", Possession upto "&amp;C95&amp;" Floor","")))</f>
        <v>, RCC upto 6 Slab</v>
      </c>
      <c r="S82"/>
    </row>
    <row r="83" spans="1:22" x14ac:dyDescent="0.35">
      <c r="A83" s="15" t="s">
        <v>135</v>
      </c>
      <c r="B83" s="44">
        <f>IF(AND(ISNUMBER(SEARCH("1B",C82))),1,IF(AND(ISNUMBER(SEARCH("2B",C82))),2,IF(AND(ISNUMBER(SEARCH("3B",C82))),3,IF(AND(ISNUMBER(SEARCH("4B",C82))),4,IF(ISNUMBER(SEARCH("5B",C82)),5,0)))))</f>
        <v>0</v>
      </c>
      <c r="C83" s="44" t="s">
        <v>68</v>
      </c>
      <c r="D83" s="44">
        <v>1</v>
      </c>
      <c r="E83" s="44" t="s">
        <v>67</v>
      </c>
      <c r="F83" s="44">
        <v>0</v>
      </c>
      <c r="G83" s="44" t="s">
        <v>75</v>
      </c>
      <c r="H83" s="16">
        <f ca="1">--TRIM(RIGHT(SUBSTITUTE(LEFT(C82,_xlfn.AGGREGATE(16,6,FIND({0,1,2,3,4,5,6,7,8,9},C82,ROW(INDIRECT("1:"&amp;LEN(C82)))),1))," ",REPT(" ",LEN(C82))),LEN(C82)))</f>
        <v>7</v>
      </c>
      <c r="I83" s="42" t="str">
        <f ca="1">IF(D86=100%,"Excavation","")&amp;IF(D87=100%,", Plinth","")&amp;IF(D88=100%,", RCC Slab","")&amp;IF(D89=100%,", Brickwork","")&amp;IF(D90=100%,", Internal Plaster","")&amp;IF(D91=100%,", External Plaster","")&amp;IF(D92=100%,", Flooring","")&amp;IF(D93=100%,", Painting","")&amp;IF(D94=100%,", Building common Amenities","")</f>
        <v>Excavation, Plinth</v>
      </c>
      <c r="J83" s="43" t="str">
        <f ca="1">(IF(C86=0,"Work not yet Started.",IF(D86=25%,"Piling work in process",IF(D86=50%,"Excavation work in process",IF(D86=100%,"","0")))))&amp;(IF(C87=0%,"",IF(C87=J88,", Footing work is process",IF(C87=J89,", Footing work Completed",IF(C87=J90,", 1st Basement Completed",IF(C87=J91,", 1st &amp; 2nd Basement Completed",IF(C87=J92,", 1st to 3rd Basement Completed",IF(C87=J93,", 1st to 4th Basement Completed",IF(C87=J94,", Plinth work is process",IF(C87=J95,"","0"))))))))))</f>
        <v/>
      </c>
      <c r="S83"/>
    </row>
    <row r="84" spans="1:22" x14ac:dyDescent="0.35">
      <c r="A84" s="146" t="s">
        <v>85</v>
      </c>
      <c r="B84" s="134"/>
      <c r="C84" s="147" t="str">
        <f ca="1">I82</f>
        <v>Excavation, Plinth Completed, RCC upto 6 Slab Completed</v>
      </c>
      <c r="D84" s="147"/>
      <c r="E84" s="147"/>
      <c r="F84" s="147"/>
      <c r="G84" s="147"/>
      <c r="H84" s="148"/>
      <c r="I84" s="42" t="str">
        <f ca="1">IF(I83&lt;&gt;""," Completed","")</f>
        <v xml:space="preserve"> Completed</v>
      </c>
      <c r="J84" s="43" t="str">
        <f ca="1">IF(J82&lt;&gt;"","Completed","")</f>
        <v>Completed</v>
      </c>
      <c r="S84"/>
    </row>
    <row r="85" spans="1:22" ht="15.75" customHeight="1" x14ac:dyDescent="0.35">
      <c r="A85" s="100" t="s">
        <v>47</v>
      </c>
      <c r="B85" s="101"/>
      <c r="C85" s="90" t="s">
        <v>132</v>
      </c>
      <c r="D85" s="90" t="s">
        <v>78</v>
      </c>
      <c r="E85" s="101" t="s">
        <v>80</v>
      </c>
      <c r="F85" s="101"/>
      <c r="G85" s="101" t="s">
        <v>79</v>
      </c>
      <c r="H85" s="102"/>
      <c r="I85" s="13" t="s">
        <v>134</v>
      </c>
      <c r="J85" s="25">
        <f ca="1">H83*25%</f>
        <v>1.75</v>
      </c>
      <c r="S85"/>
    </row>
    <row r="86" spans="1:22" x14ac:dyDescent="0.35">
      <c r="A86" s="100" t="s">
        <v>121</v>
      </c>
      <c r="B86" s="101"/>
      <c r="C86" s="90">
        <f ca="1">J87</f>
        <v>7</v>
      </c>
      <c r="D86" s="91">
        <f ca="1">((100/H83)*C86)/100</f>
        <v>1</v>
      </c>
      <c r="E86" s="181">
        <f ca="1">(((C87/H83*10)+(40/(D83+F83+H83)*C88)+(7.5/(H83)*C89)+(7.5/(H83)*C90)+(10/H83*C91)+(10/H83*C92)+(5/H83*C93)+(5/H83*C94)+(5/H83*C95))/100)</f>
        <v>0.4</v>
      </c>
      <c r="F86" s="182"/>
      <c r="G86" s="181">
        <f ca="1">((((C86/H83)*20)+((C87/H83)*25)+(30/(H83+F83+D83)*C88)+(5/H83*C89)+(5/H83*C90)+(5/H83*C91)+(5/H83*C92)+(0/H83*C93)+(0/H83*C94)+(5/H83*C95))/100)</f>
        <v>0.67500000000000004</v>
      </c>
      <c r="H86" s="187"/>
      <c r="I86" s="13" t="s">
        <v>96</v>
      </c>
      <c r="J86" s="26">
        <f ca="1">H83*50%</f>
        <v>3.5</v>
      </c>
    </row>
    <row r="87" spans="1:22" x14ac:dyDescent="0.35">
      <c r="A87" s="100" t="s">
        <v>48</v>
      </c>
      <c r="B87" s="101"/>
      <c r="C87" s="90">
        <f ca="1">J95</f>
        <v>7</v>
      </c>
      <c r="D87" s="91">
        <f ca="1">((100/H83)*C87)/100</f>
        <v>1</v>
      </c>
      <c r="E87" s="183"/>
      <c r="F87" s="184"/>
      <c r="G87" s="183"/>
      <c r="H87" s="188"/>
      <c r="I87" s="13" t="s">
        <v>97</v>
      </c>
      <c r="J87" s="26">
        <f ca="1">H83</f>
        <v>7</v>
      </c>
      <c r="S87"/>
    </row>
    <row r="88" spans="1:22" ht="15.75" customHeight="1" x14ac:dyDescent="0.35">
      <c r="A88" s="100" t="s">
        <v>122</v>
      </c>
      <c r="B88" s="101"/>
      <c r="C88" s="90">
        <v>6</v>
      </c>
      <c r="D88" s="91">
        <f ca="1">((100/(D83+F83+H83))*C88)/100</f>
        <v>0.75</v>
      </c>
      <c r="E88" s="183"/>
      <c r="F88" s="184"/>
      <c r="G88" s="183"/>
      <c r="H88" s="188"/>
      <c r="I88" s="13" t="s">
        <v>98</v>
      </c>
      <c r="J88" s="27">
        <f ca="1">(IF(B83&gt;1,(H83/(B83+2)),H83/4))</f>
        <v>1.75</v>
      </c>
      <c r="S88"/>
    </row>
    <row r="89" spans="1:22" ht="15.75" customHeight="1" x14ac:dyDescent="0.35">
      <c r="A89" s="100" t="s">
        <v>129</v>
      </c>
      <c r="B89" s="101" t="s">
        <v>123</v>
      </c>
      <c r="C89" s="90">
        <v>0</v>
      </c>
      <c r="D89" s="91">
        <f ca="1">((100/H83)*C89)/100</f>
        <v>0</v>
      </c>
      <c r="E89" s="183"/>
      <c r="F89" s="184"/>
      <c r="G89" s="183"/>
      <c r="H89" s="188"/>
      <c r="I89" s="13" t="s">
        <v>99</v>
      </c>
      <c r="J89" s="27">
        <f ca="1">(IF(B83&gt;1,(H83/(B83+2)+J88),H83/4+J88))</f>
        <v>3.5</v>
      </c>
    </row>
    <row r="90" spans="1:22" ht="15.75" customHeight="1" x14ac:dyDescent="0.35">
      <c r="A90" s="100" t="s">
        <v>130</v>
      </c>
      <c r="B90" s="101" t="s">
        <v>123</v>
      </c>
      <c r="C90" s="90">
        <v>0</v>
      </c>
      <c r="D90" s="91">
        <f ca="1">((100/H83)*C90)/100</f>
        <v>0</v>
      </c>
      <c r="E90" s="183"/>
      <c r="F90" s="184"/>
      <c r="G90" s="183"/>
      <c r="H90" s="188"/>
      <c r="I90" s="13" t="s">
        <v>139</v>
      </c>
      <c r="J90" s="27">
        <f>(IF(B83&gt;1,(H83/(B83+2)+J89),0))</f>
        <v>0</v>
      </c>
    </row>
    <row r="91" spans="1:22" ht="15" customHeight="1" x14ac:dyDescent="0.35">
      <c r="A91" s="100" t="s">
        <v>128</v>
      </c>
      <c r="B91" s="101" t="s">
        <v>125</v>
      </c>
      <c r="C91" s="90">
        <v>0</v>
      </c>
      <c r="D91" s="91">
        <f ca="1">((100/(H83))*C91)/100</f>
        <v>0</v>
      </c>
      <c r="E91" s="183"/>
      <c r="F91" s="184"/>
      <c r="G91" s="183"/>
      <c r="H91" s="188"/>
      <c r="I91" s="13" t="s">
        <v>136</v>
      </c>
      <c r="J91" s="27">
        <f>(IF(B83&gt;2,(H83/(B83+2)+J90),0))</f>
        <v>0</v>
      </c>
    </row>
    <row r="92" spans="1:22" ht="15.75" customHeight="1" x14ac:dyDescent="0.35">
      <c r="A92" s="100" t="s">
        <v>124</v>
      </c>
      <c r="B92" s="101" t="s">
        <v>124</v>
      </c>
      <c r="C92" s="90">
        <v>0</v>
      </c>
      <c r="D92" s="91">
        <f ca="1">((100/H83)*C92)/100</f>
        <v>0</v>
      </c>
      <c r="E92" s="183"/>
      <c r="F92" s="184"/>
      <c r="G92" s="183"/>
      <c r="H92" s="188"/>
      <c r="I92" s="13" t="s">
        <v>137</v>
      </c>
      <c r="J92" s="28">
        <f>(IF(B83&gt;3,(H83/(B83+2)+J91),0))</f>
        <v>0</v>
      </c>
    </row>
    <row r="93" spans="1:22" ht="15.75" customHeight="1" x14ac:dyDescent="0.35">
      <c r="A93" s="100" t="s">
        <v>131</v>
      </c>
      <c r="B93" s="101"/>
      <c r="C93" s="90">
        <v>0</v>
      </c>
      <c r="D93" s="91">
        <f ca="1">((100/H83)*C93)/100</f>
        <v>0</v>
      </c>
      <c r="E93" s="183"/>
      <c r="F93" s="184"/>
      <c r="G93" s="183"/>
      <c r="H93" s="188"/>
      <c r="I93" s="13" t="s">
        <v>138</v>
      </c>
      <c r="J93" s="27">
        <f>(IF(B83&gt;4,(H83/(B83+2)+J92),0))</f>
        <v>0</v>
      </c>
    </row>
    <row r="94" spans="1:22" ht="15.75" customHeight="1" x14ac:dyDescent="0.35">
      <c r="A94" s="100" t="s">
        <v>126</v>
      </c>
      <c r="B94" s="101" t="s">
        <v>126</v>
      </c>
      <c r="C94" s="90">
        <v>0</v>
      </c>
      <c r="D94" s="91">
        <f ca="1">((100/(H83))*C94)/100</f>
        <v>0</v>
      </c>
      <c r="E94" s="183"/>
      <c r="F94" s="184"/>
      <c r="G94" s="183"/>
      <c r="H94" s="188"/>
      <c r="I94" s="13" t="s">
        <v>140</v>
      </c>
      <c r="J94" s="27">
        <f ca="1">(IF(B83=1,(H83/(B83+3)+J89),IF(B83=0,(H83/4+J89),IF(B83&gt;1,0))))</f>
        <v>5.25</v>
      </c>
    </row>
    <row r="95" spans="1:22" ht="16" thickBot="1" x14ac:dyDescent="0.4">
      <c r="A95" s="103" t="s">
        <v>127</v>
      </c>
      <c r="B95" s="104"/>
      <c r="C95" s="92">
        <v>0</v>
      </c>
      <c r="D95" s="93">
        <f ca="1">((100/(H83))*C95)/100</f>
        <v>0</v>
      </c>
      <c r="E95" s="185"/>
      <c r="F95" s="186"/>
      <c r="G95" s="185"/>
      <c r="H95" s="189"/>
      <c r="I95" s="14" t="s">
        <v>100</v>
      </c>
      <c r="J95" s="29">
        <f ca="1">(IF(B83&gt;1.5,(H83/(B83+2)+J89+MAX(0,J90-J89)+MAX(0,J91-J90)+MAX(0,J92-J91)+MAX(0,J93-J92)+MAX(0,J94-J93)),IF(B83=1,(H83/(B83+3)+J94),IF(B83=0,H83/4+J94))))</f>
        <v>7</v>
      </c>
    </row>
    <row r="96" spans="1:22" x14ac:dyDescent="0.35">
      <c r="A96" s="112" t="s">
        <v>149</v>
      </c>
      <c r="B96" s="112"/>
      <c r="C96" s="112"/>
      <c r="D96" s="112"/>
      <c r="E96" s="112"/>
      <c r="F96" s="128" t="s">
        <v>153</v>
      </c>
      <c r="G96" s="128"/>
      <c r="H96" s="128"/>
      <c r="R96" t="s">
        <v>243</v>
      </c>
      <c r="S96" t="s">
        <v>164</v>
      </c>
      <c r="T96" t="s">
        <v>169</v>
      </c>
      <c r="U96" t="s">
        <v>183</v>
      </c>
      <c r="V96" t="s">
        <v>178</v>
      </c>
    </row>
    <row r="97" spans="1:22" x14ac:dyDescent="0.35">
      <c r="A97" s="106" t="s">
        <v>151</v>
      </c>
      <c r="B97" s="106"/>
      <c r="C97" s="106"/>
      <c r="D97" s="106"/>
      <c r="E97" s="106"/>
      <c r="F97" s="113">
        <v>4500</v>
      </c>
      <c r="G97" s="113"/>
      <c r="H97" s="113"/>
      <c r="R97"/>
      <c r="S97">
        <v>800000</v>
      </c>
      <c r="T97">
        <v>150000</v>
      </c>
      <c r="U97">
        <v>100000</v>
      </c>
      <c r="V97">
        <v>100000</v>
      </c>
    </row>
    <row r="98" spans="1:22" hidden="1" x14ac:dyDescent="0.35">
      <c r="A98" s="106" t="s">
        <v>150</v>
      </c>
      <c r="B98" s="106"/>
      <c r="C98" s="106"/>
      <c r="D98" s="106"/>
      <c r="E98" s="106"/>
      <c r="F98" s="113"/>
      <c r="G98" s="113"/>
      <c r="H98" s="113"/>
      <c r="I98" s="19"/>
      <c r="J98" s="88"/>
      <c r="R98"/>
      <c r="S98">
        <v>900000</v>
      </c>
      <c r="T98">
        <v>200000</v>
      </c>
      <c r="U98">
        <v>150000</v>
      </c>
      <c r="V98">
        <v>150000</v>
      </c>
    </row>
    <row r="99" spans="1:22" hidden="1" x14ac:dyDescent="0.35">
      <c r="A99" s="106" t="s">
        <v>152</v>
      </c>
      <c r="B99" s="106"/>
      <c r="C99" s="106"/>
      <c r="D99" s="106"/>
      <c r="E99" s="106"/>
      <c r="F99" s="113"/>
      <c r="G99" s="113"/>
      <c r="H99" s="113"/>
      <c r="I99" s="19"/>
      <c r="R99"/>
      <c r="S99">
        <v>1000000</v>
      </c>
      <c r="T99">
        <v>250000</v>
      </c>
      <c r="U99">
        <v>200000</v>
      </c>
      <c r="V99">
        <v>200000</v>
      </c>
    </row>
    <row r="100" spans="1:22" s="30" customFormat="1" hidden="1" x14ac:dyDescent="0.35">
      <c r="A100" s="106" t="s">
        <v>166</v>
      </c>
      <c r="B100" s="106"/>
      <c r="C100" s="106"/>
      <c r="D100" s="106"/>
      <c r="E100" s="106"/>
      <c r="F100" s="113"/>
      <c r="G100" s="113"/>
      <c r="H100" s="113"/>
      <c r="I100" s="88"/>
      <c r="R100"/>
      <c r="S100">
        <v>1100000</v>
      </c>
      <c r="T100">
        <v>300000</v>
      </c>
      <c r="U100">
        <v>250000</v>
      </c>
      <c r="V100" s="20">
        <v>250000</v>
      </c>
    </row>
    <row r="101" spans="1:22" s="30" customFormat="1" hidden="1" x14ac:dyDescent="0.35">
      <c r="A101" s="106" t="s">
        <v>90</v>
      </c>
      <c r="B101" s="106"/>
      <c r="C101" s="106"/>
      <c r="D101" s="106"/>
      <c r="E101" s="106"/>
      <c r="F101" s="113"/>
      <c r="G101" s="113"/>
      <c r="H101" s="113"/>
      <c r="R101"/>
      <c r="S101">
        <v>1200000</v>
      </c>
      <c r="T101">
        <v>350000</v>
      </c>
      <c r="U101">
        <v>300000</v>
      </c>
      <c r="V101">
        <v>300000</v>
      </c>
    </row>
    <row r="102" spans="1:22" s="30" customFormat="1" hidden="1" x14ac:dyDescent="0.35">
      <c r="A102" s="106" t="s">
        <v>91</v>
      </c>
      <c r="B102" s="106"/>
      <c r="C102" s="106"/>
      <c r="D102" s="106"/>
      <c r="E102" s="106"/>
      <c r="F102" s="113"/>
      <c r="G102" s="113"/>
      <c r="H102" s="113"/>
      <c r="R102"/>
      <c r="S102">
        <v>1300000</v>
      </c>
      <c r="T102">
        <v>400000</v>
      </c>
      <c r="U102">
        <v>350000</v>
      </c>
      <c r="V102" s="20">
        <v>400000</v>
      </c>
    </row>
    <row r="103" spans="1:22" s="30" customFormat="1" hidden="1" x14ac:dyDescent="0.35">
      <c r="A103" s="106" t="s">
        <v>92</v>
      </c>
      <c r="B103" s="106"/>
      <c r="C103" s="106"/>
      <c r="D103" s="106"/>
      <c r="E103" s="106"/>
      <c r="F103" s="113"/>
      <c r="G103" s="113"/>
      <c r="H103" s="113"/>
      <c r="R103"/>
      <c r="S103">
        <v>1400000</v>
      </c>
      <c r="T103">
        <v>500000</v>
      </c>
      <c r="U103">
        <v>400000</v>
      </c>
      <c r="V103"/>
    </row>
    <row r="104" spans="1:22" s="30" customFormat="1" hidden="1" x14ac:dyDescent="0.35">
      <c r="A104" s="106" t="s">
        <v>93</v>
      </c>
      <c r="B104" s="106"/>
      <c r="C104" s="106"/>
      <c r="D104" s="106"/>
      <c r="E104" s="106"/>
      <c r="F104" s="113"/>
      <c r="G104" s="113"/>
      <c r="H104" s="113"/>
      <c r="R104"/>
      <c r="S104">
        <v>1500000</v>
      </c>
      <c r="T104">
        <v>600000</v>
      </c>
      <c r="U104">
        <v>500000</v>
      </c>
      <c r="V104" s="20"/>
    </row>
    <row r="105" spans="1:22" s="30" customFormat="1" hidden="1" x14ac:dyDescent="0.35">
      <c r="A105" s="106" t="s">
        <v>94</v>
      </c>
      <c r="B105" s="106"/>
      <c r="C105" s="106"/>
      <c r="D105" s="106"/>
      <c r="E105" s="106"/>
      <c r="F105" s="113"/>
      <c r="G105" s="113"/>
      <c r="H105" s="113"/>
      <c r="R105"/>
      <c r="S105">
        <v>1600000</v>
      </c>
      <c r="T105">
        <v>700000</v>
      </c>
      <c r="U105">
        <v>600000</v>
      </c>
      <c r="V105"/>
    </row>
    <row r="106" spans="1:22" s="30" customFormat="1" hidden="1" x14ac:dyDescent="0.35">
      <c r="A106" s="106" t="s">
        <v>95</v>
      </c>
      <c r="B106" s="106"/>
      <c r="C106" s="106"/>
      <c r="D106" s="106"/>
      <c r="E106" s="106"/>
      <c r="F106" s="113"/>
      <c r="G106" s="113"/>
      <c r="H106" s="113"/>
      <c r="R106"/>
      <c r="S106">
        <v>1700000</v>
      </c>
      <c r="T106">
        <v>800000</v>
      </c>
      <c r="U106"/>
      <c r="V106" s="20"/>
    </row>
    <row r="107" spans="1:22" x14ac:dyDescent="0.35">
      <c r="A107" s="106" t="s">
        <v>49</v>
      </c>
      <c r="B107" s="106"/>
      <c r="C107" s="106"/>
      <c r="D107" s="106"/>
      <c r="E107" s="106"/>
      <c r="F107" s="113">
        <v>100000</v>
      </c>
      <c r="G107" s="113"/>
      <c r="H107" s="113"/>
      <c r="R107"/>
      <c r="S107">
        <v>1800000</v>
      </c>
      <c r="T107">
        <v>900000</v>
      </c>
      <c r="U107"/>
    </row>
    <row r="108" spans="1:22" s="31" customFormat="1" x14ac:dyDescent="0.35">
      <c r="A108" s="134" t="s">
        <v>50</v>
      </c>
      <c r="B108" s="134"/>
      <c r="C108" s="134"/>
      <c r="D108" s="134"/>
      <c r="E108" s="134"/>
      <c r="F108" s="113">
        <f>F97*0.8</f>
        <v>3600</v>
      </c>
      <c r="G108" s="113"/>
      <c r="H108" s="113"/>
      <c r="R108" s="18"/>
      <c r="S108" s="18"/>
      <c r="T108">
        <v>1000000</v>
      </c>
      <c r="U108"/>
      <c r="V108" s="18"/>
    </row>
    <row r="109" spans="1:22" s="32" customFormat="1" x14ac:dyDescent="0.35">
      <c r="A109" s="137" t="s">
        <v>66</v>
      </c>
      <c r="B109" s="137"/>
      <c r="C109" s="137"/>
      <c r="D109" s="137"/>
      <c r="E109" s="137"/>
      <c r="F109" s="137"/>
      <c r="G109" s="137"/>
      <c r="H109" s="137"/>
      <c r="T109"/>
    </row>
    <row r="110" spans="1:22" s="32" customFormat="1" ht="15.75" customHeight="1" x14ac:dyDescent="0.35">
      <c r="A110" s="131" t="s">
        <v>51</v>
      </c>
      <c r="B110" s="131"/>
      <c r="C110" s="120" t="s">
        <v>73</v>
      </c>
      <c r="D110" s="120"/>
      <c r="E110" s="129" t="s">
        <v>52</v>
      </c>
      <c r="F110" s="129"/>
      <c r="G110" s="131" t="s">
        <v>53</v>
      </c>
      <c r="H110" s="131"/>
      <c r="T110"/>
    </row>
    <row r="111" spans="1:22" s="32" customFormat="1" x14ac:dyDescent="0.35">
      <c r="A111" s="136" t="s">
        <v>378</v>
      </c>
      <c r="B111" s="136"/>
      <c r="C111" s="179">
        <f>COUNT(D121:D126)*7</f>
        <v>42</v>
      </c>
      <c r="D111" s="179"/>
      <c r="E111" s="179">
        <f>SUM(F121:F126)*7</f>
        <v>22611.934799999999</v>
      </c>
      <c r="F111" s="179"/>
      <c r="G111" s="179">
        <f>SUM(H121:H126)*7</f>
        <v>32787.305459999996</v>
      </c>
      <c r="H111" s="179"/>
      <c r="T111"/>
    </row>
    <row r="112" spans="1:22" s="32" customFormat="1" x14ac:dyDescent="0.35">
      <c r="A112" s="136" t="s">
        <v>376</v>
      </c>
      <c r="B112" s="136"/>
      <c r="C112" s="179">
        <f>COUNT(D130:D135)*7</f>
        <v>42</v>
      </c>
      <c r="D112" s="179"/>
      <c r="E112" s="179">
        <f>SUM(F130:F135)*7</f>
        <v>22611.934799999999</v>
      </c>
      <c r="F112" s="179"/>
      <c r="G112" s="179">
        <f>SUM(H130:H135)*7</f>
        <v>32787.305459999996</v>
      </c>
      <c r="H112" s="179"/>
      <c r="T112"/>
    </row>
    <row r="113" spans="1:20" s="32" customFormat="1" x14ac:dyDescent="0.35">
      <c r="A113" s="137" t="s">
        <v>143</v>
      </c>
      <c r="B113" s="137"/>
      <c r="C113" s="127">
        <f>SUM(C111:C112)</f>
        <v>84</v>
      </c>
      <c r="D113" s="120"/>
      <c r="E113" s="190">
        <f>SUM(E111:E112)</f>
        <v>45223.869599999998</v>
      </c>
      <c r="F113" s="129"/>
      <c r="G113" s="131">
        <f>SUM(G111:G112)</f>
        <v>65574.610919999992</v>
      </c>
      <c r="H113" s="131"/>
      <c r="T113"/>
    </row>
    <row r="114" spans="1:20" s="31" customFormat="1" x14ac:dyDescent="0.35">
      <c r="A114" s="130" t="s">
        <v>340</v>
      </c>
      <c r="B114" s="130"/>
      <c r="C114" s="130"/>
      <c r="D114" s="130"/>
      <c r="E114" s="130"/>
      <c r="F114" s="130"/>
      <c r="G114" s="130"/>
      <c r="H114" s="130"/>
      <c r="T114" s="32"/>
    </row>
    <row r="115" spans="1:20" x14ac:dyDescent="0.35">
      <c r="A115" s="116" t="s">
        <v>372</v>
      </c>
      <c r="B115" s="116"/>
      <c r="C115" s="116"/>
      <c r="D115" s="116"/>
      <c r="E115" s="116"/>
      <c r="F115" s="116"/>
      <c r="G115" s="116"/>
      <c r="H115" s="116"/>
      <c r="T115" s="32"/>
    </row>
    <row r="116" spans="1:20" ht="47.25" customHeight="1" x14ac:dyDescent="0.35">
      <c r="A116" s="205" t="s">
        <v>377</v>
      </c>
      <c r="B116" s="205" t="s">
        <v>167</v>
      </c>
      <c r="C116" s="205" t="s">
        <v>54</v>
      </c>
      <c r="D116" s="205" t="s">
        <v>222</v>
      </c>
      <c r="E116" s="205" t="s">
        <v>221</v>
      </c>
      <c r="F116" s="205" t="s">
        <v>55</v>
      </c>
      <c r="G116" s="206" t="s">
        <v>56</v>
      </c>
      <c r="H116" s="207" t="s">
        <v>142</v>
      </c>
      <c r="I116" s="33">
        <f>10.764</f>
        <v>10.763999999999999</v>
      </c>
      <c r="T116" s="34"/>
    </row>
    <row r="117" spans="1:20" s="34" customFormat="1" x14ac:dyDescent="0.35">
      <c r="A117" s="205"/>
      <c r="B117" s="205"/>
      <c r="C117" s="205"/>
      <c r="D117" s="205"/>
      <c r="E117" s="205"/>
      <c r="F117" s="205"/>
      <c r="G117" s="206"/>
      <c r="H117" s="208">
        <v>0.45</v>
      </c>
      <c r="I117" s="33"/>
    </row>
    <row r="118" spans="1:20" s="86" customFormat="1" x14ac:dyDescent="0.35">
      <c r="A118" s="108" t="s">
        <v>368</v>
      </c>
      <c r="B118" s="109"/>
      <c r="C118" s="109"/>
      <c r="D118" s="109"/>
      <c r="E118" s="109"/>
      <c r="F118" s="109"/>
      <c r="G118" s="109"/>
      <c r="H118" s="110"/>
      <c r="J118" s="33"/>
    </row>
    <row r="119" spans="1:20" s="34" customFormat="1" x14ac:dyDescent="0.35">
      <c r="A119" s="108" t="s">
        <v>398</v>
      </c>
      <c r="B119" s="109"/>
      <c r="C119" s="109"/>
      <c r="D119" s="109"/>
      <c r="E119" s="109"/>
      <c r="F119" s="109"/>
      <c r="G119" s="109"/>
      <c r="H119" s="110"/>
      <c r="J119" s="33"/>
    </row>
    <row r="120" spans="1:20" s="34" customFormat="1" x14ac:dyDescent="0.35">
      <c r="A120" s="135" t="s">
        <v>369</v>
      </c>
      <c r="B120" s="135"/>
      <c r="C120" s="135"/>
      <c r="D120" s="135"/>
      <c r="E120" s="135"/>
      <c r="F120" s="135"/>
      <c r="G120" s="135"/>
      <c r="H120" s="135"/>
      <c r="I120" s="33"/>
      <c r="K120" s="34">
        <v>4500</v>
      </c>
      <c r="L120" s="177"/>
      <c r="M120" s="177"/>
    </row>
    <row r="121" spans="1:20" s="34" customFormat="1" x14ac:dyDescent="0.35">
      <c r="A121" s="111">
        <v>1</v>
      </c>
      <c r="B121" s="111"/>
      <c r="C121" s="95" t="s">
        <v>370</v>
      </c>
      <c r="D121" s="89">
        <f>(47.88)*(10.764)</f>
        <v>515.38031999999998</v>
      </c>
      <c r="E121" s="89">
        <f>(8.26)*(10.764)</f>
        <v>88.910639999999987</v>
      </c>
      <c r="F121" s="47">
        <f t="shared" ref="F121:F126" si="0">D121+E121</f>
        <v>604.29095999999993</v>
      </c>
      <c r="G121" s="47">
        <v>0</v>
      </c>
      <c r="H121" s="47">
        <f t="shared" ref="H121:H126" si="1">F121*(($H$117)+1)+(IF(G121&lt;101,G121,IF(G121&lt;201,G121/2,IF(G121&lt;=301,G121/3,G121/4))))</f>
        <v>876.22189199999991</v>
      </c>
      <c r="I121" s="33">
        <f>5.51*1.5</f>
        <v>8.2650000000000006</v>
      </c>
      <c r="K121" s="34">
        <f>$K$120*H121</f>
        <v>3942998.5139999995</v>
      </c>
      <c r="N121" s="33"/>
    </row>
    <row r="122" spans="1:20" s="34" customFormat="1" x14ac:dyDescent="0.35">
      <c r="A122" s="111">
        <f>A121+1</f>
        <v>2</v>
      </c>
      <c r="B122" s="111"/>
      <c r="C122" s="95" t="s">
        <v>370</v>
      </c>
      <c r="D122" s="89">
        <f>(47.88)*(10.764)</f>
        <v>515.38031999999998</v>
      </c>
      <c r="E122" s="89">
        <f>(8.26)*(10.764)</f>
        <v>88.910639999999987</v>
      </c>
      <c r="F122" s="47">
        <f t="shared" si="0"/>
        <v>604.29095999999993</v>
      </c>
      <c r="G122" s="47">
        <v>0</v>
      </c>
      <c r="H122" s="47">
        <f t="shared" si="1"/>
        <v>876.22189199999991</v>
      </c>
      <c r="I122" s="33"/>
      <c r="K122" s="96">
        <f t="shared" ref="K122:K126" si="2">$K$120*H122</f>
        <v>3942998.5139999995</v>
      </c>
      <c r="N122" s="33"/>
    </row>
    <row r="123" spans="1:20" s="34" customFormat="1" x14ac:dyDescent="0.35">
      <c r="A123" s="111">
        <f>A122+1</f>
        <v>3</v>
      </c>
      <c r="B123" s="111"/>
      <c r="C123" s="95" t="s">
        <v>371</v>
      </c>
      <c r="D123" s="89">
        <f>(37.43)*(10.764)</f>
        <v>402.89651999999995</v>
      </c>
      <c r="E123" s="89">
        <f>(3.76)*(10.764)</f>
        <v>40.472639999999998</v>
      </c>
      <c r="F123" s="47">
        <f t="shared" si="0"/>
        <v>443.36915999999997</v>
      </c>
      <c r="G123" s="47">
        <v>0</v>
      </c>
      <c r="H123" s="47">
        <f t="shared" si="1"/>
        <v>642.88528199999996</v>
      </c>
      <c r="I123" s="33">
        <f>2960000/H123</f>
        <v>4604.242907523897</v>
      </c>
      <c r="K123" s="99">
        <f t="shared" si="2"/>
        <v>2892983.7689999999</v>
      </c>
      <c r="N123" s="33"/>
    </row>
    <row r="124" spans="1:20" s="34" customFormat="1" x14ac:dyDescent="0.35">
      <c r="A124" s="111">
        <f>A123+1</f>
        <v>4</v>
      </c>
      <c r="B124" s="111"/>
      <c r="C124" s="95" t="s">
        <v>371</v>
      </c>
      <c r="D124" s="89">
        <f>(43.71)*(10.764)</f>
        <v>470.49444</v>
      </c>
      <c r="E124" s="89">
        <f>0*(10.764)</f>
        <v>0</v>
      </c>
      <c r="F124" s="47">
        <f t="shared" si="0"/>
        <v>470.49444</v>
      </c>
      <c r="G124" s="47">
        <v>0</v>
      </c>
      <c r="H124" s="47">
        <f t="shared" si="1"/>
        <v>682.21693800000003</v>
      </c>
      <c r="I124" s="33"/>
      <c r="K124" s="96">
        <f t="shared" si="2"/>
        <v>3069976.2209999999</v>
      </c>
      <c r="N124" s="33"/>
    </row>
    <row r="125" spans="1:20" s="34" customFormat="1" x14ac:dyDescent="0.35">
      <c r="A125" s="111">
        <f>A124+1</f>
        <v>5</v>
      </c>
      <c r="B125" s="111"/>
      <c r="C125" s="95" t="s">
        <v>370</v>
      </c>
      <c r="D125" s="89">
        <f>(46.56)*(10.764)</f>
        <v>501.17183999999997</v>
      </c>
      <c r="E125" s="89">
        <f>(5.06)*(10.764)</f>
        <v>54.465839999999993</v>
      </c>
      <c r="F125" s="47">
        <f t="shared" si="0"/>
        <v>555.63767999999993</v>
      </c>
      <c r="G125" s="47">
        <v>0</v>
      </c>
      <c r="H125" s="47">
        <f t="shared" si="1"/>
        <v>805.67463599999985</v>
      </c>
      <c r="I125" s="33"/>
      <c r="K125" s="96">
        <f t="shared" si="2"/>
        <v>3625535.8619999993</v>
      </c>
      <c r="N125" s="33"/>
    </row>
    <row r="126" spans="1:20" s="86" customFormat="1" x14ac:dyDescent="0.35">
      <c r="A126" s="111">
        <f>A125+1</f>
        <v>6</v>
      </c>
      <c r="B126" s="111"/>
      <c r="C126" s="95" t="s">
        <v>370</v>
      </c>
      <c r="D126" s="89">
        <f>(46.85)*(10.764)</f>
        <v>504.29339999999996</v>
      </c>
      <c r="E126" s="89">
        <f>(4.45)*(10.764)</f>
        <v>47.899799999999999</v>
      </c>
      <c r="F126" s="87">
        <f t="shared" si="0"/>
        <v>552.19319999999993</v>
      </c>
      <c r="G126" s="87">
        <v>0</v>
      </c>
      <c r="H126" s="87">
        <f t="shared" si="1"/>
        <v>800.68013999999982</v>
      </c>
      <c r="I126" s="33"/>
      <c r="K126" s="96">
        <f t="shared" si="2"/>
        <v>3603060.6299999994</v>
      </c>
      <c r="N126" s="33"/>
    </row>
    <row r="127" spans="1:20" s="86" customFormat="1" x14ac:dyDescent="0.35">
      <c r="A127" s="108" t="s">
        <v>376</v>
      </c>
      <c r="B127" s="109"/>
      <c r="C127" s="109"/>
      <c r="D127" s="109"/>
      <c r="E127" s="109"/>
      <c r="F127" s="109"/>
      <c r="G127" s="109"/>
      <c r="H127" s="110"/>
      <c r="J127" s="33"/>
    </row>
    <row r="128" spans="1:20" s="86" customFormat="1" x14ac:dyDescent="0.35">
      <c r="A128" s="108" t="s">
        <v>399</v>
      </c>
      <c r="B128" s="109"/>
      <c r="C128" s="109"/>
      <c r="D128" s="109"/>
      <c r="E128" s="109"/>
      <c r="F128" s="109"/>
      <c r="G128" s="109"/>
      <c r="H128" s="110"/>
      <c r="J128" s="33"/>
    </row>
    <row r="129" spans="1:20" s="86" customFormat="1" x14ac:dyDescent="0.35">
      <c r="A129" s="135" t="s">
        <v>369</v>
      </c>
      <c r="B129" s="135"/>
      <c r="C129" s="135"/>
      <c r="D129" s="135"/>
      <c r="E129" s="135"/>
      <c r="F129" s="135"/>
      <c r="G129" s="135"/>
      <c r="H129" s="135"/>
      <c r="I129" s="33"/>
      <c r="L129" s="177"/>
      <c r="M129" s="177"/>
    </row>
    <row r="130" spans="1:20" s="86" customFormat="1" x14ac:dyDescent="0.35">
      <c r="A130" s="111">
        <v>1</v>
      </c>
      <c r="B130" s="111"/>
      <c r="C130" s="87" t="s">
        <v>370</v>
      </c>
      <c r="D130" s="89">
        <f>(47.88)*(10.764)</f>
        <v>515.38031999999998</v>
      </c>
      <c r="E130" s="89">
        <f>(8.26)*(10.764)</f>
        <v>88.910639999999987</v>
      </c>
      <c r="F130" s="87">
        <f t="shared" ref="F130:F135" si="3">D130+E130</f>
        <v>604.29095999999993</v>
      </c>
      <c r="G130" s="87">
        <v>0</v>
      </c>
      <c r="H130" s="87">
        <f t="shared" ref="H130:H135" si="4">F130*(($H$117)+1)+(IF(G130&lt;101,G130,IF(G130&lt;201,G130/2,IF(G130&lt;=301,G130/3,G130/4))))</f>
        <v>876.22189199999991</v>
      </c>
      <c r="I130" s="33"/>
      <c r="N130" s="33"/>
    </row>
    <row r="131" spans="1:20" s="86" customFormat="1" x14ac:dyDescent="0.35">
      <c r="A131" s="111">
        <f>A130+1</f>
        <v>2</v>
      </c>
      <c r="B131" s="111"/>
      <c r="C131" s="87" t="s">
        <v>370</v>
      </c>
      <c r="D131" s="89">
        <f>(47.88)*(10.764)</f>
        <v>515.38031999999998</v>
      </c>
      <c r="E131" s="89">
        <f>(8.26)*(10.764)</f>
        <v>88.910639999999987</v>
      </c>
      <c r="F131" s="87">
        <f t="shared" si="3"/>
        <v>604.29095999999993</v>
      </c>
      <c r="G131" s="87">
        <v>0</v>
      </c>
      <c r="H131" s="87">
        <f t="shared" si="4"/>
        <v>876.22189199999991</v>
      </c>
      <c r="I131" s="33"/>
      <c r="N131" s="33"/>
    </row>
    <row r="132" spans="1:20" s="86" customFormat="1" x14ac:dyDescent="0.35">
      <c r="A132" s="111">
        <f>A131+1</f>
        <v>3</v>
      </c>
      <c r="B132" s="111"/>
      <c r="C132" s="87" t="s">
        <v>371</v>
      </c>
      <c r="D132" s="89">
        <f>(37.43)*(10.764)</f>
        <v>402.89651999999995</v>
      </c>
      <c r="E132" s="89">
        <f>(3.76)*(10.764)</f>
        <v>40.472639999999998</v>
      </c>
      <c r="F132" s="87">
        <f t="shared" si="3"/>
        <v>443.36915999999997</v>
      </c>
      <c r="G132" s="87">
        <v>0</v>
      </c>
      <c r="H132" s="87">
        <f t="shared" si="4"/>
        <v>642.88528199999996</v>
      </c>
      <c r="I132" s="33"/>
      <c r="N132" s="33"/>
    </row>
    <row r="133" spans="1:20" s="86" customFormat="1" x14ac:dyDescent="0.35">
      <c r="A133" s="111">
        <f>A132+1</f>
        <v>4</v>
      </c>
      <c r="B133" s="111"/>
      <c r="C133" s="87" t="s">
        <v>371</v>
      </c>
      <c r="D133" s="89">
        <f>(43.71)*(10.764)</f>
        <v>470.49444</v>
      </c>
      <c r="E133" s="89">
        <f>0*(10.764)</f>
        <v>0</v>
      </c>
      <c r="F133" s="87">
        <f t="shared" si="3"/>
        <v>470.49444</v>
      </c>
      <c r="G133" s="87">
        <v>0</v>
      </c>
      <c r="H133" s="87">
        <f t="shared" si="4"/>
        <v>682.21693800000003</v>
      </c>
      <c r="I133" s="33"/>
      <c r="N133" s="33"/>
    </row>
    <row r="134" spans="1:20" s="86" customFormat="1" x14ac:dyDescent="0.35">
      <c r="A134" s="111">
        <f>A133+1</f>
        <v>5</v>
      </c>
      <c r="B134" s="111"/>
      <c r="C134" s="95" t="s">
        <v>370</v>
      </c>
      <c r="D134" s="89">
        <f>(46.56)*(10.764)</f>
        <v>501.17183999999997</v>
      </c>
      <c r="E134" s="89">
        <f>(5.06)*(10.764)</f>
        <v>54.465839999999993</v>
      </c>
      <c r="F134" s="87">
        <f t="shared" si="3"/>
        <v>555.63767999999993</v>
      </c>
      <c r="G134" s="87">
        <v>0</v>
      </c>
      <c r="H134" s="87">
        <f t="shared" si="4"/>
        <v>805.67463599999985</v>
      </c>
      <c r="I134" s="33"/>
      <c r="N134" s="33"/>
    </row>
    <row r="135" spans="1:20" s="86" customFormat="1" x14ac:dyDescent="0.35">
      <c r="A135" s="111">
        <f>A134+1</f>
        <v>6</v>
      </c>
      <c r="B135" s="111"/>
      <c r="C135" s="95" t="s">
        <v>370</v>
      </c>
      <c r="D135" s="89">
        <f>(46.85)*(10.764)</f>
        <v>504.29339999999996</v>
      </c>
      <c r="E135" s="89">
        <f>(4.45)*(10.764)</f>
        <v>47.899799999999999</v>
      </c>
      <c r="F135" s="87">
        <f t="shared" si="3"/>
        <v>552.19319999999993</v>
      </c>
      <c r="G135" s="87">
        <v>0</v>
      </c>
      <c r="H135" s="87">
        <f t="shared" si="4"/>
        <v>800.68013999999982</v>
      </c>
      <c r="I135" s="33"/>
      <c r="N135" s="33"/>
    </row>
    <row r="136" spans="1:20" s="32" customFormat="1" x14ac:dyDescent="0.35">
      <c r="A136" s="107" t="s">
        <v>64</v>
      </c>
      <c r="B136" s="107"/>
      <c r="C136" s="107"/>
      <c r="D136" s="107"/>
      <c r="E136" s="107"/>
      <c r="F136" s="107"/>
      <c r="G136" s="107"/>
      <c r="H136" s="107"/>
      <c r="T136" s="34"/>
    </row>
    <row r="137" spans="1:20" s="32" customFormat="1" x14ac:dyDescent="0.35">
      <c r="A137" s="98" t="s">
        <v>146</v>
      </c>
      <c r="B137" s="209" t="s">
        <v>400</v>
      </c>
      <c r="C137" s="209"/>
      <c r="D137" s="209"/>
      <c r="E137" s="209"/>
      <c r="F137" s="209"/>
      <c r="G137" s="209"/>
      <c r="H137" s="209"/>
      <c r="T137" s="34"/>
    </row>
    <row r="138" spans="1:20" s="32" customFormat="1" x14ac:dyDescent="0.35">
      <c r="A138" s="98" t="s">
        <v>146</v>
      </c>
      <c r="B138" s="209" t="str">
        <f>(IF(H116="Saleable area Loading :","We have considered Saleable area of Flats as per our Calculation.","We considered Saleable area of Flat as per Builder area Sheet."))</f>
        <v>We have considered Saleable area of Flats as per our Calculation.</v>
      </c>
      <c r="C138" s="209"/>
      <c r="D138" s="209"/>
      <c r="E138" s="209"/>
      <c r="F138" s="209"/>
      <c r="G138" s="209"/>
      <c r="H138" s="209"/>
      <c r="T138" s="34"/>
    </row>
    <row r="139" spans="1:20" s="32" customFormat="1" x14ac:dyDescent="0.35">
      <c r="A139" s="98" t="s">
        <v>146</v>
      </c>
      <c r="B139" s="210" t="s">
        <v>116</v>
      </c>
      <c r="C139" s="210"/>
      <c r="D139" s="210"/>
      <c r="E139" s="210"/>
      <c r="F139" s="210"/>
      <c r="G139" s="210"/>
      <c r="H139" s="210"/>
      <c r="T139" s="34"/>
    </row>
    <row r="140" spans="1:20" s="32" customFormat="1" x14ac:dyDescent="0.35">
      <c r="A140" s="98" t="s">
        <v>146</v>
      </c>
      <c r="B140" s="209" t="s">
        <v>382</v>
      </c>
      <c r="C140" s="209"/>
      <c r="D140" s="209"/>
      <c r="E140" s="209"/>
      <c r="F140" s="209"/>
      <c r="G140" s="209"/>
      <c r="H140" s="209"/>
      <c r="T140" s="34"/>
    </row>
    <row r="141" spans="1:20" s="32" customFormat="1" x14ac:dyDescent="0.35">
      <c r="A141" s="98" t="s">
        <v>146</v>
      </c>
      <c r="B141" s="210" t="s">
        <v>145</v>
      </c>
      <c r="C141" s="210"/>
      <c r="D141" s="210"/>
      <c r="E141" s="210"/>
      <c r="F141" s="210"/>
      <c r="G141" s="210"/>
      <c r="H141" s="210"/>
    </row>
    <row r="142" spans="1:20" s="32" customFormat="1" x14ac:dyDescent="0.35">
      <c r="A142" s="98" t="s">
        <v>146</v>
      </c>
      <c r="B142" s="210" t="s">
        <v>117</v>
      </c>
      <c r="C142" s="210"/>
      <c r="D142" s="210"/>
      <c r="E142" s="210"/>
      <c r="F142" s="210"/>
      <c r="G142" s="210"/>
      <c r="H142" s="210"/>
    </row>
    <row r="143" spans="1:20" s="32" customFormat="1" ht="34.5" customHeight="1" x14ac:dyDescent="0.35">
      <c r="A143" s="98" t="s">
        <v>146</v>
      </c>
      <c r="B143" s="209" t="s">
        <v>147</v>
      </c>
      <c r="C143" s="209"/>
      <c r="D143" s="209"/>
      <c r="E143" s="209"/>
      <c r="F143" s="209"/>
      <c r="G143" s="209"/>
      <c r="H143" s="209"/>
    </row>
    <row r="144" spans="1:20" s="32" customFormat="1" hidden="1" x14ac:dyDescent="0.35">
      <c r="A144" s="98" t="s">
        <v>146</v>
      </c>
      <c r="B144" s="210" t="s">
        <v>118</v>
      </c>
      <c r="C144" s="210"/>
      <c r="D144" s="210"/>
      <c r="E144" s="210"/>
      <c r="F144" s="210"/>
      <c r="G144" s="210"/>
      <c r="H144" s="210"/>
    </row>
    <row r="145" spans="1:20" s="32" customFormat="1" hidden="1" x14ac:dyDescent="0.35">
      <c r="A145" s="98" t="s">
        <v>146</v>
      </c>
      <c r="B145" s="211" t="s">
        <v>337</v>
      </c>
      <c r="C145" s="211"/>
      <c r="D145" s="211"/>
      <c r="E145" s="211"/>
      <c r="F145" s="211"/>
      <c r="G145" s="211"/>
      <c r="H145" s="211"/>
    </row>
    <row r="146" spans="1:20" s="32" customFormat="1" hidden="1" x14ac:dyDescent="0.35">
      <c r="A146" s="98" t="s">
        <v>146</v>
      </c>
      <c r="B146" s="211" t="str">
        <f ca="1">IF(G52&gt;EDATE(E3,-48),"NO REMARK FOR CC","REMARK FOR CC")</f>
        <v>NO REMARK FOR CC</v>
      </c>
      <c r="C146" s="211"/>
      <c r="D146" s="211"/>
      <c r="E146" s="211"/>
      <c r="F146" s="211"/>
      <c r="G146" s="211"/>
      <c r="H146" s="211"/>
    </row>
    <row r="147" spans="1:20" x14ac:dyDescent="0.35">
      <c r="A147" s="138" t="s">
        <v>57</v>
      </c>
      <c r="B147" s="138"/>
      <c r="C147" s="138"/>
      <c r="D147" s="138"/>
      <c r="E147" s="138"/>
      <c r="F147" s="138"/>
      <c r="G147" s="138"/>
      <c r="H147" s="138"/>
      <c r="T147" s="32"/>
    </row>
    <row r="148" spans="1:20" x14ac:dyDescent="0.35">
      <c r="A148" s="105" t="s">
        <v>58</v>
      </c>
      <c r="B148" s="105"/>
      <c r="C148" s="105"/>
      <c r="D148" s="105"/>
      <c r="E148" s="105"/>
      <c r="F148" s="105"/>
      <c r="G148" s="105"/>
      <c r="H148" s="105"/>
      <c r="T148" s="32"/>
    </row>
    <row r="149" spans="1:20" ht="15.75" customHeight="1" x14ac:dyDescent="0.35">
      <c r="A149" s="139" t="s">
        <v>59</v>
      </c>
      <c r="B149" s="139"/>
      <c r="C149" s="139"/>
      <c r="D149" s="139"/>
      <c r="E149" s="139"/>
      <c r="F149" s="139"/>
      <c r="G149" s="139"/>
      <c r="H149" s="139"/>
      <c r="T149" s="32"/>
    </row>
    <row r="150" spans="1:20" x14ac:dyDescent="0.35">
      <c r="A150" s="105" t="s">
        <v>60</v>
      </c>
      <c r="B150" s="105"/>
      <c r="C150" s="105"/>
      <c r="D150" s="105"/>
      <c r="E150" s="105"/>
      <c r="F150" s="105"/>
      <c r="G150" s="105"/>
      <c r="H150" s="105"/>
      <c r="T150" s="32"/>
    </row>
    <row r="151" spans="1:20" x14ac:dyDescent="0.35">
      <c r="A151" s="105" t="s">
        <v>61</v>
      </c>
      <c r="B151" s="105"/>
      <c r="C151" s="105"/>
      <c r="D151" s="105"/>
      <c r="E151" s="105"/>
      <c r="F151" s="105"/>
      <c r="G151" s="105"/>
      <c r="H151" s="105"/>
      <c r="T151" s="32"/>
    </row>
    <row r="152" spans="1:20" x14ac:dyDescent="0.35">
      <c r="A152" s="105" t="s">
        <v>119</v>
      </c>
      <c r="B152" s="105"/>
      <c r="C152" s="105"/>
      <c r="D152" s="105"/>
      <c r="E152" s="105"/>
      <c r="F152" s="105"/>
      <c r="G152" s="105"/>
      <c r="H152" s="105"/>
      <c r="T152" s="32"/>
    </row>
    <row r="153" spans="1:20" ht="34" customHeight="1" x14ac:dyDescent="0.35">
      <c r="A153" s="121" t="s">
        <v>120</v>
      </c>
      <c r="B153" s="121"/>
      <c r="C153" s="121"/>
      <c r="D153" s="121"/>
      <c r="E153" s="121"/>
      <c r="F153" s="121"/>
      <c r="G153" s="121"/>
      <c r="H153" s="121"/>
    </row>
    <row r="154" spans="1:20" x14ac:dyDescent="0.35">
      <c r="A154" s="133" t="s">
        <v>72</v>
      </c>
      <c r="B154" s="133"/>
      <c r="C154" s="133" t="s">
        <v>388</v>
      </c>
      <c r="D154" s="133"/>
      <c r="E154" s="133" t="s">
        <v>102</v>
      </c>
      <c r="F154" s="133"/>
      <c r="G154" s="133" t="s">
        <v>401</v>
      </c>
      <c r="H154" s="133"/>
    </row>
    <row r="155" spans="1:20" x14ac:dyDescent="0.35">
      <c r="A155" s="132" t="s">
        <v>74</v>
      </c>
      <c r="B155" s="132"/>
      <c r="C155" s="132"/>
      <c r="D155" s="132"/>
      <c r="E155" s="132"/>
      <c r="F155" s="132"/>
      <c r="G155" s="132"/>
      <c r="H155" s="132"/>
    </row>
    <row r="156" spans="1:20" x14ac:dyDescent="0.35">
      <c r="A156" s="132"/>
      <c r="B156" s="132"/>
      <c r="C156" s="132"/>
      <c r="D156" s="132"/>
      <c r="E156" s="132"/>
      <c r="F156" s="132"/>
      <c r="G156" s="132"/>
      <c r="H156" s="132"/>
    </row>
    <row r="157" spans="1:20" x14ac:dyDescent="0.35">
      <c r="A157" s="132"/>
      <c r="B157" s="132"/>
      <c r="C157" s="132"/>
      <c r="D157" s="132"/>
      <c r="E157" s="132"/>
      <c r="F157" s="132"/>
      <c r="G157" s="132"/>
      <c r="H157" s="132"/>
    </row>
    <row r="158" spans="1:20" x14ac:dyDescent="0.35">
      <c r="A158" s="132"/>
      <c r="B158" s="132"/>
      <c r="C158" s="132"/>
      <c r="D158" s="132"/>
      <c r="E158" s="132"/>
      <c r="F158" s="132"/>
      <c r="G158" s="132"/>
      <c r="H158" s="132"/>
    </row>
    <row r="159" spans="1:20" x14ac:dyDescent="0.35">
      <c r="A159" s="35" t="s">
        <v>62</v>
      </c>
      <c r="B159" s="36"/>
      <c r="C159" s="36"/>
      <c r="D159" s="35" t="str">
        <f>E9</f>
        <v>Sukh Shanti Residential Project</v>
      </c>
      <c r="F159" s="36"/>
      <c r="G159" s="36"/>
      <c r="H159" s="36"/>
    </row>
    <row r="160" spans="1:20" x14ac:dyDescent="0.35">
      <c r="A160" s="36"/>
      <c r="B160" s="36"/>
      <c r="C160" s="36"/>
      <c r="D160" s="36"/>
      <c r="E160" s="36"/>
      <c r="F160" s="36"/>
      <c r="G160" s="36"/>
      <c r="H160" s="36"/>
    </row>
    <row r="161" spans="1:8" x14ac:dyDescent="0.35">
      <c r="A161" s="36"/>
      <c r="B161" s="36"/>
      <c r="C161" s="36"/>
      <c r="D161" s="36"/>
      <c r="E161" s="36"/>
      <c r="F161" s="36"/>
      <c r="G161" s="36"/>
      <c r="H161" s="36"/>
    </row>
    <row r="162" spans="1:8" ht="15" customHeight="1" x14ac:dyDescent="0.35"/>
    <row r="202" spans="1:1" x14ac:dyDescent="0.35">
      <c r="A202" s="38" t="s">
        <v>156</v>
      </c>
    </row>
    <row r="245" spans="1:1" x14ac:dyDescent="0.35">
      <c r="A245" s="38" t="s">
        <v>63</v>
      </c>
    </row>
  </sheetData>
  <mergeCells count="275">
    <mergeCell ref="L129:M129"/>
    <mergeCell ref="A133:B133"/>
    <mergeCell ref="C52:E52"/>
    <mergeCell ref="B116:B117"/>
    <mergeCell ref="A85:B85"/>
    <mergeCell ref="E85:F85"/>
    <mergeCell ref="E86:F95"/>
    <mergeCell ref="A118:H118"/>
    <mergeCell ref="A126:B126"/>
    <mergeCell ref="A74:B74"/>
    <mergeCell ref="E72:F81"/>
    <mergeCell ref="G72:H81"/>
    <mergeCell ref="A101:E101"/>
    <mergeCell ref="A113:B113"/>
    <mergeCell ref="E113:F113"/>
    <mergeCell ref="A106:E106"/>
    <mergeCell ref="G113:H113"/>
    <mergeCell ref="C112:D112"/>
    <mergeCell ref="G112:H112"/>
    <mergeCell ref="A112:B112"/>
    <mergeCell ref="E112:F112"/>
    <mergeCell ref="A91:B91"/>
    <mergeCell ref="G85:H85"/>
    <mergeCell ref="G86:H95"/>
    <mergeCell ref="B144:H144"/>
    <mergeCell ref="B142:H142"/>
    <mergeCell ref="L120:M120"/>
    <mergeCell ref="A125:B125"/>
    <mergeCell ref="A122:B122"/>
    <mergeCell ref="A123:B123"/>
    <mergeCell ref="A134:B134"/>
    <mergeCell ref="A40:B40"/>
    <mergeCell ref="C40:H40"/>
    <mergeCell ref="C111:D111"/>
    <mergeCell ref="C116:C117"/>
    <mergeCell ref="G116:G117"/>
    <mergeCell ref="A135:B135"/>
    <mergeCell ref="A79:B79"/>
    <mergeCell ref="E111:F111"/>
    <mergeCell ref="G111:H111"/>
    <mergeCell ref="A97:E97"/>
    <mergeCell ref="A82:B82"/>
    <mergeCell ref="C82:H82"/>
    <mergeCell ref="A86:B86"/>
    <mergeCell ref="C84:H84"/>
    <mergeCell ref="A87:B87"/>
    <mergeCell ref="A88:B88"/>
    <mergeCell ref="A129:H129"/>
    <mergeCell ref="A89:B89"/>
    <mergeCell ref="F98:H98"/>
    <mergeCell ref="A98:E98"/>
    <mergeCell ref="A84:B84"/>
    <mergeCell ref="A38:H38"/>
    <mergeCell ref="A37:B37"/>
    <mergeCell ref="C37:E37"/>
    <mergeCell ref="A42:D42"/>
    <mergeCell ref="E42:H42"/>
    <mergeCell ref="A41:H41"/>
    <mergeCell ref="A61:C61"/>
    <mergeCell ref="A62:C62"/>
    <mergeCell ref="D61:H61"/>
    <mergeCell ref="F37:H37"/>
    <mergeCell ref="C51:E51"/>
    <mergeCell ref="C50:E50"/>
    <mergeCell ref="G50:H50"/>
    <mergeCell ref="A51:B51"/>
    <mergeCell ref="G51:H51"/>
    <mergeCell ref="A39:B39"/>
    <mergeCell ref="C39:H39"/>
    <mergeCell ref="A52:B53"/>
    <mergeCell ref="A71:B71"/>
    <mergeCell ref="A46:D46"/>
    <mergeCell ref="A47:D47"/>
    <mergeCell ref="D62:H62"/>
    <mergeCell ref="A44:D44"/>
    <mergeCell ref="E44:H44"/>
    <mergeCell ref="E45:H45"/>
    <mergeCell ref="E46:H46"/>
    <mergeCell ref="E47:H47"/>
    <mergeCell ref="A48:H48"/>
    <mergeCell ref="D58:H58"/>
    <mergeCell ref="A58:C58"/>
    <mergeCell ref="A45:D45"/>
    <mergeCell ref="A49:B49"/>
    <mergeCell ref="C49:H49"/>
    <mergeCell ref="A59:C60"/>
    <mergeCell ref="D59:H59"/>
    <mergeCell ref="D60:H60"/>
    <mergeCell ref="G52:H52"/>
    <mergeCell ref="A55:H55"/>
    <mergeCell ref="C53:H53"/>
    <mergeCell ref="A56:C56"/>
    <mergeCell ref="A57:C57"/>
    <mergeCell ref="A70:B70"/>
    <mergeCell ref="A68:B68"/>
    <mergeCell ref="C68:H68"/>
    <mergeCell ref="A63:C63"/>
    <mergeCell ref="D63:H63"/>
    <mergeCell ref="C70:H70"/>
    <mergeCell ref="A64:C64"/>
    <mergeCell ref="D64:H64"/>
    <mergeCell ref="A67:C67"/>
    <mergeCell ref="D67:H67"/>
    <mergeCell ref="A66:C66"/>
    <mergeCell ref="A65:C65"/>
    <mergeCell ref="D66:H66"/>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55:H158"/>
    <mergeCell ref="A154:B154"/>
    <mergeCell ref="E154:F154"/>
    <mergeCell ref="C154:D154"/>
    <mergeCell ref="G154:H154"/>
    <mergeCell ref="A107:E107"/>
    <mergeCell ref="F107:H107"/>
    <mergeCell ref="A108:E108"/>
    <mergeCell ref="F108:H108"/>
    <mergeCell ref="A120:H120"/>
    <mergeCell ref="A111:B111"/>
    <mergeCell ref="A130:B130"/>
    <mergeCell ref="A150:H150"/>
    <mergeCell ref="A109:H109"/>
    <mergeCell ref="A153:H153"/>
    <mergeCell ref="A151:H151"/>
    <mergeCell ref="A147:H147"/>
    <mergeCell ref="G110:H110"/>
    <mergeCell ref="B141:H141"/>
    <mergeCell ref="A124:B124"/>
    <mergeCell ref="A152:H152"/>
    <mergeCell ref="A149:H149"/>
    <mergeCell ref="E116:E117"/>
    <mergeCell ref="A128:H128"/>
    <mergeCell ref="B143:H143"/>
    <mergeCell ref="B137:H137"/>
    <mergeCell ref="B138:H138"/>
    <mergeCell ref="B139:H139"/>
    <mergeCell ref="F96:H96"/>
    <mergeCell ref="F101:H101"/>
    <mergeCell ref="F102:H102"/>
    <mergeCell ref="A104:E104"/>
    <mergeCell ref="F99:H99"/>
    <mergeCell ref="A103:E103"/>
    <mergeCell ref="E110:F110"/>
    <mergeCell ref="A114:H114"/>
    <mergeCell ref="A116:A117"/>
    <mergeCell ref="F116:F117"/>
    <mergeCell ref="A121:B121"/>
    <mergeCell ref="A110:B110"/>
    <mergeCell ref="D116:D117"/>
    <mergeCell ref="I15:P15"/>
    <mergeCell ref="F106:H106"/>
    <mergeCell ref="F104:H104"/>
    <mergeCell ref="A115:H115"/>
    <mergeCell ref="A105:E105"/>
    <mergeCell ref="A54:B54"/>
    <mergeCell ref="C54:E54"/>
    <mergeCell ref="D56:H56"/>
    <mergeCell ref="F105:H105"/>
    <mergeCell ref="C110:D110"/>
    <mergeCell ref="D65:H65"/>
    <mergeCell ref="D57:H57"/>
    <mergeCell ref="G54:H54"/>
    <mergeCell ref="E43:H43"/>
    <mergeCell ref="A43:D43"/>
    <mergeCell ref="A77:B77"/>
    <mergeCell ref="A50:B50"/>
    <mergeCell ref="A90:B90"/>
    <mergeCell ref="A92:B92"/>
    <mergeCell ref="F97:H97"/>
    <mergeCell ref="A95:B95"/>
    <mergeCell ref="F103:H103"/>
    <mergeCell ref="C113:D113"/>
    <mergeCell ref="A93:B93"/>
    <mergeCell ref="A72:B72"/>
    <mergeCell ref="G71:H71"/>
    <mergeCell ref="A80:B80"/>
    <mergeCell ref="A81:B81"/>
    <mergeCell ref="A76:B76"/>
    <mergeCell ref="A75:B75"/>
    <mergeCell ref="E71:F71"/>
    <mergeCell ref="A73:B73"/>
    <mergeCell ref="A148:H148"/>
    <mergeCell ref="A102:E102"/>
    <mergeCell ref="A78:B78"/>
    <mergeCell ref="B146:H146"/>
    <mergeCell ref="B145:H145"/>
    <mergeCell ref="A136:H136"/>
    <mergeCell ref="A119:H119"/>
    <mergeCell ref="A131:B131"/>
    <mergeCell ref="B140:H140"/>
    <mergeCell ref="A127:H127"/>
    <mergeCell ref="A94:B94"/>
    <mergeCell ref="A99:E99"/>
    <mergeCell ref="A96:E96"/>
    <mergeCell ref="F100:H100"/>
    <mergeCell ref="A132:B132"/>
    <mergeCell ref="A100:E100"/>
  </mergeCells>
  <dataValidations count="15">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G154:H154">
      <formula1>"Kunal Kadam,Pranita Mhatre,Shruti Fule,Pooja Kawale,Gaurav Panchal,Shruti Tathare, Dipti Gothawade,Saurav Panse, Sachin Sawant"</formula1>
    </dataValidation>
    <dataValidation type="list" allowBlank="1" showInputMessage="1" showErrorMessage="1" sqref="F96:H96">
      <formula1>"On Saleable Area,On Builtup Area,On Carpet Area,On Plot Area"</formula1>
    </dataValidation>
    <dataValidation type="list" allowBlank="1" showInputMessage="1" showErrorMessage="1" sqref="F107:H107">
      <formula1>OFFSET($S$96,1,MATCH($G20,$S$96:$W$96,0)-1,15,1)</formula1>
    </dataValidation>
    <dataValidation type="list" allowBlank="1" showInputMessage="1" showErrorMessage="1" sqref="B116:B117">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16:E117">
      <formula1>"Fungible area,Balcony Area,Chajja Area,Cornice Area,AP Area,WS Area"</formula1>
    </dataValidation>
    <dataValidation type="list" allowBlank="1" showInputMessage="1" showErrorMessage="1" sqref="H117">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16">
      <formula1>"Saleable area Loading :,Builder Saleable Area"</formula1>
    </dataValidation>
    <dataValidation type="list" allowBlank="1" showInputMessage="1" showErrorMessage="1" sqref="D116:D117">
      <formula1>"Carpet area,RERA Carpet area"</formula1>
    </dataValidation>
  </dataValidations>
  <hyperlinks>
    <hyperlink ref="C40" r:id="rId1"/>
    <hyperlink ref="I60" r:id="rId2"/>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6" manualBreakCount="6">
    <brk id="37" max="7" man="1"/>
    <brk id="67" max="7" man="1"/>
    <brk id="113" max="7" man="1"/>
    <brk id="158" max="16383" man="1"/>
    <brk id="201" max="16383" man="1"/>
    <brk id="244"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191" t="s">
        <v>103</v>
      </c>
      <c r="C3" s="191"/>
      <c r="D3" s="191"/>
      <c r="E3" s="191"/>
      <c r="F3" s="191"/>
      <c r="G3" s="191"/>
      <c r="H3" s="191"/>
    </row>
    <row r="4" spans="1:9" x14ac:dyDescent="0.35">
      <c r="A4" s="2"/>
      <c r="B4" s="3" t="s">
        <v>104</v>
      </c>
      <c r="C4" s="3" t="s">
        <v>105</v>
      </c>
      <c r="D4" s="3" t="s">
        <v>65</v>
      </c>
      <c r="E4" s="3" t="s">
        <v>106</v>
      </c>
      <c r="F4" s="3" t="s">
        <v>112</v>
      </c>
      <c r="G4" s="3" t="s">
        <v>113</v>
      </c>
      <c r="H4" s="3" t="s">
        <v>107</v>
      </c>
    </row>
    <row r="5" spans="1:9" ht="15" customHeight="1" x14ac:dyDescent="0.35">
      <c r="A5" s="2"/>
      <c r="B5" s="5" t="s">
        <v>108</v>
      </c>
      <c r="C5" s="6"/>
      <c r="D5" s="5"/>
      <c r="E5" s="5"/>
      <c r="F5" s="7">
        <f>E5*1.6</f>
        <v>0</v>
      </c>
      <c r="G5" s="7" t="e">
        <f>H5/F5</f>
        <v>#DIV/0!</v>
      </c>
      <c r="H5" s="8"/>
    </row>
    <row r="6" spans="1:9" x14ac:dyDescent="0.35">
      <c r="A6" s="2"/>
      <c r="B6" s="5" t="s">
        <v>108</v>
      </c>
      <c r="C6" s="9"/>
      <c r="D6" s="5"/>
      <c r="E6" s="5"/>
      <c r="F6" s="7">
        <f t="shared" ref="F6:F11" si="0">E6*1.6</f>
        <v>0</v>
      </c>
      <c r="G6" s="7" t="e">
        <f t="shared" ref="G6:G11" si="1">H6/F6</f>
        <v>#DIV/0!</v>
      </c>
      <c r="H6" s="8"/>
    </row>
    <row r="7" spans="1:9" ht="15" customHeight="1" x14ac:dyDescent="0.35">
      <c r="A7" s="2"/>
      <c r="B7" s="5" t="s">
        <v>108</v>
      </c>
      <c r="C7" s="6"/>
      <c r="D7" s="5"/>
      <c r="E7" s="5"/>
      <c r="F7" s="7">
        <f t="shared" si="0"/>
        <v>0</v>
      </c>
      <c r="G7" s="7" t="e">
        <f t="shared" si="1"/>
        <v>#DIV/0!</v>
      </c>
      <c r="H7" s="8"/>
    </row>
    <row r="8" spans="1:9" x14ac:dyDescent="0.35">
      <c r="A8" s="2"/>
      <c r="B8" s="5" t="s">
        <v>108</v>
      </c>
      <c r="C8" s="9"/>
      <c r="D8" s="5"/>
      <c r="E8" s="5"/>
      <c r="F8" s="7">
        <f t="shared" si="0"/>
        <v>0</v>
      </c>
      <c r="G8" s="7" t="e">
        <f t="shared" si="1"/>
        <v>#DIV/0!</v>
      </c>
      <c r="H8" s="8"/>
    </row>
    <row r="9" spans="1:9" ht="15" customHeight="1" x14ac:dyDescent="0.35">
      <c r="A9" s="2"/>
      <c r="B9" s="5" t="s">
        <v>108</v>
      </c>
      <c r="C9" s="9"/>
      <c r="D9" s="5"/>
      <c r="E9" s="5"/>
      <c r="F9" s="7">
        <f t="shared" si="0"/>
        <v>0</v>
      </c>
      <c r="G9" s="7" t="e">
        <f t="shared" si="1"/>
        <v>#DIV/0!</v>
      </c>
      <c r="H9" s="8"/>
    </row>
    <row r="10" spans="1:9" ht="15" customHeight="1" x14ac:dyDescent="0.35">
      <c r="A10" s="2"/>
      <c r="B10" s="5" t="s">
        <v>109</v>
      </c>
      <c r="C10" s="6"/>
      <c r="D10" s="5"/>
      <c r="E10" s="5"/>
      <c r="F10" s="7">
        <f t="shared" si="0"/>
        <v>0</v>
      </c>
      <c r="G10" s="7" t="e">
        <f t="shared" si="1"/>
        <v>#DIV/0!</v>
      </c>
      <c r="H10" s="8"/>
    </row>
    <row r="11" spans="1:9" ht="15" customHeight="1" x14ac:dyDescent="0.35">
      <c r="A11" s="2"/>
      <c r="B11" s="5" t="s">
        <v>109</v>
      </c>
      <c r="C11" s="6"/>
      <c r="D11" s="5"/>
      <c r="E11" s="5"/>
      <c r="F11" s="7">
        <f t="shared" si="0"/>
        <v>0</v>
      </c>
      <c r="G11" s="7" t="e">
        <f t="shared" si="1"/>
        <v>#DIV/0!</v>
      </c>
      <c r="H11" s="8"/>
    </row>
    <row r="12" spans="1:9" ht="15" customHeight="1" x14ac:dyDescent="0.35">
      <c r="A12" s="2"/>
      <c r="B12" s="10" t="s">
        <v>110</v>
      </c>
      <c r="C12" s="5"/>
      <c r="D12" s="5"/>
      <c r="E12" s="5"/>
      <c r="F12" s="5"/>
      <c r="G12" s="11" t="e">
        <f>AVERAGE(G5:G11)</f>
        <v>#DIV/0!</v>
      </c>
      <c r="H12" s="5"/>
    </row>
    <row r="13" spans="1:9" ht="15" customHeight="1" x14ac:dyDescent="0.35">
      <c r="B13" s="10" t="s">
        <v>111</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5"/>
      <c r="C4" s="45" t="s">
        <v>11</v>
      </c>
      <c r="D4" s="46" t="s">
        <v>168</v>
      </c>
      <c r="E4" s="46" t="s">
        <v>178</v>
      </c>
      <c r="F4" s="46" t="s">
        <v>164</v>
      </c>
      <c r="G4" s="46" t="s">
        <v>183</v>
      </c>
      <c r="H4" s="46" t="s">
        <v>201</v>
      </c>
      <c r="J4" t="s">
        <v>183</v>
      </c>
      <c r="K4" t="s">
        <v>199</v>
      </c>
    </row>
    <row r="5" spans="2:11" x14ac:dyDescent="0.35">
      <c r="B5" s="45"/>
      <c r="C5" s="45"/>
      <c r="D5" s="46" t="s">
        <v>169</v>
      </c>
      <c r="E5" s="46" t="s">
        <v>176</v>
      </c>
      <c r="F5" s="46" t="s">
        <v>198</v>
      </c>
      <c r="G5" s="46" t="s">
        <v>184</v>
      </c>
      <c r="H5" s="46" t="s">
        <v>202</v>
      </c>
    </row>
    <row r="6" spans="2:11" x14ac:dyDescent="0.35">
      <c r="B6" s="45"/>
      <c r="C6" s="45"/>
      <c r="D6" s="46" t="s">
        <v>170</v>
      </c>
      <c r="E6" s="46" t="s">
        <v>177</v>
      </c>
      <c r="F6" s="46" t="s">
        <v>199</v>
      </c>
      <c r="G6" s="46" t="s">
        <v>185</v>
      </c>
      <c r="H6" s="46" t="s">
        <v>215</v>
      </c>
    </row>
    <row r="7" spans="2:11" x14ac:dyDescent="0.35">
      <c r="B7" s="45"/>
      <c r="C7" s="45"/>
      <c r="D7" s="46" t="s">
        <v>171</v>
      </c>
      <c r="E7" s="46" t="s">
        <v>179</v>
      </c>
      <c r="F7" s="46" t="s">
        <v>200</v>
      </c>
      <c r="G7" s="46" t="s">
        <v>186</v>
      </c>
      <c r="H7" s="46" t="s">
        <v>203</v>
      </c>
    </row>
    <row r="8" spans="2:11" x14ac:dyDescent="0.35">
      <c r="B8" s="45"/>
      <c r="C8" s="45"/>
      <c r="D8" s="46" t="s">
        <v>172</v>
      </c>
      <c r="E8" s="46" t="s">
        <v>180</v>
      </c>
      <c r="F8" s="46"/>
      <c r="G8" s="46" t="s">
        <v>187</v>
      </c>
      <c r="H8" s="46" t="s">
        <v>204</v>
      </c>
    </row>
    <row r="9" spans="2:11" x14ac:dyDescent="0.35">
      <c r="B9" s="45"/>
      <c r="C9" s="45"/>
      <c r="D9" s="46" t="s">
        <v>173</v>
      </c>
      <c r="E9" s="46" t="s">
        <v>178</v>
      </c>
      <c r="F9" s="46"/>
      <c r="G9" s="46" t="s">
        <v>188</v>
      </c>
      <c r="H9" s="46" t="s">
        <v>205</v>
      </c>
    </row>
    <row r="10" spans="2:11" x14ac:dyDescent="0.35">
      <c r="B10" s="45"/>
      <c r="C10" s="45"/>
      <c r="D10" s="46" t="s">
        <v>174</v>
      </c>
      <c r="E10" s="46" t="s">
        <v>181</v>
      </c>
      <c r="F10" s="46"/>
      <c r="G10" s="46" t="s">
        <v>189</v>
      </c>
      <c r="H10" s="46" t="s">
        <v>206</v>
      </c>
    </row>
    <row r="11" spans="2:11" x14ac:dyDescent="0.35">
      <c r="B11" s="45"/>
      <c r="C11" s="45"/>
      <c r="D11" s="46" t="s">
        <v>175</v>
      </c>
      <c r="E11" s="46" t="s">
        <v>182</v>
      </c>
      <c r="F11" s="46"/>
      <c r="G11" s="46" t="s">
        <v>190</v>
      </c>
      <c r="H11" s="46" t="s">
        <v>207</v>
      </c>
    </row>
    <row r="12" spans="2:11" x14ac:dyDescent="0.35">
      <c r="B12" s="45"/>
      <c r="C12" s="45"/>
      <c r="D12" s="46"/>
      <c r="E12" s="46"/>
      <c r="F12" s="46"/>
      <c r="G12" s="46" t="s">
        <v>191</v>
      </c>
      <c r="H12" s="46" t="s">
        <v>208</v>
      </c>
    </row>
    <row r="13" spans="2:11" x14ac:dyDescent="0.35">
      <c r="B13" s="45"/>
      <c r="C13" s="45"/>
      <c r="D13" s="46"/>
      <c r="E13" s="46"/>
      <c r="F13" s="46"/>
      <c r="G13" s="46" t="s">
        <v>192</v>
      </c>
      <c r="H13" s="46" t="s">
        <v>209</v>
      </c>
    </row>
    <row r="14" spans="2:11" x14ac:dyDescent="0.35">
      <c r="B14" s="45"/>
      <c r="C14" s="45"/>
      <c r="D14" s="46"/>
      <c r="E14" s="46"/>
      <c r="F14" s="46"/>
      <c r="G14" s="46" t="s">
        <v>193</v>
      </c>
      <c r="H14" s="46" t="s">
        <v>210</v>
      </c>
    </row>
    <row r="15" spans="2:11" x14ac:dyDescent="0.35">
      <c r="B15" s="45"/>
      <c r="C15" s="45"/>
      <c r="D15" s="46"/>
      <c r="E15" s="46"/>
      <c r="F15" s="46"/>
      <c r="G15" s="46" t="s">
        <v>194</v>
      </c>
      <c r="H15" s="46" t="s">
        <v>211</v>
      </c>
    </row>
    <row r="16" spans="2:11" x14ac:dyDescent="0.35">
      <c r="B16" s="45"/>
      <c r="C16" s="45"/>
      <c r="D16" s="46"/>
      <c r="E16" s="46"/>
      <c r="F16" s="46"/>
      <c r="G16" s="46" t="s">
        <v>195</v>
      </c>
      <c r="H16" s="46" t="s">
        <v>212</v>
      </c>
    </row>
    <row r="17" spans="2:8" x14ac:dyDescent="0.35">
      <c r="B17" s="45"/>
      <c r="C17" s="45"/>
      <c r="D17" s="46"/>
      <c r="E17" s="46"/>
      <c r="F17" s="46"/>
      <c r="G17" s="46" t="s">
        <v>196</v>
      </c>
      <c r="H17" s="46" t="s">
        <v>213</v>
      </c>
    </row>
    <row r="18" spans="2:8" x14ac:dyDescent="0.35">
      <c r="B18" s="45"/>
      <c r="C18" s="45"/>
      <c r="D18" s="46"/>
      <c r="E18" s="46"/>
      <c r="F18" s="46"/>
      <c r="G18" s="46" t="s">
        <v>197</v>
      </c>
      <c r="H18" s="46" t="s">
        <v>214</v>
      </c>
    </row>
    <row r="24" spans="2:8" x14ac:dyDescent="0.35">
      <c r="C24" t="s">
        <v>161</v>
      </c>
    </row>
    <row r="25" spans="2:8" x14ac:dyDescent="0.35">
      <c r="C25" t="s">
        <v>216</v>
      </c>
    </row>
    <row r="26" spans="2:8" x14ac:dyDescent="0.35">
      <c r="C26" t="s">
        <v>217</v>
      </c>
    </row>
    <row r="27" spans="2:8" x14ac:dyDescent="0.35">
      <c r="C27" t="s">
        <v>218</v>
      </c>
    </row>
    <row r="28" spans="2:8" x14ac:dyDescent="0.35">
      <c r="C28" t="s">
        <v>219</v>
      </c>
    </row>
    <row r="29" spans="2:8" x14ac:dyDescent="0.35">
      <c r="C29" t="s">
        <v>220</v>
      </c>
    </row>
    <row r="30" spans="2:8" x14ac:dyDescent="0.35">
      <c r="C30" t="s">
        <v>161</v>
      </c>
    </row>
    <row r="33" spans="3:11" x14ac:dyDescent="0.35">
      <c r="J33">
        <v>1</v>
      </c>
      <c r="K33">
        <v>2</v>
      </c>
    </row>
    <row r="34" spans="3:11" x14ac:dyDescent="0.35">
      <c r="C34" s="48" t="s">
        <v>226</v>
      </c>
      <c r="D34" s="46" t="s">
        <v>224</v>
      </c>
      <c r="E34" s="46" t="s">
        <v>229</v>
      </c>
      <c r="F34" s="46" t="s">
        <v>227</v>
      </c>
      <c r="G34" s="46" t="s">
        <v>228</v>
      </c>
      <c r="H34" s="46" t="s">
        <v>230</v>
      </c>
      <c r="J34" t="s">
        <v>183</v>
      </c>
      <c r="K34" t="s">
        <v>199</v>
      </c>
    </row>
    <row r="35" spans="3:11" x14ac:dyDescent="0.35">
      <c r="C35" s="45" t="s">
        <v>225</v>
      </c>
      <c r="D35" s="46" t="s">
        <v>162</v>
      </c>
      <c r="E35" s="46" t="s">
        <v>234</v>
      </c>
      <c r="F35" s="46" t="s">
        <v>236</v>
      </c>
      <c r="G35" s="46" t="s">
        <v>238</v>
      </c>
      <c r="H35" s="46"/>
    </row>
    <row r="36" spans="3:11" x14ac:dyDescent="0.35">
      <c r="C36" s="45"/>
      <c r="D36" s="46" t="s">
        <v>231</v>
      </c>
      <c r="E36" s="46" t="s">
        <v>235</v>
      </c>
      <c r="F36" s="46" t="s">
        <v>237</v>
      </c>
      <c r="G36" s="46" t="s">
        <v>239</v>
      </c>
      <c r="H36" s="46"/>
    </row>
    <row r="37" spans="3:11" x14ac:dyDescent="0.35">
      <c r="C37" s="45"/>
      <c r="D37" s="46" t="s">
        <v>232</v>
      </c>
      <c r="E37" s="46"/>
      <c r="F37" s="46"/>
      <c r="G37" s="46" t="s">
        <v>240</v>
      </c>
      <c r="H37" s="46"/>
    </row>
    <row r="38" spans="3:11" x14ac:dyDescent="0.35">
      <c r="C38" s="45"/>
      <c r="D38" s="46" t="s">
        <v>233</v>
      </c>
      <c r="E38" s="46"/>
      <c r="F38" s="46"/>
      <c r="G38" s="46" t="s">
        <v>240</v>
      </c>
      <c r="H38" s="46"/>
    </row>
    <row r="39" spans="3:11" x14ac:dyDescent="0.35">
      <c r="C39" s="45"/>
      <c r="D39" s="46"/>
      <c r="E39" s="46"/>
      <c r="F39" s="46"/>
      <c r="G39" s="46" t="s">
        <v>241</v>
      </c>
      <c r="H39" s="46"/>
    </row>
    <row r="40" spans="3:11" x14ac:dyDescent="0.35">
      <c r="C40" s="45"/>
      <c r="D40" s="46"/>
      <c r="E40" s="46"/>
      <c r="F40" s="46"/>
      <c r="G40" s="46" t="s">
        <v>242</v>
      </c>
      <c r="H40" s="46"/>
    </row>
    <row r="41" spans="3:11" x14ac:dyDescent="0.35">
      <c r="C41" s="45"/>
      <c r="D41" s="46"/>
      <c r="E41" s="46"/>
      <c r="F41" s="46"/>
      <c r="G41" s="46"/>
      <c r="H41" s="46"/>
    </row>
    <row r="43" spans="3:11" x14ac:dyDescent="0.35">
      <c r="C43" t="s">
        <v>243</v>
      </c>
    </row>
    <row r="44" spans="3:11" x14ac:dyDescent="0.35">
      <c r="C44" t="s">
        <v>164</v>
      </c>
      <c r="D44" t="s">
        <v>244</v>
      </c>
    </row>
    <row r="45" spans="3:11" x14ac:dyDescent="0.35">
      <c r="D45" t="s">
        <v>245</v>
      </c>
    </row>
    <row r="46" spans="3:11" x14ac:dyDescent="0.35">
      <c r="D46" t="s">
        <v>246</v>
      </c>
    </row>
    <row r="47" spans="3:11" x14ac:dyDescent="0.35">
      <c r="D47" t="s">
        <v>247</v>
      </c>
    </row>
    <row r="48" spans="3:11" x14ac:dyDescent="0.35">
      <c r="D48" t="s">
        <v>248</v>
      </c>
    </row>
    <row r="49" spans="3:4" x14ac:dyDescent="0.35">
      <c r="C49" t="s">
        <v>168</v>
      </c>
      <c r="D49" t="s">
        <v>249</v>
      </c>
    </row>
    <row r="50" spans="3:4" x14ac:dyDescent="0.35">
      <c r="D50" t="s">
        <v>250</v>
      </c>
    </row>
    <row r="51" spans="3:4" x14ac:dyDescent="0.35">
      <c r="D51" t="s">
        <v>251</v>
      </c>
    </row>
    <row r="52" spans="3:4" x14ac:dyDescent="0.35">
      <c r="D52" t="s">
        <v>254</v>
      </c>
    </row>
    <row r="53" spans="3:4" x14ac:dyDescent="0.35">
      <c r="D53" t="s">
        <v>252</v>
      </c>
    </row>
    <row r="54" spans="3:4" x14ac:dyDescent="0.35">
      <c r="D54" t="s">
        <v>253</v>
      </c>
    </row>
    <row r="55" spans="3:4" x14ac:dyDescent="0.35">
      <c r="D55" t="s">
        <v>255</v>
      </c>
    </row>
    <row r="56" spans="3:4" x14ac:dyDescent="0.35">
      <c r="D56" t="s">
        <v>256</v>
      </c>
    </row>
    <row r="57" spans="3:4" x14ac:dyDescent="0.35">
      <c r="D57" t="s">
        <v>257</v>
      </c>
    </row>
    <row r="58" spans="3:4" x14ac:dyDescent="0.35">
      <c r="D58" t="s">
        <v>259</v>
      </c>
    </row>
    <row r="59" spans="3:4" x14ac:dyDescent="0.35">
      <c r="D59" t="s">
        <v>268</v>
      </c>
    </row>
    <row r="60" spans="3:4" x14ac:dyDescent="0.35">
      <c r="C60" t="s">
        <v>183</v>
      </c>
      <c r="D60" t="s">
        <v>260</v>
      </c>
    </row>
    <row r="61" spans="3:4" x14ac:dyDescent="0.35">
      <c r="D61" t="s">
        <v>258</v>
      </c>
    </row>
    <row r="62" spans="3:4" x14ac:dyDescent="0.35">
      <c r="D62" t="s">
        <v>248</v>
      </c>
    </row>
    <row r="63" spans="3:4" x14ac:dyDescent="0.35">
      <c r="D63" t="s">
        <v>261</v>
      </c>
    </row>
    <row r="64" spans="3:4" x14ac:dyDescent="0.35">
      <c r="D64" t="s">
        <v>262</v>
      </c>
    </row>
    <row r="65" spans="3:4" x14ac:dyDescent="0.35">
      <c r="D65" t="s">
        <v>263</v>
      </c>
    </row>
    <row r="66" spans="3:4" x14ac:dyDescent="0.35">
      <c r="D66" t="s">
        <v>264</v>
      </c>
    </row>
    <row r="67" spans="3:4" x14ac:dyDescent="0.35">
      <c r="C67" t="s">
        <v>178</v>
      </c>
      <c r="D67" t="s">
        <v>265</v>
      </c>
    </row>
    <row r="68" spans="3:4" x14ac:dyDescent="0.35">
      <c r="D68" t="s">
        <v>266</v>
      </c>
    </row>
    <row r="69" spans="3:4" x14ac:dyDescent="0.35">
      <c r="D69" t="s">
        <v>267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49"/>
  <sheetViews>
    <sheetView topLeftCell="A38" zoomScaleNormal="100" workbookViewId="0">
      <selection activeCell="C50" sqref="C50"/>
    </sheetView>
  </sheetViews>
  <sheetFormatPr defaultRowHeight="14.5" x14ac:dyDescent="0.35"/>
  <cols>
    <col min="2" max="2" width="3" bestFit="1" customWidth="1"/>
    <col min="3" max="3" width="155.26953125" customWidth="1"/>
  </cols>
  <sheetData>
    <row r="2" spans="2:3" ht="15" customHeight="1" x14ac:dyDescent="0.35">
      <c r="B2" s="49">
        <v>1</v>
      </c>
      <c r="C2" s="52" t="s">
        <v>271</v>
      </c>
    </row>
    <row r="3" spans="2:3" x14ac:dyDescent="0.35">
      <c r="B3" s="49">
        <v>2</v>
      </c>
      <c r="C3" s="50" t="s">
        <v>272</v>
      </c>
    </row>
    <row r="4" spans="2:3" x14ac:dyDescent="0.35">
      <c r="B4" s="49">
        <v>3</v>
      </c>
      <c r="C4" s="51" t="s">
        <v>273</v>
      </c>
    </row>
    <row r="5" spans="2:3" x14ac:dyDescent="0.35">
      <c r="B5" s="49">
        <v>4</v>
      </c>
      <c r="C5" s="50" t="s">
        <v>274</v>
      </c>
    </row>
    <row r="6" spans="2:3" x14ac:dyDescent="0.35">
      <c r="B6" s="49">
        <v>5</v>
      </c>
      <c r="C6" s="51" t="s">
        <v>275</v>
      </c>
    </row>
    <row r="7" spans="2:3" ht="29" x14ac:dyDescent="0.35">
      <c r="B7" s="49">
        <v>6</v>
      </c>
      <c r="C7" s="50" t="s">
        <v>276</v>
      </c>
    </row>
    <row r="8" spans="2:3" ht="72.5" x14ac:dyDescent="0.35">
      <c r="B8" s="49">
        <v>7</v>
      </c>
      <c r="C8" s="50" t="s">
        <v>277</v>
      </c>
    </row>
    <row r="9" spans="2:3" x14ac:dyDescent="0.35">
      <c r="B9" s="49">
        <v>8</v>
      </c>
      <c r="C9" s="51" t="s">
        <v>278</v>
      </c>
    </row>
    <row r="10" spans="2:3" x14ac:dyDescent="0.35">
      <c r="B10" s="49">
        <v>9</v>
      </c>
      <c r="C10" s="51" t="s">
        <v>279</v>
      </c>
    </row>
    <row r="11" spans="2:3" x14ac:dyDescent="0.35">
      <c r="B11" s="49">
        <v>10</v>
      </c>
      <c r="C11" s="51" t="s">
        <v>280</v>
      </c>
    </row>
    <row r="12" spans="2:3" x14ac:dyDescent="0.35">
      <c r="B12" s="49">
        <v>11</v>
      </c>
      <c r="C12" s="51" t="s">
        <v>281</v>
      </c>
    </row>
    <row r="13" spans="2:3" x14ac:dyDescent="0.35">
      <c r="B13" s="49">
        <v>12</v>
      </c>
      <c r="C13" s="51" t="s">
        <v>282</v>
      </c>
    </row>
    <row r="14" spans="2:3" x14ac:dyDescent="0.35">
      <c r="B14" s="49">
        <v>13</v>
      </c>
      <c r="C14" s="51" t="s">
        <v>283</v>
      </c>
    </row>
    <row r="15" spans="2:3" x14ac:dyDescent="0.35">
      <c r="B15" s="49">
        <v>14</v>
      </c>
      <c r="C15" s="51" t="s">
        <v>273</v>
      </c>
    </row>
    <row r="16" spans="2:3" x14ac:dyDescent="0.35">
      <c r="B16" s="49">
        <v>15</v>
      </c>
      <c r="C16" s="51" t="s">
        <v>285</v>
      </c>
    </row>
    <row r="17" spans="2:3" x14ac:dyDescent="0.35">
      <c r="B17" s="70">
        <v>16</v>
      </c>
      <c r="C17" s="55" t="s">
        <v>286</v>
      </c>
    </row>
    <row r="18" spans="2:3" x14ac:dyDescent="0.35">
      <c r="B18" s="54">
        <v>17</v>
      </c>
      <c r="C18" s="55" t="s">
        <v>287</v>
      </c>
    </row>
    <row r="19" spans="2:3" x14ac:dyDescent="0.35">
      <c r="B19" s="53">
        <v>18</v>
      </c>
      <c r="C19" s="49" t="s">
        <v>288</v>
      </c>
    </row>
    <row r="20" spans="2:3" x14ac:dyDescent="0.35">
      <c r="B20" s="54">
        <v>19</v>
      </c>
      <c r="C20" s="49" t="s">
        <v>324</v>
      </c>
    </row>
    <row r="21" spans="2:3" x14ac:dyDescent="0.35">
      <c r="B21" s="56">
        <v>20</v>
      </c>
      <c r="C21" s="49" t="s">
        <v>289</v>
      </c>
    </row>
    <row r="22" spans="2:3" x14ac:dyDescent="0.35">
      <c r="B22" s="54">
        <v>21</v>
      </c>
      <c r="C22" s="49" t="s">
        <v>288</v>
      </c>
    </row>
    <row r="23" spans="2:3" s="64" customFormat="1" ht="29.25" customHeight="1" x14ac:dyDescent="0.35">
      <c r="B23" s="63">
        <v>22</v>
      </c>
      <c r="C23" s="52" t="s">
        <v>316</v>
      </c>
    </row>
    <row r="24" spans="2:3" s="64" customFormat="1" ht="30.75" customHeight="1" x14ac:dyDescent="0.35">
      <c r="B24" s="65">
        <v>23</v>
      </c>
      <c r="C24" s="52" t="s">
        <v>317</v>
      </c>
    </row>
    <row r="25" spans="2:3" x14ac:dyDescent="0.35">
      <c r="B25" s="56">
        <v>24</v>
      </c>
      <c r="C25" s="49" t="s">
        <v>320</v>
      </c>
    </row>
    <row r="26" spans="2:3" x14ac:dyDescent="0.35">
      <c r="B26" s="54">
        <v>25</v>
      </c>
      <c r="C26" s="49" t="s">
        <v>318</v>
      </c>
    </row>
    <row r="27" spans="2:3" x14ac:dyDescent="0.35">
      <c r="B27" s="65">
        <v>26</v>
      </c>
      <c r="C27" s="56" t="s">
        <v>319</v>
      </c>
    </row>
    <row r="28" spans="2:3" x14ac:dyDescent="0.35">
      <c r="B28" s="66">
        <v>27</v>
      </c>
      <c r="C28" s="49" t="s">
        <v>321</v>
      </c>
    </row>
    <row r="29" spans="2:3" ht="43.5" x14ac:dyDescent="0.35">
      <c r="B29" s="69">
        <v>28</v>
      </c>
      <c r="C29" s="50" t="s">
        <v>322</v>
      </c>
    </row>
    <row r="30" spans="2:3" x14ac:dyDescent="0.35">
      <c r="B30" s="65">
        <v>29</v>
      </c>
      <c r="C30" s="49" t="s">
        <v>323</v>
      </c>
    </row>
    <row r="31" spans="2:3" ht="29" x14ac:dyDescent="0.35">
      <c r="B31" s="71">
        <v>30</v>
      </c>
      <c r="C31" s="50" t="s">
        <v>325</v>
      </c>
    </row>
    <row r="32" spans="2:3" x14ac:dyDescent="0.35">
      <c r="B32" s="65">
        <v>31</v>
      </c>
      <c r="C32" s="49" t="s">
        <v>326</v>
      </c>
    </row>
    <row r="33" spans="2:4" x14ac:dyDescent="0.35">
      <c r="B33" s="65">
        <v>32</v>
      </c>
      <c r="C33" s="49" t="s">
        <v>327</v>
      </c>
    </row>
    <row r="34" spans="2:4" ht="36.75" customHeight="1" x14ac:dyDescent="0.35">
      <c r="B34" s="71">
        <v>33</v>
      </c>
      <c r="C34" s="55" t="s">
        <v>328</v>
      </c>
    </row>
    <row r="35" spans="2:4" x14ac:dyDescent="0.35">
      <c r="B35" s="73">
        <v>34</v>
      </c>
      <c r="C35" s="49" t="s">
        <v>336</v>
      </c>
    </row>
    <row r="36" spans="2:4" ht="58" x14ac:dyDescent="0.35">
      <c r="B36" s="63">
        <v>35</v>
      </c>
      <c r="C36" s="50" t="s">
        <v>338</v>
      </c>
    </row>
    <row r="37" spans="2:4" x14ac:dyDescent="0.35">
      <c r="B37" s="49">
        <v>36</v>
      </c>
      <c r="C37" s="50" t="s">
        <v>347</v>
      </c>
    </row>
    <row r="38" spans="2:4" x14ac:dyDescent="0.35">
      <c r="B38" s="49">
        <f t="shared" ref="B38:B44" si="0">B37+1</f>
        <v>37</v>
      </c>
      <c r="C38" s="49" t="s">
        <v>343</v>
      </c>
    </row>
    <row r="39" spans="2:4" x14ac:dyDescent="0.35">
      <c r="B39" s="49">
        <f t="shared" si="0"/>
        <v>38</v>
      </c>
      <c r="C39" s="49" t="s">
        <v>344</v>
      </c>
    </row>
    <row r="40" spans="2:4" x14ac:dyDescent="0.35">
      <c r="B40" s="49">
        <f t="shared" si="0"/>
        <v>39</v>
      </c>
      <c r="C40" s="49" t="s">
        <v>345</v>
      </c>
    </row>
    <row r="41" spans="2:4" x14ac:dyDescent="0.35">
      <c r="B41" s="49">
        <f t="shared" si="0"/>
        <v>40</v>
      </c>
      <c r="C41" s="49" t="s">
        <v>346</v>
      </c>
    </row>
    <row r="42" spans="2:4" ht="29.5" thickBot="1" x14ac:dyDescent="0.4">
      <c r="B42" s="74">
        <f t="shared" si="0"/>
        <v>41</v>
      </c>
      <c r="C42" s="75" t="s">
        <v>348</v>
      </c>
    </row>
    <row r="43" spans="2:4" ht="29" x14ac:dyDescent="0.35">
      <c r="B43" s="78">
        <f t="shared" si="0"/>
        <v>42</v>
      </c>
      <c r="C43" s="83" t="s">
        <v>353</v>
      </c>
      <c r="D43" t="s">
        <v>354</v>
      </c>
    </row>
    <row r="44" spans="2:4" ht="15" thickBot="1" x14ac:dyDescent="0.4">
      <c r="B44" s="80">
        <f t="shared" si="0"/>
        <v>43</v>
      </c>
      <c r="C44" s="82" t="s">
        <v>349</v>
      </c>
    </row>
    <row r="45" spans="2:4" ht="15" thickBot="1" x14ac:dyDescent="0.4">
      <c r="B45" s="76">
        <f t="shared" ref="B45:B49" si="1">B44+1</f>
        <v>44</v>
      </c>
      <c r="C45" s="77" t="s">
        <v>350</v>
      </c>
    </row>
    <row r="46" spans="2:4" ht="29" x14ac:dyDescent="0.35">
      <c r="B46" s="78">
        <f t="shared" si="1"/>
        <v>45</v>
      </c>
      <c r="C46" s="79" t="s">
        <v>351</v>
      </c>
    </row>
    <row r="47" spans="2:4" ht="15" thickBot="1" x14ac:dyDescent="0.4">
      <c r="B47" s="80">
        <f t="shared" si="1"/>
        <v>46</v>
      </c>
      <c r="C47" s="81" t="s">
        <v>352</v>
      </c>
    </row>
    <row r="48" spans="2:4" x14ac:dyDescent="0.35">
      <c r="B48" s="84">
        <f t="shared" si="1"/>
        <v>47</v>
      </c>
      <c r="C48" s="85" t="s">
        <v>355</v>
      </c>
    </row>
    <row r="49" spans="2:3" x14ac:dyDescent="0.35">
      <c r="B49" s="84">
        <f t="shared" si="1"/>
        <v>48</v>
      </c>
      <c r="C49" s="85" t="s">
        <v>356</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45"/>
    <col min="2" max="2" width="12.26953125" style="45" customWidth="1"/>
    <col min="3" max="16384" width="9.1796875" style="45"/>
  </cols>
  <sheetData>
    <row r="2" spans="1:12" x14ac:dyDescent="0.35">
      <c r="B2" s="57" t="s">
        <v>290</v>
      </c>
      <c r="C2" s="192"/>
      <c r="D2" s="192"/>
    </row>
    <row r="3" spans="1:12" x14ac:dyDescent="0.35">
      <c r="D3" s="58"/>
      <c r="E3" s="58"/>
      <c r="F3" s="58"/>
      <c r="G3" s="58"/>
      <c r="H3" s="58"/>
      <c r="I3" s="58"/>
    </row>
    <row r="4" spans="1:12" x14ac:dyDescent="0.35">
      <c r="A4" s="57" t="s">
        <v>65</v>
      </c>
      <c r="B4" s="59" t="s">
        <v>291</v>
      </c>
      <c r="C4" s="193" t="s">
        <v>292</v>
      </c>
      <c r="D4" s="193"/>
      <c r="E4" s="193"/>
      <c r="F4" s="59"/>
      <c r="G4" s="194" t="s">
        <v>293</v>
      </c>
      <c r="H4" s="194"/>
      <c r="I4" s="194"/>
      <c r="J4" s="195" t="s">
        <v>294</v>
      </c>
      <c r="K4" s="195"/>
      <c r="L4" s="195"/>
    </row>
    <row r="5" spans="1:12" x14ac:dyDescent="0.35">
      <c r="A5" s="57"/>
      <c r="B5" s="59"/>
      <c r="C5" s="59" t="s">
        <v>295</v>
      </c>
      <c r="D5" s="59" t="s">
        <v>296</v>
      </c>
      <c r="E5" s="59" t="s">
        <v>297</v>
      </c>
      <c r="F5" s="59"/>
      <c r="G5" s="59" t="s">
        <v>295</v>
      </c>
      <c r="H5" s="59" t="s">
        <v>296</v>
      </c>
      <c r="I5" s="59" t="s">
        <v>297</v>
      </c>
      <c r="J5" s="59" t="s">
        <v>295</v>
      </c>
      <c r="K5" s="59" t="s">
        <v>296</v>
      </c>
      <c r="L5" s="59" t="s">
        <v>297</v>
      </c>
    </row>
    <row r="6" spans="1:12" x14ac:dyDescent="0.35">
      <c r="B6" s="46" t="s">
        <v>298</v>
      </c>
      <c r="C6" s="46"/>
      <c r="D6" s="46"/>
      <c r="E6" s="46">
        <f>C6*D6</f>
        <v>0</v>
      </c>
      <c r="F6" s="46" t="s">
        <v>315</v>
      </c>
      <c r="G6" s="46"/>
      <c r="H6" s="46"/>
      <c r="I6" s="46">
        <f>G6*H6</f>
        <v>0</v>
      </c>
      <c r="J6" s="46"/>
      <c r="K6" s="46"/>
      <c r="L6" s="46">
        <f>J6*K6</f>
        <v>0</v>
      </c>
    </row>
    <row r="7" spans="1:12" x14ac:dyDescent="0.35">
      <c r="B7" s="46"/>
      <c r="C7" s="46"/>
      <c r="D7" s="46"/>
      <c r="E7" s="46">
        <f t="shared" ref="E7:E41" si="0">C7*D7</f>
        <v>0</v>
      </c>
      <c r="F7" s="46" t="s">
        <v>315</v>
      </c>
      <c r="G7" s="46"/>
      <c r="H7" s="46"/>
      <c r="I7" s="46">
        <f t="shared" ref="I7:I35" si="1">G7*H7</f>
        <v>0</v>
      </c>
      <c r="J7" s="46"/>
      <c r="K7" s="46"/>
      <c r="L7" s="46">
        <f t="shared" ref="L7:L35" si="2">J7*K7</f>
        <v>0</v>
      </c>
    </row>
    <row r="8" spans="1:12" x14ac:dyDescent="0.35">
      <c r="B8" s="46"/>
      <c r="C8" s="46"/>
      <c r="D8" s="46"/>
      <c r="E8" s="46">
        <f t="shared" si="0"/>
        <v>0</v>
      </c>
      <c r="F8" s="46"/>
      <c r="G8" s="46"/>
      <c r="H8" s="46"/>
      <c r="I8" s="46">
        <f t="shared" si="1"/>
        <v>0</v>
      </c>
      <c r="J8" s="46"/>
      <c r="K8" s="46"/>
      <c r="L8" s="46">
        <f t="shared" si="2"/>
        <v>0</v>
      </c>
    </row>
    <row r="9" spans="1:12" x14ac:dyDescent="0.35">
      <c r="B9" s="46"/>
      <c r="C9" s="46"/>
      <c r="D9" s="46"/>
      <c r="E9" s="46">
        <f t="shared" si="0"/>
        <v>0</v>
      </c>
      <c r="F9" s="46" t="s">
        <v>299</v>
      </c>
      <c r="G9" s="46"/>
      <c r="H9" s="46"/>
      <c r="I9" s="46">
        <f t="shared" si="1"/>
        <v>0</v>
      </c>
      <c r="J9" s="46"/>
      <c r="K9" s="46"/>
      <c r="L9" s="46">
        <f t="shared" si="2"/>
        <v>0</v>
      </c>
    </row>
    <row r="10" spans="1:12" x14ac:dyDescent="0.35">
      <c r="B10" s="46" t="s">
        <v>300</v>
      </c>
      <c r="C10" s="46"/>
      <c r="D10" s="46"/>
      <c r="E10" s="46">
        <f t="shared" si="0"/>
        <v>0</v>
      </c>
      <c r="F10" s="46" t="s">
        <v>299</v>
      </c>
      <c r="G10" s="46"/>
      <c r="H10" s="46"/>
      <c r="I10" s="46">
        <f t="shared" si="1"/>
        <v>0</v>
      </c>
      <c r="J10" s="46"/>
      <c r="K10" s="46"/>
      <c r="L10" s="46">
        <f t="shared" si="2"/>
        <v>0</v>
      </c>
    </row>
    <row r="11" spans="1:12" x14ac:dyDescent="0.35">
      <c r="B11" s="46"/>
      <c r="C11" s="46"/>
      <c r="D11" s="46"/>
      <c r="E11" s="46">
        <f t="shared" si="0"/>
        <v>0</v>
      </c>
      <c r="F11" s="46" t="s">
        <v>301</v>
      </c>
      <c r="G11" s="46"/>
      <c r="H11" s="46"/>
      <c r="I11" s="46">
        <f t="shared" si="1"/>
        <v>0</v>
      </c>
      <c r="J11" s="46"/>
      <c r="K11" s="46"/>
      <c r="L11" s="46">
        <f t="shared" si="2"/>
        <v>0</v>
      </c>
    </row>
    <row r="12" spans="1:12" x14ac:dyDescent="0.35">
      <c r="B12" s="46"/>
      <c r="C12" s="46"/>
      <c r="D12" s="46"/>
      <c r="E12" s="46">
        <f t="shared" si="0"/>
        <v>0</v>
      </c>
      <c r="F12" s="46"/>
      <c r="G12" s="46"/>
      <c r="H12" s="46"/>
      <c r="I12" s="46">
        <f t="shared" si="1"/>
        <v>0</v>
      </c>
      <c r="J12" s="46"/>
      <c r="K12" s="46"/>
      <c r="L12" s="46">
        <f t="shared" si="2"/>
        <v>0</v>
      </c>
    </row>
    <row r="13" spans="1:12" x14ac:dyDescent="0.35">
      <c r="B13" s="46"/>
      <c r="C13" s="46"/>
      <c r="D13" s="46"/>
      <c r="E13" s="46">
        <f t="shared" si="0"/>
        <v>0</v>
      </c>
      <c r="F13" s="46"/>
      <c r="G13" s="46"/>
      <c r="H13" s="46"/>
      <c r="I13" s="46">
        <f t="shared" si="1"/>
        <v>0</v>
      </c>
      <c r="J13" s="46"/>
      <c r="K13" s="46"/>
      <c r="L13" s="46">
        <f t="shared" si="2"/>
        <v>0</v>
      </c>
    </row>
    <row r="14" spans="1:12" x14ac:dyDescent="0.35">
      <c r="B14" s="46" t="s">
        <v>302</v>
      </c>
      <c r="C14" s="46"/>
      <c r="D14" s="46"/>
      <c r="E14" s="46">
        <f t="shared" si="0"/>
        <v>0</v>
      </c>
      <c r="F14" s="46" t="s">
        <v>299</v>
      </c>
      <c r="G14" s="46"/>
      <c r="H14" s="46"/>
      <c r="I14" s="46">
        <f t="shared" si="1"/>
        <v>0</v>
      </c>
      <c r="J14" s="46"/>
      <c r="K14" s="46"/>
      <c r="L14" s="46">
        <f t="shared" si="2"/>
        <v>0</v>
      </c>
    </row>
    <row r="15" spans="1:12" x14ac:dyDescent="0.35">
      <c r="B15" s="46"/>
      <c r="C15" s="46"/>
      <c r="D15" s="46"/>
      <c r="E15" s="46">
        <f t="shared" si="0"/>
        <v>0</v>
      </c>
      <c r="F15" s="46" t="s">
        <v>301</v>
      </c>
      <c r="G15" s="46"/>
      <c r="H15" s="46"/>
      <c r="I15" s="46">
        <f t="shared" si="1"/>
        <v>0</v>
      </c>
      <c r="J15" s="46"/>
      <c r="K15" s="46"/>
      <c r="L15" s="46">
        <f t="shared" si="2"/>
        <v>0</v>
      </c>
    </row>
    <row r="16" spans="1:12" x14ac:dyDescent="0.35">
      <c r="B16" s="46"/>
      <c r="C16" s="46"/>
      <c r="D16" s="46"/>
      <c r="E16" s="46">
        <f t="shared" si="0"/>
        <v>0</v>
      </c>
      <c r="F16" s="46"/>
      <c r="G16" s="46"/>
      <c r="H16" s="46"/>
      <c r="I16" s="46">
        <f t="shared" si="1"/>
        <v>0</v>
      </c>
      <c r="J16" s="46"/>
      <c r="K16" s="46"/>
      <c r="L16" s="46">
        <f t="shared" si="2"/>
        <v>0</v>
      </c>
    </row>
    <row r="17" spans="2:12" x14ac:dyDescent="0.35">
      <c r="B17" s="46"/>
      <c r="C17" s="46"/>
      <c r="D17" s="46"/>
      <c r="E17" s="46">
        <f t="shared" si="0"/>
        <v>0</v>
      </c>
      <c r="F17" s="46"/>
      <c r="G17" s="46"/>
      <c r="H17" s="46"/>
      <c r="I17" s="46">
        <f t="shared" si="1"/>
        <v>0</v>
      </c>
      <c r="J17" s="46"/>
      <c r="K17" s="46"/>
      <c r="L17" s="46">
        <f t="shared" si="2"/>
        <v>0</v>
      </c>
    </row>
    <row r="18" spans="2:12" x14ac:dyDescent="0.35">
      <c r="B18" s="46" t="s">
        <v>303</v>
      </c>
      <c r="C18" s="46"/>
      <c r="D18" s="46"/>
      <c r="E18" s="46">
        <f t="shared" si="0"/>
        <v>0</v>
      </c>
      <c r="F18" s="46" t="s">
        <v>299</v>
      </c>
      <c r="G18" s="46"/>
      <c r="H18" s="46"/>
      <c r="I18" s="46">
        <f t="shared" si="1"/>
        <v>0</v>
      </c>
      <c r="J18" s="46"/>
      <c r="K18" s="46"/>
      <c r="L18" s="46">
        <f t="shared" si="2"/>
        <v>0</v>
      </c>
    </row>
    <row r="19" spans="2:12" x14ac:dyDescent="0.35">
      <c r="B19" s="46"/>
      <c r="C19" s="46"/>
      <c r="D19" s="46"/>
      <c r="E19" s="46">
        <f t="shared" si="0"/>
        <v>0</v>
      </c>
      <c r="F19" s="46" t="s">
        <v>301</v>
      </c>
      <c r="G19" s="46"/>
      <c r="H19" s="46"/>
      <c r="I19" s="46">
        <f t="shared" si="1"/>
        <v>0</v>
      </c>
      <c r="J19" s="46"/>
      <c r="K19" s="46"/>
      <c r="L19" s="46">
        <f t="shared" si="2"/>
        <v>0</v>
      </c>
    </row>
    <row r="20" spans="2:12" x14ac:dyDescent="0.35">
      <c r="B20" s="46"/>
      <c r="C20" s="46"/>
      <c r="D20" s="46"/>
      <c r="E20" s="46">
        <f t="shared" si="0"/>
        <v>0</v>
      </c>
      <c r="F20" s="46"/>
      <c r="G20" s="46"/>
      <c r="H20" s="46"/>
      <c r="I20" s="46">
        <f t="shared" si="1"/>
        <v>0</v>
      </c>
      <c r="J20" s="46"/>
      <c r="K20" s="46"/>
      <c r="L20" s="46">
        <f t="shared" si="2"/>
        <v>0</v>
      </c>
    </row>
    <row r="21" spans="2:12" x14ac:dyDescent="0.35">
      <c r="B21" s="46" t="s">
        <v>304</v>
      </c>
      <c r="C21" s="46"/>
      <c r="D21" s="46"/>
      <c r="E21" s="46">
        <f t="shared" si="0"/>
        <v>0</v>
      </c>
      <c r="F21" s="46" t="s">
        <v>299</v>
      </c>
      <c r="G21" s="46"/>
      <c r="H21" s="46"/>
      <c r="I21" s="46">
        <f t="shared" si="1"/>
        <v>0</v>
      </c>
      <c r="J21" s="46"/>
      <c r="K21" s="46"/>
      <c r="L21" s="46">
        <f t="shared" si="2"/>
        <v>0</v>
      </c>
    </row>
    <row r="22" spans="2:12" x14ac:dyDescent="0.35">
      <c r="B22" s="46"/>
      <c r="C22" s="46"/>
      <c r="D22" s="46"/>
      <c r="E22" s="46">
        <f t="shared" si="0"/>
        <v>0</v>
      </c>
      <c r="F22" s="46" t="s">
        <v>301</v>
      </c>
      <c r="G22" s="46"/>
      <c r="H22" s="46"/>
      <c r="I22" s="46">
        <f t="shared" si="1"/>
        <v>0</v>
      </c>
      <c r="J22" s="46"/>
      <c r="K22" s="46"/>
      <c r="L22" s="46">
        <f t="shared" si="2"/>
        <v>0</v>
      </c>
    </row>
    <row r="23" spans="2:12" x14ac:dyDescent="0.35">
      <c r="B23" s="46"/>
      <c r="C23" s="46"/>
      <c r="D23" s="46"/>
      <c r="E23" s="46">
        <f t="shared" si="0"/>
        <v>0</v>
      </c>
      <c r="F23" s="46"/>
      <c r="G23" s="46"/>
      <c r="H23" s="46"/>
      <c r="I23" s="46">
        <f t="shared" si="1"/>
        <v>0</v>
      </c>
      <c r="J23" s="46"/>
      <c r="K23" s="46"/>
      <c r="L23" s="46">
        <f t="shared" si="2"/>
        <v>0</v>
      </c>
    </row>
    <row r="24" spans="2:12" x14ac:dyDescent="0.35">
      <c r="B24" s="46" t="s">
        <v>305</v>
      </c>
      <c r="C24" s="46"/>
      <c r="D24" s="46"/>
      <c r="E24" s="46">
        <f t="shared" si="0"/>
        <v>0</v>
      </c>
      <c r="F24" s="46" t="s">
        <v>306</v>
      </c>
      <c r="G24" s="46"/>
      <c r="H24" s="46"/>
      <c r="I24" s="46">
        <f t="shared" si="1"/>
        <v>0</v>
      </c>
      <c r="J24" s="46"/>
      <c r="K24" s="46"/>
      <c r="L24" s="46">
        <f t="shared" si="2"/>
        <v>0</v>
      </c>
    </row>
    <row r="25" spans="2:12" x14ac:dyDescent="0.35">
      <c r="B25" s="46"/>
      <c r="C25" s="46"/>
      <c r="D25" s="46"/>
      <c r="E25" s="46">
        <f>C25*D25</f>
        <v>0</v>
      </c>
      <c r="F25" s="46" t="s">
        <v>306</v>
      </c>
      <c r="G25" s="46"/>
      <c r="H25" s="46"/>
      <c r="I25" s="46">
        <f>G25*H25</f>
        <v>0</v>
      </c>
      <c r="J25" s="46"/>
      <c r="K25" s="46"/>
      <c r="L25" s="46">
        <f>J25*K25</f>
        <v>0</v>
      </c>
    </row>
    <row r="26" spans="2:12" x14ac:dyDescent="0.35">
      <c r="B26" s="46"/>
      <c r="C26" s="46"/>
      <c r="D26" s="46"/>
      <c r="E26" s="46">
        <f>C26*D26</f>
        <v>0</v>
      </c>
      <c r="F26" s="46" t="s">
        <v>306</v>
      </c>
      <c r="G26" s="46"/>
      <c r="H26" s="46"/>
      <c r="I26" s="46">
        <f>G26*H26</f>
        <v>0</v>
      </c>
      <c r="J26" s="46"/>
      <c r="K26" s="46"/>
      <c r="L26" s="46">
        <f>J26*K26</f>
        <v>0</v>
      </c>
    </row>
    <row r="27" spans="2:12" x14ac:dyDescent="0.35">
      <c r="B27" s="46"/>
      <c r="C27" s="46"/>
      <c r="D27" s="46"/>
      <c r="E27" s="46">
        <f>C27*D27</f>
        <v>0</v>
      </c>
      <c r="F27" s="46" t="s">
        <v>306</v>
      </c>
      <c r="G27" s="46"/>
      <c r="H27" s="46"/>
      <c r="I27" s="46">
        <f>G27*H27</f>
        <v>0</v>
      </c>
      <c r="J27" s="46"/>
      <c r="K27" s="46"/>
      <c r="L27" s="46">
        <f>J27*K27</f>
        <v>0</v>
      </c>
    </row>
    <row r="28" spans="2:12" x14ac:dyDescent="0.35">
      <c r="B28" s="46" t="s">
        <v>307</v>
      </c>
      <c r="C28" s="46"/>
      <c r="D28" s="46"/>
      <c r="E28" s="46">
        <f t="shared" si="0"/>
        <v>0</v>
      </c>
      <c r="F28" s="46" t="s">
        <v>306</v>
      </c>
      <c r="G28" s="46"/>
      <c r="H28" s="46"/>
      <c r="I28" s="46">
        <f t="shared" si="1"/>
        <v>0</v>
      </c>
      <c r="J28" s="46"/>
      <c r="K28" s="46"/>
      <c r="L28" s="46">
        <f t="shared" si="2"/>
        <v>0</v>
      </c>
    </row>
    <row r="29" spans="2:12" x14ac:dyDescent="0.35">
      <c r="B29" s="46" t="s">
        <v>308</v>
      </c>
      <c r="C29" s="46"/>
      <c r="D29" s="46"/>
      <c r="E29" s="46">
        <f t="shared" si="0"/>
        <v>0</v>
      </c>
      <c r="F29" s="46" t="s">
        <v>306</v>
      </c>
      <c r="G29" s="46"/>
      <c r="H29" s="46"/>
      <c r="I29" s="46">
        <f t="shared" si="1"/>
        <v>0</v>
      </c>
      <c r="J29" s="46"/>
      <c r="K29" s="46"/>
      <c r="L29" s="46">
        <f t="shared" si="2"/>
        <v>0</v>
      </c>
    </row>
    <row r="30" spans="2:12" x14ac:dyDescent="0.35">
      <c r="B30" s="46" t="s">
        <v>312</v>
      </c>
      <c r="C30" s="46"/>
      <c r="D30" s="46"/>
      <c r="E30" s="46">
        <f t="shared" si="0"/>
        <v>0</v>
      </c>
      <c r="F30" s="46"/>
      <c r="G30" s="46"/>
      <c r="H30" s="46"/>
      <c r="I30" s="46">
        <f t="shared" si="1"/>
        <v>0</v>
      </c>
      <c r="J30" s="46"/>
      <c r="K30" s="46"/>
      <c r="L30" s="46">
        <f t="shared" si="2"/>
        <v>0</v>
      </c>
    </row>
    <row r="31" spans="2:12" x14ac:dyDescent="0.35">
      <c r="B31" s="46"/>
      <c r="C31" s="46"/>
      <c r="D31" s="46"/>
      <c r="E31" s="46">
        <f>C31*D31</f>
        <v>0</v>
      </c>
      <c r="F31" s="46"/>
      <c r="G31" s="46"/>
      <c r="H31" s="46"/>
      <c r="I31" s="46">
        <f>G31*H31</f>
        <v>0</v>
      </c>
      <c r="J31" s="46"/>
      <c r="K31" s="46"/>
      <c r="L31" s="46">
        <f>J31*K31</f>
        <v>0</v>
      </c>
    </row>
    <row r="32" spans="2:12" x14ac:dyDescent="0.35">
      <c r="B32" s="46"/>
      <c r="C32" s="46"/>
      <c r="D32" s="46"/>
      <c r="E32" s="46">
        <f>C32*D32</f>
        <v>0</v>
      </c>
      <c r="F32" s="46"/>
      <c r="G32" s="46"/>
      <c r="H32" s="46"/>
      <c r="I32" s="46">
        <f>G32*H32</f>
        <v>0</v>
      </c>
      <c r="J32" s="46"/>
      <c r="K32" s="46"/>
      <c r="L32" s="46">
        <f>J32*K32</f>
        <v>0</v>
      </c>
    </row>
    <row r="33" spans="2:12" x14ac:dyDescent="0.35">
      <c r="B33" s="46" t="s">
        <v>309</v>
      </c>
      <c r="C33" s="46"/>
      <c r="D33" s="46"/>
      <c r="E33" s="46">
        <f t="shared" si="0"/>
        <v>0</v>
      </c>
      <c r="F33" s="46"/>
      <c r="G33" s="46"/>
      <c r="H33" s="46"/>
      <c r="I33" s="46">
        <f t="shared" si="1"/>
        <v>0</v>
      </c>
      <c r="J33" s="46"/>
      <c r="K33" s="46"/>
      <c r="L33" s="46">
        <f t="shared" si="2"/>
        <v>0</v>
      </c>
    </row>
    <row r="34" spans="2:12" x14ac:dyDescent="0.35">
      <c r="B34" s="46" t="s">
        <v>313</v>
      </c>
      <c r="C34" s="46"/>
      <c r="D34" s="46"/>
      <c r="E34" s="46">
        <f t="shared" si="0"/>
        <v>0</v>
      </c>
      <c r="F34" s="46"/>
      <c r="G34" s="46"/>
      <c r="H34" s="46"/>
      <c r="I34" s="46">
        <f t="shared" si="1"/>
        <v>0</v>
      </c>
      <c r="J34" s="46"/>
      <c r="K34" s="46"/>
      <c r="L34" s="46">
        <f t="shared" si="2"/>
        <v>0</v>
      </c>
    </row>
    <row r="35" spans="2:12" x14ac:dyDescent="0.35">
      <c r="B35" s="46" t="s">
        <v>310</v>
      </c>
      <c r="C35" s="46"/>
      <c r="D35" s="46"/>
      <c r="E35" s="46">
        <f t="shared" si="0"/>
        <v>0</v>
      </c>
      <c r="F35" s="46"/>
      <c r="G35" s="46"/>
      <c r="H35" s="46"/>
      <c r="I35" s="46">
        <f t="shared" si="1"/>
        <v>0</v>
      </c>
      <c r="J35" s="46"/>
      <c r="K35" s="46"/>
      <c r="L35" s="46">
        <f t="shared" si="2"/>
        <v>0</v>
      </c>
    </row>
    <row r="36" spans="2:12" x14ac:dyDescent="0.35">
      <c r="B36" s="46" t="s">
        <v>311</v>
      </c>
      <c r="C36" s="46"/>
      <c r="D36" s="46"/>
      <c r="E36" s="46">
        <f t="shared" si="0"/>
        <v>0</v>
      </c>
      <c r="F36" s="46"/>
      <c r="G36" s="46"/>
      <c r="H36" s="46"/>
      <c r="I36" s="46">
        <f t="shared" ref="I36:I41" si="3">G36*H36</f>
        <v>0</v>
      </c>
      <c r="J36" s="46"/>
      <c r="K36" s="46"/>
      <c r="L36" s="46">
        <f t="shared" ref="L36:L41" si="4">J36*K36</f>
        <v>0</v>
      </c>
    </row>
    <row r="37" spans="2:12" x14ac:dyDescent="0.35">
      <c r="B37" s="46"/>
      <c r="C37" s="46"/>
      <c r="D37" s="46"/>
      <c r="E37" s="46">
        <f>C37*D37</f>
        <v>0</v>
      </c>
      <c r="F37" s="46"/>
      <c r="G37" s="46"/>
      <c r="H37" s="46"/>
      <c r="I37" s="46">
        <f t="shared" si="3"/>
        <v>0</v>
      </c>
      <c r="J37" s="46"/>
      <c r="K37" s="46"/>
      <c r="L37" s="46">
        <f t="shared" si="4"/>
        <v>0</v>
      </c>
    </row>
    <row r="38" spans="2:12" x14ac:dyDescent="0.35">
      <c r="B38" s="46" t="s">
        <v>314</v>
      </c>
      <c r="C38" s="46"/>
      <c r="D38" s="46"/>
      <c r="E38" s="46">
        <f>C38*D38</f>
        <v>0</v>
      </c>
      <c r="F38" s="46"/>
      <c r="G38" s="46"/>
      <c r="H38" s="46"/>
      <c r="I38" s="46">
        <f t="shared" si="3"/>
        <v>0</v>
      </c>
      <c r="J38" s="46"/>
      <c r="K38" s="46"/>
      <c r="L38" s="46">
        <f t="shared" si="4"/>
        <v>0</v>
      </c>
    </row>
    <row r="39" spans="2:12" x14ac:dyDescent="0.35">
      <c r="B39" s="46"/>
      <c r="C39" s="46"/>
      <c r="D39" s="46"/>
      <c r="E39" s="46">
        <f t="shared" si="0"/>
        <v>0</v>
      </c>
      <c r="F39" s="46"/>
      <c r="G39" s="46"/>
      <c r="H39" s="46"/>
      <c r="I39" s="46">
        <f t="shared" si="3"/>
        <v>0</v>
      </c>
      <c r="J39" s="46"/>
      <c r="K39" s="46"/>
      <c r="L39" s="46">
        <f t="shared" si="4"/>
        <v>0</v>
      </c>
    </row>
    <row r="40" spans="2:12" x14ac:dyDescent="0.35">
      <c r="B40" s="46"/>
      <c r="C40" s="46"/>
      <c r="D40" s="46"/>
      <c r="E40" s="46">
        <f t="shared" si="0"/>
        <v>0</v>
      </c>
      <c r="F40" s="46"/>
      <c r="G40" s="46"/>
      <c r="H40" s="46"/>
      <c r="I40" s="46">
        <f t="shared" si="3"/>
        <v>0</v>
      </c>
      <c r="J40" s="46"/>
      <c r="K40" s="46"/>
      <c r="L40" s="46">
        <f t="shared" si="4"/>
        <v>0</v>
      </c>
    </row>
    <row r="41" spans="2:12" x14ac:dyDescent="0.35">
      <c r="B41" s="46"/>
      <c r="C41" s="46"/>
      <c r="D41" s="46"/>
      <c r="E41" s="46">
        <f t="shared" si="0"/>
        <v>0</v>
      </c>
      <c r="F41" s="46"/>
      <c r="G41" s="46"/>
      <c r="H41" s="46"/>
      <c r="I41" s="46">
        <f t="shared" si="3"/>
        <v>0</v>
      </c>
      <c r="J41" s="46"/>
      <c r="K41" s="46"/>
      <c r="L41" s="46">
        <f t="shared" si="4"/>
        <v>0</v>
      </c>
    </row>
    <row r="42" spans="2:12" x14ac:dyDescent="0.35">
      <c r="B42" s="46" t="s">
        <v>143</v>
      </c>
      <c r="C42" s="46"/>
      <c r="D42" s="46">
        <f>E42*10.764</f>
        <v>0</v>
      </c>
      <c r="E42" s="62">
        <f>SUM(E6:E41)</f>
        <v>0</v>
      </c>
      <c r="F42" s="46"/>
      <c r="G42" s="46"/>
      <c r="H42" s="46">
        <f>I42*10.764</f>
        <v>0</v>
      </c>
      <c r="I42" s="61">
        <f>SUM(I6:I41)</f>
        <v>0</v>
      </c>
      <c r="J42" s="46"/>
      <c r="K42" s="46">
        <f>L42*10.764</f>
        <v>0</v>
      </c>
      <c r="L42" s="60">
        <f>SUM(L6:L41)</f>
        <v>0</v>
      </c>
    </row>
    <row r="44" spans="2:12" x14ac:dyDescent="0.35">
      <c r="D44" s="45">
        <f>D42+H42</f>
        <v>0</v>
      </c>
      <c r="E44" s="45">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2025-03-28T09:44:34Z</cp:lastPrinted>
  <dcterms:created xsi:type="dcterms:W3CDTF">2019-07-16T09:29:46Z</dcterms:created>
  <dcterms:modified xsi:type="dcterms:W3CDTF">2025-08-16T09:53:47Z</dcterms:modified>
</cp:coreProperties>
</file>