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E6864026-AC23-42FC-B492-59B49829F7E6}" xr6:coauthVersionLast="47" xr6:coauthVersionMax="47" xr10:uidLastSave="{00000000-0000-0000-0000-000000000000}"/>
  <bookViews>
    <workbookView showSheetTabs="0" xWindow="-120" yWindow="-120" windowWidth="20730" windowHeight="11160"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Report!$A$1:$H$680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4" i="1" l="1"/>
  <c r="F451" i="1"/>
  <c r="F450" i="1"/>
  <c r="F449" i="1"/>
  <c r="F438" i="1"/>
  <c r="F315" i="1"/>
  <c r="F291" i="1"/>
  <c r="F270" i="1"/>
  <c r="D451" i="1" l="1"/>
  <c r="D315" i="1"/>
  <c r="D462" i="1"/>
  <c r="D468" i="1"/>
  <c r="F474" i="1"/>
  <c r="F473" i="1"/>
  <c r="F400" i="1"/>
  <c r="D400" i="1"/>
  <c r="C22" i="5"/>
  <c r="F150" i="1"/>
  <c r="F151" i="1"/>
  <c r="I386" i="1"/>
  <c r="F483" i="1"/>
  <c r="D483" i="1"/>
  <c r="E483" i="1" s="1"/>
  <c r="F482" i="1"/>
  <c r="D482" i="1"/>
  <c r="E482" i="1" s="1"/>
  <c r="F481" i="1"/>
  <c r="D481" i="1"/>
  <c r="E481" i="1" s="1"/>
  <c r="F480" i="1"/>
  <c r="D480" i="1"/>
  <c r="E480" i="1" s="1"/>
  <c r="F479" i="1"/>
  <c r="D479" i="1"/>
  <c r="F478" i="1"/>
  <c r="D478" i="1"/>
  <c r="F477" i="1"/>
  <c r="D477" i="1"/>
  <c r="F476" i="1"/>
  <c r="D476" i="1"/>
  <c r="F475" i="1"/>
  <c r="D475" i="1"/>
  <c r="D474" i="1"/>
  <c r="D473" i="1"/>
  <c r="F472" i="1"/>
  <c r="D472" i="1"/>
  <c r="F471" i="1"/>
  <c r="D471" i="1"/>
  <c r="F470" i="1"/>
  <c r="D470" i="1"/>
  <c r="F469" i="1"/>
  <c r="D469" i="1"/>
  <c r="F466" i="1"/>
  <c r="F467" i="1"/>
  <c r="F468" i="1"/>
  <c r="D466" i="1"/>
  <c r="D467" i="1"/>
  <c r="F462" i="1"/>
  <c r="F461" i="1"/>
  <c r="D461" i="1"/>
  <c r="F459" i="1"/>
  <c r="F460" i="1"/>
  <c r="D459" i="1"/>
  <c r="D460" i="1"/>
  <c r="F454" i="1"/>
  <c r="D454" i="1"/>
  <c r="F453" i="1"/>
  <c r="E453" i="1"/>
  <c r="F452" i="1"/>
  <c r="D450" i="1"/>
  <c r="D449" i="1"/>
  <c r="F448" i="1"/>
  <c r="D448" i="1"/>
  <c r="F447" i="1"/>
  <c r="D447" i="1"/>
  <c r="F446" i="1"/>
  <c r="D446" i="1"/>
  <c r="F445" i="1"/>
  <c r="F443" i="1"/>
  <c r="F444" i="1"/>
  <c r="D443" i="1"/>
  <c r="D444" i="1"/>
  <c r="F441" i="1"/>
  <c r="D441" i="1"/>
  <c r="F440" i="1"/>
  <c r="D440" i="1"/>
  <c r="F439" i="1"/>
  <c r="D439" i="1"/>
  <c r="D437" i="1"/>
  <c r="E437" i="1" s="1"/>
  <c r="D438" i="1"/>
  <c r="E438" i="1" s="1"/>
  <c r="F434" i="1"/>
  <c r="D434" i="1"/>
  <c r="F433" i="1"/>
  <c r="D433" i="1"/>
  <c r="F432" i="1"/>
  <c r="D432" i="1"/>
  <c r="F431" i="1"/>
  <c r="D431" i="1"/>
  <c r="F430" i="1"/>
  <c r="D430" i="1"/>
  <c r="F429" i="1"/>
  <c r="D429" i="1"/>
  <c r="F428" i="1"/>
  <c r="D428" i="1"/>
  <c r="F427" i="1"/>
  <c r="F426" i="1"/>
  <c r="F425" i="1"/>
  <c r="F424" i="1"/>
  <c r="F423" i="1"/>
  <c r="D423" i="1"/>
  <c r="F421" i="1"/>
  <c r="F417" i="1"/>
  <c r="D417" i="1"/>
  <c r="F416" i="1"/>
  <c r="D416" i="1"/>
  <c r="F412" i="1"/>
  <c r="D412" i="1"/>
  <c r="F411" i="1"/>
  <c r="D411" i="1"/>
  <c r="F410" i="1"/>
  <c r="D410" i="1"/>
  <c r="F409" i="1"/>
  <c r="D409" i="1"/>
  <c r="F408" i="1"/>
  <c r="D408" i="1"/>
  <c r="F407" i="1"/>
  <c r="D407" i="1"/>
  <c r="F406" i="1"/>
  <c r="D406" i="1"/>
  <c r="F405" i="1"/>
  <c r="D405" i="1"/>
  <c r="F404" i="1"/>
  <c r="D404" i="1"/>
  <c r="F403" i="1"/>
  <c r="D403" i="1"/>
  <c r="F402" i="1"/>
  <c r="D402" i="1"/>
  <c r="F401" i="1"/>
  <c r="D401" i="1"/>
  <c r="F399" i="1"/>
  <c r="D399" i="1"/>
  <c r="F398" i="1"/>
  <c r="D398" i="1"/>
  <c r="D396" i="1"/>
  <c r="F396" i="1"/>
  <c r="F397" i="1"/>
  <c r="D397" i="1"/>
  <c r="F395" i="1"/>
  <c r="F394" i="1"/>
  <c r="D394" i="1"/>
  <c r="F382" i="1"/>
  <c r="F381" i="1"/>
  <c r="F380" i="1"/>
  <c r="D380" i="1"/>
  <c r="F379" i="1"/>
  <c r="D379" i="1"/>
  <c r="F378" i="1"/>
  <c r="D378" i="1"/>
  <c r="F377" i="1"/>
  <c r="D377" i="1"/>
  <c r="F376" i="1"/>
  <c r="D376" i="1"/>
  <c r="F375" i="1"/>
  <c r="D375" i="1"/>
  <c r="F374" i="1"/>
  <c r="F360" i="1"/>
  <c r="D360" i="1"/>
  <c r="F359" i="1"/>
  <c r="D359" i="1"/>
  <c r="F333" i="1"/>
  <c r="D333" i="1"/>
  <c r="F332" i="1"/>
  <c r="D332" i="1"/>
  <c r="F331" i="1"/>
  <c r="D331" i="1"/>
  <c r="F330" i="1"/>
  <c r="D330" i="1"/>
  <c r="F329" i="1"/>
  <c r="D329" i="1"/>
  <c r="F328" i="1"/>
  <c r="D328" i="1"/>
  <c r="F327" i="1"/>
  <c r="D327" i="1"/>
  <c r="F326" i="1"/>
  <c r="D326" i="1"/>
  <c r="F325" i="1"/>
  <c r="D325" i="1"/>
  <c r="F324" i="1"/>
  <c r="D324" i="1"/>
  <c r="F323" i="1"/>
  <c r="D323" i="1"/>
  <c r="F322" i="1"/>
  <c r="D322" i="1"/>
  <c r="F321" i="1"/>
  <c r="D321" i="1"/>
  <c r="D320" i="1"/>
  <c r="F314" i="1"/>
  <c r="D314" i="1"/>
  <c r="F313" i="1"/>
  <c r="D313" i="1"/>
  <c r="E313" i="1" s="1"/>
  <c r="F312" i="1"/>
  <c r="D312" i="1"/>
  <c r="F311" i="1"/>
  <c r="D311" i="1"/>
  <c r="F310" i="1"/>
  <c r="D310" i="1"/>
  <c r="F309" i="1"/>
  <c r="D309" i="1"/>
  <c r="F308" i="1"/>
  <c r="D308" i="1"/>
  <c r="F307" i="1"/>
  <c r="D307" i="1"/>
  <c r="F306" i="1"/>
  <c r="D306" i="1"/>
  <c r="F305" i="1"/>
  <c r="D305" i="1"/>
  <c r="F304" i="1"/>
  <c r="D304" i="1"/>
  <c r="F303" i="1"/>
  <c r="D303" i="1"/>
  <c r="F302" i="1"/>
  <c r="D302" i="1"/>
  <c r="F301" i="1"/>
  <c r="D301" i="1"/>
  <c r="F300" i="1"/>
  <c r="G135" i="1" s="1"/>
  <c r="D300" i="1"/>
  <c r="C135" i="1" s="1"/>
  <c r="F299" i="1"/>
  <c r="D299" i="1"/>
  <c r="F298" i="1"/>
  <c r="D298" i="1"/>
  <c r="F297" i="1"/>
  <c r="F296" i="1"/>
  <c r="D296" i="1"/>
  <c r="F295" i="1"/>
  <c r="D295" i="1"/>
  <c r="F294" i="1"/>
  <c r="D294" i="1"/>
  <c r="F293" i="1"/>
  <c r="D293" i="1"/>
  <c r="F290" i="1"/>
  <c r="D290" i="1"/>
  <c r="F289" i="1"/>
  <c r="D289" i="1"/>
  <c r="F287" i="1"/>
  <c r="F286" i="1"/>
  <c r="F283" i="1"/>
  <c r="D283" i="1"/>
  <c r="F282" i="1"/>
  <c r="D282" i="1"/>
  <c r="F281" i="1"/>
  <c r="D281" i="1"/>
  <c r="F278" i="1"/>
  <c r="D278" i="1"/>
  <c r="F277" i="1"/>
  <c r="D277" i="1"/>
  <c r="F273" i="1"/>
  <c r="D273" i="1"/>
  <c r="F272" i="1"/>
  <c r="D272" i="1"/>
  <c r="F266" i="1"/>
  <c r="D266" i="1"/>
  <c r="F265" i="1"/>
  <c r="D265" i="1"/>
  <c r="F260" i="1"/>
  <c r="D260" i="1"/>
  <c r="F259" i="1"/>
  <c r="D259" i="1"/>
  <c r="F258" i="1"/>
  <c r="D258" i="1"/>
  <c r="F257" i="1"/>
  <c r="D257" i="1"/>
  <c r="F256" i="1"/>
  <c r="D256" i="1"/>
  <c r="F255" i="1"/>
  <c r="D255" i="1"/>
  <c r="F254" i="1"/>
  <c r="D254" i="1"/>
  <c r="F253" i="1"/>
  <c r="D253" i="1"/>
  <c r="F252" i="1"/>
  <c r="D252" i="1"/>
  <c r="F251" i="1"/>
  <c r="D251" i="1"/>
  <c r="F250" i="1"/>
  <c r="D250" i="1"/>
  <c r="F249" i="1"/>
  <c r="F248" i="1"/>
  <c r="F239" i="1"/>
  <c r="F238" i="1"/>
  <c r="F237" i="1"/>
  <c r="D237" i="1"/>
  <c r="F236" i="1"/>
  <c r="D236" i="1"/>
  <c r="F223" i="1"/>
  <c r="D223" i="1"/>
  <c r="A223" i="1"/>
  <c r="F222" i="1"/>
  <c r="G136" i="1" s="1"/>
  <c r="D222" i="1"/>
  <c r="C136" i="1" s="1"/>
  <c r="F221" i="1"/>
  <c r="D221" i="1"/>
  <c r="E221" i="1" s="1"/>
  <c r="F217" i="1"/>
  <c r="D217" i="1"/>
  <c r="F216" i="1"/>
  <c r="F211" i="1"/>
  <c r="D211" i="1"/>
  <c r="F210" i="1"/>
  <c r="D210" i="1"/>
  <c r="F209" i="1"/>
  <c r="D209" i="1"/>
  <c r="F208" i="1"/>
  <c r="D208" i="1"/>
  <c r="F207" i="1"/>
  <c r="D207" i="1"/>
  <c r="F206" i="1"/>
  <c r="D206" i="1"/>
  <c r="E206" i="1" s="1"/>
  <c r="F205" i="1"/>
  <c r="D205" i="1"/>
  <c r="F204" i="1"/>
  <c r="D204" i="1"/>
  <c r="F203" i="1"/>
  <c r="D203" i="1"/>
  <c r="F202" i="1"/>
  <c r="D202" i="1"/>
  <c r="F201" i="1"/>
  <c r="D201" i="1"/>
  <c r="F200" i="1"/>
  <c r="D200" i="1"/>
  <c r="F199" i="1"/>
  <c r="D199" i="1"/>
  <c r="E199" i="1" s="1"/>
  <c r="F193" i="1"/>
  <c r="D193" i="1"/>
  <c r="F192" i="1"/>
  <c r="F187" i="1"/>
  <c r="D187" i="1"/>
  <c r="F186" i="1"/>
  <c r="D186" i="1"/>
  <c r="F180" i="1"/>
  <c r="F178" i="1"/>
  <c r="F173" i="1"/>
  <c r="D173" i="1"/>
  <c r="F172" i="1"/>
  <c r="D172" i="1"/>
  <c r="F171" i="1"/>
  <c r="F162" i="1"/>
  <c r="D162" i="1"/>
  <c r="F161" i="1"/>
  <c r="F152" i="1"/>
  <c r="D152" i="1"/>
  <c r="D151" i="1"/>
  <c r="D150" i="1"/>
  <c r="F149" i="1"/>
  <c r="D149" i="1"/>
  <c r="F148" i="1"/>
  <c r="D148" i="1"/>
  <c r="F147" i="1"/>
  <c r="D147" i="1"/>
  <c r="F146" i="1"/>
  <c r="D146" i="1"/>
  <c r="F145" i="1"/>
  <c r="D145" i="1"/>
  <c r="F144" i="1"/>
  <c r="D144" i="1"/>
  <c r="F143" i="1"/>
  <c r="D143" i="1"/>
  <c r="F142" i="1"/>
  <c r="D142" i="1"/>
  <c r="E142" i="1" s="1"/>
  <c r="D422" i="1" l="1"/>
  <c r="I31" i="1" l="1"/>
  <c r="F465" i="1" l="1"/>
  <c r="F464" i="1"/>
  <c r="F463" i="1"/>
  <c r="F458" i="1"/>
  <c r="F457" i="1"/>
  <c r="F456" i="1"/>
  <c r="F455" i="1"/>
  <c r="F442" i="1"/>
  <c r="F437" i="1"/>
  <c r="F436" i="1"/>
  <c r="F435" i="1"/>
  <c r="F422" i="1"/>
  <c r="F420" i="1"/>
  <c r="F419" i="1"/>
  <c r="F418" i="1"/>
  <c r="F415" i="1"/>
  <c r="F414" i="1"/>
  <c r="F413" i="1"/>
  <c r="F393" i="1"/>
  <c r="F392" i="1"/>
  <c r="F391" i="1"/>
  <c r="F390" i="1"/>
  <c r="F389" i="1"/>
  <c r="F388" i="1"/>
  <c r="F387" i="1"/>
  <c r="F386" i="1"/>
  <c r="F385" i="1"/>
  <c r="F384" i="1"/>
  <c r="F383" i="1"/>
  <c r="F373" i="1"/>
  <c r="F372" i="1"/>
  <c r="F371" i="1"/>
  <c r="F370" i="1"/>
  <c r="F369" i="1"/>
  <c r="F368" i="1"/>
  <c r="F367" i="1"/>
  <c r="F366" i="1"/>
  <c r="F365" i="1"/>
  <c r="F364" i="1"/>
  <c r="F363" i="1"/>
  <c r="F362" i="1"/>
  <c r="F361"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20" i="1"/>
  <c r="F319" i="1"/>
  <c r="F318" i="1"/>
  <c r="F317" i="1"/>
  <c r="F316" i="1"/>
  <c r="F292" i="1"/>
  <c r="F288" i="1"/>
  <c r="F285" i="1"/>
  <c r="F284" i="1"/>
  <c r="F280" i="1"/>
  <c r="F279" i="1"/>
  <c r="F276" i="1"/>
  <c r="F275" i="1"/>
  <c r="F274" i="1"/>
  <c r="F271" i="1"/>
  <c r="F269" i="1"/>
  <c r="F268" i="1"/>
  <c r="F267" i="1"/>
  <c r="F264" i="1"/>
  <c r="F263" i="1"/>
  <c r="F262" i="1"/>
  <c r="F261" i="1"/>
  <c r="F247" i="1"/>
  <c r="F246" i="1"/>
  <c r="F245" i="1"/>
  <c r="F244" i="1"/>
  <c r="F243" i="1"/>
  <c r="F242" i="1"/>
  <c r="F241" i="1"/>
  <c r="F240" i="1"/>
  <c r="F235" i="1"/>
  <c r="F234" i="1"/>
  <c r="F233" i="1"/>
  <c r="F232" i="1"/>
  <c r="F231" i="1"/>
  <c r="F230" i="1"/>
  <c r="F229" i="1"/>
  <c r="F228" i="1"/>
  <c r="F227" i="1"/>
  <c r="F226" i="1"/>
  <c r="F225" i="1"/>
  <c r="F224" i="1"/>
  <c r="F220" i="1"/>
  <c r="F219" i="1"/>
  <c r="F218" i="1"/>
  <c r="F215" i="1"/>
  <c r="F214" i="1"/>
  <c r="F213" i="1"/>
  <c r="F212" i="1"/>
  <c r="F198" i="1"/>
  <c r="F197" i="1"/>
  <c r="F196" i="1"/>
  <c r="F195" i="1"/>
  <c r="F194" i="1"/>
  <c r="F191" i="1"/>
  <c r="F190" i="1"/>
  <c r="F189" i="1"/>
  <c r="F188" i="1"/>
  <c r="F185" i="1"/>
  <c r="F184" i="1"/>
  <c r="F183" i="1"/>
  <c r="F182" i="1"/>
  <c r="F181" i="1"/>
  <c r="F177" i="1"/>
  <c r="F176" i="1"/>
  <c r="F175" i="1"/>
  <c r="F174" i="1"/>
  <c r="F170" i="1"/>
  <c r="F169" i="1"/>
  <c r="F168" i="1"/>
  <c r="F167" i="1"/>
  <c r="F166" i="1"/>
  <c r="F165" i="1"/>
  <c r="F164" i="1"/>
  <c r="F163" i="1"/>
  <c r="F160" i="1"/>
  <c r="F159" i="1"/>
  <c r="F158" i="1"/>
  <c r="F157" i="1"/>
  <c r="F156" i="1"/>
  <c r="F155" i="1"/>
  <c r="F154" i="1"/>
  <c r="F153" i="1"/>
  <c r="E159" i="1"/>
  <c r="E243" i="1"/>
  <c r="E424" i="1"/>
  <c r="E425" i="1"/>
  <c r="E426" i="1"/>
  <c r="E427" i="1"/>
  <c r="E479" i="1"/>
  <c r="E478" i="1"/>
  <c r="E477" i="1"/>
  <c r="E476" i="1"/>
  <c r="E475" i="1"/>
  <c r="E474" i="1"/>
  <c r="E473" i="1"/>
  <c r="E472" i="1"/>
  <c r="E471" i="1"/>
  <c r="E470" i="1"/>
  <c r="E469" i="1"/>
  <c r="E468" i="1"/>
  <c r="E467" i="1"/>
  <c r="E466" i="1"/>
  <c r="D465" i="1"/>
  <c r="E465" i="1" s="1"/>
  <c r="D464" i="1"/>
  <c r="E464" i="1" s="1"/>
  <c r="D463" i="1"/>
  <c r="E463" i="1" s="1"/>
  <c r="E462" i="1"/>
  <c r="E461" i="1"/>
  <c r="E460" i="1"/>
  <c r="E459" i="1"/>
  <c r="D458" i="1"/>
  <c r="E458" i="1" s="1"/>
  <c r="D457" i="1"/>
  <c r="E457" i="1" s="1"/>
  <c r="D456" i="1"/>
  <c r="E456" i="1" s="1"/>
  <c r="D455" i="1"/>
  <c r="E455" i="1" s="1"/>
  <c r="E454" i="1"/>
  <c r="E452" i="1"/>
  <c r="E451" i="1"/>
  <c r="E450" i="1"/>
  <c r="E449" i="1"/>
  <c r="E448" i="1"/>
  <c r="E447" i="1"/>
  <c r="E446" i="1"/>
  <c r="E445" i="1"/>
  <c r="E444" i="1"/>
  <c r="E443" i="1"/>
  <c r="D442" i="1"/>
  <c r="E442" i="1" s="1"/>
  <c r="E441" i="1"/>
  <c r="E440" i="1"/>
  <c r="E439" i="1"/>
  <c r="D436" i="1"/>
  <c r="E436" i="1" s="1"/>
  <c r="D435" i="1"/>
  <c r="E435" i="1" s="1"/>
  <c r="E434" i="1"/>
  <c r="E433" i="1"/>
  <c r="E432" i="1"/>
  <c r="E431" i="1"/>
  <c r="E430" i="1"/>
  <c r="E429" i="1"/>
  <c r="E428" i="1"/>
  <c r="E423" i="1"/>
  <c r="E422" i="1"/>
  <c r="E421" i="1"/>
  <c r="D420" i="1"/>
  <c r="E420" i="1" s="1"/>
  <c r="D419" i="1"/>
  <c r="E419" i="1" s="1"/>
  <c r="D418" i="1"/>
  <c r="E418" i="1" s="1"/>
  <c r="E417" i="1"/>
  <c r="E416" i="1"/>
  <c r="D415" i="1"/>
  <c r="E415" i="1" s="1"/>
  <c r="D414" i="1"/>
  <c r="E414" i="1" s="1"/>
  <c r="D413" i="1"/>
  <c r="E413" i="1" s="1"/>
  <c r="E412" i="1"/>
  <c r="E411" i="1"/>
  <c r="E410" i="1"/>
  <c r="E409" i="1"/>
  <c r="E408" i="1"/>
  <c r="E407" i="1"/>
  <c r="E406" i="1"/>
  <c r="E405" i="1"/>
  <c r="E404" i="1"/>
  <c r="E403" i="1"/>
  <c r="E402" i="1"/>
  <c r="E401" i="1"/>
  <c r="E400" i="1"/>
  <c r="E399" i="1"/>
  <c r="E398" i="1"/>
  <c r="E397" i="1"/>
  <c r="E396" i="1"/>
  <c r="E395" i="1"/>
  <c r="E394" i="1"/>
  <c r="D393" i="1"/>
  <c r="E393" i="1" s="1"/>
  <c r="D392" i="1"/>
  <c r="E392" i="1" s="1"/>
  <c r="D391" i="1"/>
  <c r="E391" i="1" s="1"/>
  <c r="D390" i="1"/>
  <c r="E390" i="1" s="1"/>
  <c r="D389" i="1"/>
  <c r="E389" i="1" s="1"/>
  <c r="D388" i="1"/>
  <c r="E388" i="1" s="1"/>
  <c r="D387" i="1"/>
  <c r="E387" i="1" s="1"/>
  <c r="D386" i="1"/>
  <c r="E386" i="1" s="1"/>
  <c r="D385" i="1"/>
  <c r="E385" i="1" s="1"/>
  <c r="D384" i="1"/>
  <c r="E384" i="1" s="1"/>
  <c r="D383" i="1"/>
  <c r="E383" i="1" s="1"/>
  <c r="E382" i="1"/>
  <c r="E381" i="1"/>
  <c r="E380" i="1"/>
  <c r="E379" i="1"/>
  <c r="E378" i="1"/>
  <c r="E377" i="1"/>
  <c r="E376" i="1"/>
  <c r="E375" i="1"/>
  <c r="D374" i="1"/>
  <c r="E374" i="1" s="1"/>
  <c r="D373" i="1"/>
  <c r="E373" i="1" s="1"/>
  <c r="D372" i="1"/>
  <c r="E372" i="1" s="1"/>
  <c r="D371" i="1"/>
  <c r="E371" i="1" s="1"/>
  <c r="D370" i="1"/>
  <c r="E370" i="1" s="1"/>
  <c r="D369" i="1"/>
  <c r="E369" i="1" s="1"/>
  <c r="D368" i="1"/>
  <c r="E368" i="1" s="1"/>
  <c r="D367" i="1"/>
  <c r="E367" i="1" s="1"/>
  <c r="D366" i="1"/>
  <c r="E366" i="1" s="1"/>
  <c r="D365" i="1"/>
  <c r="E365" i="1" s="1"/>
  <c r="D364" i="1"/>
  <c r="E364" i="1" s="1"/>
  <c r="D363" i="1"/>
  <c r="E363" i="1" s="1"/>
  <c r="D362" i="1"/>
  <c r="E362" i="1" s="1"/>
  <c r="D361" i="1"/>
  <c r="E361" i="1" s="1"/>
  <c r="E360" i="1"/>
  <c r="E359" i="1"/>
  <c r="D358" i="1"/>
  <c r="E358" i="1" s="1"/>
  <c r="D357" i="1"/>
  <c r="E357" i="1" s="1"/>
  <c r="D356" i="1"/>
  <c r="E356" i="1" s="1"/>
  <c r="D355" i="1"/>
  <c r="E355" i="1" s="1"/>
  <c r="D354" i="1"/>
  <c r="E354" i="1" s="1"/>
  <c r="D353" i="1"/>
  <c r="E353" i="1" s="1"/>
  <c r="E352" i="1"/>
  <c r="D351" i="1"/>
  <c r="E351" i="1" s="1"/>
  <c r="D350" i="1"/>
  <c r="E350" i="1" s="1"/>
  <c r="D349" i="1"/>
  <c r="E349" i="1" s="1"/>
  <c r="D348" i="1"/>
  <c r="E348" i="1" s="1"/>
  <c r="D347" i="1"/>
  <c r="E347" i="1" s="1"/>
  <c r="D346" i="1"/>
  <c r="E346" i="1" s="1"/>
  <c r="D345" i="1"/>
  <c r="E345" i="1" s="1"/>
  <c r="D344" i="1"/>
  <c r="E344" i="1" s="1"/>
  <c r="D343" i="1"/>
  <c r="E343" i="1" s="1"/>
  <c r="D342" i="1"/>
  <c r="E342" i="1" s="1"/>
  <c r="D341" i="1"/>
  <c r="E341" i="1" s="1"/>
  <c r="D340" i="1"/>
  <c r="E340" i="1" s="1"/>
  <c r="D339" i="1"/>
  <c r="E339" i="1" s="1"/>
  <c r="D338" i="1"/>
  <c r="E338" i="1" s="1"/>
  <c r="D337" i="1"/>
  <c r="E337" i="1" s="1"/>
  <c r="D336" i="1"/>
  <c r="E336" i="1" s="1"/>
  <c r="D335" i="1"/>
  <c r="E335" i="1" s="1"/>
  <c r="D334" i="1"/>
  <c r="E333" i="1"/>
  <c r="E332" i="1"/>
  <c r="E331" i="1"/>
  <c r="E330" i="1"/>
  <c r="E329" i="1"/>
  <c r="E328" i="1"/>
  <c r="E327" i="1"/>
  <c r="E326" i="1"/>
  <c r="E325" i="1"/>
  <c r="E324" i="1"/>
  <c r="E323" i="1"/>
  <c r="E322" i="1"/>
  <c r="E321" i="1"/>
  <c r="E320" i="1"/>
  <c r="D319" i="1"/>
  <c r="E319" i="1" s="1"/>
  <c r="D318" i="1"/>
  <c r="E318" i="1" s="1"/>
  <c r="D317" i="1"/>
  <c r="E317" i="1" s="1"/>
  <c r="D316" i="1"/>
  <c r="E316" i="1" s="1"/>
  <c r="E315" i="1"/>
  <c r="E314" i="1"/>
  <c r="E312" i="1"/>
  <c r="E311" i="1"/>
  <c r="E310" i="1"/>
  <c r="E309" i="1"/>
  <c r="E308" i="1"/>
  <c r="E307" i="1"/>
  <c r="E306" i="1"/>
  <c r="E305" i="1"/>
  <c r="E304" i="1"/>
  <c r="E303" i="1"/>
  <c r="E302" i="1"/>
  <c r="E301" i="1"/>
  <c r="E300" i="1"/>
  <c r="E135" i="1" s="1"/>
  <c r="E299" i="1"/>
  <c r="E298" i="1"/>
  <c r="D297" i="1"/>
  <c r="E297" i="1" s="1"/>
  <c r="E296" i="1"/>
  <c r="E295" i="1"/>
  <c r="E294" i="1"/>
  <c r="E293" i="1"/>
  <c r="D292" i="1"/>
  <c r="E292" i="1" s="1"/>
  <c r="D291" i="1"/>
  <c r="E291" i="1" s="1"/>
  <c r="E290" i="1"/>
  <c r="E289" i="1"/>
  <c r="D288" i="1"/>
  <c r="E288" i="1" s="1"/>
  <c r="D287" i="1"/>
  <c r="E287" i="1" s="1"/>
  <c r="D286" i="1"/>
  <c r="E286" i="1" s="1"/>
  <c r="D285" i="1"/>
  <c r="E285" i="1" s="1"/>
  <c r="D284" i="1"/>
  <c r="E284" i="1" s="1"/>
  <c r="E283" i="1"/>
  <c r="E282" i="1"/>
  <c r="E281" i="1"/>
  <c r="D280" i="1"/>
  <c r="E280" i="1" s="1"/>
  <c r="D279" i="1"/>
  <c r="E279" i="1" s="1"/>
  <c r="E278" i="1"/>
  <c r="E277" i="1"/>
  <c r="D276" i="1"/>
  <c r="E276" i="1" s="1"/>
  <c r="D275" i="1"/>
  <c r="E275" i="1" s="1"/>
  <c r="D274" i="1"/>
  <c r="E274" i="1" s="1"/>
  <c r="E273" i="1"/>
  <c r="E272" i="1"/>
  <c r="D271" i="1"/>
  <c r="E271" i="1" s="1"/>
  <c r="D270" i="1"/>
  <c r="E270" i="1" s="1"/>
  <c r="D269" i="1"/>
  <c r="E269" i="1" s="1"/>
  <c r="D268" i="1"/>
  <c r="E268" i="1" s="1"/>
  <c r="D267" i="1"/>
  <c r="E267" i="1" s="1"/>
  <c r="E266" i="1"/>
  <c r="E265" i="1"/>
  <c r="D264" i="1"/>
  <c r="E264" i="1" s="1"/>
  <c r="D263" i="1"/>
  <c r="E263" i="1" s="1"/>
  <c r="D262" i="1"/>
  <c r="E262" i="1" s="1"/>
  <c r="D261" i="1"/>
  <c r="E261" i="1" s="1"/>
  <c r="E260" i="1"/>
  <c r="E259" i="1"/>
  <c r="E258" i="1"/>
  <c r="E257" i="1"/>
  <c r="E256" i="1"/>
  <c r="E255" i="1"/>
  <c r="E254" i="1"/>
  <c r="E253" i="1"/>
  <c r="E252" i="1"/>
  <c r="E251" i="1"/>
  <c r="E250" i="1"/>
  <c r="D249" i="1"/>
  <c r="E249" i="1" s="1"/>
  <c r="D248" i="1"/>
  <c r="E248" i="1" s="1"/>
  <c r="D247" i="1"/>
  <c r="E247" i="1" s="1"/>
  <c r="D246" i="1"/>
  <c r="E246" i="1" s="1"/>
  <c r="D245" i="1"/>
  <c r="E245" i="1" s="1"/>
  <c r="D244" i="1"/>
  <c r="E244" i="1" s="1"/>
  <c r="D242" i="1"/>
  <c r="E242" i="1" s="1"/>
  <c r="D241" i="1"/>
  <c r="E241" i="1" s="1"/>
  <c r="D240" i="1"/>
  <c r="E240" i="1" s="1"/>
  <c r="D239" i="1"/>
  <c r="E239" i="1" s="1"/>
  <c r="D238" i="1"/>
  <c r="E238" i="1" s="1"/>
  <c r="E237" i="1"/>
  <c r="E236" i="1"/>
  <c r="D235" i="1"/>
  <c r="E235" i="1" s="1"/>
  <c r="D234" i="1"/>
  <c r="E234" i="1" s="1"/>
  <c r="D233" i="1"/>
  <c r="E233" i="1" s="1"/>
  <c r="D232" i="1"/>
  <c r="E232" i="1" s="1"/>
  <c r="D231" i="1"/>
  <c r="E231" i="1" s="1"/>
  <c r="D230" i="1"/>
  <c r="E230" i="1" s="1"/>
  <c r="D229" i="1"/>
  <c r="E229" i="1" s="1"/>
  <c r="D228" i="1"/>
  <c r="E228" i="1" s="1"/>
  <c r="D227" i="1"/>
  <c r="E227" i="1" s="1"/>
  <c r="D226" i="1"/>
  <c r="E226" i="1" s="1"/>
  <c r="D225" i="1"/>
  <c r="E225" i="1" s="1"/>
  <c r="D224" i="1"/>
  <c r="E224" i="1" s="1"/>
  <c r="E223" i="1"/>
  <c r="E222" i="1"/>
  <c r="E136" i="1" s="1"/>
  <c r="D220" i="1"/>
  <c r="E220" i="1" s="1"/>
  <c r="D219" i="1"/>
  <c r="E219" i="1" s="1"/>
  <c r="D218" i="1"/>
  <c r="E218" i="1" s="1"/>
  <c r="E217" i="1"/>
  <c r="D216" i="1"/>
  <c r="E216" i="1" s="1"/>
  <c r="D215" i="1"/>
  <c r="E215" i="1" s="1"/>
  <c r="D214" i="1"/>
  <c r="E214" i="1" s="1"/>
  <c r="D213" i="1"/>
  <c r="E213" i="1" s="1"/>
  <c r="D212" i="1"/>
  <c r="E212" i="1" s="1"/>
  <c r="E211" i="1"/>
  <c r="E210" i="1"/>
  <c r="E209" i="1"/>
  <c r="E208" i="1"/>
  <c r="E207" i="1"/>
  <c r="E205" i="1"/>
  <c r="E204" i="1"/>
  <c r="E203" i="1"/>
  <c r="E202" i="1"/>
  <c r="E201" i="1"/>
  <c r="E200" i="1"/>
  <c r="D198" i="1"/>
  <c r="E198" i="1" s="1"/>
  <c r="D197" i="1"/>
  <c r="E197" i="1" s="1"/>
  <c r="D196" i="1"/>
  <c r="E196" i="1" s="1"/>
  <c r="D195" i="1"/>
  <c r="E195" i="1" s="1"/>
  <c r="D194" i="1"/>
  <c r="E194" i="1" s="1"/>
  <c r="E193" i="1"/>
  <c r="D192" i="1"/>
  <c r="E192" i="1" s="1"/>
  <c r="D191" i="1"/>
  <c r="E191" i="1" s="1"/>
  <c r="D190" i="1"/>
  <c r="E190" i="1" s="1"/>
  <c r="D189" i="1"/>
  <c r="E189" i="1" s="1"/>
  <c r="D188" i="1"/>
  <c r="E188" i="1" s="1"/>
  <c r="E187" i="1"/>
  <c r="E186" i="1"/>
  <c r="D185" i="1"/>
  <c r="E185" i="1" s="1"/>
  <c r="D184" i="1"/>
  <c r="E184" i="1" s="1"/>
  <c r="D183" i="1"/>
  <c r="E183" i="1" s="1"/>
  <c r="D182" i="1"/>
  <c r="E182" i="1" s="1"/>
  <c r="D181" i="1"/>
  <c r="E181" i="1" s="1"/>
  <c r="D180" i="1"/>
  <c r="E180" i="1" s="1"/>
  <c r="E178" i="1"/>
  <c r="D177" i="1"/>
  <c r="E177" i="1" s="1"/>
  <c r="D176" i="1"/>
  <c r="E176" i="1" s="1"/>
  <c r="D175" i="1"/>
  <c r="E175" i="1" s="1"/>
  <c r="D174" i="1"/>
  <c r="E174" i="1" s="1"/>
  <c r="E173" i="1"/>
  <c r="E172" i="1"/>
  <c r="D171" i="1"/>
  <c r="E171" i="1" s="1"/>
  <c r="D170" i="1"/>
  <c r="E170" i="1" s="1"/>
  <c r="D169" i="1"/>
  <c r="E169" i="1" s="1"/>
  <c r="D168" i="1"/>
  <c r="E168" i="1" s="1"/>
  <c r="D167" i="1"/>
  <c r="E167" i="1" s="1"/>
  <c r="D166" i="1"/>
  <c r="E166" i="1" s="1"/>
  <c r="D165" i="1"/>
  <c r="E165" i="1" s="1"/>
  <c r="D164" i="1"/>
  <c r="E164" i="1" s="1"/>
  <c r="D163" i="1"/>
  <c r="E163" i="1" s="1"/>
  <c r="E162" i="1"/>
  <c r="D161" i="1"/>
  <c r="E161" i="1" s="1"/>
  <c r="D160" i="1"/>
  <c r="E160" i="1" s="1"/>
  <c r="D158" i="1"/>
  <c r="E158" i="1" s="1"/>
  <c r="D157" i="1"/>
  <c r="E157" i="1" s="1"/>
  <c r="D156" i="1"/>
  <c r="E156" i="1" s="1"/>
  <c r="D155" i="1"/>
  <c r="E155" i="1" s="1"/>
  <c r="D154" i="1"/>
  <c r="E154" i="1" s="1"/>
  <c r="D153" i="1"/>
  <c r="E152" i="1"/>
  <c r="E151" i="1"/>
  <c r="E150" i="1"/>
  <c r="E149" i="1"/>
  <c r="E148" i="1"/>
  <c r="E147" i="1"/>
  <c r="E146" i="1"/>
  <c r="E145" i="1"/>
  <c r="E144" i="1"/>
  <c r="E143" i="1"/>
  <c r="A144" i="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G134" i="1" l="1"/>
  <c r="I131" i="1"/>
  <c r="G133" i="1"/>
  <c r="E134" i="1"/>
  <c r="C134" i="1"/>
  <c r="I142" i="1"/>
  <c r="G132" i="1"/>
  <c r="C133" i="1"/>
  <c r="C132" i="1"/>
  <c r="E334" i="1"/>
  <c r="K133" i="1" s="1"/>
  <c r="E153" i="1"/>
  <c r="K132" i="1" s="1"/>
  <c r="J188" i="1"/>
  <c r="A174" i="1"/>
  <c r="A175" i="1" s="1"/>
  <c r="A176" i="1" s="1"/>
  <c r="A177" i="1" s="1"/>
  <c r="B486" i="1"/>
  <c r="E132" i="1" l="1"/>
  <c r="G137" i="1"/>
  <c r="E133" i="1"/>
  <c r="A180" i="1"/>
  <c r="A181" i="1" s="1"/>
  <c r="A182" i="1" s="1"/>
  <c r="A183" i="1" s="1"/>
  <c r="A184" i="1" s="1"/>
  <c r="A185" i="1" s="1"/>
  <c r="A186" i="1" s="1"/>
  <c r="A187" i="1" s="1"/>
  <c r="A188" i="1" s="1"/>
  <c r="A189" i="1" s="1"/>
  <c r="A190" i="1" s="1"/>
  <c r="A191" i="1" s="1"/>
  <c r="A192" i="1" s="1"/>
  <c r="A193" i="1" s="1"/>
  <c r="A194" i="1" s="1"/>
  <c r="A195" i="1" s="1"/>
  <c r="A196" i="1" s="1"/>
  <c r="A197" i="1" s="1"/>
  <c r="C137" i="1"/>
  <c r="G58" i="1"/>
  <c r="C58" i="1"/>
  <c r="G56" i="1"/>
  <c r="C56" i="1"/>
  <c r="C54" i="1"/>
  <c r="E137" i="1" l="1"/>
  <c r="L135" i="1" s="1"/>
  <c r="J141" i="1"/>
  <c r="L136" i="1"/>
  <c r="A198" i="1"/>
  <c r="A200" i="1" s="1"/>
  <c r="A201" i="1" s="1"/>
  <c r="A202" i="1" s="1"/>
  <c r="A203" i="1" s="1"/>
  <c r="A204" i="1" s="1"/>
  <c r="S33" i="1"/>
  <c r="A205" i="1" l="1"/>
  <c r="A207" i="1" s="1"/>
  <c r="A208" i="1" s="1"/>
  <c r="A209" i="1" s="1"/>
  <c r="A210" i="1" s="1"/>
  <c r="A211" i="1" s="1"/>
  <c r="F11" i="5"/>
  <c r="G11" i="5" s="1"/>
  <c r="F10" i="5"/>
  <c r="G10" i="5" s="1"/>
  <c r="F9" i="5"/>
  <c r="G9" i="5" s="1"/>
  <c r="F8" i="5"/>
  <c r="G8" i="5" s="1"/>
  <c r="F7" i="5"/>
  <c r="G7" i="5" s="1"/>
  <c r="F6" i="5"/>
  <c r="G6" i="5" s="1"/>
  <c r="F5" i="5"/>
  <c r="G5" i="5" s="1"/>
  <c r="G12" i="5" s="1"/>
  <c r="D508" i="1"/>
  <c r="F129" i="1"/>
  <c r="C103" i="1"/>
  <c r="C89" i="1"/>
  <c r="C75" i="1"/>
  <c r="D69" i="1"/>
  <c r="D62" i="1"/>
  <c r="G51" i="1"/>
  <c r="C51" i="1"/>
  <c r="E44" i="1"/>
  <c r="E45" i="1" s="1"/>
  <c r="E28" i="1"/>
  <c r="E26" i="1"/>
  <c r="C16" i="1"/>
  <c r="I15" i="1"/>
  <c r="Z13" i="1"/>
  <c r="E8" i="1"/>
  <c r="E3" i="1"/>
  <c r="H76" i="1"/>
  <c r="H104" i="1"/>
  <c r="H90" i="1"/>
  <c r="A212" i="1" l="1"/>
  <c r="A213" i="1" s="1"/>
  <c r="A214" i="1" s="1"/>
  <c r="A215" i="1" s="1"/>
  <c r="A216" i="1" s="1"/>
  <c r="A217" i="1" s="1"/>
  <c r="A218" i="1" s="1"/>
  <c r="A219" i="1" s="1"/>
  <c r="J75" i="1"/>
  <c r="J77" i="1" s="1"/>
  <c r="J78" i="1"/>
  <c r="J79" i="1"/>
  <c r="J80" i="1"/>
  <c r="C79" i="1" s="1"/>
  <c r="J94" i="1"/>
  <c r="C93" i="1" s="1"/>
  <c r="D93" i="1" s="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220" i="1" l="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D79" i="1"/>
  <c r="D109" i="1"/>
  <c r="J114" i="1"/>
  <c r="J111" i="1"/>
  <c r="J113" i="1"/>
  <c r="J112" i="1"/>
  <c r="J109" i="1"/>
  <c r="J110" i="1" s="1"/>
  <c r="J115" i="1" s="1"/>
  <c r="J116" i="1" s="1"/>
  <c r="C108" i="1" s="1"/>
  <c r="J100" i="1"/>
  <c r="J97" i="1"/>
  <c r="J99" i="1"/>
  <c r="J98" i="1"/>
  <c r="J95" i="1"/>
  <c r="J96" i="1" s="1"/>
  <c r="I90" i="1"/>
  <c r="I91" i="1" s="1"/>
  <c r="J85" i="1"/>
  <c r="J83" i="1"/>
  <c r="J84" i="1"/>
  <c r="J82" i="1"/>
  <c r="J87" i="1" s="1"/>
  <c r="J88" i="1" s="1"/>
  <c r="C80" i="1" s="1"/>
  <c r="J86" i="1"/>
  <c r="G93" i="1"/>
  <c r="A273" i="1" l="1"/>
  <c r="A274" i="1" s="1"/>
  <c r="A275" i="1" s="1"/>
  <c r="A276" i="1" s="1"/>
  <c r="A277" i="1" s="1"/>
  <c r="A278" i="1" s="1"/>
  <c r="A279" i="1" s="1"/>
  <c r="A280" i="1" s="1"/>
  <c r="A281" i="1" s="1"/>
  <c r="A282" i="1" s="1"/>
  <c r="J76" i="1"/>
  <c r="J101" i="1"/>
  <c r="J102" i="1" s="1"/>
  <c r="J90" i="1" s="1"/>
  <c r="I89" i="1" s="1"/>
  <c r="C91" i="1" s="1"/>
  <c r="E107" i="1"/>
  <c r="D108" i="1"/>
  <c r="I104" i="1" s="1"/>
  <c r="J104" i="1"/>
  <c r="G107" i="1"/>
  <c r="E79" i="1"/>
  <c r="D80" i="1"/>
  <c r="I76" i="1" s="1"/>
  <c r="G79" i="1"/>
  <c r="D73" i="1" s="1"/>
  <c r="A283" i="1" l="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F74" i="1"/>
  <c r="D74" i="1"/>
  <c r="I105" i="1"/>
  <c r="I103" i="1" s="1"/>
  <c r="C105" i="1" s="1"/>
  <c r="I77" i="1"/>
  <c r="I75" i="1" s="1"/>
  <c r="C77" i="1" s="1"/>
  <c r="A314" i="1" l="1"/>
  <c r="A315" i="1" s="1"/>
  <c r="A316" i="1" s="1"/>
  <c r="A317" i="1" s="1"/>
  <c r="A318" i="1" s="1"/>
  <c r="A319" i="1" s="1"/>
  <c r="A320" i="1" s="1"/>
  <c r="A321" i="1" s="1"/>
  <c r="A322" i="1" s="1"/>
  <c r="A323" i="1" s="1"/>
  <c r="A324" i="1" s="1"/>
  <c r="A325" i="1" s="1"/>
  <c r="A326" i="1" s="1"/>
  <c r="A327" i="1" s="1"/>
  <c r="A328" i="1" s="1"/>
  <c r="A329" i="1" s="1"/>
  <c r="A330" i="1" s="1"/>
  <c r="A331" i="1" s="1"/>
  <c r="A332" i="1" s="1"/>
  <c r="A333" i="1" l="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l="1"/>
  <c r="A411" i="1" l="1"/>
  <c r="A412" i="1" l="1"/>
  <c r="A413" i="1" s="1"/>
  <c r="A414" i="1" s="1"/>
  <c r="A415" i="1" s="1"/>
  <c r="A416" i="1" s="1"/>
  <c r="A417" i="1" s="1"/>
  <c r="A418" i="1" s="1"/>
  <c r="A419" i="1" s="1"/>
  <c r="A420" i="1" s="1"/>
  <c r="A421" i="1" s="1"/>
  <c r="A422" i="1" s="1"/>
  <c r="A425" i="1" l="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l="1"/>
  <c r="A447" i="1" s="1"/>
  <c r="A448" i="1" s="1"/>
  <c r="A449" i="1" s="1"/>
  <c r="A450" i="1" s="1"/>
  <c r="A451" i="1" s="1"/>
  <c r="A452" i="1" l="1"/>
  <c r="A454" i="1" l="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l="1"/>
  <c r="A479" i="1" s="1"/>
  <c r="A480" i="1" s="1"/>
  <c r="A48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<sst xmlns="http://schemas.openxmlformats.org/spreadsheetml/2006/main" count="1616" uniqueCount="353">
  <si>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</si>
  <si>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</si>
  <si>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</si>
  <si>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</si>
  <si>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</si>
  <si>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</si>
  <si>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</si>
  <si>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</si>
  <si>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</si>
  <si>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</si>
  <si>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</si>
  <si>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</si>
  <si>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</si>
  <si>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</si>
  <si>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</si>
  <si>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</si>
  <si>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</si>
  <si>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</si>
  <si>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</si>
  <si>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</si>
  <si>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</si>
  <si>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</si>
  <si>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</si>
  <si>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</si>
  <si>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</si>
  <si>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</si>
  <si>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</si>
  <si>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</si>
  <si>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</si>
  <si>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</si>
  <si>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</si>
  <si>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</si>
  <si>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</si>
  <si>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</si>
  <si>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</si>
  <si>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</si>
  <si>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</si>
  <si>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</si>
  <si>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</si>
  <si>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</si>
  <si>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</si>
  <si>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</si>
  <si>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</si>
  <si>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</si>
  <si>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</si>
  <si>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</si>
  <si>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</si>
  <si>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</si>
  <si>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</si>
  <si>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</si>
  <si>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details Floor Wise</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</si>
  <si>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</si>
  <si>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</si>
  <si>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</si>
  <si>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</si>
  <si>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</si>
  <si>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</si>
  <si>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</si>
  <si>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</si>
  <si>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</si>
  <si>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</si>
  <si>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</si>
  <si>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</si>
  <si>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</si>
  <si>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</si>
  <si>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</si>
  <si>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</si>
  <si>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</si>
  <si>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</si>
  <si>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</si>
  <si>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</si>
  <si>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</si>
  <si>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</si>
  <si>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</si>
  <si>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</si>
  <si>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</si>
  <si>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</si>
  <si>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</si>
  <si>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</si>
  <si>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</si>
  <si>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</si>
  <si>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</si>
  <si>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</si>
  <si>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</si>
  <si>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</si>
  <si>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</si>
  <si>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</si>
  <si>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</si>
  <si>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</si>
  <si>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</si>
  <si>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</si>
  <si>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</si>
  <si>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</si>
  <si>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</si>
  <si>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</si>
  <si>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</si>
  <si>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</si>
  <si>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</si>
  <si>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</si>
  <si>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</si>
  <si>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</si>
  <si>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</si>
  <si>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</si>
  <si>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</si>
  <si>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</si>
  <si>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</si>
  <si>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</si>
  <si>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</si>
  <si>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</si>
  <si>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</si>
  <si>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Nearby Landmark</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</si>
  <si>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</si>
  <si>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</si>
  <si>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</si>
  <si>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</si>
  <si>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</si>
  <si>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</si>
  <si>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</si>
  <si>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</si>
  <si>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</si>
  <si>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</si>
  <si>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</si>
  <si>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</si>
  <si>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</si>
  <si>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</si>
  <si>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</si>
  <si>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</si>
  <si>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</si>
  <si>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</si>
  <si>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</si>
  <si>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</si>
  <si>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</si>
  <si>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</si>
  <si>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</si>
  <si>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</si>
  <si>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</si>
  <si>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</si>
  <si>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</si>
  <si>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</si>
  <si>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</si>
  <si>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</si>
  <si>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</si>
  <si>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Shop Per Sq. Ft.</t>
  </si>
  <si>
    <t>Recommended rate of the Office Per Sq. Ft.</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</si>
  <si>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</si>
  <si>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</si>
  <si>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</si>
  <si>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</si>
  <si>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</si>
  <si>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</si>
  <si>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B Wing = 1B + G + 1st to 20th Floor</t>
  </si>
  <si>
    <t>Provided Contact Details (Name &amp; Contact No.)</t>
  </si>
  <si>
    <t>Site Person - Contact Details (Name &amp; Contact No.)</t>
  </si>
  <si>
    <t>Building No.1 (A Wing) = 1B + G + 1st to 20th Floor</t>
  </si>
  <si>
    <t>C Wing = 1B + G + 1st to 20th Floor</t>
  </si>
  <si>
    <t>A Wing = 1B + G + 1st to 20th Floor
B Wing = 1B + G + 1st to 20th Floor
C Wing = 1B + G + 1st to 20th Floor</t>
  </si>
  <si>
    <t>Approved Plans, CC, Sale Plans, Builder Saleable Area, Cost Sheet, Airport Noc, Railway Noc, OC</t>
  </si>
  <si>
    <t>Axis Goregaon</t>
  </si>
  <si>
    <t>Name / No of the Existing Building</t>
  </si>
  <si>
    <t>Mumbai</t>
  </si>
  <si>
    <t>As per Layout</t>
  </si>
  <si>
    <t>Floor Rise Rate from    Floor</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</si>
  <si>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</si>
  <si>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</si>
  <si>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</si>
  <si>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</si>
  <si>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</si>
  <si>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</si>
  <si>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</si>
  <si>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</si>
  <si>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</si>
  <si>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</si>
  <si>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</si>
  <si>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</si>
  <si>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</si>
  <si>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</si>
  <si>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</si>
  <si>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</si>
  <si>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</si>
  <si>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</si>
  <si>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</si>
  <si>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</si>
  <si>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</si>
  <si>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</si>
  <si>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</si>
  <si>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</si>
  <si>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</si>
  <si>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</si>
  <si>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</si>
  <si>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</si>
  <si>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</si>
  <si>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</si>
  <si>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</si>
  <si>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</si>
  <si>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</si>
  <si>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</si>
  <si>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</si>
  <si>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</si>
  <si>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</si>
  <si>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</si>
  <si>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</si>
  <si>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</si>
  <si>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</si>
  <si>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</si>
  <si>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</si>
  <si>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</si>
  <si>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</si>
  <si>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</si>
  <si>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</si>
  <si>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</si>
  <si>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</si>
  <si>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</si>
  <si>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</si>
  <si>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</si>
  <si>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</si>
  <si>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</si>
  <si>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</si>
  <si>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</si>
  <si>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</si>
  <si>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</si>
  <si>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</si>
  <si>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</si>
  <si>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</si>
  <si>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</si>
  <si>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</si>
  <si>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</si>
  <si>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</si>
  <si>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</si>
  <si>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</si>
  <si>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</si>
  <si>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</si>
  <si>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</si>
  <si>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</si>
  <si>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</si>
  <si>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</si>
  <si>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</si>
  <si>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</si>
  <si>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</si>
  <si>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</si>
  <si>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</si>
  <si>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</si>
  <si>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</si>
  <si>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</si>
  <si>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</si>
  <si>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</si>
  <si>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</si>
  <si>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</si>
  <si>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</si>
  <si>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</si>
  <si>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</si>
  <si>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</si>
  <si>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</si>
  <si>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</si>
  <si>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</si>
  <si>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</si>
  <si>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</si>
  <si>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</si>
  <si>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</si>
  <si>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</si>
  <si>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</si>
  <si>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</si>
  <si>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</si>
  <si>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</si>
  <si>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</si>
  <si>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</si>
  <si>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</si>
  <si>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</si>
  <si>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</si>
  <si>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</si>
  <si>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</si>
  <si>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</si>
  <si>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</si>
  <si>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</si>
  <si>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</si>
  <si>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</si>
  <si>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</si>
  <si>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</si>
  <si>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</si>
  <si>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</si>
  <si>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</si>
  <si>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</si>
  <si>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</si>
  <si>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</si>
  <si>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</si>
  <si>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Wadhwa Construction and Infrastructure Private Limited</t>
  </si>
  <si>
    <t>Wise City RZ 01 (Phase 1, 2 &amp; 3)</t>
  </si>
  <si>
    <t>Phase 1 = P52000052619
Phase 2 = P52000052572
Phase 3 = P52000052569</t>
  </si>
  <si>
    <t>Survey No</t>
  </si>
  <si>
    <t>Thakurvadi Road</t>
  </si>
  <si>
    <t>NUSI Offshore Training Institute</t>
  </si>
  <si>
    <t>84/3, 84/4, 86/1, 86/2, 82/4, 82/5, 82/6, 82/7, 82/8, 82/10, 82/3, 82/2, 82/1, 82/13, 81/8, 81/4, 81/3, 81/5+9B, 79/2A, 79/2B, 79/3, 78/0, 77, 79/5, 79/1, 81/2, 69/6B</t>
  </si>
  <si>
    <t>Other Plot</t>
  </si>
  <si>
    <t>36.00 M. Wide Road</t>
  </si>
  <si>
    <t>Internal Road</t>
  </si>
  <si>
    <t>Open Plot</t>
  </si>
  <si>
    <t>18.972722,73.198392</t>
  </si>
  <si>
    <t>https://maps.app.goo.gl/2ET9gv8nLxxgmEEYA</t>
  </si>
  <si>
    <t>Plot/
Bunglow
No</t>
  </si>
  <si>
    <t>Plot Type</t>
  </si>
  <si>
    <t>Plot Area 
(Sq.Mt.)</t>
  </si>
  <si>
    <t>Plot Area
(Sq.Ft.)</t>
  </si>
  <si>
    <t>Demarkation Status</t>
  </si>
  <si>
    <t>Built-up Area
Assigned
(Sq.ft.)</t>
  </si>
  <si>
    <t>Detached</t>
  </si>
  <si>
    <t>Semi Detached</t>
  </si>
  <si>
    <t>Convenience Shopping</t>
  </si>
  <si>
    <t>Row House</t>
  </si>
  <si>
    <t>Plot Area (Sq.Ft.)</t>
  </si>
  <si>
    <t>Per Built-up Area Assigned (Sq.ft.)</t>
  </si>
  <si>
    <t>Ms Neha 8830272979</t>
  </si>
  <si>
    <t>Thakurvadi</t>
  </si>
  <si>
    <t>12.50KM from Panvel Railway Station</t>
  </si>
  <si>
    <t>As per RERA - 31/12/2026</t>
  </si>
  <si>
    <t>Yoga Park, Jogging Track, Outdoor Gym, Reflexology Park, Rock Garden, Kids play Area, Seating Court, Event Plaza, Amphitheatre, Community Lawn, Multipurpose Court, etc.</t>
  </si>
  <si>
    <r>
      <t xml:space="preserve">Proposed Amenities :                                                                                                                                                                                                                         </t>
    </r>
    <r>
      <rPr>
        <b/>
        <sz val="12"/>
        <rFont val="Times New Roman"/>
        <family val="1"/>
      </rPr>
      <t xml:space="preserve">                                               </t>
    </r>
  </si>
  <si>
    <t xml:space="preserve">Commencement-CC No
</t>
  </si>
  <si>
    <t>Residential</t>
  </si>
  <si>
    <t>Approved Plans, CC.</t>
  </si>
  <si>
    <t>Details of Plots</t>
  </si>
  <si>
    <t>Wardoli</t>
  </si>
  <si>
    <t xml:space="preserve">Tentative Layout Approval No     </t>
  </si>
  <si>
    <t>On Plot Area</t>
  </si>
  <si>
    <t>Recommended rate of the Plot Per Sq. Ft.</t>
  </si>
  <si>
    <t>Phase 1 - Plot 1 to 57
Phase 2 - Plot 58 to 162
Phase 3 - Plot 163 to 350</t>
  </si>
  <si>
    <t>We considered Plot area as per Approved Plan.</t>
  </si>
  <si>
    <t>1. Plot leveling work &amp; road construction work in process.
2. Plot marking work is in process.</t>
  </si>
  <si>
    <t>As discussed with Smith Sir.</t>
  </si>
  <si>
    <t>7000 to 8100 sMITH  VERBAL N COST SHEET 24/12/2024</t>
  </si>
  <si>
    <t>Nitesh patil</t>
  </si>
  <si>
    <t>area change on 28/04/2025</t>
  </si>
  <si>
    <t>CIDCO/NAINA/Panvel/Wardoli/LT-00663/ACC/2024/0553</t>
  </si>
  <si>
    <t>1A</t>
  </si>
  <si>
    <t>37 + 38</t>
  </si>
  <si>
    <t>58A</t>
  </si>
  <si>
    <t>64A</t>
  </si>
  <si>
    <t>Assembly Hall</t>
  </si>
  <si>
    <t>-</t>
  </si>
  <si>
    <t>174A</t>
  </si>
  <si>
    <t>Gaurav Panchal</t>
  </si>
  <si>
    <t>292-A</t>
  </si>
  <si>
    <t>292-B</t>
  </si>
  <si>
    <t xml:space="preserve"> Detached</t>
  </si>
  <si>
    <t>322-A</t>
  </si>
  <si>
    <t>350-A</t>
  </si>
  <si>
    <t>350-B</t>
  </si>
  <si>
    <t>CIDCO/NAINA/PANVEL/VARDOLI/LTOO663/CC/2023/0416</t>
  </si>
  <si>
    <t>341 Plots</t>
  </si>
  <si>
    <t>We have updated Approved Plan on 30/04/2025.</t>
  </si>
  <si>
    <t>8600 to 9000 sMITH  VERBAL 07/05/2025</t>
  </si>
  <si>
    <t>Recommended Rates/Other Charges of the Property have been revised on 26/04/2024, 24/12/2024 , 28/04/2025 &amp; 07/05/2025.</t>
  </si>
  <si>
    <t>Ms Sakshi</t>
  </si>
  <si>
    <t xml:space="preserve">Construction work is same as the last visit dtd. 30/04/2025. No labour found on site. </t>
  </si>
  <si>
    <t xml:space="preserve">PHOTOGRAPHS OF PROPERTY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</si>
</sst>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0"/>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cellStyleXfs>
  <cellXfs count="24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0" fillId="0" borderId="1" xfId="0" applyFill="1" applyBorder="1" applyAlignment="1"/>
    <xf numFmtId="1" fontId="6" fillId="0" borderId="1" xfId="1" applyNumberFormat="1" applyFont="1" applyFill="1" applyBorder="1" applyAlignment="1" applyProtection="1">
      <alignment horizontal="center" vertical="center" wrapText="1"/>
      <protection locked="0"/>
    </xf>
    <xf numFmtId="0" fontId="30" fillId="0" borderId="0" xfId="0" applyFont="1"/>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3" borderId="1" xfId="1" applyNumberFormat="1" applyFont="1" applyFill="1" applyBorder="1" applyAlignment="1" applyProtection="1">
      <alignment horizontal="center" vertical="center" wrapText="1"/>
      <protection locked="0"/>
    </xf>
    <xf numFmtId="1" fontId="7" fillId="3" borderId="0" xfId="1" applyNumberFormat="1" applyFont="1" applyFill="1" applyAlignment="1">
      <alignment horizontal="center" vertical="center"/>
    </xf>
    <xf numFmtId="0" fontId="7" fillId="3" borderId="0" xfId="1" applyFont="1" applyFill="1" applyAlignment="1">
      <alignment horizontal="center" vertical="center"/>
    </xf>
    <xf numFmtId="0" fontId="7" fillId="3" borderId="0" xfId="1" applyFont="1" applyFill="1"/>
    <xf numFmtId="1" fontId="7" fillId="0" borderId="0" xfId="0" applyNumberFormat="1" applyFont="1" applyAlignment="1">
      <alignment horizontal="center" vertical="center"/>
    </xf>
    <xf numFmtId="0" fontId="17" fillId="0" borderId="0" xfId="1" applyFont="1"/>
    <xf numFmtId="0" fontId="7" fillId="3" borderId="0" xfId="1" applyFont="1" applyFill="1" applyAlignment="1">
      <alignment horizontal="center" vertical="center"/>
    </xf>
    <xf numFmtId="0" fontId="7" fillId="0" borderId="1" xfId="1" applyFont="1" applyBorder="1" applyAlignment="1" applyProtection="1">
      <alignment vertical="top" wrapText="1"/>
      <protection locked="0"/>
    </xf>
    <xf numFmtId="164" fontId="7" fillId="0" borderId="0" xfId="0" applyNumberFormat="1" applyFont="1" applyAlignment="1">
      <alignment horizontal="center" vertical="center"/>
    </xf>
    <xf numFmtId="1" fontId="6" fillId="4" borderId="1" xfId="0" applyNumberFormat="1" applyFont="1" applyFill="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5" fillId="0" borderId="3" xfId="1" applyFont="1" applyBorder="1" applyAlignment="1" applyProtection="1">
      <alignment horizontal="left" vertical="top" wrapText="1"/>
      <protection locked="0"/>
    </xf>
    <xf numFmtId="0" fontId="15"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3"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vertical="top"/>
      <protection locked="0"/>
    </xf>
    <xf numFmtId="1" fontId="7" fillId="0" borderId="8" xfId="0" applyNumberFormat="1"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4" borderId="8" xfId="0" applyNumberFormat="1" applyFont="1" applyFill="1" applyBorder="1" applyAlignment="1" applyProtection="1">
      <alignment vertical="top" wrapText="1"/>
      <protection locked="0"/>
    </xf>
    <xf numFmtId="1" fontId="13" fillId="4" borderId="21" xfId="0" applyNumberFormat="1" applyFont="1" applyFill="1" applyBorder="1" applyAlignment="1" applyProtection="1">
      <alignment vertical="top" wrapText="1"/>
      <protection locked="0"/>
    </xf>
    <xf numFmtId="1" fontId="13" fillId="4" borderId="9" xfId="0" applyNumberFormat="1" applyFont="1" applyFill="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8" fillId="0" borderId="8" xfId="1" applyNumberFormat="1" applyFont="1" applyBorder="1" applyAlignment="1" applyProtection="1">
      <alignment horizontal="center" vertical="top" wrapText="1"/>
      <protection locked="0"/>
    </xf>
    <xf numFmtId="1" fontId="8" fillId="0" borderId="9" xfId="1" applyNumberFormat="1" applyFont="1" applyBorder="1" applyAlignment="1" applyProtection="1">
      <alignment horizontal="center" vertical="top" wrapText="1"/>
      <protection locked="0"/>
    </xf>
    <xf numFmtId="1" fontId="4" fillId="0" borderId="8" xfId="1" applyNumberFormat="1" applyFont="1" applyBorder="1" applyAlignment="1" applyProtection="1">
      <alignment horizontal="center" vertical="top" wrapText="1"/>
      <protection locked="0"/>
    </xf>
    <xf numFmtId="1" fontId="4" fillId="0" borderId="9" xfId="1"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8" xfId="1" applyFont="1" applyBorder="1" applyAlignment="1" applyProtection="1">
      <alignment horizontal="center" vertical="top" wrapText="1"/>
      <protection locked="0"/>
    </xf>
    <xf numFmtId="0" fontId="12" fillId="0" borderId="21" xfId="1" applyFont="1" applyBorder="1" applyAlignment="1" applyProtection="1">
      <alignment horizontal="center" vertical="top" wrapText="1"/>
      <protection locked="0"/>
    </xf>
    <xf numFmtId="0" fontId="12" fillId="0" borderId="9" xfId="1" applyFont="1" applyBorder="1" applyAlignment="1" applyProtection="1">
      <alignment horizontal="center"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7" xfId="1" applyFont="1" applyBorder="1" applyAlignment="1" applyProtection="1">
      <alignment horizontal="left" vertical="top"/>
      <protection locked="0"/>
    </xf>
    <xf numFmtId="0" fontId="15" fillId="0" borderId="24" xfId="1" applyFont="1" applyBorder="1" applyAlignment="1" applyProtection="1">
      <alignment horizontal="left" vertical="top"/>
      <protection locked="0"/>
    </xf>
    <xf numFmtId="0" fontId="15" fillId="0" borderId="18"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34"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6" fillId="3" borderId="8" xfId="1" applyNumberFormat="1" applyFont="1" applyFill="1" applyBorder="1" applyAlignment="1" applyProtection="1">
      <alignment horizontal="center" vertical="center" wrapText="1"/>
      <protection locked="0"/>
    </xf>
    <xf numFmtId="1" fontId="6" fillId="3" borderId="9" xfId="1" applyNumberFormat="1" applyFont="1" applyFill="1" applyBorder="1" applyAlignment="1" applyProtection="1">
      <alignment horizontal="center" vertical="center" wrapText="1"/>
      <protection locked="0"/>
    </xf>
    <xf numFmtId="0" fontId="7" fillId="3" borderId="0" xfId="1" applyFont="1" applyFill="1" applyAlignment="1">
      <alignment horizontal="center" vertical="center"/>
    </xf>
    <xf numFmtId="0" fontId="9" fillId="0" borderId="1" xfId="5" applyFont="1" applyBorder="1" applyAlignment="1">
      <alignment horizontal="left"/>
    </xf>
    <xf numFmtId="0" fontId="7" fillId="0" borderId="0" xfId="0" applyFont="1" applyAlignment="1">
      <alignment horizontal="center" vertical="center" wrapText="1"/>
    </xf>
    <xf numFmtId="0" fontId="10" fillId="0" borderId="0" xfId="1" applyFont="1" applyAlignment="1" applyProtection="1">
      <alignment horizontal="center"/>
      <protection locked="0"/>
    </xf>
    <xf numFmtId="0" fontId="10" fillId="0" borderId="0" xfId="1" applyFont="1" applyAlignment="1" applyProtection="1">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editAs="oneCell">
    <xdr:from>
      <xdr:col>2</xdr:col>
      <xdr:colOff>755527</xdr:colOff>
      <xdr:row>617</xdr:row>
      <xdr:rowOff>121417</xdr:rowOff>
    </xdr:from>
    <xdr:to>
      <xdr:col>5</xdr:col>
      <xdr:colOff>157933</xdr:colOff>
      <xdr:row>630</xdr:row>
      <xdr:rowOff>19241</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317627" y="105658417"/>
          <a:ext cx="1945581" cy="2498149"/>
        </a:xfrm>
        <a:prstGeom prst="rect">
          <a:avLst/>
        </a:prstGeom>
        <a:ln>
          <a:solidFill>
            <a:schemeClr val="tx1"/>
          </a:solidFill>
        </a:ln>
      </xdr:spPr>
    </xdr:pic>
    <xdr:clientData/>
  </xdr:twoCellAnchor>
  <xdr:twoCellAnchor>
    <xdr:from>
      <xdr:col>0</xdr:col>
      <xdr:colOff>677958</xdr:colOff>
      <xdr:row>594</xdr:row>
      <xdr:rowOff>109818</xdr:rowOff>
    </xdr:from>
    <xdr:to>
      <xdr:col>7</xdr:col>
      <xdr:colOff>420399</xdr:colOff>
      <xdr:row>615</xdr:row>
      <xdr:rowOff>193995</xdr:rowOff>
    </xdr:to>
    <xdr:grpSp>
      <xdr:nvGrpSpPr>
        <xdr:cNvPr id="23" name="Group 22">
          <a:extLst>
            <a:ext uri="{FF2B5EF4-FFF2-40B4-BE49-F238E27FC236}">
              <a16:creationId xmlns:a16="http://schemas.microsoft.com/office/drawing/2014/main" id="{00000000-0008-0000-0000-000017000000}"/>
            </a:ext>
          </a:extLst>
        </xdr:cNvPr>
        <xdr:cNvGrpSpPr/>
      </xdr:nvGrpSpPr>
      <xdr:grpSpPr>
        <a:xfrm>
          <a:off x="677958" y="108847218"/>
          <a:ext cx="5324091" cy="4284702"/>
          <a:chOff x="-342000" y="-1593287"/>
          <a:chExt cx="10080000" cy="8108671"/>
        </a:xfrm>
      </xdr:grpSpPr>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42000" y="-1593287"/>
            <a:ext cx="10080000" cy="8108671"/>
          </a:xfrm>
          <a:prstGeom prst="rect">
            <a:avLst/>
          </a:prstGeom>
          <a:ln>
            <a:solidFill>
              <a:schemeClr val="tx1"/>
            </a:solidFill>
          </a:ln>
        </xdr:spPr>
      </xdr:pic>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flipH="1">
            <a:off x="1684021" y="1912621"/>
            <a:ext cx="701040" cy="1021081"/>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flipH="1" flipV="1">
            <a:off x="1493523" y="2811780"/>
            <a:ext cx="198119" cy="137160"/>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H="1">
            <a:off x="800101" y="2811780"/>
            <a:ext cx="701040" cy="1074420"/>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flipV="1">
            <a:off x="800101" y="3688082"/>
            <a:ext cx="960120" cy="205741"/>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0000-00001D000000}"/>
              </a:ext>
            </a:extLst>
          </xdr:cNvPr>
          <xdr:cNvCxnSpPr/>
        </xdr:nvCxnSpPr>
        <xdr:spPr>
          <a:xfrm>
            <a:off x="1767840" y="3695701"/>
            <a:ext cx="1249680" cy="449722"/>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Freeform 29">
            <a:extLst>
              <a:ext uri="{FF2B5EF4-FFF2-40B4-BE49-F238E27FC236}">
                <a16:creationId xmlns:a16="http://schemas.microsoft.com/office/drawing/2014/main" id="{00000000-0008-0000-0000-00001E000000}"/>
              </a:ext>
            </a:extLst>
          </xdr:cNvPr>
          <xdr:cNvSpPr/>
        </xdr:nvSpPr>
        <xdr:spPr>
          <a:xfrm>
            <a:off x="2407920" y="1905000"/>
            <a:ext cx="1505603" cy="2276899"/>
          </a:xfrm>
          <a:custGeom>
            <a:avLst/>
            <a:gdLst>
              <a:gd name="connsiteX0" fmla="*/ 609600 w 1505603"/>
              <a:gd name="connsiteY0" fmla="*/ 2240280 h 2276899"/>
              <a:gd name="connsiteX1" fmla="*/ 830580 w 1505603"/>
              <a:gd name="connsiteY1" fmla="*/ 2270760 h 2276899"/>
              <a:gd name="connsiteX2" fmla="*/ 1074420 w 1505603"/>
              <a:gd name="connsiteY2" fmla="*/ 2133600 h 2276899"/>
              <a:gd name="connsiteX3" fmla="*/ 1249680 w 1505603"/>
              <a:gd name="connsiteY3" fmla="*/ 1828800 h 2276899"/>
              <a:gd name="connsiteX4" fmla="*/ 1348740 w 1505603"/>
              <a:gd name="connsiteY4" fmla="*/ 1722120 h 2276899"/>
              <a:gd name="connsiteX5" fmla="*/ 1485900 w 1505603"/>
              <a:gd name="connsiteY5" fmla="*/ 1676400 h 2276899"/>
              <a:gd name="connsiteX6" fmla="*/ 1493520 w 1505603"/>
              <a:gd name="connsiteY6" fmla="*/ 1577340 h 2276899"/>
              <a:gd name="connsiteX7" fmla="*/ 1379220 w 1505603"/>
              <a:gd name="connsiteY7" fmla="*/ 1402080 h 2276899"/>
              <a:gd name="connsiteX8" fmla="*/ 982980 w 1505603"/>
              <a:gd name="connsiteY8" fmla="*/ 1127760 h 2276899"/>
              <a:gd name="connsiteX9" fmla="*/ 990600 w 1505603"/>
              <a:gd name="connsiteY9" fmla="*/ 975360 h 2276899"/>
              <a:gd name="connsiteX10" fmla="*/ 868680 w 1505603"/>
              <a:gd name="connsiteY10" fmla="*/ 982980 h 2276899"/>
              <a:gd name="connsiteX11" fmla="*/ 792480 w 1505603"/>
              <a:gd name="connsiteY11" fmla="*/ 541020 h 2276899"/>
              <a:gd name="connsiteX12" fmla="*/ 678180 w 1505603"/>
              <a:gd name="connsiteY12" fmla="*/ 670560 h 2276899"/>
              <a:gd name="connsiteX13" fmla="*/ 0 w 1505603"/>
              <a:gd name="connsiteY13" fmla="*/ 0 h 2276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505603" h="2276899">
                <a:moveTo>
                  <a:pt x="609600" y="2240280"/>
                </a:moveTo>
                <a:cubicBezTo>
                  <a:pt x="681355" y="2264410"/>
                  <a:pt x="753110" y="2288540"/>
                  <a:pt x="830580" y="2270760"/>
                </a:cubicBezTo>
                <a:cubicBezTo>
                  <a:pt x="908050" y="2252980"/>
                  <a:pt x="1004570" y="2207260"/>
                  <a:pt x="1074420" y="2133600"/>
                </a:cubicBezTo>
                <a:cubicBezTo>
                  <a:pt x="1144270" y="2059940"/>
                  <a:pt x="1203960" y="1897380"/>
                  <a:pt x="1249680" y="1828800"/>
                </a:cubicBezTo>
                <a:cubicBezTo>
                  <a:pt x="1295400" y="1760220"/>
                  <a:pt x="1309370" y="1747520"/>
                  <a:pt x="1348740" y="1722120"/>
                </a:cubicBezTo>
                <a:cubicBezTo>
                  <a:pt x="1388110" y="1696720"/>
                  <a:pt x="1461770" y="1700530"/>
                  <a:pt x="1485900" y="1676400"/>
                </a:cubicBezTo>
                <a:cubicBezTo>
                  <a:pt x="1510030" y="1652270"/>
                  <a:pt x="1511300" y="1623060"/>
                  <a:pt x="1493520" y="1577340"/>
                </a:cubicBezTo>
                <a:cubicBezTo>
                  <a:pt x="1475740" y="1531620"/>
                  <a:pt x="1464310" y="1477010"/>
                  <a:pt x="1379220" y="1402080"/>
                </a:cubicBezTo>
                <a:cubicBezTo>
                  <a:pt x="1294130" y="1327150"/>
                  <a:pt x="1047750" y="1198880"/>
                  <a:pt x="982980" y="1127760"/>
                </a:cubicBezTo>
                <a:cubicBezTo>
                  <a:pt x="918210" y="1056640"/>
                  <a:pt x="1009650" y="999490"/>
                  <a:pt x="990600" y="975360"/>
                </a:cubicBezTo>
                <a:cubicBezTo>
                  <a:pt x="971550" y="951230"/>
                  <a:pt x="901700" y="1055370"/>
                  <a:pt x="868680" y="982980"/>
                </a:cubicBezTo>
                <a:cubicBezTo>
                  <a:pt x="835660" y="910590"/>
                  <a:pt x="824230" y="593090"/>
                  <a:pt x="792480" y="541020"/>
                </a:cubicBezTo>
                <a:cubicBezTo>
                  <a:pt x="760730" y="488950"/>
                  <a:pt x="810260" y="760730"/>
                  <a:pt x="678180" y="670560"/>
                </a:cubicBezTo>
                <a:cubicBezTo>
                  <a:pt x="546100" y="580390"/>
                  <a:pt x="185420" y="85090"/>
                  <a:pt x="0" y="0"/>
                </a:cubicBezTo>
              </a:path>
            </a:pathLst>
          </a:cu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TextBox 20">
            <a:extLst>
              <a:ext uri="{FF2B5EF4-FFF2-40B4-BE49-F238E27FC236}">
                <a16:creationId xmlns:a16="http://schemas.microsoft.com/office/drawing/2014/main" id="{00000000-0008-0000-0000-00001F000000}"/>
              </a:ext>
            </a:extLst>
          </xdr:cNvPr>
          <xdr:cNvSpPr txBox="1"/>
        </xdr:nvSpPr>
        <xdr:spPr>
          <a:xfrm>
            <a:off x="145331" y="786492"/>
            <a:ext cx="2885638" cy="7022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RZ 1 (Phase 1)</a:t>
            </a:r>
            <a:endParaRPr lang="en-IN" b="1">
              <a:solidFill>
                <a:srgbClr val="FF0000"/>
              </a:solidFill>
            </a:endParaRPr>
          </a:p>
        </xdr:txBody>
      </xdr:sp>
      <xdr:cxnSp macro="">
        <xdr:nvCxnSpPr>
          <xdr:cNvPr id="32" name="Straight Arrow Connector 31">
            <a:extLst>
              <a:ext uri="{FF2B5EF4-FFF2-40B4-BE49-F238E27FC236}">
                <a16:creationId xmlns:a16="http://schemas.microsoft.com/office/drawing/2014/main" id="{00000000-0008-0000-0000-000020000000}"/>
              </a:ext>
            </a:extLst>
          </xdr:cNvPr>
          <xdr:cNvCxnSpPr/>
        </xdr:nvCxnSpPr>
        <xdr:spPr>
          <a:xfrm>
            <a:off x="1310082" y="1373861"/>
            <a:ext cx="373939" cy="13827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a:extLst>
              <a:ext uri="{FF2B5EF4-FFF2-40B4-BE49-F238E27FC236}">
                <a16:creationId xmlns:a16="http://schemas.microsoft.com/office/drawing/2014/main" id="{00000000-0008-0000-0000-000021000000}"/>
              </a:ext>
            </a:extLst>
          </xdr:cNvPr>
          <xdr:cNvCxnSpPr/>
        </xdr:nvCxnSpPr>
        <xdr:spPr>
          <a:xfrm flipV="1">
            <a:off x="3490913" y="3390901"/>
            <a:ext cx="586917" cy="919165"/>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id="{00000000-0008-0000-0000-000022000000}"/>
              </a:ext>
            </a:extLst>
          </xdr:cNvPr>
          <xdr:cNvCxnSpPr/>
        </xdr:nvCxnSpPr>
        <xdr:spPr>
          <a:xfrm>
            <a:off x="3505200" y="4314826"/>
            <a:ext cx="1457325" cy="1543050"/>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a:extLst>
              <a:ext uri="{FF2B5EF4-FFF2-40B4-BE49-F238E27FC236}">
                <a16:creationId xmlns:a16="http://schemas.microsoft.com/office/drawing/2014/main" id="{00000000-0008-0000-0000-000023000000}"/>
              </a:ext>
            </a:extLst>
          </xdr:cNvPr>
          <xdr:cNvCxnSpPr/>
        </xdr:nvCxnSpPr>
        <xdr:spPr>
          <a:xfrm>
            <a:off x="4962525" y="5885209"/>
            <a:ext cx="1438274" cy="334616"/>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00000000-0008-0000-0000-000024000000}"/>
              </a:ext>
            </a:extLst>
          </xdr:cNvPr>
          <xdr:cNvCxnSpPr/>
        </xdr:nvCxnSpPr>
        <xdr:spPr>
          <a:xfrm flipH="1" flipV="1">
            <a:off x="6186491" y="4852990"/>
            <a:ext cx="228601" cy="1362075"/>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00000000-0008-0000-0000-000025000000}"/>
              </a:ext>
            </a:extLst>
          </xdr:cNvPr>
          <xdr:cNvCxnSpPr/>
        </xdr:nvCxnSpPr>
        <xdr:spPr>
          <a:xfrm flipH="1" flipV="1">
            <a:off x="5915027" y="3552825"/>
            <a:ext cx="276225" cy="1314449"/>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a:extLst>
              <a:ext uri="{FF2B5EF4-FFF2-40B4-BE49-F238E27FC236}">
                <a16:creationId xmlns:a16="http://schemas.microsoft.com/office/drawing/2014/main" id="{00000000-0008-0000-0000-000026000000}"/>
              </a:ext>
            </a:extLst>
          </xdr:cNvPr>
          <xdr:cNvCxnSpPr/>
        </xdr:nvCxnSpPr>
        <xdr:spPr>
          <a:xfrm flipH="1" flipV="1">
            <a:off x="4077830" y="3390901"/>
            <a:ext cx="1846723" cy="152400"/>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TextBox 48">
            <a:extLst>
              <a:ext uri="{FF2B5EF4-FFF2-40B4-BE49-F238E27FC236}">
                <a16:creationId xmlns:a16="http://schemas.microsoft.com/office/drawing/2014/main" id="{00000000-0008-0000-0000-000027000000}"/>
              </a:ext>
            </a:extLst>
          </xdr:cNvPr>
          <xdr:cNvSpPr txBox="1"/>
        </xdr:nvSpPr>
        <xdr:spPr>
          <a:xfrm>
            <a:off x="697343" y="5751934"/>
            <a:ext cx="2908477" cy="7022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RZ 1 (Phase 2)</a:t>
            </a:r>
            <a:endParaRPr lang="en-IN" b="1">
              <a:solidFill>
                <a:srgbClr val="FF0000"/>
              </a:solidFill>
            </a:endParaRPr>
          </a:p>
        </xdr:txBody>
      </xdr:sp>
      <xdr:cxnSp macro="">
        <xdr:nvCxnSpPr>
          <xdr:cNvPr id="40" name="Straight Arrow Connector 39">
            <a:extLst>
              <a:ext uri="{FF2B5EF4-FFF2-40B4-BE49-F238E27FC236}">
                <a16:creationId xmlns:a16="http://schemas.microsoft.com/office/drawing/2014/main" id="{00000000-0008-0000-0000-000028000000}"/>
              </a:ext>
            </a:extLst>
          </xdr:cNvPr>
          <xdr:cNvCxnSpPr>
            <a:stCxn id="39" idx="0"/>
          </xdr:cNvCxnSpPr>
        </xdr:nvCxnSpPr>
        <xdr:spPr>
          <a:xfrm flipV="1">
            <a:off x="2151582" y="5156198"/>
            <a:ext cx="1585449" cy="59573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1" name="TextBox 52">
            <a:extLst>
              <a:ext uri="{FF2B5EF4-FFF2-40B4-BE49-F238E27FC236}">
                <a16:creationId xmlns:a16="http://schemas.microsoft.com/office/drawing/2014/main" id="{00000000-0008-0000-0000-000029000000}"/>
              </a:ext>
            </a:extLst>
          </xdr:cNvPr>
          <xdr:cNvSpPr txBox="1"/>
        </xdr:nvSpPr>
        <xdr:spPr>
          <a:xfrm>
            <a:off x="6419006" y="-1529739"/>
            <a:ext cx="1887130" cy="17601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RZ 1 (Phase 3)</a:t>
            </a:r>
            <a:endParaRPr lang="en-IN" b="1">
              <a:solidFill>
                <a:srgbClr val="FF0000"/>
              </a:solidFill>
            </a:endParaRPr>
          </a:p>
          <a:p>
            <a:endParaRPr lang="en-IN"/>
          </a:p>
        </xdr:txBody>
      </xdr:sp>
      <xdr:cxnSp macro="">
        <xdr:nvCxnSpPr>
          <xdr:cNvPr id="42" name="Straight Arrow Connector 41">
            <a:extLst>
              <a:ext uri="{FF2B5EF4-FFF2-40B4-BE49-F238E27FC236}">
                <a16:creationId xmlns:a16="http://schemas.microsoft.com/office/drawing/2014/main" id="{00000000-0008-0000-0000-00002A000000}"/>
              </a:ext>
            </a:extLst>
          </xdr:cNvPr>
          <xdr:cNvCxnSpPr/>
        </xdr:nvCxnSpPr>
        <xdr:spPr>
          <a:xfrm>
            <a:off x="6994044" y="-377078"/>
            <a:ext cx="364699" cy="104473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a:extLst>
              <a:ext uri="{FF2B5EF4-FFF2-40B4-BE49-F238E27FC236}">
                <a16:creationId xmlns:a16="http://schemas.microsoft.com/office/drawing/2014/main" id="{00000000-0008-0000-0000-00002B000000}"/>
              </a:ext>
            </a:extLst>
          </xdr:cNvPr>
          <xdr:cNvCxnSpPr/>
        </xdr:nvCxnSpPr>
        <xdr:spPr>
          <a:xfrm>
            <a:off x="4233862" y="1200150"/>
            <a:ext cx="1020310" cy="9526"/>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a:extLst>
              <a:ext uri="{FF2B5EF4-FFF2-40B4-BE49-F238E27FC236}">
                <a16:creationId xmlns:a16="http://schemas.microsoft.com/office/drawing/2014/main" id="{00000000-0008-0000-0000-00002C000000}"/>
              </a:ext>
            </a:extLst>
          </xdr:cNvPr>
          <xdr:cNvCxnSpPr/>
        </xdr:nvCxnSpPr>
        <xdr:spPr>
          <a:xfrm>
            <a:off x="5254171" y="1209674"/>
            <a:ext cx="120412" cy="226022"/>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a:extLst>
              <a:ext uri="{FF2B5EF4-FFF2-40B4-BE49-F238E27FC236}">
                <a16:creationId xmlns:a16="http://schemas.microsoft.com/office/drawing/2014/main" id="{00000000-0008-0000-0000-00002D000000}"/>
              </a:ext>
            </a:extLst>
          </xdr:cNvPr>
          <xdr:cNvCxnSpPr/>
        </xdr:nvCxnSpPr>
        <xdr:spPr>
          <a:xfrm flipV="1">
            <a:off x="5374583" y="254797"/>
            <a:ext cx="904773" cy="1180902"/>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a:extLst>
              <a:ext uri="{FF2B5EF4-FFF2-40B4-BE49-F238E27FC236}">
                <a16:creationId xmlns:a16="http://schemas.microsoft.com/office/drawing/2014/main" id="{00000000-0008-0000-0000-00002E000000}"/>
              </a:ext>
            </a:extLst>
          </xdr:cNvPr>
          <xdr:cNvCxnSpPr/>
        </xdr:nvCxnSpPr>
        <xdr:spPr>
          <a:xfrm>
            <a:off x="6279356" y="254794"/>
            <a:ext cx="1272161" cy="495719"/>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a:extLst>
              <a:ext uri="{FF2B5EF4-FFF2-40B4-BE49-F238E27FC236}">
                <a16:creationId xmlns:a16="http://schemas.microsoft.com/office/drawing/2014/main" id="{00000000-0008-0000-0000-00002F000000}"/>
              </a:ext>
            </a:extLst>
          </xdr:cNvPr>
          <xdr:cNvCxnSpPr/>
        </xdr:nvCxnSpPr>
        <xdr:spPr>
          <a:xfrm flipV="1">
            <a:off x="7551517" y="-329280"/>
            <a:ext cx="590998" cy="1079793"/>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a:extLst>
              <a:ext uri="{FF2B5EF4-FFF2-40B4-BE49-F238E27FC236}">
                <a16:creationId xmlns:a16="http://schemas.microsoft.com/office/drawing/2014/main" id="{00000000-0008-0000-0000-000030000000}"/>
              </a:ext>
            </a:extLst>
          </xdr:cNvPr>
          <xdr:cNvCxnSpPr/>
        </xdr:nvCxnSpPr>
        <xdr:spPr>
          <a:xfrm flipH="1" flipV="1">
            <a:off x="8123538" y="-1306285"/>
            <a:ext cx="18979" cy="977005"/>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00000000-0008-0000-0000-000031000000}"/>
              </a:ext>
            </a:extLst>
          </xdr:cNvPr>
          <xdr:cNvCxnSpPr/>
        </xdr:nvCxnSpPr>
        <xdr:spPr>
          <a:xfrm flipV="1">
            <a:off x="8123536" y="-1465941"/>
            <a:ext cx="962407" cy="159656"/>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a:extLst>
              <a:ext uri="{FF2B5EF4-FFF2-40B4-BE49-F238E27FC236}">
                <a16:creationId xmlns:a16="http://schemas.microsoft.com/office/drawing/2014/main" id="{00000000-0008-0000-0000-000032000000}"/>
              </a:ext>
            </a:extLst>
          </xdr:cNvPr>
          <xdr:cNvCxnSpPr/>
        </xdr:nvCxnSpPr>
        <xdr:spPr>
          <a:xfrm>
            <a:off x="9085943" y="-1465943"/>
            <a:ext cx="319314" cy="2477984"/>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a:extLst>
              <a:ext uri="{FF2B5EF4-FFF2-40B4-BE49-F238E27FC236}">
                <a16:creationId xmlns:a16="http://schemas.microsoft.com/office/drawing/2014/main" id="{00000000-0008-0000-0000-000033000000}"/>
              </a:ext>
            </a:extLst>
          </xdr:cNvPr>
          <xdr:cNvCxnSpPr/>
        </xdr:nvCxnSpPr>
        <xdr:spPr>
          <a:xfrm flipH="1">
            <a:off x="9023424" y="1012040"/>
            <a:ext cx="381834" cy="2031408"/>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00000000-0008-0000-0000-000034000000}"/>
              </a:ext>
            </a:extLst>
          </xdr:cNvPr>
          <xdr:cNvCxnSpPr/>
        </xdr:nvCxnSpPr>
        <xdr:spPr>
          <a:xfrm flipH="1" flipV="1">
            <a:off x="6858002" y="2206173"/>
            <a:ext cx="2165420" cy="837278"/>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00000000-0008-0000-0000-000035000000}"/>
              </a:ext>
            </a:extLst>
          </xdr:cNvPr>
          <xdr:cNvCxnSpPr/>
        </xdr:nvCxnSpPr>
        <xdr:spPr>
          <a:xfrm flipH="1">
            <a:off x="6622052" y="2206172"/>
            <a:ext cx="235951" cy="605609"/>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a:extLst>
              <a:ext uri="{FF2B5EF4-FFF2-40B4-BE49-F238E27FC236}">
                <a16:creationId xmlns:a16="http://schemas.microsoft.com/office/drawing/2014/main" id="{00000000-0008-0000-0000-000036000000}"/>
              </a:ext>
            </a:extLst>
          </xdr:cNvPr>
          <xdr:cNvCxnSpPr/>
        </xdr:nvCxnSpPr>
        <xdr:spPr>
          <a:xfrm flipH="1" flipV="1">
            <a:off x="5909520" y="2732762"/>
            <a:ext cx="701519" cy="79020"/>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flipH="1">
            <a:off x="5814673" y="2732758"/>
            <a:ext cx="100354" cy="401978"/>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00000000-0008-0000-0000-000038000000}"/>
              </a:ext>
            </a:extLst>
          </xdr:cNvPr>
          <xdr:cNvCxnSpPr/>
        </xdr:nvCxnSpPr>
        <xdr:spPr>
          <a:xfrm flipH="1" flipV="1">
            <a:off x="5308127" y="2141021"/>
            <a:ext cx="506545" cy="993718"/>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00000000-0008-0000-0000-000039000000}"/>
              </a:ext>
            </a:extLst>
          </xdr:cNvPr>
          <xdr:cNvCxnSpPr/>
        </xdr:nvCxnSpPr>
        <xdr:spPr>
          <a:xfrm flipH="1">
            <a:off x="4077830" y="2141019"/>
            <a:ext cx="1230296" cy="1207970"/>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00000000-0008-0000-0000-00003A000000}"/>
              </a:ext>
            </a:extLst>
          </xdr:cNvPr>
          <xdr:cNvCxnSpPr/>
        </xdr:nvCxnSpPr>
        <xdr:spPr>
          <a:xfrm flipH="1" flipV="1">
            <a:off x="3505202" y="2929382"/>
            <a:ext cx="572630" cy="419611"/>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00000000-0008-0000-0000-00003B000000}"/>
              </a:ext>
            </a:extLst>
          </xdr:cNvPr>
          <xdr:cNvCxnSpPr/>
        </xdr:nvCxnSpPr>
        <xdr:spPr>
          <a:xfrm flipH="1">
            <a:off x="3879056" y="1200150"/>
            <a:ext cx="354806" cy="285750"/>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a:extLst>
              <a:ext uri="{FF2B5EF4-FFF2-40B4-BE49-F238E27FC236}">
                <a16:creationId xmlns:a16="http://schemas.microsoft.com/office/drawing/2014/main" id="{00000000-0008-0000-0000-00003C000000}"/>
              </a:ext>
            </a:extLst>
          </xdr:cNvPr>
          <xdr:cNvCxnSpPr/>
        </xdr:nvCxnSpPr>
        <xdr:spPr>
          <a:xfrm flipH="1">
            <a:off x="3660026" y="1483511"/>
            <a:ext cx="216652" cy="1441110"/>
          </a:xfrm>
          <a:prstGeom prst="line">
            <a:avLst/>
          </a:prstGeom>
          <a:ln w="762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61" name="Straight Connector 60">
            <a:extLst>
              <a:ext uri="{FF2B5EF4-FFF2-40B4-BE49-F238E27FC236}">
                <a16:creationId xmlns:a16="http://schemas.microsoft.com/office/drawing/2014/main" id="{00000000-0008-0000-0000-00003D000000}"/>
              </a:ext>
            </a:extLst>
          </xdr:cNvPr>
          <xdr:cNvCxnSpPr/>
        </xdr:nvCxnSpPr>
        <xdr:spPr>
          <a:xfrm flipH="1">
            <a:off x="3505200" y="2924619"/>
            <a:ext cx="161362" cy="9081"/>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42144</xdr:colOff>
      <xdr:row>638</xdr:row>
      <xdr:rowOff>27214</xdr:rowOff>
    </xdr:from>
    <xdr:to>
      <xdr:col>7</xdr:col>
      <xdr:colOff>2444</xdr:colOff>
      <xdr:row>657</xdr:row>
      <xdr:rowOff>109177</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58573" y="117416035"/>
          <a:ext cx="5131414" cy="3960000"/>
        </a:xfrm>
        <a:prstGeom prst="rect">
          <a:avLst/>
        </a:prstGeom>
        <a:ln>
          <a:solidFill>
            <a:schemeClr val="tx1"/>
          </a:solidFill>
        </a:ln>
      </xdr:spPr>
    </xdr:pic>
    <xdr:clientData/>
  </xdr:twoCellAnchor>
  <xdr:twoCellAnchor>
    <xdr:from>
      <xdr:col>0</xdr:col>
      <xdr:colOff>544280</xdr:colOff>
      <xdr:row>658</xdr:row>
      <xdr:rowOff>100839</xdr:rowOff>
    </xdr:from>
    <xdr:to>
      <xdr:col>7</xdr:col>
      <xdr:colOff>303530</xdr:colOff>
      <xdr:row>674</xdr:row>
      <xdr:rowOff>185562</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544280" y="121639839"/>
          <a:ext cx="5340900" cy="3285123"/>
          <a:chOff x="583515" y="4483193"/>
          <a:chExt cx="5760000" cy="3350438"/>
        </a:xfrm>
      </xdr:grpSpPr>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583515" y="4483193"/>
            <a:ext cx="5760000" cy="3350438"/>
          </a:xfrm>
          <a:prstGeom prst="rect">
            <a:avLst/>
          </a:prstGeom>
          <a:ln>
            <a:solidFill>
              <a:schemeClr val="tx1"/>
            </a:solidFill>
          </a:ln>
        </xdr:spPr>
      </xdr:pic>
      <xdr:sp macro="" textlink="">
        <xdr:nvSpPr>
          <xdr:cNvPr id="68" name="Rectangle 67">
            <a:extLst>
              <a:ext uri="{FF2B5EF4-FFF2-40B4-BE49-F238E27FC236}">
                <a16:creationId xmlns:a16="http://schemas.microsoft.com/office/drawing/2014/main" id="{00000000-0008-0000-0000-000044000000}"/>
              </a:ext>
            </a:extLst>
          </xdr:cNvPr>
          <xdr:cNvSpPr/>
        </xdr:nvSpPr>
        <xdr:spPr>
          <a:xfrm>
            <a:off x="3276600" y="5838825"/>
            <a:ext cx="1809750" cy="145732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9" name="Rectangle 68">
            <a:extLst>
              <a:ext uri="{FF2B5EF4-FFF2-40B4-BE49-F238E27FC236}">
                <a16:creationId xmlns:a16="http://schemas.microsoft.com/office/drawing/2014/main" id="{00000000-0008-0000-0000-000045000000}"/>
              </a:ext>
            </a:extLst>
          </xdr:cNvPr>
          <xdr:cNvSpPr/>
        </xdr:nvSpPr>
        <xdr:spPr>
          <a:xfrm>
            <a:off x="2533650" y="6076950"/>
            <a:ext cx="657225" cy="77152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0</xdr:colOff>
      <xdr:row>538</xdr:row>
      <xdr:rowOff>0</xdr:rowOff>
    </xdr:from>
    <xdr:to>
      <xdr:col>8</xdr:col>
      <xdr:colOff>304800</xdr:colOff>
      <xdr:row>539</xdr:row>
      <xdr:rowOff>104775</xdr:rowOff>
    </xdr:to>
    <xdr:sp macro="" textlink="">
      <xdr:nvSpPr>
        <xdr:cNvPr id="1049" name="AutoShape 25" descr="blob:https://web.whatsapp.com/ea6be6da-a13e-499d-8401-3201eb226e1b">
          <a:extLst>
            <a:ext uri="{FF2B5EF4-FFF2-40B4-BE49-F238E27FC236}">
              <a16:creationId xmlns:a16="http://schemas.microsoft.com/office/drawing/2014/main" id="{00000000-0008-0000-0000-000019040000}"/>
            </a:ext>
          </a:extLst>
        </xdr:cNvPr>
        <xdr:cNvSpPr>
          <a:spLocks noChangeAspect="1" noChangeArrowheads="1"/>
        </xdr:cNvSpPr>
      </xdr:nvSpPr>
      <xdr:spPr bwMode="auto">
        <a:xfrm>
          <a:off x="6315075" y="10117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652742</xdr:colOff>
      <xdr:row>511</xdr:row>
      <xdr:rowOff>108697</xdr:rowOff>
    </xdr:from>
    <xdr:to>
      <xdr:col>16</xdr:col>
      <xdr:colOff>138450</xdr:colOff>
      <xdr:row>595</xdr:row>
      <xdr:rowOff>9525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453592" y="94444297"/>
          <a:ext cx="6257983" cy="14502653"/>
          <a:chOff x="0" y="96695559"/>
          <a:chExt cx="6261905" cy="8559158"/>
        </a:xfrm>
      </xdr:grpSpPr>
      <xdr:pic>
        <xdr:nvPicPr>
          <xdr:cNvPr id="63" name="Picture 62" descr="https://vsjcllp.vsjadon.com/upload/insp-204695-843.jpg">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3191063" y="101549420"/>
            <a:ext cx="2396666"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04695-845.jpg">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157150" y="103454717"/>
            <a:ext cx="2396666"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04695-847.jpg">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3629213" y="103454717"/>
            <a:ext cx="1348125"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04695-862.jpg">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146239" y="99104124"/>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04695-1022.jpg">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0" y="96695559"/>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04695-925.jpg">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3146239" y="96695559"/>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04695-928.jpg">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0" y="99104124"/>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04695-883.jpg">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719000" y="101549420"/>
            <a:ext cx="2396666"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1020856</xdr:colOff>
      <xdr:row>503</xdr:row>
      <xdr:rowOff>52667</xdr:rowOff>
    </xdr:from>
    <xdr:to>
      <xdr:col>17</xdr:col>
      <xdr:colOff>11047</xdr:colOff>
      <xdr:row>526</xdr:row>
      <xdr:rowOff>57361</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821706" y="92797592"/>
          <a:ext cx="6372066" cy="4595744"/>
          <a:chOff x="201706" y="96930882"/>
          <a:chExt cx="6370945" cy="4632723"/>
        </a:xfrm>
      </xdr:grpSpPr>
      <xdr:pic>
        <xdr:nvPicPr>
          <xdr:cNvPr id="95" name="Picture 94" descr="insp-215708-1525.jpg (719×960)">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4954901" y="9940360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6" name="Picture 95" descr="insp-215708-845.jpg (719×540)">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01706" y="99403605"/>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7" name="Picture 96" descr="insp-215708-847.jpg (719×960)">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3213651" y="9940360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8" name="Picture 97" descr="insp-215708-849.jpg (719×540)">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210183" y="96930882"/>
            <a:ext cx="3115667"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9" name="Picture 98" descr="insp-215708-931.jpg (719×540)">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3404925" y="96930882"/>
            <a:ext cx="3115667"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266700</xdr:colOff>
      <xdr:row>33</xdr:row>
      <xdr:rowOff>76200</xdr:rowOff>
    </xdr:from>
    <xdr:to>
      <xdr:col>12</xdr:col>
      <xdr:colOff>267196</xdr:colOff>
      <xdr:row>45</xdr:row>
      <xdr:rowOff>76535</xdr:rowOff>
    </xdr:to>
    <xdr:pic>
      <xdr:nvPicPr>
        <xdr:cNvPr id="3" name="Picture 2">
          <a:extLst>
            <a:ext uri="{FF2B5EF4-FFF2-40B4-BE49-F238E27FC236}">
              <a16:creationId xmlns:a16="http://schemas.microsoft.com/office/drawing/2014/main" id="{16DC60BA-BC8C-4C10-AE17-30C1ADFB7A07}"/>
            </a:ext>
          </a:extLst>
        </xdr:cNvPr>
        <xdr:cNvPicPr>
          <a:picLocks noChangeAspect="1"/>
        </xdr:cNvPicPr>
      </xdr:nvPicPr>
      <xdr:blipFill>
        <a:blip xmlns:r="http://schemas.openxmlformats.org/officeDocument/2006/relationships" r:embed="rId18"/>
        <a:stretch>
          <a:fillRect/>
        </a:stretch>
      </xdr:blipFill>
      <xdr:spPr>
        <a:xfrm>
          <a:off x="7067550" y="8572500"/>
          <a:ext cx="3553321" cy="2400635"/>
        </a:xfrm>
        <a:prstGeom prst="rect">
          <a:avLst/>
        </a:prstGeom>
      </xdr:spPr>
    </xdr:pic>
    <xdr:clientData/>
  </xdr:twoCellAnchor>
  <xdr:twoCellAnchor editAs="oneCell">
    <xdr:from>
      <xdr:col>8</xdr:col>
      <xdr:colOff>66675</xdr:colOff>
      <xdr:row>136</xdr:row>
      <xdr:rowOff>200025</xdr:rowOff>
    </xdr:from>
    <xdr:to>
      <xdr:col>18</xdr:col>
      <xdr:colOff>572686</xdr:colOff>
      <xdr:row>139</xdr:row>
      <xdr:rowOff>95293</xdr:rowOff>
    </xdr:to>
    <xdr:pic>
      <xdr:nvPicPr>
        <xdr:cNvPr id="4" name="Picture 3">
          <a:extLst>
            <a:ext uri="{FF2B5EF4-FFF2-40B4-BE49-F238E27FC236}">
              <a16:creationId xmlns:a16="http://schemas.microsoft.com/office/drawing/2014/main" id="{927C5E8E-6AB6-4D31-BF0C-24A80C514DDF}"/>
            </a:ext>
          </a:extLst>
        </xdr:cNvPr>
        <xdr:cNvPicPr>
          <a:picLocks noChangeAspect="1"/>
        </xdr:cNvPicPr>
      </xdr:nvPicPr>
      <xdr:blipFill>
        <a:blip xmlns:r="http://schemas.openxmlformats.org/officeDocument/2006/relationships" r:embed="rId19"/>
        <a:stretch>
          <a:fillRect/>
        </a:stretch>
      </xdr:blipFill>
      <xdr:spPr>
        <a:xfrm>
          <a:off x="6867525" y="18935700"/>
          <a:ext cx="8497486" cy="304843"/>
        </a:xfrm>
        <a:prstGeom prst="rect">
          <a:avLst/>
        </a:prstGeom>
      </xdr:spPr>
    </xdr:pic>
    <xdr:clientData/>
  </xdr:twoCellAnchor>
  <xdr:twoCellAnchor editAs="oneCell">
    <xdr:from>
      <xdr:col>8</xdr:col>
      <xdr:colOff>209550</xdr:colOff>
      <xdr:row>59</xdr:row>
      <xdr:rowOff>9526</xdr:rowOff>
    </xdr:from>
    <xdr:to>
      <xdr:col>14</xdr:col>
      <xdr:colOff>427950</xdr:colOff>
      <xdr:row>70</xdr:row>
      <xdr:rowOff>182100</xdr:rowOff>
    </xdr:to>
    <xdr:pic>
      <xdr:nvPicPr>
        <xdr:cNvPr id="6" name="Picture 5">
          <a:extLst>
            <a:ext uri="{FF2B5EF4-FFF2-40B4-BE49-F238E27FC236}">
              <a16:creationId xmlns:a16="http://schemas.microsoft.com/office/drawing/2014/main" id="{958814EC-C37F-45F6-90C6-2AC507C6E23E}"/>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7010400" y="12792076"/>
          <a:ext cx="5400000" cy="1991849"/>
        </a:xfrm>
        <a:prstGeom prst="rect">
          <a:avLst/>
        </a:prstGeom>
      </xdr:spPr>
    </xdr:pic>
    <xdr:clientData/>
  </xdr:twoCellAnchor>
  <xdr:twoCellAnchor>
    <xdr:from>
      <xdr:col>9</xdr:col>
      <xdr:colOff>9525</xdr:colOff>
      <xdr:row>501</xdr:row>
      <xdr:rowOff>85725</xdr:rowOff>
    </xdr:from>
    <xdr:to>
      <xdr:col>17</xdr:col>
      <xdr:colOff>146587</xdr:colOff>
      <xdr:row>533</xdr:row>
      <xdr:rowOff>85725</xdr:rowOff>
    </xdr:to>
    <xdr:grpSp>
      <xdr:nvGrpSpPr>
        <xdr:cNvPr id="88" name="Group 87">
          <a:extLst>
            <a:ext uri="{FF2B5EF4-FFF2-40B4-BE49-F238E27FC236}">
              <a16:creationId xmlns:a16="http://schemas.microsoft.com/office/drawing/2014/main" id="{7D815CC2-D2AC-4656-8C10-259267629364}"/>
            </a:ext>
          </a:extLst>
        </xdr:cNvPr>
        <xdr:cNvGrpSpPr/>
      </xdr:nvGrpSpPr>
      <xdr:grpSpPr>
        <a:xfrm>
          <a:off x="7972425" y="92202000"/>
          <a:ext cx="6356887" cy="6619875"/>
          <a:chOff x="313334" y="476859"/>
          <a:chExt cx="6356887" cy="8302783"/>
        </a:xfrm>
      </xdr:grpSpPr>
      <xdr:pic>
        <xdr:nvPicPr>
          <xdr:cNvPr id="89" name="Picture 88">
            <a:extLst>
              <a:ext uri="{FF2B5EF4-FFF2-40B4-BE49-F238E27FC236}">
                <a16:creationId xmlns:a16="http://schemas.microsoft.com/office/drawing/2014/main" id="{7A3ED9B5-D134-4B47-801A-79A20EE0607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13334" y="476859"/>
            <a:ext cx="3115666" cy="2340000"/>
          </a:xfrm>
          <a:prstGeom prst="rect">
            <a:avLst/>
          </a:prstGeom>
          <a:ln>
            <a:solidFill>
              <a:schemeClr val="tx1"/>
            </a:solidFill>
          </a:ln>
        </xdr:spPr>
      </xdr:pic>
      <xdr:pic>
        <xdr:nvPicPr>
          <xdr:cNvPr id="90" name="Picture 89">
            <a:extLst>
              <a:ext uri="{FF2B5EF4-FFF2-40B4-BE49-F238E27FC236}">
                <a16:creationId xmlns:a16="http://schemas.microsoft.com/office/drawing/2014/main" id="{0B1F67E2-6C03-4ED9-BEAE-4250BB69A09D}"/>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062902" y="5475492"/>
            <a:ext cx="2366098" cy="1654578"/>
          </a:xfrm>
          <a:prstGeom prst="rect">
            <a:avLst/>
          </a:prstGeom>
          <a:ln>
            <a:solidFill>
              <a:schemeClr val="tx1"/>
            </a:solidFill>
          </a:ln>
        </xdr:spPr>
      </xdr:pic>
      <xdr:pic>
        <xdr:nvPicPr>
          <xdr:cNvPr id="91" name="Picture 90">
            <a:extLst>
              <a:ext uri="{FF2B5EF4-FFF2-40B4-BE49-F238E27FC236}">
                <a16:creationId xmlns:a16="http://schemas.microsoft.com/office/drawing/2014/main" id="{F55A2E81-9B9D-484B-8EB2-5039C0D09541}"/>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554554" y="5475492"/>
            <a:ext cx="2366098" cy="1654578"/>
          </a:xfrm>
          <a:prstGeom prst="rect">
            <a:avLst/>
          </a:prstGeom>
          <a:ln>
            <a:solidFill>
              <a:schemeClr val="tx1"/>
            </a:solidFill>
          </a:ln>
        </xdr:spPr>
      </xdr:pic>
      <xdr:pic>
        <xdr:nvPicPr>
          <xdr:cNvPr id="92" name="Picture 91">
            <a:extLst>
              <a:ext uri="{FF2B5EF4-FFF2-40B4-BE49-F238E27FC236}">
                <a16:creationId xmlns:a16="http://schemas.microsoft.com/office/drawing/2014/main" id="{E2DB969E-ABA9-42D7-81FA-7F542F0A15F9}"/>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208980" y="7262946"/>
            <a:ext cx="1220020" cy="1516696"/>
          </a:xfrm>
          <a:prstGeom prst="rect">
            <a:avLst/>
          </a:prstGeom>
          <a:ln>
            <a:solidFill>
              <a:schemeClr val="tx1"/>
            </a:solidFill>
          </a:ln>
        </xdr:spPr>
      </xdr:pic>
      <xdr:pic>
        <xdr:nvPicPr>
          <xdr:cNvPr id="93" name="Picture 92">
            <a:extLst>
              <a:ext uri="{FF2B5EF4-FFF2-40B4-BE49-F238E27FC236}">
                <a16:creationId xmlns:a16="http://schemas.microsoft.com/office/drawing/2014/main" id="{2435DE4B-F635-4A40-B1BD-EC7DD1078893}"/>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554554" y="7262946"/>
            <a:ext cx="1220020" cy="1516696"/>
          </a:xfrm>
          <a:prstGeom prst="rect">
            <a:avLst/>
          </a:prstGeom>
          <a:ln>
            <a:solidFill>
              <a:schemeClr val="tx1"/>
            </a:solidFill>
          </a:ln>
        </xdr:spPr>
      </xdr:pic>
      <xdr:pic>
        <xdr:nvPicPr>
          <xdr:cNvPr id="94" name="Picture 93">
            <a:extLst>
              <a:ext uri="{FF2B5EF4-FFF2-40B4-BE49-F238E27FC236}">
                <a16:creationId xmlns:a16="http://schemas.microsoft.com/office/drawing/2014/main" id="{C5161124-F908-4CBA-9210-7B18D0C5E03D}"/>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13334" y="2968920"/>
            <a:ext cx="3115666" cy="2340000"/>
          </a:xfrm>
          <a:prstGeom prst="rect">
            <a:avLst/>
          </a:prstGeom>
          <a:ln>
            <a:solidFill>
              <a:schemeClr val="tx1"/>
            </a:solidFill>
          </a:ln>
        </xdr:spPr>
      </xdr:pic>
      <xdr:pic>
        <xdr:nvPicPr>
          <xdr:cNvPr id="100" name="Picture 99">
            <a:extLst>
              <a:ext uri="{FF2B5EF4-FFF2-40B4-BE49-F238E27FC236}">
                <a16:creationId xmlns:a16="http://schemas.microsoft.com/office/drawing/2014/main" id="{803A945A-565E-4CA4-916B-2A4187F7BEFC}"/>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554555" y="476859"/>
            <a:ext cx="3115666" cy="2340000"/>
          </a:xfrm>
          <a:prstGeom prst="rect">
            <a:avLst/>
          </a:prstGeom>
          <a:ln>
            <a:solidFill>
              <a:schemeClr val="tx1"/>
            </a:solidFill>
          </a:ln>
        </xdr:spPr>
      </xdr:pic>
      <xdr:pic>
        <xdr:nvPicPr>
          <xdr:cNvPr id="101" name="Picture 100">
            <a:extLst>
              <a:ext uri="{FF2B5EF4-FFF2-40B4-BE49-F238E27FC236}">
                <a16:creationId xmlns:a16="http://schemas.microsoft.com/office/drawing/2014/main" id="{C02DABB7-D150-41A1-A524-7B35ADD7769C}"/>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554554" y="2968920"/>
            <a:ext cx="3115667" cy="2340000"/>
          </a:xfrm>
          <a:prstGeom prst="rect">
            <a:avLst/>
          </a:prstGeom>
          <a:ln>
            <a:solidFill>
              <a:schemeClr val="tx1"/>
            </a:solidFill>
          </a:ln>
        </xdr:spPr>
      </xdr:pic>
    </xdr:grpSp>
    <xdr:clientData/>
  </xdr:twoCellAnchor>
  <xdr:twoCellAnchor>
    <xdr:from>
      <xdr:col>0</xdr:col>
      <xdr:colOff>304800</xdr:colOff>
      <xdr:row>508</xdr:row>
      <xdr:rowOff>104775</xdr:rowOff>
    </xdr:from>
    <xdr:to>
      <xdr:col>7</xdr:col>
      <xdr:colOff>904876</xdr:colOff>
      <xdr:row>540</xdr:row>
      <xdr:rowOff>28576</xdr:rowOff>
    </xdr:to>
    <xdr:grpSp>
      <xdr:nvGrpSpPr>
        <xdr:cNvPr id="137" name="Group 136">
          <a:extLst>
            <a:ext uri="{FF2B5EF4-FFF2-40B4-BE49-F238E27FC236}">
              <a16:creationId xmlns:a16="http://schemas.microsoft.com/office/drawing/2014/main" id="{2F31A9B6-2A78-4538-A5F0-6DEC09B66051}"/>
            </a:ext>
          </a:extLst>
        </xdr:cNvPr>
        <xdr:cNvGrpSpPr/>
      </xdr:nvGrpSpPr>
      <xdr:grpSpPr>
        <a:xfrm>
          <a:off x="304800" y="93849825"/>
          <a:ext cx="6181726" cy="6315076"/>
          <a:chOff x="191833" y="573993"/>
          <a:chExt cx="6181726" cy="6315076"/>
        </a:xfrm>
      </xdr:grpSpPr>
      <xdr:pic>
        <xdr:nvPicPr>
          <xdr:cNvPr id="138" name="Picture 137">
            <a:extLst>
              <a:ext uri="{FF2B5EF4-FFF2-40B4-BE49-F238E27FC236}">
                <a16:creationId xmlns:a16="http://schemas.microsoft.com/office/drawing/2014/main" id="{DDCCA5D2-54CE-4048-8C61-C2B222F38621}"/>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91833" y="573993"/>
            <a:ext cx="3030249" cy="1974039"/>
          </a:xfrm>
          <a:prstGeom prst="rect">
            <a:avLst/>
          </a:prstGeom>
          <a:ln>
            <a:solidFill>
              <a:schemeClr val="tx1"/>
            </a:solidFill>
          </a:ln>
        </xdr:spPr>
      </xdr:pic>
      <xdr:pic>
        <xdr:nvPicPr>
          <xdr:cNvPr id="139" name="Picture 138">
            <a:extLst>
              <a:ext uri="{FF2B5EF4-FFF2-40B4-BE49-F238E27FC236}">
                <a16:creationId xmlns:a16="http://schemas.microsoft.com/office/drawing/2014/main" id="{3BB13306-1EF1-4C63-9473-F8E13C4EA733}"/>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3343310" y="573993"/>
            <a:ext cx="3030249" cy="1974039"/>
          </a:xfrm>
          <a:prstGeom prst="rect">
            <a:avLst/>
          </a:prstGeom>
          <a:ln>
            <a:solidFill>
              <a:schemeClr val="tx1"/>
            </a:solidFill>
          </a:ln>
        </xdr:spPr>
      </xdr:pic>
      <xdr:pic>
        <xdr:nvPicPr>
          <xdr:cNvPr id="140" name="Picture 139">
            <a:extLst>
              <a:ext uri="{FF2B5EF4-FFF2-40B4-BE49-F238E27FC236}">
                <a16:creationId xmlns:a16="http://schemas.microsoft.com/office/drawing/2014/main" id="{20E1BE3F-BF6A-49C9-B4B4-1595D64D8EBB}"/>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91833" y="2743538"/>
            <a:ext cx="3030249" cy="1974039"/>
          </a:xfrm>
          <a:prstGeom prst="rect">
            <a:avLst/>
          </a:prstGeom>
          <a:ln>
            <a:solidFill>
              <a:schemeClr val="tx1"/>
            </a:solidFill>
          </a:ln>
        </xdr:spPr>
      </xdr:pic>
      <xdr:pic>
        <xdr:nvPicPr>
          <xdr:cNvPr id="141" name="Picture 140">
            <a:extLst>
              <a:ext uri="{FF2B5EF4-FFF2-40B4-BE49-F238E27FC236}">
                <a16:creationId xmlns:a16="http://schemas.microsoft.com/office/drawing/2014/main" id="{B39E5ECA-6446-44FE-BF1C-241A53C18187}"/>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91833" y="4915030"/>
            <a:ext cx="3030249" cy="1974039"/>
          </a:xfrm>
          <a:prstGeom prst="rect">
            <a:avLst/>
          </a:prstGeom>
          <a:ln>
            <a:solidFill>
              <a:schemeClr val="tx1"/>
            </a:solidFill>
          </a:ln>
        </xdr:spPr>
      </xdr:pic>
      <xdr:pic>
        <xdr:nvPicPr>
          <xdr:cNvPr id="142" name="Picture 141">
            <a:extLst>
              <a:ext uri="{FF2B5EF4-FFF2-40B4-BE49-F238E27FC236}">
                <a16:creationId xmlns:a16="http://schemas.microsoft.com/office/drawing/2014/main" id="{BF36245D-A893-4233-8C6D-34FF25F2D06A}"/>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3343309" y="2743538"/>
            <a:ext cx="3030249" cy="1974039"/>
          </a:xfrm>
          <a:prstGeom prst="rect">
            <a:avLst/>
          </a:prstGeom>
          <a:ln>
            <a:solidFill>
              <a:schemeClr val="tx1"/>
            </a:solidFill>
          </a:ln>
        </xdr:spPr>
      </xdr:pic>
      <xdr:pic>
        <xdr:nvPicPr>
          <xdr:cNvPr id="143" name="Picture 142">
            <a:extLst>
              <a:ext uri="{FF2B5EF4-FFF2-40B4-BE49-F238E27FC236}">
                <a16:creationId xmlns:a16="http://schemas.microsoft.com/office/drawing/2014/main" id="{260A3A1F-F363-480B-AD4B-DCE84396F329}"/>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3343308" y="4915030"/>
            <a:ext cx="3030249" cy="1974039"/>
          </a:xfrm>
          <a:prstGeom prst="rect">
            <a:avLst/>
          </a:prstGeom>
          <a:ln>
            <a:solidFill>
              <a:schemeClr val="tx1"/>
            </a:solidFill>
          </a:ln>
        </xdr:spPr>
      </xdr:pic>
    </xdr:grpSp>
    <xdr:clientData/>
  </xdr:twoCellAnchor>
  <xdr:twoCellAnchor>
    <xdr:from>
      <xdr:col>0</xdr:col>
      <xdr:colOff>190500</xdr:colOff>
      <xdr:row>554</xdr:row>
      <xdr:rowOff>180975</xdr:rowOff>
    </xdr:from>
    <xdr:to>
      <xdr:col>7</xdr:col>
      <xdr:colOff>1025769</xdr:colOff>
      <xdr:row>577</xdr:row>
      <xdr:rowOff>66250</xdr:rowOff>
    </xdr:to>
    <xdr:grpSp>
      <xdr:nvGrpSpPr>
        <xdr:cNvPr id="144" name="Group 143">
          <a:extLst>
            <a:ext uri="{FF2B5EF4-FFF2-40B4-BE49-F238E27FC236}">
              <a16:creationId xmlns:a16="http://schemas.microsoft.com/office/drawing/2014/main" id="{0B97D725-1200-4222-B230-6B7FD0C92785}"/>
            </a:ext>
          </a:extLst>
        </xdr:cNvPr>
        <xdr:cNvGrpSpPr/>
      </xdr:nvGrpSpPr>
      <xdr:grpSpPr>
        <a:xfrm>
          <a:off x="190500" y="100917375"/>
          <a:ext cx="6416919" cy="4485850"/>
          <a:chOff x="313333" y="507121"/>
          <a:chExt cx="6416919" cy="4485850"/>
        </a:xfrm>
      </xdr:grpSpPr>
      <xdr:pic>
        <xdr:nvPicPr>
          <xdr:cNvPr id="145" name="Picture 144">
            <a:extLst>
              <a:ext uri="{FF2B5EF4-FFF2-40B4-BE49-F238E27FC236}">
                <a16:creationId xmlns:a16="http://schemas.microsoft.com/office/drawing/2014/main" id="{CEFD2F29-1816-493A-A696-86210D2D8F19}"/>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313333" y="507121"/>
            <a:ext cx="3115667" cy="2340000"/>
          </a:xfrm>
          <a:prstGeom prst="rect">
            <a:avLst/>
          </a:prstGeom>
          <a:ln>
            <a:solidFill>
              <a:schemeClr val="tx1"/>
            </a:solidFill>
          </a:ln>
        </xdr:spPr>
      </xdr:pic>
      <xdr:pic>
        <xdr:nvPicPr>
          <xdr:cNvPr id="146" name="Picture 145">
            <a:extLst>
              <a:ext uri="{FF2B5EF4-FFF2-40B4-BE49-F238E27FC236}">
                <a16:creationId xmlns:a16="http://schemas.microsoft.com/office/drawing/2014/main" id="{F03CA3E0-D381-4A8D-A614-ACF6A7030C58}"/>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3614585" y="507121"/>
            <a:ext cx="3115667" cy="2340000"/>
          </a:xfrm>
          <a:prstGeom prst="rect">
            <a:avLst/>
          </a:prstGeom>
          <a:ln>
            <a:solidFill>
              <a:schemeClr val="tx1"/>
            </a:solidFill>
          </a:ln>
        </xdr:spPr>
      </xdr:pic>
      <xdr:pic>
        <xdr:nvPicPr>
          <xdr:cNvPr id="147" name="Picture 146">
            <a:extLst>
              <a:ext uri="{FF2B5EF4-FFF2-40B4-BE49-F238E27FC236}">
                <a16:creationId xmlns:a16="http://schemas.microsoft.com/office/drawing/2014/main" id="{5E18CAE2-7CA9-45B4-843C-19A69522CFAB}"/>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551077" y="3012971"/>
            <a:ext cx="2636333" cy="1980000"/>
          </a:xfrm>
          <a:prstGeom prst="rect">
            <a:avLst/>
          </a:prstGeom>
          <a:ln>
            <a:solidFill>
              <a:schemeClr val="tx1"/>
            </a:solidFill>
          </a:ln>
        </xdr:spPr>
      </xdr:pic>
      <xdr:pic>
        <xdr:nvPicPr>
          <xdr:cNvPr id="148" name="Picture 147">
            <a:extLst>
              <a:ext uri="{FF2B5EF4-FFF2-40B4-BE49-F238E27FC236}">
                <a16:creationId xmlns:a16="http://schemas.microsoft.com/office/drawing/2014/main" id="{08C797FE-371C-4DF1-B881-655744CE70F7}"/>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3331459" y="3012971"/>
            <a:ext cx="1482938" cy="1980000"/>
          </a:xfrm>
          <a:prstGeom prst="rect">
            <a:avLst/>
          </a:prstGeom>
          <a:ln>
            <a:solidFill>
              <a:schemeClr val="tx1"/>
            </a:solidFill>
          </a:ln>
        </xdr:spPr>
      </xdr:pic>
      <xdr:pic>
        <xdr:nvPicPr>
          <xdr:cNvPr id="149" name="Picture 148">
            <a:extLst>
              <a:ext uri="{FF2B5EF4-FFF2-40B4-BE49-F238E27FC236}">
                <a16:creationId xmlns:a16="http://schemas.microsoft.com/office/drawing/2014/main" id="{F6E71B21-1B55-41C7-A21E-26371AE0DED7}"/>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4958446" y="3012971"/>
            <a:ext cx="1482938" cy="198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2ET9gv8nLxxgmEEY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37"/>
  <sheetViews>
    <sheetView tabSelected="1" view="pageBreakPreview" topLeftCell="A46" zoomScaleNormal="100" zoomScaleSheetLayoutView="100" zoomScalePageLayoutView="85" workbookViewId="0">
      <selection activeCell="J30" sqref="J3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7" width="11" style="40" customWidth="1"/>
    <col min="8" max="8" width="18.28515625"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69" t="s">
        <v>147</v>
      </c>
      <c r="B1" s="169"/>
      <c r="C1" s="169"/>
      <c r="D1" s="169"/>
      <c r="E1" s="169"/>
      <c r="F1" s="169"/>
      <c r="G1" s="169"/>
      <c r="H1" s="169"/>
    </row>
    <row r="2" spans="1:26" ht="16.5" customHeight="1" x14ac:dyDescent="0.25">
      <c r="A2" s="170" t="s">
        <v>0</v>
      </c>
      <c r="B2" s="170"/>
      <c r="C2" s="170"/>
      <c r="D2" s="170"/>
      <c r="E2" s="170"/>
      <c r="F2" s="170"/>
      <c r="G2" s="170"/>
      <c r="H2" s="170"/>
    </row>
    <row r="3" spans="1:26" x14ac:dyDescent="0.25">
      <c r="A3" s="161" t="s">
        <v>1</v>
      </c>
      <c r="B3" s="161"/>
      <c r="C3" s="161"/>
      <c r="D3" s="161"/>
      <c r="E3" s="161" t="str">
        <f ca="1">TEXT(TODAY(),"DD/MM/YYYY")</f>
        <v>12/08/2025</v>
      </c>
      <c r="F3" s="161"/>
      <c r="G3" s="161"/>
      <c r="H3" s="161"/>
      <c r="K3" s="59" t="s">
        <v>219</v>
      </c>
      <c r="L3" s="57" t="s">
        <v>217</v>
      </c>
      <c r="M3" s="57" t="s">
        <v>222</v>
      </c>
      <c r="N3" s="57" t="s">
        <v>220</v>
      </c>
      <c r="O3" s="57" t="s">
        <v>221</v>
      </c>
      <c r="P3" s="57" t="s">
        <v>223</v>
      </c>
    </row>
    <row r="4" spans="1:26" ht="15" customHeight="1" x14ac:dyDescent="0.25">
      <c r="A4" s="161" t="s">
        <v>216</v>
      </c>
      <c r="B4" s="161"/>
      <c r="C4" s="161"/>
      <c r="D4" s="161"/>
      <c r="E4" s="161" t="s">
        <v>217</v>
      </c>
      <c r="F4" s="161"/>
      <c r="G4" s="161"/>
      <c r="H4" s="161"/>
      <c r="K4" s="56" t="s">
        <v>218</v>
      </c>
      <c r="L4" s="57" t="s">
        <v>157</v>
      </c>
      <c r="M4" s="57" t="s">
        <v>227</v>
      </c>
      <c r="N4" s="57" t="s">
        <v>229</v>
      </c>
      <c r="O4" s="57" t="s">
        <v>231</v>
      </c>
      <c r="P4" s="57"/>
    </row>
    <row r="5" spans="1:26" ht="15" customHeight="1" x14ac:dyDescent="0.25">
      <c r="A5" s="161" t="s">
        <v>2</v>
      </c>
      <c r="B5" s="161"/>
      <c r="C5" s="161"/>
      <c r="D5" s="161"/>
      <c r="E5" s="161" t="s">
        <v>225</v>
      </c>
      <c r="F5" s="161"/>
      <c r="G5" s="161"/>
      <c r="H5" s="161"/>
      <c r="K5" s="56"/>
      <c r="L5" s="57" t="s">
        <v>224</v>
      </c>
      <c r="M5" s="57" t="s">
        <v>228</v>
      </c>
      <c r="N5" s="57" t="s">
        <v>230</v>
      </c>
      <c r="O5" s="57" t="s">
        <v>232</v>
      </c>
      <c r="P5" s="57"/>
    </row>
    <row r="6" spans="1:26" x14ac:dyDescent="0.25">
      <c r="A6" s="161" t="s">
        <v>3</v>
      </c>
      <c r="B6" s="161"/>
      <c r="C6" s="161"/>
      <c r="D6" s="161"/>
      <c r="E6" s="171">
        <v>45878</v>
      </c>
      <c r="F6" s="154"/>
      <c r="G6" s="154"/>
      <c r="H6" s="154"/>
      <c r="K6" s="56"/>
      <c r="L6" s="57" t="s">
        <v>225</v>
      </c>
      <c r="M6" s="57"/>
      <c r="N6" s="57"/>
      <c r="O6" s="57" t="s">
        <v>233</v>
      </c>
      <c r="P6" s="57"/>
    </row>
    <row r="7" spans="1:26" x14ac:dyDescent="0.25">
      <c r="A7" s="161" t="s">
        <v>4</v>
      </c>
      <c r="B7" s="161"/>
      <c r="C7" s="161"/>
      <c r="D7" s="161"/>
      <c r="E7" s="130" t="s">
        <v>284</v>
      </c>
      <c r="F7" s="130"/>
      <c r="G7" s="130"/>
      <c r="H7" s="130"/>
      <c r="K7" s="56"/>
      <c r="L7" s="57" t="s">
        <v>226</v>
      </c>
      <c r="M7" s="57"/>
      <c r="N7" s="57"/>
      <c r="O7" s="57" t="s">
        <v>233</v>
      </c>
      <c r="P7" s="57"/>
    </row>
    <row r="8" spans="1:26" x14ac:dyDescent="0.25">
      <c r="A8" s="161" t="s">
        <v>5</v>
      </c>
      <c r="B8" s="161"/>
      <c r="C8" s="161"/>
      <c r="D8" s="161"/>
      <c r="E8" s="130" t="str">
        <f>E7</f>
        <v>Wadhwa Construction and Infrastructure Private Limited</v>
      </c>
      <c r="F8" s="130"/>
      <c r="G8" s="130"/>
      <c r="H8" s="130"/>
      <c r="K8" s="56"/>
      <c r="L8" s="57"/>
      <c r="M8" s="57"/>
      <c r="N8" s="57"/>
      <c r="O8" s="57" t="s">
        <v>234</v>
      </c>
      <c r="P8" s="57"/>
    </row>
    <row r="9" spans="1:26" x14ac:dyDescent="0.25">
      <c r="A9" s="161" t="s">
        <v>6</v>
      </c>
      <c r="B9" s="161"/>
      <c r="C9" s="161"/>
      <c r="D9" s="161"/>
      <c r="E9" s="98" t="s">
        <v>285</v>
      </c>
      <c r="F9" s="98"/>
      <c r="G9" s="98"/>
      <c r="H9" s="98"/>
      <c r="K9" s="56"/>
      <c r="L9" s="57"/>
      <c r="M9" s="57"/>
      <c r="N9" s="57"/>
      <c r="O9" s="57" t="s">
        <v>235</v>
      </c>
      <c r="P9" s="57"/>
    </row>
    <row r="10" spans="1:26" x14ac:dyDescent="0.25">
      <c r="A10" s="161" t="s">
        <v>151</v>
      </c>
      <c r="B10" s="161"/>
      <c r="C10" s="161"/>
      <c r="D10" s="161"/>
      <c r="E10" s="161" t="s">
        <v>309</v>
      </c>
      <c r="F10" s="161"/>
      <c r="G10" s="161"/>
      <c r="H10" s="161"/>
      <c r="K10" s="56"/>
      <c r="L10" s="57"/>
      <c r="M10" s="57"/>
      <c r="N10" s="57"/>
      <c r="O10" s="57"/>
      <c r="P10" s="57"/>
    </row>
    <row r="11" spans="1:26" x14ac:dyDescent="0.25">
      <c r="A11" s="161" t="s">
        <v>152</v>
      </c>
      <c r="B11" s="161"/>
      <c r="C11" s="161"/>
      <c r="D11" s="161"/>
      <c r="E11" s="161" t="s">
        <v>350</v>
      </c>
      <c r="F11" s="161"/>
      <c r="G11" s="161"/>
      <c r="H11" s="161"/>
    </row>
    <row r="12" spans="1:26" x14ac:dyDescent="0.25">
      <c r="A12" s="161" t="s">
        <v>7</v>
      </c>
      <c r="B12" s="161"/>
      <c r="C12" s="161"/>
      <c r="D12" s="161"/>
      <c r="E12" s="161">
        <v>350</v>
      </c>
      <c r="F12" s="161"/>
      <c r="G12" s="161"/>
      <c r="H12" s="161"/>
    </row>
    <row r="13" spans="1:26" x14ac:dyDescent="0.25">
      <c r="A13" s="161" t="s">
        <v>158</v>
      </c>
      <c r="B13" s="161"/>
      <c r="C13" s="161"/>
      <c r="D13" s="161"/>
      <c r="E13" s="161" t="s">
        <v>28</v>
      </c>
      <c r="F13" s="161"/>
      <c r="G13" s="161"/>
      <c r="H13" s="161"/>
      <c r="S13" s="57" t="s">
        <v>162</v>
      </c>
      <c r="T13" s="57" t="s">
        <v>172</v>
      </c>
      <c r="U13" s="57" t="s">
        <v>159</v>
      </c>
      <c r="V13" s="57" t="s">
        <v>177</v>
      </c>
      <c r="W13" s="57" t="s">
        <v>195</v>
      </c>
      <c r="X13"/>
      <c r="Y13" t="s">
        <v>177</v>
      </c>
      <c r="Z13" t="e">
        <f ca="1">OFFSET($S$13,1,MATCH($G20,$S$13:$W$13,0)-1,15,1)</f>
        <v>#VALUE!</v>
      </c>
    </row>
    <row r="14" spans="1:26" x14ac:dyDescent="0.25">
      <c r="A14" s="103" t="s">
        <v>262</v>
      </c>
      <c r="B14" s="103"/>
      <c r="C14" s="103"/>
      <c r="D14" s="103"/>
      <c r="E14" s="130" t="s">
        <v>317</v>
      </c>
      <c r="F14" s="130"/>
      <c r="G14" s="130"/>
      <c r="H14" s="130"/>
      <c r="S14" s="57" t="s">
        <v>163</v>
      </c>
      <c r="T14" s="57" t="s">
        <v>170</v>
      </c>
      <c r="U14" s="57" t="s">
        <v>192</v>
      </c>
      <c r="V14" s="57" t="s">
        <v>178</v>
      </c>
      <c r="W14" s="57" t="s">
        <v>196</v>
      </c>
      <c r="X14"/>
      <c r="Y14"/>
      <c r="Z14"/>
    </row>
    <row r="15" spans="1:26" ht="49.5" customHeight="1" x14ac:dyDescent="0.25">
      <c r="A15" s="103" t="s">
        <v>8</v>
      </c>
      <c r="B15" s="103"/>
      <c r="C15" s="103"/>
      <c r="D15" s="103"/>
      <c r="E15" s="130" t="s">
        <v>286</v>
      </c>
      <c r="F15" s="161"/>
      <c r="G15" s="161"/>
      <c r="H15" s="161"/>
      <c r="I15" s="228" t="e">
        <f ca="1">OFFSET($D$5,1,MATCH($J13,$D$5:$H$5,0)-1,15,1)</f>
        <v>#N/A</v>
      </c>
      <c r="J15" s="229"/>
      <c r="K15" s="229"/>
      <c r="L15" s="229"/>
      <c r="M15" s="229"/>
      <c r="N15" s="229"/>
      <c r="O15" s="229"/>
      <c r="P15" s="229"/>
      <c r="S15" s="57" t="s">
        <v>164</v>
      </c>
      <c r="T15" s="57" t="s">
        <v>171</v>
      </c>
      <c r="U15" s="57" t="s">
        <v>193</v>
      </c>
      <c r="V15" s="57" t="s">
        <v>179</v>
      </c>
      <c r="W15" s="57" t="s">
        <v>209</v>
      </c>
      <c r="X15"/>
      <c r="Y15"/>
      <c r="Z15"/>
    </row>
    <row r="16" spans="1:26" ht="66" customHeight="1" x14ac:dyDescent="0.25">
      <c r="A16" s="166" t="s">
        <v>9</v>
      </c>
      <c r="B16" s="166"/>
      <c r="C16" s="166" t="str">
        <f>CONCATENATE((IF(OR(E9="",E9="NA"),"",E9)),", ",(IF(OR(A17="",A17="NA"),"",A17)),".",(IF(OR(C17="",C17="NA"),"",C17)),", near ",(IF(OR(C22="",C22="NA"),"",C22)),", ",(IF(OR(C19="",C19="NA"),"",C19)),", ",(IF(OR(C18="",C18="NA"),"",C18)),", ",(IF(OR(G19="",G19="NA"),"",G19)),", ",(IF(OR(C20="",C20="NA"),"",C20)),", ",(IF(OR(C21="",C21="NA"),"",C21)),", ",(IF(OR(G20="",G20="NA"),"",G20))," - ",(IF(OR(G21="",G21="NA"),"",G21)),".")</f>
        <v>Wise City RZ 01 (Phase 1, 2 &amp; 3), Survey No.84/3, 84/4, 86/1, 86/2, 82/4, 82/5, 82/6, 82/7, 82/8, 82/10, 82/3, 82/2, 82/1, 82/13, 81/8, 81/4, 81/3, 81/5+9B, 79/2A, 79/2B, 79/3, 78/0, 77, 79/5, 79/1, 81/2, 69/6B, near NUSI Offshore Training Institute, Thakurvadi Road, Thakurvadi, Wardoli, Panvel, Panvel, Raigad - 410206.</v>
      </c>
      <c r="D16" s="166"/>
      <c r="E16" s="166"/>
      <c r="F16" s="166"/>
      <c r="G16" s="166"/>
      <c r="H16" s="166"/>
      <c r="S16" s="57" t="s">
        <v>165</v>
      </c>
      <c r="T16" s="57" t="s">
        <v>173</v>
      </c>
      <c r="U16" s="57" t="s">
        <v>194</v>
      </c>
      <c r="V16" s="57" t="s">
        <v>180</v>
      </c>
      <c r="W16" s="57" t="s">
        <v>197</v>
      </c>
      <c r="X16"/>
      <c r="Y16"/>
      <c r="Z16"/>
    </row>
    <row r="17" spans="1:26" ht="34.5" customHeight="1" x14ac:dyDescent="0.25">
      <c r="A17" s="130" t="s">
        <v>287</v>
      </c>
      <c r="B17" s="130"/>
      <c r="C17" s="130" t="s">
        <v>290</v>
      </c>
      <c r="D17" s="130"/>
      <c r="E17" s="130"/>
      <c r="F17" s="130"/>
      <c r="G17" s="130"/>
      <c r="H17" s="130"/>
      <c r="S17" s="57" t="s">
        <v>166</v>
      </c>
      <c r="T17" s="57" t="s">
        <v>174</v>
      </c>
      <c r="U17" s="57" t="s">
        <v>159</v>
      </c>
      <c r="V17" s="57" t="s">
        <v>181</v>
      </c>
      <c r="W17" s="57" t="s">
        <v>198</v>
      </c>
      <c r="X17"/>
      <c r="Y17"/>
      <c r="Z17"/>
    </row>
    <row r="18" spans="1:26" ht="15.75" customHeight="1" x14ac:dyDescent="0.25">
      <c r="A18" s="130" t="s">
        <v>145</v>
      </c>
      <c r="B18" s="130"/>
      <c r="C18" s="130" t="s">
        <v>310</v>
      </c>
      <c r="D18" s="130"/>
      <c r="E18" s="130"/>
      <c r="F18" s="130"/>
      <c r="G18" s="130"/>
      <c r="H18" s="130"/>
      <c r="S18" s="57" t="s">
        <v>167</v>
      </c>
      <c r="T18" s="57" t="s">
        <v>172</v>
      </c>
      <c r="U18" s="57"/>
      <c r="V18" s="57" t="s">
        <v>182</v>
      </c>
      <c r="W18" s="57" t="s">
        <v>199</v>
      </c>
      <c r="X18"/>
      <c r="Y18"/>
      <c r="Z18"/>
    </row>
    <row r="19" spans="1:26" ht="15.75" customHeight="1" x14ac:dyDescent="0.25">
      <c r="A19" s="166" t="s">
        <v>10</v>
      </c>
      <c r="B19" s="166"/>
      <c r="C19" s="161" t="s">
        <v>288</v>
      </c>
      <c r="D19" s="161"/>
      <c r="E19" s="166" t="s">
        <v>63</v>
      </c>
      <c r="F19" s="166"/>
      <c r="G19" s="130" t="s">
        <v>319</v>
      </c>
      <c r="H19" s="130"/>
      <c r="S19" s="57" t="s">
        <v>168</v>
      </c>
      <c r="T19" s="57" t="s">
        <v>175</v>
      </c>
      <c r="U19" s="57"/>
      <c r="V19" s="57" t="s">
        <v>183</v>
      </c>
      <c r="W19" s="57" t="s">
        <v>200</v>
      </c>
      <c r="X19"/>
      <c r="Y19"/>
      <c r="Z19"/>
    </row>
    <row r="20" spans="1:26" x14ac:dyDescent="0.25">
      <c r="A20" s="103" t="s">
        <v>12</v>
      </c>
      <c r="B20" s="103"/>
      <c r="C20" s="130" t="s">
        <v>179</v>
      </c>
      <c r="D20" s="130"/>
      <c r="E20" s="130" t="s">
        <v>11</v>
      </c>
      <c r="F20" s="130"/>
      <c r="G20" s="167" t="s">
        <v>177</v>
      </c>
      <c r="H20" s="167"/>
      <c r="S20" s="57" t="s">
        <v>169</v>
      </c>
      <c r="T20" s="57" t="s">
        <v>176</v>
      </c>
      <c r="U20" s="57"/>
      <c r="V20" s="57" t="s">
        <v>184</v>
      </c>
      <c r="W20" s="57" t="s">
        <v>201</v>
      </c>
      <c r="X20"/>
      <c r="Y20"/>
      <c r="Z20"/>
    </row>
    <row r="21" spans="1:26" x14ac:dyDescent="0.25">
      <c r="A21" s="103" t="s">
        <v>64</v>
      </c>
      <c r="B21" s="103"/>
      <c r="C21" s="130" t="s">
        <v>179</v>
      </c>
      <c r="D21" s="130"/>
      <c r="E21" s="130" t="s">
        <v>13</v>
      </c>
      <c r="F21" s="130"/>
      <c r="G21" s="130">
        <v>410206</v>
      </c>
      <c r="H21" s="130"/>
      <c r="S21" s="57"/>
      <c r="T21" s="57"/>
      <c r="U21" s="57"/>
      <c r="V21" s="57" t="s">
        <v>185</v>
      </c>
      <c r="W21" s="57" t="s">
        <v>202</v>
      </c>
      <c r="X21"/>
      <c r="Y21"/>
      <c r="Z21"/>
    </row>
    <row r="22" spans="1:26" ht="32.25" customHeight="1" x14ac:dyDescent="0.25">
      <c r="A22" s="103" t="s">
        <v>110</v>
      </c>
      <c r="B22" s="103"/>
      <c r="C22" s="130" t="s">
        <v>289</v>
      </c>
      <c r="D22" s="130"/>
      <c r="E22" s="130" t="s">
        <v>14</v>
      </c>
      <c r="F22" s="130"/>
      <c r="G22" s="130" t="s">
        <v>311</v>
      </c>
      <c r="H22" s="130"/>
      <c r="S22" s="57"/>
      <c r="T22" s="57"/>
      <c r="U22" s="57"/>
      <c r="V22" s="57" t="s">
        <v>186</v>
      </c>
      <c r="W22" s="57" t="s">
        <v>203</v>
      </c>
      <c r="X22"/>
      <c r="Y22"/>
      <c r="Z22"/>
    </row>
    <row r="23" spans="1:26" ht="15" customHeight="1" x14ac:dyDescent="0.25">
      <c r="A23" s="166" t="s">
        <v>65</v>
      </c>
      <c r="B23" s="166"/>
      <c r="C23" s="166"/>
      <c r="D23" s="166"/>
      <c r="E23" s="161" t="s">
        <v>15</v>
      </c>
      <c r="F23" s="161"/>
      <c r="G23" s="161"/>
      <c r="H23" s="161"/>
      <c r="S23" s="57"/>
      <c r="T23" s="57"/>
      <c r="U23" s="57"/>
      <c r="V23" s="57" t="s">
        <v>187</v>
      </c>
      <c r="W23" s="57" t="s">
        <v>204</v>
      </c>
      <c r="X23"/>
      <c r="Y23"/>
      <c r="Z23"/>
    </row>
    <row r="24" spans="1:26" ht="18.75" customHeight="1" x14ac:dyDescent="0.25">
      <c r="A24" s="166"/>
      <c r="B24" s="166"/>
      <c r="C24" s="166"/>
      <c r="D24" s="166"/>
      <c r="E24" s="161"/>
      <c r="F24" s="161"/>
      <c r="G24" s="161"/>
      <c r="H24" s="161"/>
      <c r="S24" s="57"/>
      <c r="T24" s="57"/>
      <c r="U24" s="57"/>
      <c r="V24" s="57" t="s">
        <v>188</v>
      </c>
      <c r="W24" s="57" t="s">
        <v>205</v>
      </c>
      <c r="X24"/>
      <c r="Y24"/>
      <c r="Z24"/>
    </row>
    <row r="25" spans="1:26" ht="15" customHeight="1" x14ac:dyDescent="0.25">
      <c r="A25" s="166" t="s">
        <v>16</v>
      </c>
      <c r="B25" s="166"/>
      <c r="C25" s="166"/>
      <c r="D25" s="166"/>
      <c r="E25" s="130" t="s">
        <v>17</v>
      </c>
      <c r="F25" s="130"/>
      <c r="G25" s="130"/>
      <c r="H25" s="130"/>
      <c r="S25" s="57"/>
      <c r="T25" s="57"/>
      <c r="U25" s="57"/>
      <c r="V25" s="57" t="s">
        <v>189</v>
      </c>
      <c r="W25" s="57" t="s">
        <v>206</v>
      </c>
      <c r="X25"/>
      <c r="Y25"/>
      <c r="Z25"/>
    </row>
    <row r="26" spans="1:26" ht="15" customHeight="1" x14ac:dyDescent="0.25">
      <c r="A26" s="103" t="s">
        <v>18</v>
      </c>
      <c r="B26" s="103"/>
      <c r="C26" s="103"/>
      <c r="D26" s="103"/>
      <c r="E26" s="130" t="str">
        <f>IF(AND(G20="Mumbai"),"Upper Class","Middle Class")</f>
        <v>Middle Class</v>
      </c>
      <c r="F26" s="130"/>
      <c r="G26" s="130"/>
      <c r="H26" s="130"/>
      <c r="S26" s="57"/>
      <c r="T26" s="57"/>
      <c r="U26" s="57"/>
      <c r="V26" s="57" t="s">
        <v>190</v>
      </c>
      <c r="W26" s="57" t="s">
        <v>207</v>
      </c>
      <c r="X26"/>
      <c r="Y26"/>
      <c r="Z26"/>
    </row>
    <row r="27" spans="1:26" x14ac:dyDescent="0.25">
      <c r="A27" s="103" t="s">
        <v>19</v>
      </c>
      <c r="B27" s="103"/>
      <c r="C27" s="103"/>
      <c r="D27" s="103"/>
      <c r="E27" s="130" t="s">
        <v>20</v>
      </c>
      <c r="F27" s="130"/>
      <c r="G27" s="130"/>
      <c r="H27" s="130"/>
      <c r="S27" s="57"/>
      <c r="T27" s="57"/>
      <c r="U27" s="57"/>
      <c r="V27" s="57" t="s">
        <v>191</v>
      </c>
      <c r="W27" s="57" t="s">
        <v>208</v>
      </c>
      <c r="X27"/>
      <c r="Y27"/>
      <c r="Z27"/>
    </row>
    <row r="28" spans="1:26" ht="15.75" customHeight="1" x14ac:dyDescent="0.25">
      <c r="A28" s="103" t="s">
        <v>21</v>
      </c>
      <c r="B28" s="103"/>
      <c r="C28" s="103"/>
      <c r="D28" s="103"/>
      <c r="E28" s="130" t="str">
        <f>IF(AND(G20="Mumbai"),"Developed","Developing")</f>
        <v>Developing</v>
      </c>
      <c r="F28" s="130"/>
      <c r="G28" s="130"/>
      <c r="H28" s="130"/>
    </row>
    <row r="29" spans="1:26" x14ac:dyDescent="0.25">
      <c r="A29" s="103" t="s">
        <v>22</v>
      </c>
      <c r="B29" s="103"/>
      <c r="C29" s="103"/>
      <c r="D29" s="103"/>
      <c r="E29" s="130" t="s">
        <v>23</v>
      </c>
      <c r="F29" s="130"/>
      <c r="G29" s="130"/>
      <c r="H29" s="130"/>
    </row>
    <row r="30" spans="1:26" ht="15.75" customHeight="1" x14ac:dyDescent="0.25">
      <c r="A30" s="103" t="s">
        <v>70</v>
      </c>
      <c r="B30" s="103"/>
      <c r="C30" s="103"/>
      <c r="D30" s="103"/>
      <c r="E30" s="130" t="s">
        <v>71</v>
      </c>
      <c r="F30" s="130"/>
      <c r="G30" s="130"/>
      <c r="H30" s="130"/>
    </row>
    <row r="31" spans="1:26" ht="15" customHeight="1" x14ac:dyDescent="0.25">
      <c r="A31" s="103" t="s">
        <v>30</v>
      </c>
      <c r="B31" s="103"/>
      <c r="C31" s="103"/>
      <c r="D31" s="103"/>
      <c r="E31" s="130" t="s">
        <v>316</v>
      </c>
      <c r="F31" s="130"/>
      <c r="G31" s="130"/>
      <c r="H31" s="130"/>
      <c r="I31" s="21" t="b">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0</v>
      </c>
    </row>
    <row r="32" spans="1:26" ht="15.75" customHeight="1" x14ac:dyDescent="0.25">
      <c r="A32" s="103" t="s">
        <v>82</v>
      </c>
      <c r="B32" s="103"/>
      <c r="C32" s="103"/>
      <c r="D32" s="103"/>
      <c r="E32" s="130" t="s">
        <v>31</v>
      </c>
      <c r="F32" s="130"/>
      <c r="G32" s="130"/>
      <c r="H32" s="130"/>
    </row>
    <row r="33" spans="1:19" s="22" customFormat="1" x14ac:dyDescent="0.25">
      <c r="A33" s="165" t="s">
        <v>83</v>
      </c>
      <c r="B33" s="165"/>
      <c r="C33" s="162" t="s">
        <v>160</v>
      </c>
      <c r="D33" s="163"/>
      <c r="E33" s="164"/>
      <c r="F33" s="162" t="s">
        <v>29</v>
      </c>
      <c r="G33" s="163"/>
      <c r="H33" s="164"/>
      <c r="S33" s="22" t="e">
        <f ca="1">OFFSET($S$13,1,MATCH($G20,$S$13:$W$13,0)-1,15,1)</f>
        <v>#VALUE!</v>
      </c>
    </row>
    <row r="34" spans="1:19" s="22" customFormat="1" x14ac:dyDescent="0.25">
      <c r="A34" s="145" t="s">
        <v>24</v>
      </c>
      <c r="B34" s="145" t="s">
        <v>28</v>
      </c>
      <c r="C34" s="146" t="s">
        <v>291</v>
      </c>
      <c r="D34" s="147"/>
      <c r="E34" s="148"/>
      <c r="F34" s="146" t="s">
        <v>294</v>
      </c>
      <c r="G34" s="147"/>
      <c r="H34" s="148"/>
    </row>
    <row r="35" spans="1:19" x14ac:dyDescent="0.25">
      <c r="A35" s="145" t="s">
        <v>25</v>
      </c>
      <c r="B35" s="145" t="s">
        <v>28</v>
      </c>
      <c r="C35" s="146" t="s">
        <v>292</v>
      </c>
      <c r="D35" s="147"/>
      <c r="E35" s="148"/>
      <c r="F35" s="146" t="s">
        <v>293</v>
      </c>
      <c r="G35" s="147"/>
      <c r="H35" s="148"/>
    </row>
    <row r="36" spans="1:19" s="22" customFormat="1" x14ac:dyDescent="0.25">
      <c r="A36" s="145" t="s">
        <v>27</v>
      </c>
      <c r="B36" s="145" t="s">
        <v>28</v>
      </c>
      <c r="C36" s="146" t="s">
        <v>291</v>
      </c>
      <c r="D36" s="147"/>
      <c r="E36" s="148"/>
      <c r="F36" s="146" t="s">
        <v>294</v>
      </c>
      <c r="G36" s="147"/>
      <c r="H36" s="148"/>
    </row>
    <row r="37" spans="1:19" x14ac:dyDescent="0.25">
      <c r="A37" s="145" t="s">
        <v>26</v>
      </c>
      <c r="B37" s="145" t="s">
        <v>28</v>
      </c>
      <c r="C37" s="146" t="s">
        <v>291</v>
      </c>
      <c r="D37" s="147"/>
      <c r="E37" s="148"/>
      <c r="F37" s="146" t="s">
        <v>294</v>
      </c>
      <c r="G37" s="147"/>
      <c r="H37" s="148"/>
    </row>
    <row r="38" spans="1:19" x14ac:dyDescent="0.25">
      <c r="A38" s="103" t="s">
        <v>263</v>
      </c>
      <c r="B38" s="103"/>
      <c r="C38" s="103"/>
      <c r="D38" s="103"/>
      <c r="E38" s="103"/>
      <c r="F38" s="103"/>
      <c r="G38" s="103"/>
      <c r="H38" s="103"/>
    </row>
    <row r="39" spans="1:19" ht="15.75" customHeight="1" x14ac:dyDescent="0.25">
      <c r="A39" s="103" t="s">
        <v>148</v>
      </c>
      <c r="B39" s="103"/>
      <c r="C39" s="123" t="s">
        <v>295</v>
      </c>
      <c r="D39" s="123"/>
      <c r="E39" s="123"/>
      <c r="F39" s="123"/>
      <c r="G39" s="123"/>
      <c r="H39" s="123"/>
    </row>
    <row r="40" spans="1:19" x14ac:dyDescent="0.25">
      <c r="A40" s="103" t="s">
        <v>144</v>
      </c>
      <c r="B40" s="103"/>
      <c r="C40" s="129" t="s">
        <v>296</v>
      </c>
      <c r="D40" s="130"/>
      <c r="E40" s="130"/>
      <c r="F40" s="130"/>
      <c r="G40" s="130"/>
      <c r="H40" s="130"/>
    </row>
    <row r="41" spans="1:19" x14ac:dyDescent="0.25">
      <c r="A41" s="123" t="s">
        <v>32</v>
      </c>
      <c r="B41" s="123"/>
      <c r="C41" s="123"/>
      <c r="D41" s="123"/>
      <c r="E41" s="123"/>
      <c r="F41" s="123"/>
      <c r="G41" s="123"/>
      <c r="H41" s="123"/>
    </row>
    <row r="42" spans="1:19" x14ac:dyDescent="0.25">
      <c r="A42" s="103" t="s">
        <v>33</v>
      </c>
      <c r="B42" s="103"/>
      <c r="C42" s="103"/>
      <c r="D42" s="103"/>
      <c r="E42" s="149">
        <v>119260.05899999999</v>
      </c>
      <c r="F42" s="149"/>
      <c r="G42" s="149"/>
      <c r="H42" s="149"/>
    </row>
    <row r="43" spans="1:19" x14ac:dyDescent="0.25">
      <c r="A43" s="103" t="s">
        <v>34</v>
      </c>
      <c r="B43" s="103"/>
      <c r="C43" s="103"/>
      <c r="D43" s="103"/>
      <c r="E43" s="152">
        <v>1</v>
      </c>
      <c r="F43" s="152"/>
      <c r="G43" s="152"/>
      <c r="H43" s="152"/>
    </row>
    <row r="44" spans="1:19" x14ac:dyDescent="0.25">
      <c r="A44" s="103" t="s">
        <v>35</v>
      </c>
      <c r="B44" s="103"/>
      <c r="C44" s="103"/>
      <c r="D44" s="103"/>
      <c r="E44" s="152">
        <f>E46/E42-E43</f>
        <v>0.13723272600426961</v>
      </c>
      <c r="F44" s="152"/>
      <c r="G44" s="152"/>
      <c r="H44" s="152"/>
    </row>
    <row r="45" spans="1:19" x14ac:dyDescent="0.25">
      <c r="A45" s="103" t="s">
        <v>36</v>
      </c>
      <c r="B45" s="103"/>
      <c r="C45" s="103"/>
      <c r="D45" s="103"/>
      <c r="E45" s="152">
        <f>E43+E44</f>
        <v>1.1372327260042696</v>
      </c>
      <c r="F45" s="152"/>
      <c r="G45" s="152"/>
      <c r="H45" s="152"/>
    </row>
    <row r="46" spans="1:19" x14ac:dyDescent="0.25">
      <c r="A46" s="103" t="s">
        <v>81</v>
      </c>
      <c r="B46" s="103"/>
      <c r="C46" s="103"/>
      <c r="D46" s="103"/>
      <c r="E46" s="153">
        <v>135626.44200000001</v>
      </c>
      <c r="F46" s="153"/>
      <c r="G46" s="153"/>
      <c r="H46" s="153"/>
    </row>
    <row r="47" spans="1:19" x14ac:dyDescent="0.25">
      <c r="A47" s="161" t="s">
        <v>37</v>
      </c>
      <c r="B47" s="161"/>
      <c r="C47" s="161"/>
      <c r="D47" s="161"/>
      <c r="E47" s="154" t="s">
        <v>346</v>
      </c>
      <c r="F47" s="154"/>
      <c r="G47" s="154"/>
      <c r="H47" s="154"/>
      <c r="I47" s="21">
        <v>341</v>
      </c>
    </row>
    <row r="48" spans="1:19" x14ac:dyDescent="0.25">
      <c r="A48" s="123" t="s">
        <v>38</v>
      </c>
      <c r="B48" s="123"/>
      <c r="C48" s="123"/>
      <c r="D48" s="123"/>
      <c r="E48" s="123"/>
      <c r="F48" s="123"/>
      <c r="G48" s="123"/>
      <c r="H48" s="123"/>
    </row>
    <row r="49" spans="1:24" ht="33.75" customHeight="1" x14ac:dyDescent="0.25">
      <c r="A49" s="136" t="s">
        <v>137</v>
      </c>
      <c r="B49" s="137"/>
      <c r="C49" s="138" t="s">
        <v>254</v>
      </c>
      <c r="D49" s="139"/>
      <c r="E49" s="139"/>
      <c r="F49" s="139"/>
      <c r="G49" s="139"/>
      <c r="H49" s="140"/>
      <c r="R49" t="s">
        <v>236</v>
      </c>
      <c r="S49" t="s">
        <v>159</v>
      </c>
      <c r="T49" t="s">
        <v>162</v>
      </c>
      <c r="U49" t="s">
        <v>177</v>
      </c>
      <c r="V49" t="s">
        <v>172</v>
      </c>
    </row>
    <row r="50" spans="1:24" ht="33.75" customHeight="1" x14ac:dyDescent="0.25">
      <c r="A50" s="136" t="s">
        <v>320</v>
      </c>
      <c r="B50" s="137"/>
      <c r="C50" s="211" t="s">
        <v>330</v>
      </c>
      <c r="D50" s="212"/>
      <c r="E50" s="200"/>
      <c r="F50" s="80" t="s">
        <v>39</v>
      </c>
      <c r="G50" s="199">
        <v>45575</v>
      </c>
      <c r="H50" s="200"/>
      <c r="R50"/>
      <c r="S50" t="s">
        <v>237</v>
      </c>
      <c r="T50" t="s">
        <v>242</v>
      </c>
      <c r="U50" t="s">
        <v>253</v>
      </c>
      <c r="V50" t="s">
        <v>258</v>
      </c>
    </row>
    <row r="51" spans="1:24" ht="33" hidden="1" customHeight="1" x14ac:dyDescent="0.25">
      <c r="A51" s="136" t="s">
        <v>40</v>
      </c>
      <c r="B51" s="137"/>
      <c r="C51" s="211" t="str">
        <f>C50</f>
        <v>CIDCO/NAINA/Panvel/Wardoli/LT-00663/ACC/2024/0553</v>
      </c>
      <c r="D51" s="212"/>
      <c r="E51" s="200"/>
      <c r="F51" s="80" t="s">
        <v>39</v>
      </c>
      <c r="G51" s="199">
        <f>G50</f>
        <v>45575</v>
      </c>
      <c r="H51" s="200"/>
      <c r="R51"/>
      <c r="S51" t="s">
        <v>238</v>
      </c>
      <c r="T51" t="s">
        <v>243</v>
      </c>
      <c r="U51" t="s">
        <v>251</v>
      </c>
      <c r="V51" t="s">
        <v>259</v>
      </c>
    </row>
    <row r="52" spans="1:24" s="23" customFormat="1" ht="33.75" customHeight="1" x14ac:dyDescent="0.25">
      <c r="A52" s="201" t="s">
        <v>315</v>
      </c>
      <c r="B52" s="202"/>
      <c r="C52" s="211" t="s">
        <v>345</v>
      </c>
      <c r="D52" s="212"/>
      <c r="E52" s="200"/>
      <c r="F52" s="80" t="s">
        <v>39</v>
      </c>
      <c r="G52" s="199">
        <v>45152</v>
      </c>
      <c r="H52" s="200"/>
      <c r="R52"/>
      <c r="S52" t="s">
        <v>239</v>
      </c>
      <c r="T52" t="s">
        <v>244</v>
      </c>
      <c r="U52" t="s">
        <v>241</v>
      </c>
      <c r="V52" t="s">
        <v>260</v>
      </c>
    </row>
    <row r="53" spans="1:24" s="23" customFormat="1" ht="33.75" hidden="1" customHeight="1" x14ac:dyDescent="0.25">
      <c r="A53" s="203"/>
      <c r="B53" s="204"/>
      <c r="C53" s="205"/>
      <c r="D53" s="206"/>
      <c r="E53" s="206"/>
      <c r="F53" s="206"/>
      <c r="G53" s="206"/>
      <c r="H53" s="207"/>
      <c r="R53"/>
      <c r="S53" t="s">
        <v>240</v>
      </c>
      <c r="T53" t="s">
        <v>247</v>
      </c>
      <c r="U53" t="s">
        <v>254</v>
      </c>
    </row>
    <row r="54" spans="1:24" s="23" customFormat="1" hidden="1" x14ac:dyDescent="0.25">
      <c r="A54" s="195" t="s">
        <v>264</v>
      </c>
      <c r="B54" s="196"/>
      <c r="C54" s="136">
        <f>C53</f>
        <v>0</v>
      </c>
      <c r="D54" s="155"/>
      <c r="E54" s="137"/>
      <c r="F54" s="18" t="s">
        <v>39</v>
      </c>
      <c r="G54" s="136"/>
      <c r="H54" s="137"/>
      <c r="R54"/>
      <c r="S54" t="s">
        <v>239</v>
      </c>
      <c r="T54" t="s">
        <v>244</v>
      </c>
      <c r="U54" t="s">
        <v>241</v>
      </c>
      <c r="V54" t="s">
        <v>260</v>
      </c>
    </row>
    <row r="55" spans="1:24" s="23" customFormat="1" ht="32.25" hidden="1" customHeight="1" x14ac:dyDescent="0.25">
      <c r="A55" s="197"/>
      <c r="B55" s="198"/>
      <c r="C55" s="133"/>
      <c r="D55" s="134"/>
      <c r="E55" s="134"/>
      <c r="F55" s="134"/>
      <c r="G55" s="134"/>
      <c r="H55" s="135"/>
      <c r="R55"/>
      <c r="S55" t="s">
        <v>241</v>
      </c>
      <c r="T55" t="s">
        <v>245</v>
      </c>
      <c r="U55" t="s">
        <v>255</v>
      </c>
      <c r="V55" s="21"/>
      <c r="W55" s="21"/>
      <c r="X55" s="21"/>
    </row>
    <row r="56" spans="1:24" s="23" customFormat="1" ht="34.5" hidden="1" customHeight="1" x14ac:dyDescent="0.25">
      <c r="A56" s="195" t="s">
        <v>265</v>
      </c>
      <c r="B56" s="196"/>
      <c r="C56" s="136">
        <f>C55</f>
        <v>0</v>
      </c>
      <c r="D56" s="155"/>
      <c r="E56" s="137"/>
      <c r="F56" s="18" t="s">
        <v>39</v>
      </c>
      <c r="G56" s="136">
        <f>G55</f>
        <v>0</v>
      </c>
      <c r="H56" s="137"/>
      <c r="R56"/>
      <c r="S56" s="21"/>
      <c r="T56" t="s">
        <v>246</v>
      </c>
      <c r="U56" t="s">
        <v>256</v>
      </c>
      <c r="V56" s="21"/>
      <c r="W56" s="21"/>
      <c r="X56" s="21"/>
    </row>
    <row r="57" spans="1:24" s="23" customFormat="1" ht="41.25" hidden="1" customHeight="1" x14ac:dyDescent="0.25">
      <c r="A57" s="197"/>
      <c r="B57" s="198"/>
      <c r="C57" s="136"/>
      <c r="D57" s="155"/>
      <c r="E57" s="155"/>
      <c r="F57" s="155"/>
      <c r="G57" s="155"/>
      <c r="H57" s="137"/>
      <c r="R57"/>
      <c r="S57" s="21"/>
      <c r="T57" t="s">
        <v>248</v>
      </c>
      <c r="U57" t="s">
        <v>257</v>
      </c>
      <c r="V57" s="21"/>
      <c r="W57" s="21"/>
      <c r="X57" s="21"/>
    </row>
    <row r="58" spans="1:24" s="23" customFormat="1" ht="15.75" hidden="1" customHeight="1" x14ac:dyDescent="0.25">
      <c r="A58" s="195" t="s">
        <v>266</v>
      </c>
      <c r="B58" s="196"/>
      <c r="C58" s="136">
        <f>C57</f>
        <v>0</v>
      </c>
      <c r="D58" s="155"/>
      <c r="E58" s="137"/>
      <c r="F58" s="18" t="s">
        <v>39</v>
      </c>
      <c r="G58" s="136">
        <f>G57</f>
        <v>0</v>
      </c>
      <c r="H58" s="137"/>
      <c r="R58"/>
      <c r="S58" s="21"/>
      <c r="T58" t="s">
        <v>249</v>
      </c>
      <c r="U58" s="21" t="s">
        <v>280</v>
      </c>
      <c r="V58" s="21"/>
      <c r="W58" s="21"/>
      <c r="X58" s="21"/>
    </row>
    <row r="59" spans="1:24" s="23" customFormat="1" ht="33.75" hidden="1" customHeight="1" x14ac:dyDescent="0.25">
      <c r="A59" s="197"/>
      <c r="B59" s="198"/>
      <c r="C59" s="136"/>
      <c r="D59" s="155"/>
      <c r="E59" s="155"/>
      <c r="F59" s="155"/>
      <c r="G59" s="155"/>
      <c r="H59" s="137"/>
      <c r="R59"/>
      <c r="S59" s="21"/>
      <c r="T59" t="s">
        <v>250</v>
      </c>
      <c r="U59" s="21"/>
      <c r="V59" s="21"/>
      <c r="W59" s="21"/>
      <c r="X59" s="21"/>
    </row>
    <row r="60" spans="1:24" x14ac:dyDescent="0.25">
      <c r="A60" s="231" t="s">
        <v>41</v>
      </c>
      <c r="B60" s="232"/>
      <c r="C60" s="231" t="s">
        <v>95</v>
      </c>
      <c r="D60" s="233"/>
      <c r="E60" s="232"/>
      <c r="F60" s="45" t="s">
        <v>39</v>
      </c>
      <c r="G60" s="235" t="s">
        <v>28</v>
      </c>
      <c r="H60" s="236"/>
      <c r="R60"/>
      <c r="T60" t="s">
        <v>252</v>
      </c>
    </row>
    <row r="61" spans="1:24" x14ac:dyDescent="0.25">
      <c r="A61" s="176" t="s">
        <v>43</v>
      </c>
      <c r="B61" s="176"/>
      <c r="C61" s="176"/>
      <c r="D61" s="176"/>
      <c r="E61" s="176"/>
      <c r="F61" s="176"/>
      <c r="G61" s="176"/>
      <c r="H61" s="176"/>
      <c r="T61" t="s">
        <v>261</v>
      </c>
    </row>
    <row r="62" spans="1:24" x14ac:dyDescent="0.25">
      <c r="A62" s="166" t="s">
        <v>80</v>
      </c>
      <c r="B62" s="166"/>
      <c r="C62" s="166"/>
      <c r="D62" s="103">
        <f>E46</f>
        <v>135626.44200000001</v>
      </c>
      <c r="E62" s="103"/>
      <c r="F62" s="103"/>
      <c r="G62" s="103"/>
      <c r="H62" s="103"/>
      <c r="R62"/>
    </row>
    <row r="63" spans="1:24" ht="48.75" customHeight="1" x14ac:dyDescent="0.25">
      <c r="A63" s="130" t="s">
        <v>44</v>
      </c>
      <c r="B63" s="161"/>
      <c r="C63" s="161"/>
      <c r="D63" s="130" t="s">
        <v>323</v>
      </c>
      <c r="E63" s="161"/>
      <c r="F63" s="161"/>
      <c r="G63" s="161"/>
      <c r="H63" s="161"/>
      <c r="I63" s="24"/>
      <c r="R63"/>
    </row>
    <row r="64" spans="1:24" hidden="1" x14ac:dyDescent="0.25">
      <c r="A64" s="126" t="s">
        <v>45</v>
      </c>
      <c r="B64" s="127"/>
      <c r="C64" s="128"/>
      <c r="D64" s="124" t="s">
        <v>155</v>
      </c>
      <c r="E64" s="125"/>
      <c r="F64" s="125"/>
      <c r="G64" s="125"/>
      <c r="H64" s="125"/>
      <c r="R64"/>
    </row>
    <row r="65" spans="1:19" ht="15.75" hidden="1" customHeight="1" x14ac:dyDescent="0.25">
      <c r="A65" s="126" t="s">
        <v>78</v>
      </c>
      <c r="B65" s="127"/>
      <c r="C65" s="127"/>
      <c r="D65" s="217" t="s">
        <v>153</v>
      </c>
      <c r="E65" s="218"/>
      <c r="F65" s="218"/>
      <c r="G65" s="218"/>
      <c r="H65" s="219"/>
      <c r="R65"/>
    </row>
    <row r="66" spans="1:19" ht="15.75" hidden="1" customHeight="1" x14ac:dyDescent="0.25">
      <c r="A66" s="213"/>
      <c r="B66" s="214"/>
      <c r="C66" s="214"/>
      <c r="D66" s="220" t="s">
        <v>150</v>
      </c>
      <c r="E66" s="221"/>
      <c r="F66" s="221"/>
      <c r="G66" s="221"/>
      <c r="H66" s="222"/>
      <c r="R66"/>
    </row>
    <row r="67" spans="1:19" hidden="1" x14ac:dyDescent="0.25">
      <c r="A67" s="215"/>
      <c r="B67" s="216"/>
      <c r="C67" s="216"/>
      <c r="D67" s="208" t="s">
        <v>154</v>
      </c>
      <c r="E67" s="209"/>
      <c r="F67" s="209"/>
      <c r="G67" s="209"/>
      <c r="H67" s="210"/>
      <c r="S67"/>
    </row>
    <row r="68" spans="1:19" ht="15.75" customHeight="1" x14ac:dyDescent="0.25">
      <c r="A68" s="103" t="s">
        <v>42</v>
      </c>
      <c r="B68" s="103"/>
      <c r="C68" s="103"/>
      <c r="D68" s="150" t="s">
        <v>312</v>
      </c>
      <c r="E68" s="150"/>
      <c r="F68" s="150"/>
      <c r="G68" s="150"/>
      <c r="H68" s="150"/>
      <c r="J68" s="25"/>
      <c r="K68" s="24"/>
      <c r="N68" s="24"/>
      <c r="S68"/>
    </row>
    <row r="69" spans="1:19" ht="15.75" customHeight="1" x14ac:dyDescent="0.25">
      <c r="A69" s="103" t="s">
        <v>76</v>
      </c>
      <c r="B69" s="103"/>
      <c r="C69" s="103"/>
      <c r="D69" s="151" t="str">
        <f>(IF(G60="NA","60 Years After Completion",IF(G60&lt;&gt;"NA",""&amp;60-ROUNDDOWN((E3-G60)/360,0)&amp;" Years"," ")))</f>
        <v>60 Years After Completion</v>
      </c>
      <c r="E69" s="151"/>
      <c r="F69" s="151"/>
      <c r="G69" s="151"/>
      <c r="H69" s="151"/>
      <c r="N69" s="24"/>
      <c r="S69"/>
    </row>
    <row r="70" spans="1:19" ht="15.75" customHeight="1" x14ac:dyDescent="0.25">
      <c r="A70" s="103" t="s">
        <v>77</v>
      </c>
      <c r="B70" s="103"/>
      <c r="C70" s="103"/>
      <c r="D70" s="166" t="s">
        <v>23</v>
      </c>
      <c r="E70" s="166"/>
      <c r="F70" s="166"/>
      <c r="G70" s="166"/>
      <c r="H70" s="166"/>
      <c r="J70" s="26"/>
      <c r="K70" s="26"/>
      <c r="S70"/>
    </row>
    <row r="71" spans="1:19" ht="46.5" customHeight="1" x14ac:dyDescent="0.25">
      <c r="A71" s="161" t="s">
        <v>314</v>
      </c>
      <c r="B71" s="161"/>
      <c r="C71" s="161"/>
      <c r="D71" s="130" t="s">
        <v>313</v>
      </c>
      <c r="E71" s="166"/>
      <c r="F71" s="166"/>
      <c r="G71" s="166"/>
      <c r="H71" s="166"/>
      <c r="S71"/>
    </row>
    <row r="72" spans="1:19" x14ac:dyDescent="0.25">
      <c r="A72" s="166" t="s">
        <v>136</v>
      </c>
      <c r="B72" s="166"/>
      <c r="C72" s="166"/>
      <c r="D72" s="166" t="s">
        <v>28</v>
      </c>
      <c r="E72" s="166"/>
      <c r="F72" s="166"/>
      <c r="G72" s="166"/>
      <c r="H72" s="166"/>
      <c r="I72" s="27"/>
      <c r="J72" s="27"/>
      <c r="K72" s="27"/>
      <c r="L72" s="27"/>
      <c r="M72" s="27"/>
      <c r="N72" s="27"/>
    </row>
    <row r="73" spans="1:19" ht="15.75" customHeight="1" x14ac:dyDescent="0.25">
      <c r="A73" s="234" t="s">
        <v>75</v>
      </c>
      <c r="B73" s="234"/>
      <c r="C73" s="234"/>
      <c r="D73" s="168" t="str">
        <f ca="1">(IF(G79&gt;95%,"Nothing",IF(G79&gt;0%,"Cement, Aggregate, Steel, etc",IF(G79=0%,"Work not yet Started"))))</f>
        <v>Cement, Aggregate, Steel, etc</v>
      </c>
      <c r="E73" s="168"/>
      <c r="F73" s="168"/>
      <c r="G73" s="168"/>
      <c r="H73" s="168"/>
      <c r="J73" s="26"/>
      <c r="S73"/>
    </row>
    <row r="74" spans="1:19" ht="33.75" customHeight="1" x14ac:dyDescent="0.25">
      <c r="A74" s="166" t="s">
        <v>108</v>
      </c>
      <c r="B74" s="166"/>
      <c r="C74" s="166"/>
      <c r="D74" s="130" t="str">
        <f ca="1">(IF(D73="Nothing","Yes",IF(D73="Cement, Aggregate, Steel, etc","Under Construction",IF(D73="Work not yet Started","Work not yet Started"))))</f>
        <v>Under Construction</v>
      </c>
      <c r="E74" s="130"/>
      <c r="F74" s="130" t="str">
        <f ca="1">(IF(D73="Nothing","Yes",IF(D73="Cement, Aggregate, Steel, etc","Under Construction",IF(D73="Work not yet Started","Work not yet Started"))))</f>
        <v>Under Construction</v>
      </c>
      <c r="G74" s="130"/>
      <c r="H74" s="130"/>
      <c r="I74" s="70" t="s">
        <v>326</v>
      </c>
      <c r="K74" s="25">
        <v>45408</v>
      </c>
      <c r="S74"/>
    </row>
    <row r="75" spans="1:19" ht="15.75" hidden="1" customHeight="1" x14ac:dyDescent="0.25">
      <c r="A75" s="223" t="s">
        <v>128</v>
      </c>
      <c r="B75" s="224"/>
      <c r="C75" s="225" t="str">
        <f>D65</f>
        <v>Building No.1 (A Wing) = 1B + G + 1st to 20th Floor</v>
      </c>
      <c r="D75" s="226"/>
      <c r="E75" s="226"/>
      <c r="F75" s="226"/>
      <c r="G75" s="226"/>
      <c r="H75" s="227"/>
      <c r="I75" s="49" t="str">
        <f ca="1">IF(D88=100%,"All work Completed. Possession granted to the Building.",IF(D87=100%,"All work Completed, Waiting for OC",I76&amp;""&amp;I77&amp;""&amp;J76&amp;""&amp;J75&amp;" "&amp;J77))</f>
        <v xml:space="preserve">Excavation, Plinth Completed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hidden="1" x14ac:dyDescent="0.25">
      <c r="A76" s="16" t="s">
        <v>130</v>
      </c>
      <c r="B76" s="53">
        <f>IF(AND(ISNUMBER(SEARCH("1B",C75))),1,IF(AND(ISNUMBER(SEARCH("2B",C75))),2,IF(AND(ISNUMBER(SEARCH("3B",C75))),3,IF(AND(ISNUMBER(SEARCH("4B",C75))),4,IF(ISNUMBER(SEARCH("5B",C75)),5,0)))))</f>
        <v>1</v>
      </c>
      <c r="C76" s="47" t="s">
        <v>62</v>
      </c>
      <c r="D76" s="47">
        <v>1</v>
      </c>
      <c r="E76" s="47" t="s">
        <v>61</v>
      </c>
      <c r="F76" s="14">
        <v>0</v>
      </c>
      <c r="G76" s="48" t="s">
        <v>69</v>
      </c>
      <c r="H76" s="17">
        <f ca="1">--TRIM(RIGHT(SUBSTITUTE(LEFT(C75,_xlfn.AGGREGATE(16,6,FIND({0,1,2,3,4,5,6,7,8,9},C75,ROW(INDIRECT("1:"&amp;LEN(C75)))),1))," ",REPT(" ",LEN(C75))),LEN(C75)))</f>
        <v>20</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6.75" hidden="1" customHeight="1" x14ac:dyDescent="0.25">
      <c r="A77" s="97" t="s">
        <v>79</v>
      </c>
      <c r="B77" s="98"/>
      <c r="C77" s="106" t="str">
        <f ca="1">I75</f>
        <v xml:space="preserve">Excavation, Plinth Completed </v>
      </c>
      <c r="D77" s="106"/>
      <c r="E77" s="106"/>
      <c r="F77" s="106"/>
      <c r="G77" s="106"/>
      <c r="H77" s="107"/>
      <c r="I77" s="51" t="str">
        <f ca="1">IF(I76&lt;&gt;""," Completed","")</f>
        <v xml:space="preserve"> Completed</v>
      </c>
      <c r="J77" s="52" t="str">
        <f ca="1">IF(J75&lt;&gt;"","Completed","")</f>
        <v/>
      </c>
      <c r="S77"/>
    </row>
    <row r="78" spans="1:19" ht="15.75" hidden="1" customHeight="1" x14ac:dyDescent="0.25">
      <c r="A78" s="99" t="s">
        <v>46</v>
      </c>
      <c r="B78" s="95"/>
      <c r="C78" s="43" t="s">
        <v>127</v>
      </c>
      <c r="D78" s="43" t="s">
        <v>72</v>
      </c>
      <c r="E78" s="95" t="s">
        <v>74</v>
      </c>
      <c r="F78" s="95"/>
      <c r="G78" s="95" t="s">
        <v>73</v>
      </c>
      <c r="H78" s="96"/>
      <c r="I78" s="13" t="s">
        <v>129</v>
      </c>
      <c r="J78" s="28">
        <f ca="1">H76*25%</f>
        <v>5</v>
      </c>
      <c r="S78"/>
    </row>
    <row r="79" spans="1:19" hidden="1" x14ac:dyDescent="0.25">
      <c r="A79" s="99" t="s">
        <v>116</v>
      </c>
      <c r="B79" s="95"/>
      <c r="C79" s="43">
        <f ca="1">J80</f>
        <v>20</v>
      </c>
      <c r="D79" s="19">
        <f ca="1">((100/H76)*C79)/100</f>
        <v>1</v>
      </c>
      <c r="E79" s="117">
        <f ca="1">(((C80/H76*10)+(40/(D76+F76+H76)*C81)+(7.5/(H76)*C82)+(7.5/(H76)*C83)+(10/H76*C84)+(10/H76*C85)+(5/H76*C86)+(5/H76*C87)+(5/H76*C88))/100)</f>
        <v>0.1</v>
      </c>
      <c r="F79" s="118"/>
      <c r="G79" s="117">
        <f ca="1">((((C79/H76)*20)+((C80/H76)*25)+(30/(H76+F76+D76)*C81)+(5/H76*C82)+(5/H76*C83)+(5/H76*C84)+(5/H76*C85)+(0/H76*C86)+(0/H76*C87)+(5/H76*C88))/100)</f>
        <v>0.45</v>
      </c>
      <c r="H79" s="141"/>
      <c r="I79" s="13" t="s">
        <v>90</v>
      </c>
      <c r="J79" s="29">
        <f ca="1">H76*50%</f>
        <v>10</v>
      </c>
    </row>
    <row r="80" spans="1:19" hidden="1" x14ac:dyDescent="0.25">
      <c r="A80" s="99" t="s">
        <v>47</v>
      </c>
      <c r="B80" s="95"/>
      <c r="C80" s="43">
        <f ca="1">J88</f>
        <v>20</v>
      </c>
      <c r="D80" s="19">
        <f ca="1">((100/H76)*C80)/100</f>
        <v>1</v>
      </c>
      <c r="E80" s="119"/>
      <c r="F80" s="120"/>
      <c r="G80" s="119"/>
      <c r="H80" s="142"/>
      <c r="I80" s="13" t="s">
        <v>91</v>
      </c>
      <c r="J80" s="29">
        <f ca="1">H76</f>
        <v>20</v>
      </c>
      <c r="S80"/>
    </row>
    <row r="81" spans="1:19" ht="15.75" hidden="1" customHeight="1" x14ac:dyDescent="0.25">
      <c r="A81" s="99" t="s">
        <v>117</v>
      </c>
      <c r="B81" s="95"/>
      <c r="C81" s="43">
        <v>0</v>
      </c>
      <c r="D81" s="19">
        <f ca="1">((100/(D76+F76+H76))*C81)/100</f>
        <v>0</v>
      </c>
      <c r="E81" s="119"/>
      <c r="F81" s="120"/>
      <c r="G81" s="119"/>
      <c r="H81" s="142"/>
      <c r="I81" s="13" t="s">
        <v>92</v>
      </c>
      <c r="J81" s="30">
        <f ca="1">(IF(B76&gt;1,(H76/(B76+2)),H76/4))</f>
        <v>5</v>
      </c>
      <c r="S81"/>
    </row>
    <row r="82" spans="1:19" ht="15.75" hidden="1" customHeight="1" x14ac:dyDescent="0.25">
      <c r="A82" s="99" t="s">
        <v>124</v>
      </c>
      <c r="B82" s="95" t="s">
        <v>118</v>
      </c>
      <c r="C82" s="43">
        <v>0</v>
      </c>
      <c r="D82" s="19">
        <f ca="1">((100/H76)*C82)/100</f>
        <v>0</v>
      </c>
      <c r="E82" s="119"/>
      <c r="F82" s="120"/>
      <c r="G82" s="119"/>
      <c r="H82" s="142"/>
      <c r="I82" s="13" t="s">
        <v>93</v>
      </c>
      <c r="J82" s="30">
        <f ca="1">(IF(B76&gt;1,(H76/(B76+2)+J81),H76/4+J81))</f>
        <v>10</v>
      </c>
    </row>
    <row r="83" spans="1:19" ht="15.75" hidden="1" customHeight="1" x14ac:dyDescent="0.25">
      <c r="A83" s="99" t="s">
        <v>125</v>
      </c>
      <c r="B83" s="95" t="s">
        <v>118</v>
      </c>
      <c r="C83" s="43">
        <v>0</v>
      </c>
      <c r="D83" s="19">
        <f ca="1">((100/H76)*C83)/100</f>
        <v>0</v>
      </c>
      <c r="E83" s="119"/>
      <c r="F83" s="120"/>
      <c r="G83" s="119"/>
      <c r="H83" s="142"/>
      <c r="I83" s="13" t="s">
        <v>134</v>
      </c>
      <c r="J83" s="30">
        <f>(IF(B76&gt;1,(H76/(B76+2)+J82),0))</f>
        <v>0</v>
      </c>
    </row>
    <row r="84" spans="1:19" ht="15" hidden="1" customHeight="1" x14ac:dyDescent="0.25">
      <c r="A84" s="99" t="s">
        <v>123</v>
      </c>
      <c r="B84" s="95" t="s">
        <v>120</v>
      </c>
      <c r="C84" s="43">
        <v>0</v>
      </c>
      <c r="D84" s="19">
        <f ca="1">((100/(H76))*C84)/100</f>
        <v>0</v>
      </c>
      <c r="E84" s="119"/>
      <c r="F84" s="120"/>
      <c r="G84" s="119"/>
      <c r="H84" s="142"/>
      <c r="I84" s="13" t="s">
        <v>131</v>
      </c>
      <c r="J84" s="30">
        <f>(IF(B76&gt;2,(H76/(B76+2)+J83),0))</f>
        <v>0</v>
      </c>
    </row>
    <row r="85" spans="1:19" ht="15.75" hidden="1" customHeight="1" x14ac:dyDescent="0.25">
      <c r="A85" s="99" t="s">
        <v>119</v>
      </c>
      <c r="B85" s="95" t="s">
        <v>119</v>
      </c>
      <c r="C85" s="43">
        <v>0</v>
      </c>
      <c r="D85" s="19">
        <f ca="1">((100/H76)*C85)/100</f>
        <v>0</v>
      </c>
      <c r="E85" s="119"/>
      <c r="F85" s="120"/>
      <c r="G85" s="119"/>
      <c r="H85" s="142"/>
      <c r="I85" s="13" t="s">
        <v>132</v>
      </c>
      <c r="J85" s="31">
        <f>(IF(B76&gt;3,(H76/(B76+2)+J84),0))</f>
        <v>0</v>
      </c>
    </row>
    <row r="86" spans="1:19" ht="15.75" hidden="1" customHeight="1" x14ac:dyDescent="0.25">
      <c r="A86" s="99" t="s">
        <v>126</v>
      </c>
      <c r="B86" s="95"/>
      <c r="C86" s="43">
        <v>0</v>
      </c>
      <c r="D86" s="19">
        <f ca="1">((100/H76)*C86)/100</f>
        <v>0</v>
      </c>
      <c r="E86" s="119"/>
      <c r="F86" s="120"/>
      <c r="G86" s="119"/>
      <c r="H86" s="142"/>
      <c r="I86" s="13" t="s">
        <v>133</v>
      </c>
      <c r="J86" s="30">
        <f>(IF(B76&gt;4,(H76/(B76+2)+J85),0))</f>
        <v>0</v>
      </c>
    </row>
    <row r="87" spans="1:19" ht="15.75" hidden="1" customHeight="1" x14ac:dyDescent="0.25">
      <c r="A87" s="99" t="s">
        <v>121</v>
      </c>
      <c r="B87" s="95" t="s">
        <v>121</v>
      </c>
      <c r="C87" s="43">
        <v>0</v>
      </c>
      <c r="D87" s="19">
        <f ca="1">((100/(H76))*C87)/100</f>
        <v>0</v>
      </c>
      <c r="E87" s="119"/>
      <c r="F87" s="120"/>
      <c r="G87" s="119"/>
      <c r="H87" s="142"/>
      <c r="I87" s="13" t="s">
        <v>135</v>
      </c>
      <c r="J87" s="30">
        <f ca="1">(IF(B76=1,(H76/(B76+3)+J82),IF(B76=0,(H76/4+J82),IF(B76&gt;1,0))))</f>
        <v>15</v>
      </c>
    </row>
    <row r="88" spans="1:19" ht="16.5" hidden="1" thickBot="1" x14ac:dyDescent="0.3">
      <c r="A88" s="104" t="s">
        <v>122</v>
      </c>
      <c r="B88" s="105"/>
      <c r="C88" s="44">
        <v>0</v>
      </c>
      <c r="D88" s="20">
        <f ca="1">((100/(H76))*C88)/100</f>
        <v>0</v>
      </c>
      <c r="E88" s="121"/>
      <c r="F88" s="122"/>
      <c r="G88" s="121"/>
      <c r="H88" s="143"/>
      <c r="I88" s="15" t="s">
        <v>94</v>
      </c>
      <c r="J88" s="32">
        <f ca="1">(IF(B76&gt;1.5,(H76/(B76+2)+J82+MAX(0,J83-J82)+MAX(0,J84-J83)+MAX(0,J85-J84)+MAX(0,J86-J85)+MAX(0,J87-J86)),IF(B76=1,(H76/(B76+3)+J87),IF(B76=0,H76/4+J87))))</f>
        <v>20</v>
      </c>
    </row>
    <row r="89" spans="1:19" ht="15.75" hidden="1" customHeight="1" x14ac:dyDescent="0.25">
      <c r="A89" s="156" t="s">
        <v>128</v>
      </c>
      <c r="B89" s="157"/>
      <c r="C89" s="158" t="str">
        <f>D66</f>
        <v>B Wing = 1B + G + 1st to 20th Floor</v>
      </c>
      <c r="D89" s="159"/>
      <c r="E89" s="159"/>
      <c r="F89" s="159"/>
      <c r="G89" s="159"/>
      <c r="H89" s="160"/>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25">
      <c r="A90" s="16" t="s">
        <v>130</v>
      </c>
      <c r="B90" s="54">
        <f>IF(AND(ISNUMBER(SEARCH("1B",C89))),1,IF(AND(ISNUMBER(SEARCH("2B",C89))),2,IF(AND(ISNUMBER(SEARCH("3B",C89))),3,IF(AND(ISNUMBER(SEARCH("4B",C89))),4,IF(ISNUMBER(SEARCH("5B",C89)),5,0)))))</f>
        <v>1</v>
      </c>
      <c r="C90" s="47" t="s">
        <v>62</v>
      </c>
      <c r="D90" s="47">
        <v>1</v>
      </c>
      <c r="E90" s="47" t="s">
        <v>61</v>
      </c>
      <c r="F90" s="14">
        <v>0</v>
      </c>
      <c r="G90" s="48" t="s">
        <v>69</v>
      </c>
      <c r="H90" s="17">
        <f ca="1">--TRIM(RIGHT(SUBSTITUTE(LEFT(C89,_xlfn.AGGREGATE(16,6,FIND({0,1,2,3,4,5,6,7,8,9},C89,ROW(INDIRECT("1:"&amp;LEN(C89)))),1))," ",REPT(" ",LEN(C89))),LEN(C89)))</f>
        <v>20</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3.75" hidden="1" customHeight="1" x14ac:dyDescent="0.25">
      <c r="A91" s="97" t="s">
        <v>79</v>
      </c>
      <c r="B91" s="98"/>
      <c r="C91" s="106" t="str">
        <f ca="1">(IF($G$60="NA",I89,"All work Completed. OC Received."))</f>
        <v xml:space="preserve">Excavation, Plinth Completed </v>
      </c>
      <c r="D91" s="106"/>
      <c r="E91" s="106"/>
      <c r="F91" s="106"/>
      <c r="G91" s="106"/>
      <c r="H91" s="107"/>
      <c r="I91" s="51" t="str">
        <f ca="1">IF(I90&lt;&gt;""," Completed","")</f>
        <v xml:space="preserve"> Completed</v>
      </c>
      <c r="J91" s="52" t="str">
        <f ca="1">IF(J89&lt;&gt;"","Completed","")</f>
        <v/>
      </c>
    </row>
    <row r="92" spans="1:19" ht="15.75" hidden="1" customHeight="1" x14ac:dyDescent="0.25">
      <c r="A92" s="99" t="s">
        <v>46</v>
      </c>
      <c r="B92" s="95"/>
      <c r="C92" s="43" t="s">
        <v>127</v>
      </c>
      <c r="D92" s="43" t="s">
        <v>72</v>
      </c>
      <c r="E92" s="95" t="s">
        <v>74</v>
      </c>
      <c r="F92" s="95"/>
      <c r="G92" s="95" t="s">
        <v>73</v>
      </c>
      <c r="H92" s="96"/>
      <c r="I92" s="13" t="s">
        <v>129</v>
      </c>
      <c r="J92" s="28">
        <f ca="1">H90*25%</f>
        <v>5</v>
      </c>
    </row>
    <row r="93" spans="1:19" hidden="1" x14ac:dyDescent="0.25">
      <c r="A93" s="99" t="s">
        <v>116</v>
      </c>
      <c r="B93" s="95"/>
      <c r="C93" s="43">
        <f ca="1">J94</f>
        <v>20</v>
      </c>
      <c r="D93" s="19">
        <f ca="1">((100/H90)*C93)/100</f>
        <v>1</v>
      </c>
      <c r="E93" s="117">
        <f ca="1">(((C94/H90*10)+(40/(D90+F90+H90)*C95)+(7.5/(H90)*C96)+(7.5/(H90)*C97)+(10/H90*C98)+(10/H90*C99)+(5/H90*C100)+(5/H90*C101)+(5/H90*C102))/100)</f>
        <v>0.1</v>
      </c>
      <c r="F93" s="118"/>
      <c r="G93" s="117">
        <f ca="1">((((C93/H90)*20)+((C94/H90)*25)+(30/(H90+F90+D90)*C95)+(5/H90*C96)+(5/H90*C97)+(5/H90*C98)+(5/H90*C99)+(0/H90*C100)+(0/H90*C101)+(5/H90*C102))/100)</f>
        <v>0.45</v>
      </c>
      <c r="H93" s="141"/>
      <c r="I93" s="13" t="s">
        <v>90</v>
      </c>
      <c r="J93" s="29">
        <f ca="1">H90*50%</f>
        <v>10</v>
      </c>
    </row>
    <row r="94" spans="1:19" hidden="1" x14ac:dyDescent="0.25">
      <c r="A94" s="99" t="s">
        <v>47</v>
      </c>
      <c r="B94" s="95"/>
      <c r="C94" s="55">
        <v>20</v>
      </c>
      <c r="D94" s="19">
        <f ca="1">((100/H90)*C94)/100</f>
        <v>1</v>
      </c>
      <c r="E94" s="119"/>
      <c r="F94" s="120"/>
      <c r="G94" s="119"/>
      <c r="H94" s="142"/>
      <c r="I94" s="13" t="s">
        <v>91</v>
      </c>
      <c r="J94" s="29">
        <f ca="1">H90</f>
        <v>20</v>
      </c>
    </row>
    <row r="95" spans="1:19" ht="15.75" hidden="1" customHeight="1" x14ac:dyDescent="0.25">
      <c r="A95" s="99" t="s">
        <v>117</v>
      </c>
      <c r="B95" s="95"/>
      <c r="C95" s="43">
        <v>0</v>
      </c>
      <c r="D95" s="19">
        <f ca="1">((100/(D90+F90+H90))*C95)/100</f>
        <v>0</v>
      </c>
      <c r="E95" s="119"/>
      <c r="F95" s="120"/>
      <c r="G95" s="119"/>
      <c r="H95" s="142"/>
      <c r="I95" s="13" t="s">
        <v>92</v>
      </c>
      <c r="J95" s="30">
        <f ca="1">(IF(B90&gt;1,(H90/(B90+2)),H90/4))</f>
        <v>5</v>
      </c>
    </row>
    <row r="96" spans="1:19" ht="15.75" hidden="1" customHeight="1" x14ac:dyDescent="0.25">
      <c r="A96" s="99" t="s">
        <v>124</v>
      </c>
      <c r="B96" s="95" t="s">
        <v>118</v>
      </c>
      <c r="C96" s="43">
        <v>0</v>
      </c>
      <c r="D96" s="19">
        <f ca="1">((100/H90)*C96)/100</f>
        <v>0</v>
      </c>
      <c r="E96" s="119"/>
      <c r="F96" s="120"/>
      <c r="G96" s="119"/>
      <c r="H96" s="142"/>
      <c r="I96" s="13" t="s">
        <v>93</v>
      </c>
      <c r="J96" s="30">
        <f ca="1">(IF(B90&gt;1,(H90/(B90+2)+J95),H90/4+J95))</f>
        <v>10</v>
      </c>
    </row>
    <row r="97" spans="1:10" ht="15.75" hidden="1" customHeight="1" x14ac:dyDescent="0.25">
      <c r="A97" s="99" t="s">
        <v>125</v>
      </c>
      <c r="B97" s="95" t="s">
        <v>118</v>
      </c>
      <c r="C97" s="43">
        <v>0</v>
      </c>
      <c r="D97" s="19">
        <f ca="1">((100/H90)*C97)/100</f>
        <v>0</v>
      </c>
      <c r="E97" s="119"/>
      <c r="F97" s="120"/>
      <c r="G97" s="119"/>
      <c r="H97" s="142"/>
      <c r="I97" s="13" t="s">
        <v>134</v>
      </c>
      <c r="J97" s="30">
        <f>(IF(B90&gt;1,(H90/(B90+2)+J96),0))</f>
        <v>0</v>
      </c>
    </row>
    <row r="98" spans="1:10" ht="15" hidden="1" customHeight="1" x14ac:dyDescent="0.25">
      <c r="A98" s="99" t="s">
        <v>123</v>
      </c>
      <c r="B98" s="95" t="s">
        <v>120</v>
      </c>
      <c r="C98" s="43">
        <v>0</v>
      </c>
      <c r="D98" s="19">
        <f ca="1">((100/(H90))*C98)/100</f>
        <v>0</v>
      </c>
      <c r="E98" s="119"/>
      <c r="F98" s="120"/>
      <c r="G98" s="119"/>
      <c r="H98" s="142"/>
      <c r="I98" s="13" t="s">
        <v>131</v>
      </c>
      <c r="J98" s="30">
        <f>(IF(B90&gt;2,(H90/(B90+2)+J97),0))</f>
        <v>0</v>
      </c>
    </row>
    <row r="99" spans="1:10" ht="15.75" hidden="1" customHeight="1" x14ac:dyDescent="0.25">
      <c r="A99" s="99" t="s">
        <v>119</v>
      </c>
      <c r="B99" s="95" t="s">
        <v>119</v>
      </c>
      <c r="C99" s="43">
        <v>0</v>
      </c>
      <c r="D99" s="19">
        <f ca="1">((100/H90)*C99)/100</f>
        <v>0</v>
      </c>
      <c r="E99" s="119"/>
      <c r="F99" s="120"/>
      <c r="G99" s="119"/>
      <c r="H99" s="142"/>
      <c r="I99" s="13" t="s">
        <v>132</v>
      </c>
      <c r="J99" s="31">
        <f>(IF(B90&gt;3,(H90/(B90+2)+J98),0))</f>
        <v>0</v>
      </c>
    </row>
    <row r="100" spans="1:10" ht="15.75" hidden="1" customHeight="1" x14ac:dyDescent="0.25">
      <c r="A100" s="99" t="s">
        <v>126</v>
      </c>
      <c r="B100" s="95"/>
      <c r="C100" s="43">
        <v>0</v>
      </c>
      <c r="D100" s="19">
        <f ca="1">((100/H90)*C100)/100</f>
        <v>0</v>
      </c>
      <c r="E100" s="119"/>
      <c r="F100" s="120"/>
      <c r="G100" s="119"/>
      <c r="H100" s="142"/>
      <c r="I100" s="13" t="s">
        <v>133</v>
      </c>
      <c r="J100" s="30">
        <f>(IF(B90&gt;4,(H90/(B90+2)+J99),0))</f>
        <v>0</v>
      </c>
    </row>
    <row r="101" spans="1:10" ht="15.75" hidden="1" customHeight="1" x14ac:dyDescent="0.25">
      <c r="A101" s="99" t="s">
        <v>121</v>
      </c>
      <c r="B101" s="95" t="s">
        <v>121</v>
      </c>
      <c r="C101" s="43">
        <v>0</v>
      </c>
      <c r="D101" s="19">
        <f ca="1">((100/(H90))*C101)/100</f>
        <v>0</v>
      </c>
      <c r="E101" s="119"/>
      <c r="F101" s="120"/>
      <c r="G101" s="119"/>
      <c r="H101" s="142"/>
      <c r="I101" s="13" t="s">
        <v>135</v>
      </c>
      <c r="J101" s="30">
        <f ca="1">(IF(B90=1,(H90/(B90+3)+J96),IF(B90=0,(H90/4+J96),IF(B90&gt;1,0))))</f>
        <v>15</v>
      </c>
    </row>
    <row r="102" spans="1:10" ht="16.5" hidden="1" thickBot="1" x14ac:dyDescent="0.3">
      <c r="A102" s="104" t="s">
        <v>122</v>
      </c>
      <c r="B102" s="105"/>
      <c r="C102" s="44">
        <v>0</v>
      </c>
      <c r="D102" s="20">
        <f ca="1">((100/(H90))*C102)/100</f>
        <v>0</v>
      </c>
      <c r="E102" s="121"/>
      <c r="F102" s="122"/>
      <c r="G102" s="121"/>
      <c r="H102" s="143"/>
      <c r="I102" s="15" t="s">
        <v>94</v>
      </c>
      <c r="J102" s="32">
        <f ca="1">(IF(B90&gt;1.5,(H90/(B90+2)+J96+MAX(0,J97-J96)+MAX(0,J98-J97)+MAX(0,J99-J98)+MAX(0,J100-J99)+MAX(0,J101-J100)),IF(B90=1,(H90/(B90+3)+J101),IF(B90=0,H90/4+J101))))</f>
        <v>20</v>
      </c>
    </row>
    <row r="103" spans="1:10" ht="15.75" hidden="1" customHeight="1" x14ac:dyDescent="0.25">
      <c r="A103" s="156" t="s">
        <v>128</v>
      </c>
      <c r="B103" s="157"/>
      <c r="C103" s="158" t="str">
        <f>D67</f>
        <v>C Wing = 1B + G + 1st to 20th Floor</v>
      </c>
      <c r="D103" s="159"/>
      <c r="E103" s="159"/>
      <c r="F103" s="159"/>
      <c r="G103" s="159"/>
      <c r="H103" s="160"/>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25">
      <c r="A104" s="16" t="s">
        <v>130</v>
      </c>
      <c r="B104" s="54">
        <f>IF(AND(ISNUMBER(SEARCH("1B",C103))),1,IF(AND(ISNUMBER(SEARCH("2B",C103))),2,IF(AND(ISNUMBER(SEARCH("3B",C103))),3,IF(AND(ISNUMBER(SEARCH("4B",C103))),4,IF(ISNUMBER(SEARCH("5B",C103)),5,0)))))</f>
        <v>1</v>
      </c>
      <c r="C104" s="47" t="s">
        <v>62</v>
      </c>
      <c r="D104" s="47">
        <v>1</v>
      </c>
      <c r="E104" s="47" t="s">
        <v>61</v>
      </c>
      <c r="F104" s="14">
        <v>0</v>
      </c>
      <c r="G104" s="48" t="s">
        <v>69</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25">
      <c r="A105" s="97" t="s">
        <v>79</v>
      </c>
      <c r="B105" s="98"/>
      <c r="C105" s="106" t="str">
        <f ca="1">(IF($G$60="NA",I103,"All work Completed. OC Received."))</f>
        <v xml:space="preserve">Excavation, Plinth, RCC Slab Completed </v>
      </c>
      <c r="D105" s="106"/>
      <c r="E105" s="106"/>
      <c r="F105" s="106"/>
      <c r="G105" s="106"/>
      <c r="H105" s="107"/>
      <c r="I105" s="51" t="str">
        <f ca="1">IF(I104&lt;&gt;""," Completed","")</f>
        <v xml:space="preserve"> Completed</v>
      </c>
      <c r="J105" s="52" t="str">
        <f ca="1">IF(J103&lt;&gt;"","Completed","")</f>
        <v/>
      </c>
    </row>
    <row r="106" spans="1:10" ht="15.75" hidden="1" customHeight="1" x14ac:dyDescent="0.25">
      <c r="A106" s="99" t="s">
        <v>46</v>
      </c>
      <c r="B106" s="95"/>
      <c r="C106" s="43" t="s">
        <v>127</v>
      </c>
      <c r="D106" s="43" t="s">
        <v>72</v>
      </c>
      <c r="E106" s="95" t="s">
        <v>74</v>
      </c>
      <c r="F106" s="95"/>
      <c r="G106" s="95" t="s">
        <v>73</v>
      </c>
      <c r="H106" s="96"/>
      <c r="I106" s="13" t="s">
        <v>129</v>
      </c>
      <c r="J106" s="28">
        <f ca="1">H104*25%</f>
        <v>5</v>
      </c>
    </row>
    <row r="107" spans="1:10" hidden="1" x14ac:dyDescent="0.25">
      <c r="A107" s="99" t="s">
        <v>116</v>
      </c>
      <c r="B107" s="95"/>
      <c r="C107" s="43">
        <f ca="1">J108</f>
        <v>20</v>
      </c>
      <c r="D107" s="19">
        <f ca="1">((100/H104)*C107)/100</f>
        <v>1</v>
      </c>
      <c r="E107" s="117">
        <f ca="1">(((C108/H104*10)+(40/(D104+F104+H104)*C109)+(7.5/(H104)*C110)+(7.5/(H104)*C111)+(10/H104*C112)+(10/H104*C113)+(5/H104*C114)+(5/H104*C115)+(5/H104*C116))/100)</f>
        <v>0.5</v>
      </c>
      <c r="F107" s="118"/>
      <c r="G107" s="117">
        <f ca="1">((((C107/H104)*20)+((C108/H104)*25)+(30/(H104+F104+D104)*C109)+(5/H104*C110)+(5/H104*C111)+(5/H104*C112)+(5/H104*C113)+(0/H104*C114)+(0/H104*C115)+(5/H104*C116))/100)</f>
        <v>0.75</v>
      </c>
      <c r="H107" s="141"/>
      <c r="I107" s="13" t="s">
        <v>90</v>
      </c>
      <c r="J107" s="29">
        <f ca="1">H104*50%</f>
        <v>10</v>
      </c>
    </row>
    <row r="108" spans="1:10" hidden="1" x14ac:dyDescent="0.25">
      <c r="A108" s="99" t="s">
        <v>47</v>
      </c>
      <c r="B108" s="95"/>
      <c r="C108" s="43">
        <f ca="1">J116</f>
        <v>20</v>
      </c>
      <c r="D108" s="19">
        <f ca="1">((100/H104)*C108)/100</f>
        <v>1</v>
      </c>
      <c r="E108" s="119"/>
      <c r="F108" s="120"/>
      <c r="G108" s="119"/>
      <c r="H108" s="142"/>
      <c r="I108" s="13" t="s">
        <v>91</v>
      </c>
      <c r="J108" s="29">
        <f ca="1">H104</f>
        <v>20</v>
      </c>
    </row>
    <row r="109" spans="1:10" ht="15.75" hidden="1" customHeight="1" x14ac:dyDescent="0.25">
      <c r="A109" s="99" t="s">
        <v>117</v>
      </c>
      <c r="B109" s="95"/>
      <c r="C109" s="43">
        <f ca="1">D104+H104</f>
        <v>21</v>
      </c>
      <c r="D109" s="19">
        <f ca="1">((100/(D104+F104+H104))*C109)/100</f>
        <v>1</v>
      </c>
      <c r="E109" s="119"/>
      <c r="F109" s="120"/>
      <c r="G109" s="119"/>
      <c r="H109" s="142"/>
      <c r="I109" s="13" t="s">
        <v>92</v>
      </c>
      <c r="J109" s="30">
        <f ca="1">(IF(B104&gt;1,(H104/(B104+2)),H104/4))</f>
        <v>5</v>
      </c>
    </row>
    <row r="110" spans="1:10" ht="15.75" hidden="1" customHeight="1" x14ac:dyDescent="0.25">
      <c r="A110" s="99" t="s">
        <v>124</v>
      </c>
      <c r="B110" s="95" t="s">
        <v>118</v>
      </c>
      <c r="C110" s="43">
        <v>0</v>
      </c>
      <c r="D110" s="19">
        <f ca="1">((100/H104)*C110)/100</f>
        <v>0</v>
      </c>
      <c r="E110" s="119"/>
      <c r="F110" s="120"/>
      <c r="G110" s="119"/>
      <c r="H110" s="142"/>
      <c r="I110" s="13" t="s">
        <v>93</v>
      </c>
      <c r="J110" s="30">
        <f ca="1">(IF(B104&gt;1,(H104/(B104+2)+J109),H104/4+J109))</f>
        <v>10</v>
      </c>
    </row>
    <row r="111" spans="1:10" ht="15.75" hidden="1" customHeight="1" x14ac:dyDescent="0.25">
      <c r="A111" s="99" t="s">
        <v>125</v>
      </c>
      <c r="B111" s="95" t="s">
        <v>118</v>
      </c>
      <c r="C111" s="43">
        <v>0</v>
      </c>
      <c r="D111" s="19">
        <f ca="1">((100/H104)*C111)/100</f>
        <v>0</v>
      </c>
      <c r="E111" s="119"/>
      <c r="F111" s="120"/>
      <c r="G111" s="119"/>
      <c r="H111" s="142"/>
      <c r="I111" s="13" t="s">
        <v>134</v>
      </c>
      <c r="J111" s="30">
        <f>(IF(B104&gt;1,(H104/(B104+2)+J110),0))</f>
        <v>0</v>
      </c>
    </row>
    <row r="112" spans="1:10" ht="15" hidden="1" customHeight="1" x14ac:dyDescent="0.25">
      <c r="A112" s="99" t="s">
        <v>123</v>
      </c>
      <c r="B112" s="95" t="s">
        <v>120</v>
      </c>
      <c r="C112" s="43">
        <v>0</v>
      </c>
      <c r="D112" s="19">
        <f ca="1">((100/(H104))*C112)/100</f>
        <v>0</v>
      </c>
      <c r="E112" s="119"/>
      <c r="F112" s="120"/>
      <c r="G112" s="119"/>
      <c r="H112" s="142"/>
      <c r="I112" s="13" t="s">
        <v>131</v>
      </c>
      <c r="J112" s="30">
        <f>(IF(B104&gt;2,(H104/(B104+2)+J111),0))</f>
        <v>0</v>
      </c>
    </row>
    <row r="113" spans="1:22" ht="15.75" hidden="1" customHeight="1" x14ac:dyDescent="0.25">
      <c r="A113" s="99" t="s">
        <v>119</v>
      </c>
      <c r="B113" s="95" t="s">
        <v>119</v>
      </c>
      <c r="C113" s="43">
        <v>0</v>
      </c>
      <c r="D113" s="19">
        <f ca="1">((100/H104)*C113)/100</f>
        <v>0</v>
      </c>
      <c r="E113" s="119"/>
      <c r="F113" s="120"/>
      <c r="G113" s="119"/>
      <c r="H113" s="142"/>
      <c r="I113" s="13" t="s">
        <v>132</v>
      </c>
      <c r="J113" s="31">
        <f>(IF(B104&gt;3,(H104/(B104+2)+J112),0))</f>
        <v>0</v>
      </c>
    </row>
    <row r="114" spans="1:22" ht="15.75" hidden="1" customHeight="1" x14ac:dyDescent="0.25">
      <c r="A114" s="99" t="s">
        <v>126</v>
      </c>
      <c r="B114" s="95"/>
      <c r="C114" s="43">
        <v>0</v>
      </c>
      <c r="D114" s="19">
        <f ca="1">((100/H104)*C114)/100</f>
        <v>0</v>
      </c>
      <c r="E114" s="119"/>
      <c r="F114" s="120"/>
      <c r="G114" s="119"/>
      <c r="H114" s="142"/>
      <c r="I114" s="13" t="s">
        <v>133</v>
      </c>
      <c r="J114" s="30">
        <f>(IF(B104&gt;4,(H104/(B104+2)+J113),0))</f>
        <v>0</v>
      </c>
    </row>
    <row r="115" spans="1:22" ht="15.75" hidden="1" customHeight="1" x14ac:dyDescent="0.25">
      <c r="A115" s="99" t="s">
        <v>121</v>
      </c>
      <c r="B115" s="95" t="s">
        <v>121</v>
      </c>
      <c r="C115" s="43">
        <v>0</v>
      </c>
      <c r="D115" s="19">
        <f ca="1">((100/(H104))*C115)/100</f>
        <v>0</v>
      </c>
      <c r="E115" s="119"/>
      <c r="F115" s="120"/>
      <c r="G115" s="119"/>
      <c r="H115" s="142"/>
      <c r="I115" s="13" t="s">
        <v>135</v>
      </c>
      <c r="J115" s="30">
        <f ca="1">(IF(B104=1,(H104/(B104+3)+J110),IF(B104=0,(H104/4+J110),IF(B104&gt;1,0))))</f>
        <v>15</v>
      </c>
    </row>
    <row r="116" spans="1:22" ht="16.5" hidden="1" thickBot="1" x14ac:dyDescent="0.3">
      <c r="A116" s="104" t="s">
        <v>122</v>
      </c>
      <c r="B116" s="105"/>
      <c r="C116" s="44">
        <v>0</v>
      </c>
      <c r="D116" s="20">
        <f ca="1">((100/(H104))*C116)/100</f>
        <v>0</v>
      </c>
      <c r="E116" s="121"/>
      <c r="F116" s="122"/>
      <c r="G116" s="121"/>
      <c r="H116" s="143"/>
      <c r="I116" s="15" t="s">
        <v>94</v>
      </c>
      <c r="J116" s="32">
        <f ca="1">(IF(B104&gt;1.5,(H104/(B104+2)+J110+MAX(0,J111-J110)+MAX(0,J112-J111)+MAX(0,J113-J112)+MAX(0,J114-J113)+MAX(0,J115-J114)),IF(B104=1,(H104/(B104+3)+J115),IF(B104=0,H104/4+J115))))</f>
        <v>20</v>
      </c>
    </row>
    <row r="117" spans="1:22" x14ac:dyDescent="0.25">
      <c r="A117" s="144" t="s">
        <v>141</v>
      </c>
      <c r="B117" s="144"/>
      <c r="C117" s="144"/>
      <c r="D117" s="144"/>
      <c r="E117" s="144"/>
      <c r="F117" s="189" t="s">
        <v>321</v>
      </c>
      <c r="G117" s="189"/>
      <c r="H117" s="189"/>
      <c r="I117" s="21" t="s">
        <v>327</v>
      </c>
      <c r="R117" t="s">
        <v>236</v>
      </c>
      <c r="S117" t="s">
        <v>159</v>
      </c>
      <c r="T117" t="s">
        <v>162</v>
      </c>
      <c r="U117" t="s">
        <v>177</v>
      </c>
      <c r="V117" t="s">
        <v>172</v>
      </c>
    </row>
    <row r="118" spans="1:22" x14ac:dyDescent="0.25">
      <c r="A118" s="103" t="s">
        <v>322</v>
      </c>
      <c r="B118" s="103"/>
      <c r="C118" s="103"/>
      <c r="D118" s="103"/>
      <c r="E118" s="103"/>
      <c r="F118" s="116">
        <v>9000</v>
      </c>
      <c r="G118" s="116"/>
      <c r="H118" s="116"/>
      <c r="I118" s="21" t="s">
        <v>348</v>
      </c>
      <c r="R118"/>
      <c r="S118">
        <v>800000</v>
      </c>
      <c r="T118">
        <v>300000</v>
      </c>
      <c r="U118">
        <v>100000</v>
      </c>
      <c r="V118">
        <v>100000</v>
      </c>
    </row>
    <row r="119" spans="1:22" hidden="1" x14ac:dyDescent="0.25">
      <c r="A119" s="103" t="s">
        <v>142</v>
      </c>
      <c r="B119" s="103"/>
      <c r="C119" s="103"/>
      <c r="D119" s="103"/>
      <c r="E119" s="103"/>
      <c r="F119" s="116"/>
      <c r="G119" s="116"/>
      <c r="H119" s="116"/>
      <c r="R119"/>
      <c r="S119">
        <v>900000</v>
      </c>
      <c r="T119">
        <v>350000</v>
      </c>
      <c r="U119">
        <v>150000</v>
      </c>
      <c r="V119">
        <v>150000</v>
      </c>
    </row>
    <row r="120" spans="1:22" hidden="1" x14ac:dyDescent="0.25">
      <c r="A120" s="103" t="s">
        <v>143</v>
      </c>
      <c r="B120" s="103"/>
      <c r="C120" s="103"/>
      <c r="D120" s="103"/>
      <c r="E120" s="103"/>
      <c r="F120" s="116"/>
      <c r="G120" s="116"/>
      <c r="H120" s="116"/>
      <c r="R120"/>
      <c r="S120">
        <v>1000000</v>
      </c>
      <c r="T120">
        <v>400000</v>
      </c>
      <c r="U120">
        <v>200000</v>
      </c>
      <c r="V120">
        <v>200000</v>
      </c>
    </row>
    <row r="121" spans="1:22" s="33" customFormat="1" hidden="1" x14ac:dyDescent="0.25">
      <c r="A121" s="103" t="s">
        <v>161</v>
      </c>
      <c r="B121" s="103"/>
      <c r="C121" s="103"/>
      <c r="D121" s="103"/>
      <c r="E121" s="103"/>
      <c r="F121" s="116"/>
      <c r="G121" s="116"/>
      <c r="H121" s="116"/>
      <c r="R121"/>
      <c r="S121">
        <v>1100000</v>
      </c>
      <c r="T121">
        <v>500000</v>
      </c>
      <c r="U121">
        <v>250000</v>
      </c>
      <c r="V121" s="23">
        <v>250000</v>
      </c>
    </row>
    <row r="122" spans="1:22" s="33" customFormat="1" hidden="1" x14ac:dyDescent="0.25">
      <c r="A122" s="103" t="s">
        <v>84</v>
      </c>
      <c r="B122" s="103"/>
      <c r="C122" s="103"/>
      <c r="D122" s="103"/>
      <c r="E122" s="103"/>
      <c r="F122" s="116"/>
      <c r="G122" s="116"/>
      <c r="H122" s="116"/>
      <c r="R122"/>
      <c r="S122">
        <v>1200000</v>
      </c>
      <c r="T122">
        <v>600000</v>
      </c>
      <c r="U122">
        <v>300000</v>
      </c>
      <c r="V122">
        <v>300000</v>
      </c>
    </row>
    <row r="123" spans="1:22" s="33" customFormat="1" x14ac:dyDescent="0.25">
      <c r="A123" s="103" t="s">
        <v>85</v>
      </c>
      <c r="B123" s="103"/>
      <c r="C123" s="103"/>
      <c r="D123" s="103"/>
      <c r="E123" s="103"/>
      <c r="F123" s="116">
        <v>150000</v>
      </c>
      <c r="G123" s="116"/>
      <c r="H123" s="116"/>
      <c r="R123"/>
      <c r="S123">
        <v>1300000</v>
      </c>
      <c r="T123">
        <v>700000</v>
      </c>
      <c r="U123">
        <v>350000</v>
      </c>
      <c r="V123" s="23">
        <v>400000</v>
      </c>
    </row>
    <row r="124" spans="1:22" s="33" customFormat="1" hidden="1" x14ac:dyDescent="0.25">
      <c r="A124" s="103" t="s">
        <v>86</v>
      </c>
      <c r="B124" s="103"/>
      <c r="C124" s="103"/>
      <c r="D124" s="103"/>
      <c r="E124" s="103"/>
      <c r="F124" s="116"/>
      <c r="G124" s="116"/>
      <c r="H124" s="116"/>
      <c r="R124"/>
      <c r="S124">
        <v>1400000</v>
      </c>
      <c r="T124">
        <v>800000</v>
      </c>
      <c r="U124">
        <v>400000</v>
      </c>
      <c r="V124"/>
    </row>
    <row r="125" spans="1:22" s="33" customFormat="1" hidden="1" x14ac:dyDescent="0.25">
      <c r="A125" s="103" t="s">
        <v>87</v>
      </c>
      <c r="B125" s="103"/>
      <c r="C125" s="103"/>
      <c r="D125" s="103"/>
      <c r="E125" s="103"/>
      <c r="F125" s="116"/>
      <c r="G125" s="116"/>
      <c r="H125" s="116"/>
      <c r="R125"/>
      <c r="S125">
        <v>1500000</v>
      </c>
      <c r="T125">
        <v>900000</v>
      </c>
      <c r="U125">
        <v>500000</v>
      </c>
      <c r="V125" s="23"/>
    </row>
    <row r="126" spans="1:22" s="33" customFormat="1" x14ac:dyDescent="0.25">
      <c r="A126" s="103" t="s">
        <v>88</v>
      </c>
      <c r="B126" s="103"/>
      <c r="C126" s="103"/>
      <c r="D126" s="103"/>
      <c r="E126" s="103"/>
      <c r="F126" s="116">
        <v>30000</v>
      </c>
      <c r="G126" s="116"/>
      <c r="H126" s="116"/>
      <c r="R126"/>
      <c r="S126">
        <v>1600000</v>
      </c>
      <c r="T126">
        <v>1000000</v>
      </c>
      <c r="U126">
        <v>600000</v>
      </c>
      <c r="V126"/>
    </row>
    <row r="127" spans="1:22" s="33" customFormat="1" hidden="1" x14ac:dyDescent="0.25">
      <c r="A127" s="103" t="s">
        <v>89</v>
      </c>
      <c r="B127" s="103"/>
      <c r="C127" s="103"/>
      <c r="D127" s="103"/>
      <c r="E127" s="103"/>
      <c r="F127" s="116"/>
      <c r="G127" s="116"/>
      <c r="H127" s="116"/>
      <c r="R127"/>
      <c r="S127">
        <v>1700000</v>
      </c>
      <c r="T127"/>
      <c r="U127"/>
      <c r="V127" s="23"/>
    </row>
    <row r="128" spans="1:22" hidden="1" x14ac:dyDescent="0.25">
      <c r="A128" s="103" t="s">
        <v>48</v>
      </c>
      <c r="B128" s="103"/>
      <c r="C128" s="103"/>
      <c r="D128" s="103"/>
      <c r="E128" s="103"/>
      <c r="F128" s="174">
        <v>600000</v>
      </c>
      <c r="G128" s="174"/>
      <c r="H128" s="174"/>
      <c r="R128"/>
      <c r="S128">
        <v>1800000</v>
      </c>
      <c r="T128"/>
      <c r="U128"/>
    </row>
    <row r="129" spans="1:22" s="34" customFormat="1" x14ac:dyDescent="0.25">
      <c r="A129" s="123" t="s">
        <v>49</v>
      </c>
      <c r="B129" s="123"/>
      <c r="C129" s="123"/>
      <c r="D129" s="123"/>
      <c r="E129" s="123"/>
      <c r="F129" s="116">
        <f>F118*0.8</f>
        <v>7200</v>
      </c>
      <c r="G129" s="116"/>
      <c r="H129" s="116"/>
      <c r="R129" s="21"/>
      <c r="S129" s="21"/>
      <c r="T129"/>
      <c r="U129"/>
      <c r="V129" s="21"/>
    </row>
    <row r="130" spans="1:22" s="35" customFormat="1" x14ac:dyDescent="0.25">
      <c r="A130" s="175" t="s">
        <v>60</v>
      </c>
      <c r="B130" s="175"/>
      <c r="C130" s="175"/>
      <c r="D130" s="175"/>
      <c r="E130" s="175"/>
      <c r="F130" s="175"/>
      <c r="G130" s="175"/>
      <c r="H130" s="175"/>
      <c r="T130"/>
    </row>
    <row r="131" spans="1:22" s="35" customFormat="1" ht="39.75" customHeight="1" x14ac:dyDescent="0.25">
      <c r="A131" s="175" t="s">
        <v>298</v>
      </c>
      <c r="B131" s="175"/>
      <c r="C131" s="194" t="s">
        <v>67</v>
      </c>
      <c r="D131" s="194"/>
      <c r="E131" s="194" t="s">
        <v>307</v>
      </c>
      <c r="F131" s="194"/>
      <c r="G131" s="175" t="s">
        <v>308</v>
      </c>
      <c r="H131" s="175"/>
      <c r="I131" s="35">
        <f>COUNT(F142:F143,F152,F161,F178,F186,F199:F208,F211,F216:F217,F223,F236:F237,F250:F259,F265:F266,F272,F283,F286,F289:F290,F293:F294,F297,F299,F301:F302,F311:F315,F320,F325:F327,F330:F332,F383,F394,F404:F411,F430,F440,F445:F446,F452:F453,F470,F481:F483)</f>
        <v>77</v>
      </c>
      <c r="T131"/>
    </row>
    <row r="132" spans="1:22" s="35" customFormat="1" x14ac:dyDescent="0.25">
      <c r="A132" s="110" t="s">
        <v>304</v>
      </c>
      <c r="B132" s="110"/>
      <c r="C132" s="108">
        <f>COUNT(D144:D151,D153:D160,D162:D177,D180:D185,D187:D198,D209:D210,D212:D215,D218:D221,D224:D235,D238:D249,D260:D264,D267:D271,D273:D282,D284:D285,D287:D288,D291:D292,D295:D296,D298,D303:D310,D316:D319,D321:D324,D328:D329,D337:D338,D353:D354,D366:D367,D374:D382,D384:D393,D395:D403,D412:D429,D431:D439,D441:D444,D447:D451,D454:D469,D471:D480)</f>
        <v>227</v>
      </c>
      <c r="D132" s="109"/>
      <c r="E132" s="178">
        <f>SUM(E144:E151,E153:E160,E162:E177,E180:E185,E187:E198,E209:E210,E212:E215,E218:E221,E224:E235,E238:E249,E260:E264,E267:E271,E273:E282,E284:E285,E287:E288,E291:E292,E295:E296,E298,E303:E310,E316:E319,E321:E324,E328:E329,E337:E338,E353:E354,E366:E367,E374:E382,E384:E393,E395:E403,E412:E429,E431:E439,E441:E444,E447:E451,E454:E469,E471:E480)</f>
        <v>470278.50339599984</v>
      </c>
      <c r="F132" s="179"/>
      <c r="G132" s="178">
        <f>SUM(F144:F151,F153:F160,F162:F177,F180:F185,F187:F198,F209:F210,F212:F215,F218:F221,F224:F235,F238:F249,F260:F264,F267:F271,F273:F282,F284:F285,F287:F288,F291:F292,F295:F296,F298,F303:F310,F316:F319,F321:F324,F328:F329,F337:F338,F353:F354,F366:F367,F374:F382,F384:F393,F395:F403,F412:F429,F431:F439,F441:F444,F447:F451,F454:F469,F471:F480)</f>
        <v>855025.53084000049</v>
      </c>
      <c r="H132" s="179"/>
      <c r="K132" s="35">
        <f>COUNT(E144:E151,E153:E160,E162:E177,E180:E185,E187:E198,E209:E210,E212:E215,E218:E221,E224:E235,E238:E249,E260:E264,E267:E271,E273:E282,E284:E285,E287:E288,E291:E292,E295:E296,E298,E303:E310,E316:E319,E321:E324,E328:E329,E337:E338,E353:E354,E366:E367,E374:E382,E384:E393,E395:E403,E412:E429,E431:E439,E441:E444,E447:E451,E454:E469,E471:E480)</f>
        <v>227</v>
      </c>
      <c r="T132"/>
    </row>
    <row r="133" spans="1:22" s="35" customFormat="1" x14ac:dyDescent="0.25">
      <c r="A133" s="110" t="s">
        <v>306</v>
      </c>
      <c r="B133" s="110"/>
      <c r="C133" s="108">
        <f>COUNT(D333:D336,D339:D352,D355:D365,D368:D373)</f>
        <v>35</v>
      </c>
      <c r="D133" s="109"/>
      <c r="E133" s="108">
        <f>SUM(E333:E336,E339:E352,E355:E365,E368:E373)</f>
        <v>48232.536768000005</v>
      </c>
      <c r="F133" s="109"/>
      <c r="G133" s="108">
        <f>SUM(F333:F336,F339:F352,F355:F365,F368:F373)</f>
        <v>87238.969272000031</v>
      </c>
      <c r="H133" s="109"/>
      <c r="K133" s="35">
        <f>COUNT(E333:E336,E339:E352,E355:E365,E368:E373)</f>
        <v>35</v>
      </c>
    </row>
    <row r="134" spans="1:22" s="35" customFormat="1" x14ac:dyDescent="0.25">
      <c r="A134" s="110" t="s">
        <v>303</v>
      </c>
      <c r="B134" s="110"/>
      <c r="C134" s="108">
        <f>COUNT(E142:E143,E152,E161,E178,E186,E199:E208,E211,E216:E217,E223,E236:E237,E250:E259,E265:E266,E272,E283,E286,E289:E290,E293:E294,E297,E299,E301:E302,E311:E315,E320,E325:E327,E330:E332,E383,E394,E404:E411,E430,E440,E445:E446,E452:E453,E470,E481:E483)</f>
        <v>77</v>
      </c>
      <c r="D134" s="109"/>
      <c r="E134" s="111">
        <f>SUM(E142:E143,E152,E161,E178,E186,E199:E208,E211,E216:E217,E223,E236:E237,E250:E259,E265:E266,E272,E283,E286,E289:E290,E293:E294,E297,E299,E301:E302,E311:E315,E320,E325:E327,E330:E332,E383,E394,E404:E411,E430,E440,E445:E446,E452:E453,E470,E481:E483)</f>
        <v>255670.95200399996</v>
      </c>
      <c r="F134" s="112"/>
      <c r="G134" s="111">
        <f>SUM(F142:F143,F152,F161,F178,F186,F199:F208,F211,F216:F217,F223,F236:F237,F250:F259,F265:F266,F272,F283,F286,F289:F290,F293:F294,F297,F299,F301:F302,F311:F315,F320,F325:F327,F330:F332,F383,F394,F404:F411,F430,F440,F445:F446,F452:F453,F470,F481:F483)</f>
        <v>493226.84548800002</v>
      </c>
      <c r="H134" s="112"/>
      <c r="I134" s="77"/>
    </row>
    <row r="135" spans="1:22" s="35" customFormat="1" x14ac:dyDescent="0.25">
      <c r="A135" s="110" t="s">
        <v>305</v>
      </c>
      <c r="B135" s="110"/>
      <c r="C135" s="108">
        <f>COUNT(D300)</f>
        <v>1</v>
      </c>
      <c r="D135" s="109"/>
      <c r="E135" s="111">
        <f>SUM(E300)</f>
        <v>2369.7268919999997</v>
      </c>
      <c r="F135" s="112"/>
      <c r="G135" s="111">
        <f>SUM(F300)</f>
        <v>4265.5040999999992</v>
      </c>
      <c r="H135" s="112"/>
      <c r="I135" s="77"/>
      <c r="L135" s="77">
        <f>E137/10.764</f>
        <v>73182.111999999979</v>
      </c>
    </row>
    <row r="136" spans="1:22" s="35" customFormat="1" ht="16.5" thickBot="1" x14ac:dyDescent="0.3">
      <c r="A136" s="110" t="s">
        <v>335</v>
      </c>
      <c r="B136" s="110"/>
      <c r="C136" s="108">
        <f>COUNT(D222)</f>
        <v>1</v>
      </c>
      <c r="D136" s="109"/>
      <c r="E136" s="111">
        <f>SUM(E222)</f>
        <v>11180.534507999999</v>
      </c>
      <c r="F136" s="112"/>
      <c r="G136" s="111">
        <f>SUM(F222)</f>
        <v>20125.838304000001</v>
      </c>
      <c r="H136" s="112"/>
      <c r="L136" s="81">
        <f>G137/10.764</f>
        <v>135626.41100000005</v>
      </c>
    </row>
    <row r="137" spans="1:22" s="35" customFormat="1" ht="16.5" thickBot="1" x14ac:dyDescent="0.3">
      <c r="A137" s="186" t="s">
        <v>149</v>
      </c>
      <c r="B137" s="187"/>
      <c r="C137" s="131">
        <f>SUM(C132:D136)</f>
        <v>341</v>
      </c>
      <c r="D137" s="132"/>
      <c r="E137" s="131">
        <f t="shared" ref="E137" si="0">SUM(E132:F136)</f>
        <v>787732.25356799969</v>
      </c>
      <c r="F137" s="132"/>
      <c r="G137" s="131">
        <f>SUM(G132:H136)</f>
        <v>1459882.6880040006</v>
      </c>
      <c r="H137" s="132"/>
    </row>
    <row r="138" spans="1:22" s="34" customFormat="1" hidden="1" x14ac:dyDescent="0.25">
      <c r="A138" s="189" t="s">
        <v>50</v>
      </c>
      <c r="B138" s="189"/>
      <c r="C138" s="189"/>
      <c r="D138" s="189"/>
      <c r="E138" s="189"/>
      <c r="F138" s="189"/>
      <c r="G138" s="189"/>
      <c r="H138" s="189"/>
      <c r="T138" s="35"/>
    </row>
    <row r="139" spans="1:22" x14ac:dyDescent="0.25">
      <c r="A139" s="230" t="s">
        <v>318</v>
      </c>
      <c r="B139" s="230"/>
      <c r="C139" s="230"/>
      <c r="D139" s="230"/>
      <c r="E139" s="230"/>
      <c r="F139" s="230"/>
      <c r="G139" s="230"/>
      <c r="H139" s="230"/>
      <c r="T139" s="35"/>
    </row>
    <row r="140" spans="1:22" ht="69" customHeight="1" x14ac:dyDescent="0.25">
      <c r="A140" s="66" t="s">
        <v>297</v>
      </c>
      <c r="B140" s="190" t="s">
        <v>298</v>
      </c>
      <c r="C140" s="191"/>
      <c r="D140" s="65" t="s">
        <v>299</v>
      </c>
      <c r="E140" s="65" t="s">
        <v>300</v>
      </c>
      <c r="F140" s="65" t="s">
        <v>302</v>
      </c>
      <c r="G140" s="192" t="s">
        <v>301</v>
      </c>
      <c r="H140" s="193"/>
      <c r="I140" s="36"/>
      <c r="T140" s="37"/>
    </row>
    <row r="141" spans="1:22" s="37" customFormat="1" x14ac:dyDescent="0.25">
      <c r="A141" s="180" t="s">
        <v>109</v>
      </c>
      <c r="B141" s="181"/>
      <c r="C141" s="181"/>
      <c r="D141" s="181"/>
      <c r="E141" s="181"/>
      <c r="F141" s="181"/>
      <c r="G141" s="181"/>
      <c r="H141" s="182"/>
      <c r="J141" s="36">
        <f>I142-G137</f>
        <v>0</v>
      </c>
    </row>
    <row r="142" spans="1:22" s="72" customFormat="1" ht="15.75" customHeight="1" x14ac:dyDescent="0.25">
      <c r="A142" s="64" t="s">
        <v>331</v>
      </c>
      <c r="B142" s="86" t="s">
        <v>303</v>
      </c>
      <c r="C142" s="87"/>
      <c r="D142" s="64">
        <f>243.341</f>
        <v>243.34100000000001</v>
      </c>
      <c r="E142" s="64">
        <f>D142*10.764</f>
        <v>2619.3225239999997</v>
      </c>
      <c r="F142" s="64">
        <f>(438.014)*10.764</f>
        <v>4714.7826960000002</v>
      </c>
      <c r="G142" s="86" t="s">
        <v>31</v>
      </c>
      <c r="H142" s="87" t="s">
        <v>31</v>
      </c>
      <c r="I142" s="36">
        <f>SUM(F142:F483)</f>
        <v>1459882.6880040015</v>
      </c>
      <c r="L142" s="88"/>
      <c r="M142" s="88"/>
      <c r="N142" s="36"/>
      <c r="T142" s="21"/>
    </row>
    <row r="143" spans="1:22" s="37" customFormat="1" ht="15.75" customHeight="1" x14ac:dyDescent="0.25">
      <c r="A143" s="64">
        <v>1</v>
      </c>
      <c r="B143" s="86" t="s">
        <v>303</v>
      </c>
      <c r="C143" s="87"/>
      <c r="D143" s="42">
        <f>175.861</f>
        <v>175.86099999999999</v>
      </c>
      <c r="E143" s="42">
        <f>D143*10.764</f>
        <v>1892.9678039999999</v>
      </c>
      <c r="F143" s="42">
        <f>(316.55)*10.764</f>
        <v>3407.3442</v>
      </c>
      <c r="G143" s="86" t="s">
        <v>31</v>
      </c>
      <c r="H143" s="87" t="s">
        <v>31</v>
      </c>
      <c r="I143" s="36"/>
      <c r="L143" s="88"/>
      <c r="M143" s="88"/>
      <c r="N143" s="36"/>
      <c r="T143" s="21"/>
    </row>
    <row r="144" spans="1:22" s="67" customFormat="1" ht="15.75" customHeight="1" x14ac:dyDescent="0.25">
      <c r="A144" s="64">
        <f>A143+1</f>
        <v>2</v>
      </c>
      <c r="B144" s="86" t="s">
        <v>304</v>
      </c>
      <c r="C144" s="87"/>
      <c r="D144" s="64">
        <f>155.966</f>
        <v>155.96600000000001</v>
      </c>
      <c r="E144" s="64">
        <f t="shared" ref="E144:E208" si="1">D144*10.764</f>
        <v>1678.8180239999999</v>
      </c>
      <c r="F144" s="64">
        <f>(280.739)*10.764</f>
        <v>3021.8745959999997</v>
      </c>
      <c r="G144" s="86" t="s">
        <v>31</v>
      </c>
      <c r="H144" s="87" t="s">
        <v>31</v>
      </c>
      <c r="I144" s="36"/>
      <c r="L144" s="88"/>
      <c r="M144" s="88"/>
      <c r="N144" s="36"/>
      <c r="T144" s="21"/>
    </row>
    <row r="145" spans="1:20" s="67" customFormat="1" ht="15.75" customHeight="1" x14ac:dyDescent="0.25">
      <c r="A145" s="64">
        <f t="shared" ref="A145:A209" si="2">A144+1</f>
        <v>3</v>
      </c>
      <c r="B145" s="86" t="s">
        <v>304</v>
      </c>
      <c r="C145" s="87"/>
      <c r="D145" s="64">
        <f>156.325</f>
        <v>156.32499999999999</v>
      </c>
      <c r="E145" s="64">
        <f t="shared" si="1"/>
        <v>1682.6822999999997</v>
      </c>
      <c r="F145" s="64">
        <f>(281.385)*10.764</f>
        <v>3028.8281399999996</v>
      </c>
      <c r="G145" s="86" t="s">
        <v>31</v>
      </c>
      <c r="H145" s="87" t="s">
        <v>31</v>
      </c>
      <c r="I145" s="36"/>
      <c r="L145" s="88"/>
      <c r="M145" s="88"/>
      <c r="N145" s="36"/>
      <c r="T145" s="21"/>
    </row>
    <row r="146" spans="1:20" s="67" customFormat="1" ht="15.75" customHeight="1" x14ac:dyDescent="0.25">
      <c r="A146" s="64">
        <f t="shared" si="2"/>
        <v>4</v>
      </c>
      <c r="B146" s="86" t="s">
        <v>304</v>
      </c>
      <c r="C146" s="87"/>
      <c r="D146" s="64">
        <f>156.685</f>
        <v>156.685</v>
      </c>
      <c r="E146" s="64">
        <f t="shared" si="1"/>
        <v>1686.5573399999998</v>
      </c>
      <c r="F146" s="64">
        <f>(282.033)*10.764</f>
        <v>3035.8032119999998</v>
      </c>
      <c r="G146" s="86" t="s">
        <v>31</v>
      </c>
      <c r="H146" s="87" t="s">
        <v>31</v>
      </c>
      <c r="I146" s="36"/>
      <c r="L146" s="88"/>
      <c r="M146" s="88"/>
      <c r="N146" s="36"/>
      <c r="T146" s="21"/>
    </row>
    <row r="147" spans="1:20" s="67" customFormat="1" ht="15.75" customHeight="1" x14ac:dyDescent="0.25">
      <c r="A147" s="64">
        <f t="shared" si="2"/>
        <v>5</v>
      </c>
      <c r="B147" s="86" t="s">
        <v>304</v>
      </c>
      <c r="C147" s="87"/>
      <c r="D147" s="64">
        <f>157.051</f>
        <v>157.05099999999999</v>
      </c>
      <c r="E147" s="64">
        <f t="shared" si="1"/>
        <v>1690.4969639999997</v>
      </c>
      <c r="F147" s="64">
        <f>(282.692)*10.764</f>
        <v>3042.8966879999998</v>
      </c>
      <c r="G147" s="86" t="s">
        <v>31</v>
      </c>
      <c r="H147" s="87" t="s">
        <v>31</v>
      </c>
      <c r="I147" s="36"/>
      <c r="L147" s="88"/>
      <c r="M147" s="88"/>
      <c r="N147" s="36"/>
      <c r="T147" s="21"/>
    </row>
    <row r="148" spans="1:20" s="67" customFormat="1" ht="15.75" customHeight="1" x14ac:dyDescent="0.25">
      <c r="A148" s="64">
        <f t="shared" si="2"/>
        <v>6</v>
      </c>
      <c r="B148" s="86" t="s">
        <v>304</v>
      </c>
      <c r="C148" s="87"/>
      <c r="D148" s="64">
        <f>157.405</f>
        <v>157.405</v>
      </c>
      <c r="E148" s="64">
        <f t="shared" si="1"/>
        <v>1694.3074199999999</v>
      </c>
      <c r="F148" s="64">
        <f>(283.329)*10.764</f>
        <v>3049.7533559999997</v>
      </c>
      <c r="G148" s="86" t="s">
        <v>31</v>
      </c>
      <c r="H148" s="87" t="s">
        <v>31</v>
      </c>
      <c r="I148" s="36"/>
      <c r="L148" s="88"/>
      <c r="M148" s="88"/>
      <c r="N148" s="36"/>
      <c r="T148" s="21"/>
    </row>
    <row r="149" spans="1:20" s="67" customFormat="1" ht="15.75" customHeight="1" x14ac:dyDescent="0.25">
      <c r="A149" s="64">
        <f t="shared" si="2"/>
        <v>7</v>
      </c>
      <c r="B149" s="86" t="s">
        <v>304</v>
      </c>
      <c r="C149" s="87"/>
      <c r="D149" s="64">
        <f>157.759</f>
        <v>157.75899999999999</v>
      </c>
      <c r="E149" s="64">
        <f t="shared" si="1"/>
        <v>1698.1178759999998</v>
      </c>
      <c r="F149" s="64">
        <f>(283.966)*10.764</f>
        <v>3056.6100240000001</v>
      </c>
      <c r="G149" s="86" t="s">
        <v>31</v>
      </c>
      <c r="H149" s="87" t="s">
        <v>31</v>
      </c>
      <c r="I149" s="36"/>
      <c r="L149" s="88"/>
      <c r="M149" s="88"/>
      <c r="N149" s="36"/>
      <c r="T149" s="21"/>
    </row>
    <row r="150" spans="1:20" s="67" customFormat="1" ht="15.75" customHeight="1" x14ac:dyDescent="0.25">
      <c r="A150" s="64">
        <f t="shared" si="2"/>
        <v>8</v>
      </c>
      <c r="B150" s="86" t="s">
        <v>304</v>
      </c>
      <c r="C150" s="87"/>
      <c r="D150" s="64">
        <f>158.13</f>
        <v>158.13</v>
      </c>
      <c r="E150" s="64">
        <f t="shared" si="1"/>
        <v>1702.1113199999998</v>
      </c>
      <c r="F150" s="64">
        <f>(284.634)*10.764</f>
        <v>3063.8003760000001</v>
      </c>
      <c r="G150" s="86" t="s">
        <v>31</v>
      </c>
      <c r="H150" s="87" t="s">
        <v>31</v>
      </c>
      <c r="I150" s="36"/>
      <c r="L150" s="88"/>
      <c r="M150" s="88"/>
      <c r="N150" s="36"/>
      <c r="T150" s="21"/>
    </row>
    <row r="151" spans="1:20" s="67" customFormat="1" ht="15.75" customHeight="1" x14ac:dyDescent="0.25">
      <c r="A151" s="64">
        <f t="shared" si="2"/>
        <v>9</v>
      </c>
      <c r="B151" s="86" t="s">
        <v>304</v>
      </c>
      <c r="C151" s="87"/>
      <c r="D151" s="64">
        <f>173.692</f>
        <v>173.69200000000001</v>
      </c>
      <c r="E151" s="64">
        <f t="shared" si="1"/>
        <v>1869.620688</v>
      </c>
      <c r="F151" s="64">
        <f>(312.646)*10.764</f>
        <v>3365.3215439999999</v>
      </c>
      <c r="G151" s="86" t="s">
        <v>31</v>
      </c>
      <c r="H151" s="87" t="s">
        <v>31</v>
      </c>
      <c r="I151" s="36"/>
      <c r="L151" s="88"/>
      <c r="M151" s="88"/>
      <c r="N151" s="36"/>
      <c r="T151" s="21"/>
    </row>
    <row r="152" spans="1:20" s="67" customFormat="1" ht="15.75" customHeight="1" x14ac:dyDescent="0.25">
      <c r="A152" s="64">
        <f t="shared" si="2"/>
        <v>10</v>
      </c>
      <c r="B152" s="86" t="s">
        <v>303</v>
      </c>
      <c r="C152" s="87"/>
      <c r="D152" s="64">
        <f>243.393</f>
        <v>243.393</v>
      </c>
      <c r="E152" s="64">
        <f t="shared" si="1"/>
        <v>2619.8822519999999</v>
      </c>
      <c r="F152" s="64">
        <f>(438.107)*10.764</f>
        <v>4715.7837479999998</v>
      </c>
      <c r="G152" s="86" t="s">
        <v>31</v>
      </c>
      <c r="H152" s="87" t="s">
        <v>31</v>
      </c>
      <c r="I152" s="36"/>
      <c r="L152" s="88"/>
      <c r="M152" s="88"/>
      <c r="N152" s="36"/>
      <c r="T152" s="21"/>
    </row>
    <row r="153" spans="1:20" s="67" customFormat="1" ht="15.75" customHeight="1" x14ac:dyDescent="0.25">
      <c r="A153" s="64">
        <f t="shared" si="2"/>
        <v>11</v>
      </c>
      <c r="B153" s="86" t="s">
        <v>304</v>
      </c>
      <c r="C153" s="87"/>
      <c r="D153" s="64">
        <f>157.5</f>
        <v>157.5</v>
      </c>
      <c r="E153" s="64">
        <f t="shared" si="1"/>
        <v>1695.33</v>
      </c>
      <c r="F153" s="64">
        <f>(283.5)*10.764</f>
        <v>3051.5939999999996</v>
      </c>
      <c r="G153" s="86" t="s">
        <v>31</v>
      </c>
      <c r="H153" s="87" t="s">
        <v>31</v>
      </c>
      <c r="I153" s="36"/>
      <c r="L153" s="88"/>
      <c r="M153" s="88"/>
      <c r="N153" s="36"/>
      <c r="T153" s="21"/>
    </row>
    <row r="154" spans="1:20" s="67" customFormat="1" ht="15.75" customHeight="1" x14ac:dyDescent="0.25">
      <c r="A154" s="64">
        <f t="shared" si="2"/>
        <v>12</v>
      </c>
      <c r="B154" s="86" t="s">
        <v>304</v>
      </c>
      <c r="C154" s="87"/>
      <c r="D154" s="64">
        <f>150</f>
        <v>150</v>
      </c>
      <c r="E154" s="64">
        <f t="shared" si="1"/>
        <v>1614.6</v>
      </c>
      <c r="F154" s="64">
        <f t="shared" ref="F154:F160" si="3">(270)*10.764</f>
        <v>2906.2799999999997</v>
      </c>
      <c r="G154" s="86" t="s">
        <v>31</v>
      </c>
      <c r="H154" s="87" t="s">
        <v>31</v>
      </c>
      <c r="I154" s="36"/>
      <c r="L154" s="88"/>
      <c r="M154" s="88"/>
      <c r="N154" s="36"/>
      <c r="T154" s="21"/>
    </row>
    <row r="155" spans="1:20" s="67" customFormat="1" ht="15.75" customHeight="1" x14ac:dyDescent="0.25">
      <c r="A155" s="64">
        <f t="shared" si="2"/>
        <v>13</v>
      </c>
      <c r="B155" s="86" t="s">
        <v>304</v>
      </c>
      <c r="C155" s="87"/>
      <c r="D155" s="64">
        <f>150</f>
        <v>150</v>
      </c>
      <c r="E155" s="64">
        <f t="shared" si="1"/>
        <v>1614.6</v>
      </c>
      <c r="F155" s="64">
        <f t="shared" si="3"/>
        <v>2906.2799999999997</v>
      </c>
      <c r="G155" s="86" t="s">
        <v>31</v>
      </c>
      <c r="H155" s="87" t="s">
        <v>31</v>
      </c>
      <c r="I155" s="36"/>
      <c r="L155" s="88"/>
      <c r="M155" s="88"/>
      <c r="N155" s="36"/>
      <c r="T155" s="21"/>
    </row>
    <row r="156" spans="1:20" s="67" customFormat="1" ht="15.75" customHeight="1" x14ac:dyDescent="0.25">
      <c r="A156" s="64">
        <f t="shared" si="2"/>
        <v>14</v>
      </c>
      <c r="B156" s="86" t="s">
        <v>304</v>
      </c>
      <c r="C156" s="87"/>
      <c r="D156" s="64">
        <f>150</f>
        <v>150</v>
      </c>
      <c r="E156" s="64">
        <f t="shared" si="1"/>
        <v>1614.6</v>
      </c>
      <c r="F156" s="64">
        <f t="shared" si="3"/>
        <v>2906.2799999999997</v>
      </c>
      <c r="G156" s="86" t="s">
        <v>31</v>
      </c>
      <c r="H156" s="87" t="s">
        <v>31</v>
      </c>
      <c r="I156" s="36"/>
      <c r="L156" s="88"/>
      <c r="M156" s="88"/>
      <c r="N156" s="36"/>
      <c r="T156" s="21"/>
    </row>
    <row r="157" spans="1:20" s="67" customFormat="1" ht="15.75" customHeight="1" x14ac:dyDescent="0.25">
      <c r="A157" s="64">
        <f t="shared" si="2"/>
        <v>15</v>
      </c>
      <c r="B157" s="86" t="s">
        <v>304</v>
      </c>
      <c r="C157" s="87"/>
      <c r="D157" s="64">
        <f>150</f>
        <v>150</v>
      </c>
      <c r="E157" s="64">
        <f t="shared" si="1"/>
        <v>1614.6</v>
      </c>
      <c r="F157" s="64">
        <f t="shared" si="3"/>
        <v>2906.2799999999997</v>
      </c>
      <c r="G157" s="86" t="s">
        <v>31</v>
      </c>
      <c r="H157" s="87" t="s">
        <v>31</v>
      </c>
      <c r="I157" s="36"/>
      <c r="L157" s="88"/>
      <c r="M157" s="88"/>
      <c r="N157" s="36"/>
      <c r="T157" s="21"/>
    </row>
    <row r="158" spans="1:20" s="67" customFormat="1" ht="15.75" customHeight="1" x14ac:dyDescent="0.25">
      <c r="A158" s="64">
        <f t="shared" si="2"/>
        <v>16</v>
      </c>
      <c r="B158" s="86" t="s">
        <v>304</v>
      </c>
      <c r="C158" s="87"/>
      <c r="D158" s="64">
        <f>150</f>
        <v>150</v>
      </c>
      <c r="E158" s="64">
        <f t="shared" si="1"/>
        <v>1614.6</v>
      </c>
      <c r="F158" s="64">
        <f t="shared" si="3"/>
        <v>2906.2799999999997</v>
      </c>
      <c r="G158" s="86" t="s">
        <v>31</v>
      </c>
      <c r="H158" s="87" t="s">
        <v>31</v>
      </c>
      <c r="I158" s="36"/>
      <c r="L158" s="88"/>
      <c r="M158" s="88"/>
      <c r="N158" s="36"/>
      <c r="T158" s="21"/>
    </row>
    <row r="159" spans="1:20" s="67" customFormat="1" ht="15.75" customHeight="1" x14ac:dyDescent="0.25">
      <c r="A159" s="64">
        <f t="shared" si="2"/>
        <v>17</v>
      </c>
      <c r="B159" s="86" t="s">
        <v>304</v>
      </c>
      <c r="C159" s="87"/>
      <c r="D159" s="64">
        <v>150</v>
      </c>
      <c r="E159" s="64">
        <f t="shared" si="1"/>
        <v>1614.6</v>
      </c>
      <c r="F159" s="64">
        <f t="shared" si="3"/>
        <v>2906.2799999999997</v>
      </c>
      <c r="G159" s="86" t="s">
        <v>31</v>
      </c>
      <c r="H159" s="87" t="s">
        <v>31</v>
      </c>
      <c r="I159" s="36"/>
      <c r="L159" s="88"/>
      <c r="M159" s="88"/>
      <c r="N159" s="36"/>
      <c r="T159" s="21"/>
    </row>
    <row r="160" spans="1:20" s="67" customFormat="1" ht="15.75" customHeight="1" x14ac:dyDescent="0.25">
      <c r="A160" s="64">
        <f t="shared" si="2"/>
        <v>18</v>
      </c>
      <c r="B160" s="86" t="s">
        <v>304</v>
      </c>
      <c r="C160" s="87"/>
      <c r="D160" s="64">
        <f>150</f>
        <v>150</v>
      </c>
      <c r="E160" s="64">
        <f t="shared" si="1"/>
        <v>1614.6</v>
      </c>
      <c r="F160" s="64">
        <f t="shared" si="3"/>
        <v>2906.2799999999997</v>
      </c>
      <c r="G160" s="86" t="s">
        <v>31</v>
      </c>
      <c r="H160" s="87" t="s">
        <v>31</v>
      </c>
      <c r="I160" s="36"/>
      <c r="L160" s="88"/>
      <c r="M160" s="88"/>
      <c r="N160" s="36"/>
      <c r="T160" s="21"/>
    </row>
    <row r="161" spans="1:20" s="67" customFormat="1" ht="15.75" customHeight="1" x14ac:dyDescent="0.25">
      <c r="A161" s="64">
        <f t="shared" si="2"/>
        <v>19</v>
      </c>
      <c r="B161" s="86" t="s">
        <v>303</v>
      </c>
      <c r="C161" s="87"/>
      <c r="D161" s="64">
        <f>252.63</f>
        <v>252.63</v>
      </c>
      <c r="E161" s="64">
        <f t="shared" si="1"/>
        <v>2719.3093199999998</v>
      </c>
      <c r="F161" s="64">
        <f>(454.734)*10.764</f>
        <v>4894.7567759999993</v>
      </c>
      <c r="G161" s="86" t="s">
        <v>31</v>
      </c>
      <c r="H161" s="87" t="s">
        <v>31</v>
      </c>
      <c r="I161" s="36"/>
      <c r="L161" s="88"/>
      <c r="M161" s="88"/>
      <c r="N161" s="36"/>
      <c r="T161" s="21"/>
    </row>
    <row r="162" spans="1:20" s="67" customFormat="1" ht="15.75" customHeight="1" x14ac:dyDescent="0.25">
      <c r="A162" s="64">
        <f t="shared" si="2"/>
        <v>20</v>
      </c>
      <c r="B162" s="86" t="s">
        <v>304</v>
      </c>
      <c r="C162" s="87"/>
      <c r="D162" s="64">
        <f>193.694</f>
        <v>193.69399999999999</v>
      </c>
      <c r="E162" s="64">
        <f t="shared" si="1"/>
        <v>2084.9222159999999</v>
      </c>
      <c r="F162" s="64">
        <f>(348.649)*10.764</f>
        <v>3752.8578359999997</v>
      </c>
      <c r="G162" s="86" t="s">
        <v>31</v>
      </c>
      <c r="H162" s="87" t="s">
        <v>31</v>
      </c>
      <c r="I162" s="36"/>
      <c r="L162" s="88"/>
      <c r="M162" s="88"/>
      <c r="N162" s="36"/>
      <c r="T162" s="21"/>
    </row>
    <row r="163" spans="1:20" s="67" customFormat="1" ht="15.75" customHeight="1" x14ac:dyDescent="0.25">
      <c r="A163" s="64">
        <f t="shared" si="2"/>
        <v>21</v>
      </c>
      <c r="B163" s="86" t="s">
        <v>304</v>
      </c>
      <c r="C163" s="87"/>
      <c r="D163" s="64">
        <f>150</f>
        <v>150</v>
      </c>
      <c r="E163" s="64">
        <f t="shared" si="1"/>
        <v>1614.6</v>
      </c>
      <c r="F163" s="64">
        <f t="shared" ref="F163:F169" si="4">(270)*10.764</f>
        <v>2906.2799999999997</v>
      </c>
      <c r="G163" s="86" t="s">
        <v>31</v>
      </c>
      <c r="H163" s="87" t="s">
        <v>31</v>
      </c>
      <c r="I163" s="36"/>
      <c r="L163" s="88"/>
      <c r="M163" s="88"/>
      <c r="N163" s="36"/>
      <c r="T163" s="21"/>
    </row>
    <row r="164" spans="1:20" s="67" customFormat="1" ht="15.75" customHeight="1" x14ac:dyDescent="0.25">
      <c r="A164" s="64">
        <f t="shared" si="2"/>
        <v>22</v>
      </c>
      <c r="B164" s="86" t="s">
        <v>304</v>
      </c>
      <c r="C164" s="87"/>
      <c r="D164" s="64">
        <f>150</f>
        <v>150</v>
      </c>
      <c r="E164" s="64">
        <f t="shared" si="1"/>
        <v>1614.6</v>
      </c>
      <c r="F164" s="64">
        <f t="shared" si="4"/>
        <v>2906.2799999999997</v>
      </c>
      <c r="G164" s="86" t="s">
        <v>31</v>
      </c>
      <c r="H164" s="87" t="s">
        <v>31</v>
      </c>
      <c r="I164" s="36"/>
      <c r="L164" s="88"/>
      <c r="M164" s="88"/>
      <c r="N164" s="36"/>
      <c r="T164" s="21"/>
    </row>
    <row r="165" spans="1:20" s="67" customFormat="1" ht="15.75" customHeight="1" x14ac:dyDescent="0.25">
      <c r="A165" s="64">
        <f t="shared" si="2"/>
        <v>23</v>
      </c>
      <c r="B165" s="86" t="s">
        <v>304</v>
      </c>
      <c r="C165" s="87"/>
      <c r="D165" s="64">
        <f>150</f>
        <v>150</v>
      </c>
      <c r="E165" s="64">
        <f t="shared" si="1"/>
        <v>1614.6</v>
      </c>
      <c r="F165" s="64">
        <f t="shared" si="4"/>
        <v>2906.2799999999997</v>
      </c>
      <c r="G165" s="86" t="s">
        <v>31</v>
      </c>
      <c r="H165" s="87" t="s">
        <v>31</v>
      </c>
      <c r="I165" s="36"/>
      <c r="L165" s="88"/>
      <c r="M165" s="88"/>
      <c r="N165" s="36"/>
      <c r="T165" s="21"/>
    </row>
    <row r="166" spans="1:20" s="67" customFormat="1" ht="15.75" customHeight="1" x14ac:dyDescent="0.25">
      <c r="A166" s="64">
        <f t="shared" si="2"/>
        <v>24</v>
      </c>
      <c r="B166" s="86" t="s">
        <v>304</v>
      </c>
      <c r="C166" s="87"/>
      <c r="D166" s="64">
        <f>150</f>
        <v>150</v>
      </c>
      <c r="E166" s="64">
        <f t="shared" si="1"/>
        <v>1614.6</v>
      </c>
      <c r="F166" s="64">
        <f t="shared" si="4"/>
        <v>2906.2799999999997</v>
      </c>
      <c r="G166" s="86" t="s">
        <v>31</v>
      </c>
      <c r="H166" s="87" t="s">
        <v>31</v>
      </c>
      <c r="I166" s="36"/>
      <c r="L166" s="88"/>
      <c r="M166" s="88"/>
      <c r="N166" s="36"/>
      <c r="T166" s="21"/>
    </row>
    <row r="167" spans="1:20" s="67" customFormat="1" ht="15.75" customHeight="1" x14ac:dyDescent="0.25">
      <c r="A167" s="64">
        <f t="shared" si="2"/>
        <v>25</v>
      </c>
      <c r="B167" s="86" t="s">
        <v>304</v>
      </c>
      <c r="C167" s="87"/>
      <c r="D167" s="64">
        <f>150</f>
        <v>150</v>
      </c>
      <c r="E167" s="64">
        <f t="shared" si="1"/>
        <v>1614.6</v>
      </c>
      <c r="F167" s="64">
        <f t="shared" si="4"/>
        <v>2906.2799999999997</v>
      </c>
      <c r="G167" s="86" t="s">
        <v>31</v>
      </c>
      <c r="H167" s="87" t="s">
        <v>31</v>
      </c>
      <c r="I167" s="36"/>
      <c r="L167" s="88"/>
      <c r="M167" s="88"/>
      <c r="N167" s="36"/>
      <c r="T167" s="21"/>
    </row>
    <row r="168" spans="1:20" s="67" customFormat="1" ht="15.75" customHeight="1" x14ac:dyDescent="0.25">
      <c r="A168" s="64">
        <f t="shared" si="2"/>
        <v>26</v>
      </c>
      <c r="B168" s="86" t="s">
        <v>304</v>
      </c>
      <c r="C168" s="87"/>
      <c r="D168" s="64">
        <f>150</f>
        <v>150</v>
      </c>
      <c r="E168" s="64">
        <f t="shared" si="1"/>
        <v>1614.6</v>
      </c>
      <c r="F168" s="64">
        <f t="shared" si="4"/>
        <v>2906.2799999999997</v>
      </c>
      <c r="G168" s="86" t="s">
        <v>31</v>
      </c>
      <c r="H168" s="87" t="s">
        <v>31</v>
      </c>
      <c r="I168" s="36"/>
      <c r="L168" s="88"/>
      <c r="M168" s="88"/>
      <c r="N168" s="36"/>
      <c r="T168" s="21"/>
    </row>
    <row r="169" spans="1:20" s="67" customFormat="1" ht="15.75" customHeight="1" x14ac:dyDescent="0.25">
      <c r="A169" s="64">
        <f t="shared" si="2"/>
        <v>27</v>
      </c>
      <c r="B169" s="86" t="s">
        <v>304</v>
      </c>
      <c r="C169" s="87"/>
      <c r="D169" s="64">
        <f>150</f>
        <v>150</v>
      </c>
      <c r="E169" s="64">
        <f t="shared" si="1"/>
        <v>1614.6</v>
      </c>
      <c r="F169" s="64">
        <f t="shared" si="4"/>
        <v>2906.2799999999997</v>
      </c>
      <c r="G169" s="86" t="s">
        <v>31</v>
      </c>
      <c r="H169" s="87" t="s">
        <v>31</v>
      </c>
      <c r="I169" s="36"/>
      <c r="L169" s="88"/>
      <c r="M169" s="88"/>
      <c r="N169" s="36"/>
      <c r="T169" s="21"/>
    </row>
    <row r="170" spans="1:20" s="67" customFormat="1" ht="15.75" customHeight="1" x14ac:dyDescent="0.25">
      <c r="A170" s="64">
        <f t="shared" si="2"/>
        <v>28</v>
      </c>
      <c r="B170" s="86" t="s">
        <v>304</v>
      </c>
      <c r="C170" s="87"/>
      <c r="D170" s="64">
        <f>157.5</f>
        <v>157.5</v>
      </c>
      <c r="E170" s="64">
        <f t="shared" si="1"/>
        <v>1695.33</v>
      </c>
      <c r="F170" s="64">
        <f>(283.5)*10.764</f>
        <v>3051.5939999999996</v>
      </c>
      <c r="G170" s="86" t="s">
        <v>31</v>
      </c>
      <c r="H170" s="87" t="s">
        <v>31</v>
      </c>
      <c r="I170" s="36"/>
      <c r="L170" s="88"/>
      <c r="M170" s="88"/>
      <c r="N170" s="36"/>
      <c r="T170" s="21"/>
    </row>
    <row r="171" spans="1:20" s="67" customFormat="1" ht="15.75" customHeight="1" x14ac:dyDescent="0.25">
      <c r="A171" s="64">
        <f t="shared" si="2"/>
        <v>29</v>
      </c>
      <c r="B171" s="86" t="s">
        <v>304</v>
      </c>
      <c r="C171" s="87"/>
      <c r="D171" s="64">
        <f>159.145</f>
        <v>159.14500000000001</v>
      </c>
      <c r="E171" s="64">
        <f t="shared" si="1"/>
        <v>1713.0367799999999</v>
      </c>
      <c r="F171" s="64">
        <f>(286.47)*10.764</f>
        <v>3083.5630799999999</v>
      </c>
      <c r="G171" s="86" t="s">
        <v>31</v>
      </c>
      <c r="H171" s="87" t="s">
        <v>31</v>
      </c>
      <c r="I171" s="36"/>
      <c r="L171" s="88"/>
      <c r="M171" s="88"/>
      <c r="N171" s="36"/>
      <c r="T171" s="21"/>
    </row>
    <row r="172" spans="1:20" s="67" customFormat="1" ht="15.75" customHeight="1" x14ac:dyDescent="0.25">
      <c r="A172" s="64">
        <f t="shared" si="2"/>
        <v>30</v>
      </c>
      <c r="B172" s="237" t="s">
        <v>304</v>
      </c>
      <c r="C172" s="238"/>
      <c r="D172" s="64">
        <f>244.791</f>
        <v>244.791</v>
      </c>
      <c r="E172" s="64">
        <f t="shared" si="1"/>
        <v>2634.9303239999999</v>
      </c>
      <c r="F172" s="64">
        <f>(440.624)*10.764</f>
        <v>4742.8767360000002</v>
      </c>
      <c r="G172" s="86" t="s">
        <v>31</v>
      </c>
      <c r="H172" s="87" t="s">
        <v>31</v>
      </c>
      <c r="I172" s="36"/>
      <c r="L172" s="88"/>
      <c r="M172" s="88"/>
      <c r="N172" s="36"/>
      <c r="T172" s="21"/>
    </row>
    <row r="173" spans="1:20" s="67" customFormat="1" ht="15.75" customHeight="1" x14ac:dyDescent="0.25">
      <c r="A173" s="64">
        <f t="shared" si="2"/>
        <v>31</v>
      </c>
      <c r="B173" s="86" t="s">
        <v>304</v>
      </c>
      <c r="C173" s="87"/>
      <c r="D173" s="64">
        <f>244.218</f>
        <v>244.21799999999999</v>
      </c>
      <c r="E173" s="64">
        <f t="shared" si="1"/>
        <v>2628.7625519999997</v>
      </c>
      <c r="F173" s="64">
        <f>(439.592)*10.764</f>
        <v>4731.7682879999993</v>
      </c>
      <c r="G173" s="86" t="s">
        <v>31</v>
      </c>
      <c r="H173" s="87" t="s">
        <v>31</v>
      </c>
      <c r="I173" s="36"/>
      <c r="L173" s="88"/>
      <c r="M173" s="88"/>
      <c r="N173" s="36"/>
      <c r="T173" s="21"/>
    </row>
    <row r="174" spans="1:20" s="67" customFormat="1" ht="15.75" customHeight="1" x14ac:dyDescent="0.25">
      <c r="A174" s="64">
        <f>A173+2</f>
        <v>33</v>
      </c>
      <c r="B174" s="86" t="s">
        <v>304</v>
      </c>
      <c r="C174" s="87"/>
      <c r="D174" s="64">
        <f>150</f>
        <v>150</v>
      </c>
      <c r="E174" s="64">
        <f t="shared" si="1"/>
        <v>1614.6</v>
      </c>
      <c r="F174" s="64">
        <f t="shared" ref="F174:F177" si="5">(270)*10.764</f>
        <v>2906.2799999999997</v>
      </c>
      <c r="G174" s="86" t="s">
        <v>31</v>
      </c>
      <c r="H174" s="87" t="s">
        <v>31</v>
      </c>
      <c r="I174" s="36"/>
      <c r="L174" s="88"/>
      <c r="M174" s="88"/>
      <c r="N174" s="36"/>
      <c r="T174" s="21"/>
    </row>
    <row r="175" spans="1:20" s="67" customFormat="1" ht="15.75" customHeight="1" x14ac:dyDescent="0.25">
      <c r="A175" s="64">
        <f t="shared" si="2"/>
        <v>34</v>
      </c>
      <c r="B175" s="86" t="s">
        <v>304</v>
      </c>
      <c r="C175" s="87"/>
      <c r="D175" s="64">
        <f>150</f>
        <v>150</v>
      </c>
      <c r="E175" s="64">
        <f t="shared" si="1"/>
        <v>1614.6</v>
      </c>
      <c r="F175" s="64">
        <f t="shared" si="5"/>
        <v>2906.2799999999997</v>
      </c>
      <c r="G175" s="86" t="s">
        <v>31</v>
      </c>
      <c r="H175" s="87" t="s">
        <v>31</v>
      </c>
      <c r="I175" s="36"/>
      <c r="L175" s="88"/>
      <c r="M175" s="88"/>
      <c r="N175" s="36"/>
      <c r="T175" s="21"/>
    </row>
    <row r="176" spans="1:20" s="67" customFormat="1" ht="15.75" customHeight="1" x14ac:dyDescent="0.25">
      <c r="A176" s="64">
        <f t="shared" si="2"/>
        <v>35</v>
      </c>
      <c r="B176" s="86" t="s">
        <v>304</v>
      </c>
      <c r="C176" s="87"/>
      <c r="D176" s="64">
        <f>150</f>
        <v>150</v>
      </c>
      <c r="E176" s="64">
        <f t="shared" si="1"/>
        <v>1614.6</v>
      </c>
      <c r="F176" s="64">
        <f t="shared" si="5"/>
        <v>2906.2799999999997</v>
      </c>
      <c r="G176" s="86" t="s">
        <v>31</v>
      </c>
      <c r="H176" s="87" t="s">
        <v>31</v>
      </c>
      <c r="I176" s="36"/>
      <c r="L176" s="88"/>
      <c r="M176" s="88"/>
      <c r="N176" s="36"/>
      <c r="T176" s="21"/>
    </row>
    <row r="177" spans="1:20" s="67" customFormat="1" ht="15.75" customHeight="1" x14ac:dyDescent="0.25">
      <c r="A177" s="64">
        <f t="shared" si="2"/>
        <v>36</v>
      </c>
      <c r="B177" s="86" t="s">
        <v>304</v>
      </c>
      <c r="C177" s="87"/>
      <c r="D177" s="64">
        <f>150</f>
        <v>150</v>
      </c>
      <c r="E177" s="64">
        <f t="shared" si="1"/>
        <v>1614.6</v>
      </c>
      <c r="F177" s="64">
        <f t="shared" si="5"/>
        <v>2906.2799999999997</v>
      </c>
      <c r="G177" s="86" t="s">
        <v>31</v>
      </c>
      <c r="H177" s="87" t="s">
        <v>31</v>
      </c>
      <c r="I177" s="36"/>
      <c r="L177" s="88"/>
      <c r="M177" s="88"/>
      <c r="N177" s="36"/>
      <c r="T177" s="21"/>
    </row>
    <row r="178" spans="1:20" s="67" customFormat="1" ht="15.75" customHeight="1" x14ac:dyDescent="0.25">
      <c r="A178" s="93" t="s">
        <v>332</v>
      </c>
      <c r="B178" s="89" t="s">
        <v>303</v>
      </c>
      <c r="C178" s="90"/>
      <c r="D178" s="93">
        <v>364.80799999999999</v>
      </c>
      <c r="E178" s="93">
        <f t="shared" si="1"/>
        <v>3926.7933119999998</v>
      </c>
      <c r="F178" s="93">
        <f>(656.654)*10.764</f>
        <v>7068.2236559999992</v>
      </c>
      <c r="G178" s="89" t="s">
        <v>31</v>
      </c>
      <c r="H178" s="90"/>
      <c r="I178" s="36"/>
      <c r="L178" s="88"/>
      <c r="M178" s="88"/>
      <c r="N178" s="36"/>
      <c r="T178" s="21"/>
    </row>
    <row r="179" spans="1:20" s="67" customFormat="1" x14ac:dyDescent="0.25">
      <c r="A179" s="94"/>
      <c r="B179" s="91"/>
      <c r="C179" s="92"/>
      <c r="D179" s="94"/>
      <c r="E179" s="94"/>
      <c r="F179" s="94"/>
      <c r="G179" s="91"/>
      <c r="H179" s="92"/>
      <c r="I179" s="36"/>
      <c r="L179" s="88"/>
      <c r="M179" s="88"/>
      <c r="N179" s="36"/>
      <c r="T179" s="21"/>
    </row>
    <row r="180" spans="1:20" s="67" customFormat="1" ht="15.75" customHeight="1" x14ac:dyDescent="0.25">
      <c r="A180" s="64">
        <f>A177+3</f>
        <v>39</v>
      </c>
      <c r="B180" s="86" t="s">
        <v>304</v>
      </c>
      <c r="C180" s="87"/>
      <c r="D180" s="64">
        <f>227.655</f>
        <v>227.655</v>
      </c>
      <c r="E180" s="64">
        <f t="shared" si="1"/>
        <v>2450.4784199999999</v>
      </c>
      <c r="F180" s="64">
        <f>(409.779)*10.764</f>
        <v>4410.8611559999999</v>
      </c>
      <c r="G180" s="86" t="s">
        <v>31</v>
      </c>
      <c r="H180" s="87" t="s">
        <v>31</v>
      </c>
      <c r="I180" s="36"/>
      <c r="L180" s="88"/>
      <c r="M180" s="88"/>
      <c r="N180" s="36"/>
      <c r="T180" s="21"/>
    </row>
    <row r="181" spans="1:20" s="67" customFormat="1" ht="15.75" customHeight="1" x14ac:dyDescent="0.25">
      <c r="A181" s="64">
        <f t="shared" si="2"/>
        <v>40</v>
      </c>
      <c r="B181" s="86" t="s">
        <v>304</v>
      </c>
      <c r="C181" s="87"/>
      <c r="D181" s="64">
        <f>150</f>
        <v>150</v>
      </c>
      <c r="E181" s="64">
        <f t="shared" si="1"/>
        <v>1614.6</v>
      </c>
      <c r="F181" s="64">
        <f>(270)*10.764</f>
        <v>2906.2799999999997</v>
      </c>
      <c r="G181" s="86" t="s">
        <v>31</v>
      </c>
      <c r="H181" s="87" t="s">
        <v>31</v>
      </c>
      <c r="I181" s="36"/>
      <c r="L181" s="88"/>
      <c r="M181" s="88"/>
      <c r="N181" s="36"/>
      <c r="T181" s="21"/>
    </row>
    <row r="182" spans="1:20" s="67" customFormat="1" ht="15.75" customHeight="1" x14ac:dyDescent="0.25">
      <c r="A182" s="64">
        <f t="shared" si="2"/>
        <v>41</v>
      </c>
      <c r="B182" s="86" t="s">
        <v>304</v>
      </c>
      <c r="C182" s="87"/>
      <c r="D182" s="64">
        <f>150</f>
        <v>150</v>
      </c>
      <c r="E182" s="64">
        <f t="shared" si="1"/>
        <v>1614.6</v>
      </c>
      <c r="F182" s="64">
        <f>(270)*10.764</f>
        <v>2906.2799999999997</v>
      </c>
      <c r="G182" s="86" t="s">
        <v>31</v>
      </c>
      <c r="H182" s="87" t="s">
        <v>31</v>
      </c>
      <c r="I182" s="36"/>
      <c r="L182" s="88"/>
      <c r="M182" s="88"/>
      <c r="N182" s="36"/>
      <c r="T182" s="21"/>
    </row>
    <row r="183" spans="1:20" s="67" customFormat="1" ht="15.75" customHeight="1" x14ac:dyDescent="0.25">
      <c r="A183" s="64">
        <f t="shared" si="2"/>
        <v>42</v>
      </c>
      <c r="B183" s="86" t="s">
        <v>304</v>
      </c>
      <c r="C183" s="87"/>
      <c r="D183" s="64">
        <f>150</f>
        <v>150</v>
      </c>
      <c r="E183" s="64">
        <f t="shared" si="1"/>
        <v>1614.6</v>
      </c>
      <c r="F183" s="64">
        <f>(270)*10.764</f>
        <v>2906.2799999999997</v>
      </c>
      <c r="G183" s="86" t="s">
        <v>31</v>
      </c>
      <c r="H183" s="87" t="s">
        <v>31</v>
      </c>
      <c r="I183" s="36"/>
      <c r="L183" s="88"/>
      <c r="M183" s="88"/>
      <c r="N183" s="36"/>
      <c r="T183" s="21"/>
    </row>
    <row r="184" spans="1:20" s="67" customFormat="1" ht="15.75" customHeight="1" x14ac:dyDescent="0.25">
      <c r="A184" s="64">
        <f t="shared" si="2"/>
        <v>43</v>
      </c>
      <c r="B184" s="86" t="s">
        <v>304</v>
      </c>
      <c r="C184" s="87"/>
      <c r="D184" s="64">
        <f>150</f>
        <v>150</v>
      </c>
      <c r="E184" s="64">
        <f t="shared" si="1"/>
        <v>1614.6</v>
      </c>
      <c r="F184" s="64">
        <f>(270)*10.764</f>
        <v>2906.2799999999997</v>
      </c>
      <c r="G184" s="86" t="s">
        <v>31</v>
      </c>
      <c r="H184" s="87" t="s">
        <v>31</v>
      </c>
      <c r="I184" s="36"/>
      <c r="L184" s="88"/>
      <c r="M184" s="88"/>
      <c r="N184" s="36"/>
      <c r="T184" s="21"/>
    </row>
    <row r="185" spans="1:20" s="67" customFormat="1" ht="15.75" customHeight="1" x14ac:dyDescent="0.25">
      <c r="A185" s="64">
        <f t="shared" si="2"/>
        <v>44</v>
      </c>
      <c r="B185" s="86" t="s">
        <v>304</v>
      </c>
      <c r="C185" s="87"/>
      <c r="D185" s="64">
        <f>150</f>
        <v>150</v>
      </c>
      <c r="E185" s="64">
        <f t="shared" si="1"/>
        <v>1614.6</v>
      </c>
      <c r="F185" s="64">
        <f>(270)*10.764</f>
        <v>2906.2799999999997</v>
      </c>
      <c r="G185" s="86" t="s">
        <v>31</v>
      </c>
      <c r="H185" s="87" t="s">
        <v>31</v>
      </c>
      <c r="I185" s="36"/>
      <c r="L185" s="88"/>
      <c r="M185" s="88"/>
      <c r="N185" s="36"/>
      <c r="T185" s="21"/>
    </row>
    <row r="186" spans="1:20" s="67" customFormat="1" ht="15.75" customHeight="1" x14ac:dyDescent="0.25">
      <c r="A186" s="64">
        <f t="shared" si="2"/>
        <v>45</v>
      </c>
      <c r="B186" s="86" t="s">
        <v>303</v>
      </c>
      <c r="C186" s="87"/>
      <c r="D186" s="64">
        <f>331.627</f>
        <v>331.62700000000001</v>
      </c>
      <c r="E186" s="64">
        <f t="shared" si="1"/>
        <v>3569.6330279999997</v>
      </c>
      <c r="F186" s="64">
        <f>(596.929)*10.764</f>
        <v>6425.3437559999993</v>
      </c>
      <c r="G186" s="86" t="s">
        <v>31</v>
      </c>
      <c r="H186" s="87" t="s">
        <v>31</v>
      </c>
      <c r="I186" s="36"/>
      <c r="L186" s="88"/>
      <c r="M186" s="88"/>
      <c r="N186" s="36"/>
      <c r="T186" s="21"/>
    </row>
    <row r="187" spans="1:20" s="67" customFormat="1" ht="15.75" customHeight="1" x14ac:dyDescent="0.25">
      <c r="A187" s="64">
        <f t="shared" si="2"/>
        <v>46</v>
      </c>
      <c r="B187" s="86" t="s">
        <v>304</v>
      </c>
      <c r="C187" s="87"/>
      <c r="D187" s="64">
        <f>239.907</f>
        <v>239.90700000000001</v>
      </c>
      <c r="E187" s="64">
        <f t="shared" si="1"/>
        <v>2582.3589480000001</v>
      </c>
      <c r="F187" s="64">
        <f>(431.833)*10.764</f>
        <v>4648.2504120000003</v>
      </c>
      <c r="G187" s="86" t="s">
        <v>31</v>
      </c>
      <c r="H187" s="87" t="s">
        <v>31</v>
      </c>
      <c r="I187" s="36"/>
      <c r="L187" s="88"/>
      <c r="M187" s="88"/>
      <c r="N187" s="36"/>
      <c r="T187" s="21"/>
    </row>
    <row r="188" spans="1:20" s="67" customFormat="1" ht="15.75" customHeight="1" x14ac:dyDescent="0.25">
      <c r="A188" s="64">
        <f t="shared" si="2"/>
        <v>47</v>
      </c>
      <c r="B188" s="86" t="s">
        <v>304</v>
      </c>
      <c r="C188" s="87"/>
      <c r="D188" s="64">
        <f>150</f>
        <v>150</v>
      </c>
      <c r="E188" s="64">
        <f t="shared" si="1"/>
        <v>1614.6</v>
      </c>
      <c r="F188" s="64">
        <f>(270)*10.764</f>
        <v>2906.2799999999997</v>
      </c>
      <c r="G188" s="86" t="s">
        <v>31</v>
      </c>
      <c r="H188" s="87" t="s">
        <v>31</v>
      </c>
      <c r="I188" s="36"/>
      <c r="J188" s="36">
        <f>SUM(D142:D483)</f>
        <v>73182.111999999979</v>
      </c>
      <c r="L188" s="88"/>
      <c r="M188" s="88"/>
      <c r="N188" s="36"/>
      <c r="T188" s="21"/>
    </row>
    <row r="189" spans="1:20" s="67" customFormat="1" ht="15.75" customHeight="1" x14ac:dyDescent="0.25">
      <c r="A189" s="64">
        <f t="shared" si="2"/>
        <v>48</v>
      </c>
      <c r="B189" s="86" t="s">
        <v>304</v>
      </c>
      <c r="C189" s="87"/>
      <c r="D189" s="64">
        <f>150</f>
        <v>150</v>
      </c>
      <c r="E189" s="64">
        <f t="shared" si="1"/>
        <v>1614.6</v>
      </c>
      <c r="F189" s="64">
        <f>(270)*10.764</f>
        <v>2906.2799999999997</v>
      </c>
      <c r="G189" s="86" t="s">
        <v>31</v>
      </c>
      <c r="H189" s="87" t="s">
        <v>31</v>
      </c>
      <c r="I189" s="36"/>
      <c r="L189" s="88"/>
      <c r="M189" s="88"/>
      <c r="N189" s="36"/>
      <c r="T189" s="21"/>
    </row>
    <row r="190" spans="1:20" s="67" customFormat="1" ht="15.75" customHeight="1" x14ac:dyDescent="0.25">
      <c r="A190" s="64">
        <f t="shared" si="2"/>
        <v>49</v>
      </c>
      <c r="B190" s="86" t="s">
        <v>304</v>
      </c>
      <c r="C190" s="87"/>
      <c r="D190" s="64">
        <f>150</f>
        <v>150</v>
      </c>
      <c r="E190" s="64">
        <f t="shared" si="1"/>
        <v>1614.6</v>
      </c>
      <c r="F190" s="64">
        <f>(270)*10.764</f>
        <v>2906.2799999999997</v>
      </c>
      <c r="G190" s="86" t="s">
        <v>31</v>
      </c>
      <c r="H190" s="87" t="s">
        <v>31</v>
      </c>
      <c r="I190" s="36"/>
      <c r="L190" s="88"/>
      <c r="M190" s="88"/>
      <c r="N190" s="36"/>
      <c r="T190" s="21"/>
    </row>
    <row r="191" spans="1:20" s="67" customFormat="1" ht="15.75" customHeight="1" x14ac:dyDescent="0.25">
      <c r="A191" s="64">
        <f t="shared" si="2"/>
        <v>50</v>
      </c>
      <c r="B191" s="86" t="s">
        <v>304</v>
      </c>
      <c r="C191" s="87"/>
      <c r="D191" s="64">
        <f>150</f>
        <v>150</v>
      </c>
      <c r="E191" s="64">
        <f t="shared" si="1"/>
        <v>1614.6</v>
      </c>
      <c r="F191" s="64">
        <f>(270)*10.764</f>
        <v>2906.2799999999997</v>
      </c>
      <c r="G191" s="86" t="s">
        <v>31</v>
      </c>
      <c r="H191" s="87" t="s">
        <v>31</v>
      </c>
      <c r="I191" s="36"/>
      <c r="L191" s="88"/>
      <c r="M191" s="88"/>
      <c r="N191" s="36"/>
      <c r="T191" s="21"/>
    </row>
    <row r="192" spans="1:20" s="67" customFormat="1" ht="15.75" customHeight="1" x14ac:dyDescent="0.25">
      <c r="A192" s="64">
        <f t="shared" si="2"/>
        <v>51</v>
      </c>
      <c r="B192" s="86" t="s">
        <v>304</v>
      </c>
      <c r="C192" s="87"/>
      <c r="D192" s="64">
        <f>191.694</f>
        <v>191.69399999999999</v>
      </c>
      <c r="E192" s="64">
        <f t="shared" si="1"/>
        <v>2063.3942159999997</v>
      </c>
      <c r="F192" s="64">
        <f>(345.049)*10.764</f>
        <v>3714.1074359999993</v>
      </c>
      <c r="G192" s="86" t="s">
        <v>31</v>
      </c>
      <c r="H192" s="87" t="s">
        <v>31</v>
      </c>
      <c r="I192" s="36"/>
      <c r="L192" s="88"/>
      <c r="M192" s="88"/>
      <c r="N192" s="36"/>
      <c r="T192" s="21"/>
    </row>
    <row r="193" spans="1:20" s="67" customFormat="1" ht="15.75" customHeight="1" x14ac:dyDescent="0.25">
      <c r="A193" s="64">
        <f t="shared" si="2"/>
        <v>52</v>
      </c>
      <c r="B193" s="86" t="s">
        <v>304</v>
      </c>
      <c r="C193" s="87"/>
      <c r="D193" s="64">
        <f>225.993</f>
        <v>225.99299999999999</v>
      </c>
      <c r="E193" s="64">
        <f t="shared" si="1"/>
        <v>2432.5886519999999</v>
      </c>
      <c r="F193" s="64">
        <f>(406.787)*10.764</f>
        <v>4378.6552679999995</v>
      </c>
      <c r="G193" s="86" t="s">
        <v>31</v>
      </c>
      <c r="H193" s="87" t="s">
        <v>31</v>
      </c>
      <c r="I193" s="36"/>
      <c r="L193" s="88"/>
      <c r="M193" s="88"/>
      <c r="N193" s="36"/>
      <c r="T193" s="21"/>
    </row>
    <row r="194" spans="1:20" s="67" customFormat="1" ht="15.75" customHeight="1" x14ac:dyDescent="0.25">
      <c r="A194" s="64">
        <f t="shared" si="2"/>
        <v>53</v>
      </c>
      <c r="B194" s="86" t="s">
        <v>304</v>
      </c>
      <c r="C194" s="87"/>
      <c r="D194" s="64">
        <f>150</f>
        <v>150</v>
      </c>
      <c r="E194" s="64">
        <f t="shared" si="1"/>
        <v>1614.6</v>
      </c>
      <c r="F194" s="64">
        <f>(270)*10.764</f>
        <v>2906.2799999999997</v>
      </c>
      <c r="G194" s="86" t="s">
        <v>31</v>
      </c>
      <c r="H194" s="87" t="s">
        <v>31</v>
      </c>
      <c r="I194" s="36"/>
      <c r="L194" s="88"/>
      <c r="M194" s="88"/>
      <c r="N194" s="36"/>
      <c r="T194" s="21"/>
    </row>
    <row r="195" spans="1:20" s="67" customFormat="1" ht="15.75" customHeight="1" x14ac:dyDescent="0.25">
      <c r="A195" s="64">
        <f t="shared" si="2"/>
        <v>54</v>
      </c>
      <c r="B195" s="86" t="s">
        <v>304</v>
      </c>
      <c r="C195" s="87"/>
      <c r="D195" s="64">
        <f>150</f>
        <v>150</v>
      </c>
      <c r="E195" s="64">
        <f t="shared" si="1"/>
        <v>1614.6</v>
      </c>
      <c r="F195" s="64">
        <f>(270)*10.764</f>
        <v>2906.2799999999997</v>
      </c>
      <c r="G195" s="86" t="s">
        <v>31</v>
      </c>
      <c r="H195" s="87" t="s">
        <v>31</v>
      </c>
      <c r="I195" s="36"/>
      <c r="L195" s="88"/>
      <c r="M195" s="88"/>
      <c r="N195" s="36"/>
      <c r="T195" s="21"/>
    </row>
    <row r="196" spans="1:20" s="67" customFormat="1" ht="15.75" customHeight="1" x14ac:dyDescent="0.25">
      <c r="A196" s="64">
        <f t="shared" si="2"/>
        <v>55</v>
      </c>
      <c r="B196" s="86" t="s">
        <v>304</v>
      </c>
      <c r="C196" s="87"/>
      <c r="D196" s="64">
        <f>150</f>
        <v>150</v>
      </c>
      <c r="E196" s="64">
        <f t="shared" si="1"/>
        <v>1614.6</v>
      </c>
      <c r="F196" s="64">
        <f>(270)*10.764</f>
        <v>2906.2799999999997</v>
      </c>
      <c r="G196" s="86" t="s">
        <v>31</v>
      </c>
      <c r="H196" s="87" t="s">
        <v>31</v>
      </c>
      <c r="I196" s="36"/>
      <c r="L196" s="88"/>
      <c r="M196" s="88"/>
      <c r="N196" s="36"/>
      <c r="T196" s="21"/>
    </row>
    <row r="197" spans="1:20" s="67" customFormat="1" ht="15.75" customHeight="1" x14ac:dyDescent="0.25">
      <c r="A197" s="64">
        <f t="shared" si="2"/>
        <v>56</v>
      </c>
      <c r="B197" s="86" t="s">
        <v>304</v>
      </c>
      <c r="C197" s="87"/>
      <c r="D197" s="64">
        <f>150</f>
        <v>150</v>
      </c>
      <c r="E197" s="64">
        <f t="shared" si="1"/>
        <v>1614.6</v>
      </c>
      <c r="F197" s="64">
        <f>(270)*10.764</f>
        <v>2906.2799999999997</v>
      </c>
      <c r="G197" s="86" t="s">
        <v>31</v>
      </c>
      <c r="H197" s="87" t="s">
        <v>31</v>
      </c>
      <c r="I197" s="36"/>
      <c r="L197" s="88"/>
      <c r="M197" s="88"/>
      <c r="N197" s="36"/>
      <c r="T197" s="21"/>
    </row>
    <row r="198" spans="1:20" s="67" customFormat="1" ht="15.75" customHeight="1" x14ac:dyDescent="0.25">
      <c r="A198" s="64">
        <f t="shared" si="2"/>
        <v>57</v>
      </c>
      <c r="B198" s="86" t="s">
        <v>304</v>
      </c>
      <c r="C198" s="87"/>
      <c r="D198" s="64">
        <f>150</f>
        <v>150</v>
      </c>
      <c r="E198" s="64">
        <f t="shared" si="1"/>
        <v>1614.6</v>
      </c>
      <c r="F198" s="64">
        <f>(270)*10.764</f>
        <v>2906.2799999999997</v>
      </c>
      <c r="G198" s="86" t="s">
        <v>31</v>
      </c>
      <c r="H198" s="87" t="s">
        <v>31</v>
      </c>
      <c r="I198" s="36"/>
      <c r="L198" s="88"/>
      <c r="M198" s="88"/>
      <c r="N198" s="36"/>
      <c r="T198" s="21"/>
    </row>
    <row r="199" spans="1:20" s="72" customFormat="1" ht="15.75" customHeight="1" x14ac:dyDescent="0.25">
      <c r="A199" s="64" t="s">
        <v>333</v>
      </c>
      <c r="B199" s="86" t="s">
        <v>303</v>
      </c>
      <c r="C199" s="87"/>
      <c r="D199" s="64">
        <f>351.394</f>
        <v>351.39400000000001</v>
      </c>
      <c r="E199" s="64">
        <f t="shared" ref="E199" si="6">D199*10.764</f>
        <v>3782.4050159999997</v>
      </c>
      <c r="F199" s="64">
        <f>(632.509)*10.764</f>
        <v>6808.3268760000001</v>
      </c>
      <c r="G199" s="86" t="s">
        <v>31</v>
      </c>
      <c r="H199" s="87" t="s">
        <v>31</v>
      </c>
      <c r="I199" s="36"/>
      <c r="L199" s="88"/>
      <c r="M199" s="88"/>
      <c r="N199" s="36"/>
      <c r="T199" s="21"/>
    </row>
    <row r="200" spans="1:20" s="67" customFormat="1" ht="15.75" customHeight="1" x14ac:dyDescent="0.25">
      <c r="A200" s="64">
        <f>A198+1</f>
        <v>58</v>
      </c>
      <c r="B200" s="86" t="s">
        <v>303</v>
      </c>
      <c r="C200" s="87"/>
      <c r="D200" s="64">
        <f>352.189</f>
        <v>352.18900000000002</v>
      </c>
      <c r="E200" s="64">
        <f t="shared" si="1"/>
        <v>3790.9623959999999</v>
      </c>
      <c r="F200" s="64">
        <f>(682.142)*10.764</f>
        <v>7342.5764879999997</v>
      </c>
      <c r="G200" s="86" t="s">
        <v>31</v>
      </c>
      <c r="H200" s="87" t="s">
        <v>31</v>
      </c>
      <c r="I200" s="36"/>
      <c r="L200" s="88"/>
      <c r="M200" s="88"/>
      <c r="N200" s="36"/>
      <c r="T200" s="21"/>
    </row>
    <row r="201" spans="1:20" s="67" customFormat="1" ht="15.75" customHeight="1" x14ac:dyDescent="0.25">
      <c r="A201" s="64">
        <f t="shared" si="2"/>
        <v>59</v>
      </c>
      <c r="B201" s="86" t="s">
        <v>303</v>
      </c>
      <c r="C201" s="87"/>
      <c r="D201" s="64">
        <f>377.437</f>
        <v>377.43700000000001</v>
      </c>
      <c r="E201" s="64">
        <f t="shared" si="1"/>
        <v>4062.7318679999998</v>
      </c>
      <c r="F201" s="64">
        <f>(751.919)*10.764</f>
        <v>8093.6561159999992</v>
      </c>
      <c r="G201" s="86" t="s">
        <v>31</v>
      </c>
      <c r="H201" s="87" t="s">
        <v>31</v>
      </c>
      <c r="I201" s="36"/>
      <c r="L201" s="88"/>
      <c r="M201" s="88"/>
      <c r="N201" s="36"/>
      <c r="T201" s="21"/>
    </row>
    <row r="202" spans="1:20" s="67" customFormat="1" ht="15.75" customHeight="1" x14ac:dyDescent="0.25">
      <c r="A202" s="64">
        <f t="shared" si="2"/>
        <v>60</v>
      </c>
      <c r="B202" s="86" t="s">
        <v>303</v>
      </c>
      <c r="C202" s="87"/>
      <c r="D202" s="64">
        <f>401.42</f>
        <v>401.42</v>
      </c>
      <c r="E202" s="64">
        <f t="shared" si="1"/>
        <v>4320.8848799999996</v>
      </c>
      <c r="F202" s="64">
        <f>(730.975)*10.764</f>
        <v>7868.2148999999999</v>
      </c>
      <c r="G202" s="86" t="s">
        <v>31</v>
      </c>
      <c r="H202" s="87" t="s">
        <v>31</v>
      </c>
      <c r="I202" s="36"/>
      <c r="L202" s="88"/>
      <c r="M202" s="88"/>
      <c r="N202" s="36"/>
      <c r="T202" s="21"/>
    </row>
    <row r="203" spans="1:20" s="67" customFormat="1" ht="15.75" customHeight="1" x14ac:dyDescent="0.25">
      <c r="A203" s="64">
        <f t="shared" si="2"/>
        <v>61</v>
      </c>
      <c r="B203" s="86" t="s">
        <v>303</v>
      </c>
      <c r="C203" s="87"/>
      <c r="D203" s="64">
        <f>377.186</f>
        <v>377.18599999999998</v>
      </c>
      <c r="E203" s="64">
        <f t="shared" si="1"/>
        <v>4060.0301039999995</v>
      </c>
      <c r="F203" s="64">
        <f>(678.935)*10.764</f>
        <v>7308.0563399999992</v>
      </c>
      <c r="G203" s="86" t="s">
        <v>31</v>
      </c>
      <c r="H203" s="87" t="s">
        <v>31</v>
      </c>
      <c r="I203" s="36"/>
      <c r="L203" s="88"/>
      <c r="M203" s="88"/>
      <c r="N203" s="36"/>
      <c r="T203" s="21"/>
    </row>
    <row r="204" spans="1:20" s="67" customFormat="1" ht="15.75" customHeight="1" x14ac:dyDescent="0.25">
      <c r="A204" s="64">
        <f t="shared" si="2"/>
        <v>62</v>
      </c>
      <c r="B204" s="86" t="s">
        <v>303</v>
      </c>
      <c r="C204" s="87"/>
      <c r="D204" s="64">
        <f>343.572</f>
        <v>343.572</v>
      </c>
      <c r="E204" s="64">
        <f t="shared" si="1"/>
        <v>3698.2090079999998</v>
      </c>
      <c r="F204" s="64">
        <f>(618.43)*10.764</f>
        <v>6656.7805199999993</v>
      </c>
      <c r="G204" s="86" t="s">
        <v>31</v>
      </c>
      <c r="H204" s="87" t="s">
        <v>31</v>
      </c>
      <c r="I204" s="36"/>
      <c r="L204" s="88"/>
      <c r="M204" s="88"/>
      <c r="N204" s="36"/>
      <c r="T204" s="21"/>
    </row>
    <row r="205" spans="1:20" s="67" customFormat="1" ht="15.75" customHeight="1" x14ac:dyDescent="0.25">
      <c r="A205" s="64">
        <f t="shared" si="2"/>
        <v>63</v>
      </c>
      <c r="B205" s="86" t="s">
        <v>303</v>
      </c>
      <c r="C205" s="87"/>
      <c r="D205" s="64">
        <f>396.198</f>
        <v>396.19799999999998</v>
      </c>
      <c r="E205" s="64">
        <f t="shared" si="1"/>
        <v>4264.6752719999995</v>
      </c>
      <c r="F205" s="64">
        <f>(736.967)*10.764</f>
        <v>7932.7127879999989</v>
      </c>
      <c r="G205" s="86" t="s">
        <v>31</v>
      </c>
      <c r="H205" s="87" t="s">
        <v>31</v>
      </c>
      <c r="I205" s="36"/>
      <c r="L205" s="88"/>
      <c r="M205" s="88"/>
      <c r="N205" s="36"/>
      <c r="T205" s="21"/>
    </row>
    <row r="206" spans="1:20" s="72" customFormat="1" ht="15.75" customHeight="1" x14ac:dyDescent="0.25">
      <c r="A206" s="64" t="s">
        <v>334</v>
      </c>
      <c r="B206" s="86" t="s">
        <v>303</v>
      </c>
      <c r="C206" s="87"/>
      <c r="D206" s="64">
        <f>250.347</f>
        <v>250.34700000000001</v>
      </c>
      <c r="E206" s="64">
        <f t="shared" ref="E206" si="7">D206*10.764</f>
        <v>2694.7351079999999</v>
      </c>
      <c r="F206" s="64">
        <f>(450.607)*10.764</f>
        <v>4850.333748</v>
      </c>
      <c r="G206" s="86" t="s">
        <v>31</v>
      </c>
      <c r="H206" s="87" t="s">
        <v>31</v>
      </c>
      <c r="I206" s="36"/>
      <c r="L206" s="88"/>
      <c r="M206" s="88"/>
      <c r="N206" s="36"/>
      <c r="T206" s="21"/>
    </row>
    <row r="207" spans="1:20" s="67" customFormat="1" ht="15.75" customHeight="1" x14ac:dyDescent="0.25">
      <c r="A207" s="64">
        <f>A205+1</f>
        <v>64</v>
      </c>
      <c r="B207" s="86" t="s">
        <v>303</v>
      </c>
      <c r="C207" s="87"/>
      <c r="D207" s="64">
        <f>250.032</f>
        <v>250.03200000000001</v>
      </c>
      <c r="E207" s="64">
        <f t="shared" si="1"/>
        <v>2691.3444479999998</v>
      </c>
      <c r="F207" s="64">
        <f>(450.058)*10.764</f>
        <v>4844.4243119999992</v>
      </c>
      <c r="G207" s="86" t="s">
        <v>31</v>
      </c>
      <c r="H207" s="87" t="s">
        <v>31</v>
      </c>
      <c r="I207" s="36"/>
      <c r="L207" s="88"/>
      <c r="M207" s="88"/>
      <c r="N207" s="36"/>
      <c r="T207" s="21"/>
    </row>
    <row r="208" spans="1:20" s="67" customFormat="1" ht="15.75" customHeight="1" x14ac:dyDescent="0.25">
      <c r="A208" s="64">
        <f t="shared" si="2"/>
        <v>65</v>
      </c>
      <c r="B208" s="86" t="s">
        <v>303</v>
      </c>
      <c r="C208" s="87"/>
      <c r="D208" s="64">
        <f>232.617</f>
        <v>232.61699999999999</v>
      </c>
      <c r="E208" s="64">
        <f t="shared" si="1"/>
        <v>2503.8893879999996</v>
      </c>
      <c r="F208" s="64">
        <f>(569.045)*10.764</f>
        <v>6125.2003799999993</v>
      </c>
      <c r="G208" s="86" t="s">
        <v>31</v>
      </c>
      <c r="H208" s="87" t="s">
        <v>31</v>
      </c>
      <c r="I208" s="36"/>
      <c r="L208" s="88"/>
      <c r="M208" s="88"/>
      <c r="N208" s="36"/>
      <c r="T208" s="21"/>
    </row>
    <row r="209" spans="1:20" s="67" customFormat="1" ht="15.75" customHeight="1" x14ac:dyDescent="0.25">
      <c r="A209" s="64">
        <f t="shared" si="2"/>
        <v>66</v>
      </c>
      <c r="B209" s="86" t="s">
        <v>304</v>
      </c>
      <c r="C209" s="87"/>
      <c r="D209" s="64">
        <f>197.221</f>
        <v>197.221</v>
      </c>
      <c r="E209" s="64">
        <f t="shared" ref="E209:E269" si="8">D209*10.764</f>
        <v>2122.8868440000001</v>
      </c>
      <c r="F209" s="64">
        <f>(354.998)*10.764</f>
        <v>3821.1984719999996</v>
      </c>
      <c r="G209" s="86" t="s">
        <v>31</v>
      </c>
      <c r="H209" s="87" t="s">
        <v>31</v>
      </c>
      <c r="I209" s="36"/>
      <c r="L209" s="88"/>
      <c r="M209" s="88"/>
      <c r="N209" s="36"/>
      <c r="T209" s="21"/>
    </row>
    <row r="210" spans="1:20" s="67" customFormat="1" ht="15.75" customHeight="1" x14ac:dyDescent="0.25">
      <c r="A210" s="64">
        <f t="shared" ref="A210:A270" si="9">A209+1</f>
        <v>67</v>
      </c>
      <c r="B210" s="86" t="s">
        <v>304</v>
      </c>
      <c r="C210" s="87"/>
      <c r="D210" s="64">
        <f>185.948</f>
        <v>185.94800000000001</v>
      </c>
      <c r="E210" s="64">
        <f t="shared" si="8"/>
        <v>2001.5442719999999</v>
      </c>
      <c r="F210" s="64">
        <f>(334.706)*10.764</f>
        <v>3602.775384</v>
      </c>
      <c r="G210" s="86" t="s">
        <v>31</v>
      </c>
      <c r="H210" s="87" t="s">
        <v>31</v>
      </c>
      <c r="I210" s="36"/>
      <c r="L210" s="88"/>
      <c r="M210" s="88"/>
      <c r="N210" s="36"/>
      <c r="T210" s="21"/>
    </row>
    <row r="211" spans="1:20" s="67" customFormat="1" ht="15.75" customHeight="1" x14ac:dyDescent="0.25">
      <c r="A211" s="64">
        <f t="shared" si="9"/>
        <v>68</v>
      </c>
      <c r="B211" s="86" t="s">
        <v>303</v>
      </c>
      <c r="C211" s="87"/>
      <c r="D211" s="64">
        <f>306.975</f>
        <v>306.97500000000002</v>
      </c>
      <c r="E211" s="64">
        <f t="shared" si="8"/>
        <v>3304.2789000000002</v>
      </c>
      <c r="F211" s="64">
        <f>(552.555)*10.764</f>
        <v>5947.7020199999988</v>
      </c>
      <c r="G211" s="86" t="s">
        <v>31</v>
      </c>
      <c r="H211" s="87" t="s">
        <v>31</v>
      </c>
      <c r="I211" s="36"/>
      <c r="L211" s="88"/>
      <c r="M211" s="88"/>
      <c r="N211" s="36"/>
      <c r="T211" s="21"/>
    </row>
    <row r="212" spans="1:20" s="67" customFormat="1" ht="15.75" customHeight="1" x14ac:dyDescent="0.25">
      <c r="A212" s="64">
        <f>A211+3</f>
        <v>71</v>
      </c>
      <c r="B212" s="86" t="s">
        <v>304</v>
      </c>
      <c r="C212" s="87"/>
      <c r="D212" s="64">
        <f>198</f>
        <v>198</v>
      </c>
      <c r="E212" s="64">
        <f t="shared" si="8"/>
        <v>2131.2719999999999</v>
      </c>
      <c r="F212" s="64">
        <f>(356.4)*10.764</f>
        <v>3836.2895999999996</v>
      </c>
      <c r="G212" s="86" t="s">
        <v>31</v>
      </c>
      <c r="H212" s="87" t="s">
        <v>31</v>
      </c>
      <c r="I212" s="36"/>
      <c r="L212" s="88"/>
      <c r="M212" s="88"/>
      <c r="N212" s="36"/>
      <c r="T212" s="21"/>
    </row>
    <row r="213" spans="1:20" s="67" customFormat="1" ht="15.75" customHeight="1" x14ac:dyDescent="0.25">
      <c r="A213" s="64">
        <f t="shared" si="9"/>
        <v>72</v>
      </c>
      <c r="B213" s="86" t="s">
        <v>304</v>
      </c>
      <c r="C213" s="87"/>
      <c r="D213" s="64">
        <f>198</f>
        <v>198</v>
      </c>
      <c r="E213" s="64">
        <f t="shared" si="8"/>
        <v>2131.2719999999999</v>
      </c>
      <c r="F213" s="64">
        <f>(356.4)*10.764</f>
        <v>3836.2895999999996</v>
      </c>
      <c r="G213" s="86" t="s">
        <v>31</v>
      </c>
      <c r="H213" s="87" t="s">
        <v>31</v>
      </c>
      <c r="I213" s="36"/>
      <c r="L213" s="88"/>
      <c r="M213" s="88"/>
      <c r="N213" s="36"/>
      <c r="T213" s="21"/>
    </row>
    <row r="214" spans="1:20" s="67" customFormat="1" ht="15.75" customHeight="1" x14ac:dyDescent="0.25">
      <c r="A214" s="64">
        <f t="shared" si="9"/>
        <v>73</v>
      </c>
      <c r="B214" s="86" t="s">
        <v>304</v>
      </c>
      <c r="C214" s="87"/>
      <c r="D214" s="64">
        <f>198</f>
        <v>198</v>
      </c>
      <c r="E214" s="64">
        <f t="shared" si="8"/>
        <v>2131.2719999999999</v>
      </c>
      <c r="F214" s="64">
        <f>(356.4)*10.764</f>
        <v>3836.2895999999996</v>
      </c>
      <c r="G214" s="86" t="s">
        <v>31</v>
      </c>
      <c r="H214" s="87" t="s">
        <v>31</v>
      </c>
      <c r="I214" s="36"/>
      <c r="L214" s="88"/>
      <c r="M214" s="88"/>
      <c r="N214" s="36"/>
      <c r="T214" s="21"/>
    </row>
    <row r="215" spans="1:20" s="67" customFormat="1" ht="15.75" customHeight="1" x14ac:dyDescent="0.25">
      <c r="A215" s="64">
        <f t="shared" si="9"/>
        <v>74</v>
      </c>
      <c r="B215" s="86" t="s">
        <v>304</v>
      </c>
      <c r="C215" s="87"/>
      <c r="D215" s="64">
        <f>198</f>
        <v>198</v>
      </c>
      <c r="E215" s="64">
        <f t="shared" si="8"/>
        <v>2131.2719999999999</v>
      </c>
      <c r="F215" s="64">
        <f>(356.4)*10.764</f>
        <v>3836.2895999999996</v>
      </c>
      <c r="G215" s="86" t="s">
        <v>31</v>
      </c>
      <c r="H215" s="87" t="s">
        <v>31</v>
      </c>
      <c r="I215" s="36"/>
      <c r="L215" s="88"/>
      <c r="M215" s="88"/>
      <c r="N215" s="36"/>
      <c r="T215" s="21"/>
    </row>
    <row r="216" spans="1:20" s="67" customFormat="1" ht="15.75" customHeight="1" x14ac:dyDescent="0.25">
      <c r="A216" s="64">
        <f t="shared" si="9"/>
        <v>75</v>
      </c>
      <c r="B216" s="86" t="s">
        <v>303</v>
      </c>
      <c r="C216" s="87"/>
      <c r="D216" s="64">
        <f>214.914</f>
        <v>214.91399999999999</v>
      </c>
      <c r="E216" s="64">
        <f t="shared" si="8"/>
        <v>2313.3342959999995</v>
      </c>
      <c r="F216" s="64">
        <f>(386.845)*10.764</f>
        <v>4163.9995799999997</v>
      </c>
      <c r="G216" s="86" t="s">
        <v>31</v>
      </c>
      <c r="H216" s="87" t="s">
        <v>31</v>
      </c>
      <c r="I216" s="36"/>
      <c r="L216" s="88"/>
      <c r="M216" s="88"/>
      <c r="N216" s="36"/>
      <c r="T216" s="21"/>
    </row>
    <row r="217" spans="1:20" s="67" customFormat="1" ht="15.75" customHeight="1" x14ac:dyDescent="0.25">
      <c r="A217" s="64">
        <f t="shared" si="9"/>
        <v>76</v>
      </c>
      <c r="B217" s="86" t="s">
        <v>303</v>
      </c>
      <c r="C217" s="87"/>
      <c r="D217" s="64">
        <f>215.345</f>
        <v>215.345</v>
      </c>
      <c r="E217" s="64">
        <f t="shared" si="8"/>
        <v>2317.9735799999999</v>
      </c>
      <c r="F217" s="64">
        <f>(387.621)*10.764</f>
        <v>4172.3524439999992</v>
      </c>
      <c r="G217" s="86" t="s">
        <v>31</v>
      </c>
      <c r="H217" s="87" t="s">
        <v>31</v>
      </c>
      <c r="I217" s="36"/>
      <c r="L217" s="88"/>
      <c r="M217" s="88"/>
      <c r="N217" s="36"/>
      <c r="T217" s="21"/>
    </row>
    <row r="218" spans="1:20" s="67" customFormat="1" ht="15.75" customHeight="1" x14ac:dyDescent="0.25">
      <c r="A218" s="64">
        <f t="shared" si="9"/>
        <v>77</v>
      </c>
      <c r="B218" s="86" t="s">
        <v>304</v>
      </c>
      <c r="C218" s="87"/>
      <c r="D218" s="64">
        <f>198</f>
        <v>198</v>
      </c>
      <c r="E218" s="64">
        <f t="shared" si="8"/>
        <v>2131.2719999999999</v>
      </c>
      <c r="F218" s="64">
        <f>(356.4)*10.764</f>
        <v>3836.2895999999996</v>
      </c>
      <c r="G218" s="86" t="s">
        <v>31</v>
      </c>
      <c r="H218" s="87" t="s">
        <v>31</v>
      </c>
      <c r="I218" s="36"/>
      <c r="L218" s="88"/>
      <c r="M218" s="88"/>
      <c r="N218" s="36"/>
      <c r="T218" s="21"/>
    </row>
    <row r="219" spans="1:20" s="67" customFormat="1" ht="15.75" customHeight="1" x14ac:dyDescent="0.25">
      <c r="A219" s="64">
        <f t="shared" si="9"/>
        <v>78</v>
      </c>
      <c r="B219" s="86" t="s">
        <v>304</v>
      </c>
      <c r="C219" s="87"/>
      <c r="D219" s="64">
        <f>198</f>
        <v>198</v>
      </c>
      <c r="E219" s="64">
        <f t="shared" si="8"/>
        <v>2131.2719999999999</v>
      </c>
      <c r="F219" s="64">
        <f>(356.4)*10.764</f>
        <v>3836.2895999999996</v>
      </c>
      <c r="G219" s="86" t="s">
        <v>31</v>
      </c>
      <c r="H219" s="87" t="s">
        <v>31</v>
      </c>
      <c r="I219" s="36"/>
      <c r="L219" s="88"/>
      <c r="M219" s="88"/>
      <c r="N219" s="36"/>
      <c r="T219" s="21"/>
    </row>
    <row r="220" spans="1:20" s="67" customFormat="1" ht="15.75" customHeight="1" x14ac:dyDescent="0.25">
      <c r="A220" s="64">
        <f t="shared" si="9"/>
        <v>79</v>
      </c>
      <c r="B220" s="86" t="s">
        <v>304</v>
      </c>
      <c r="C220" s="87"/>
      <c r="D220" s="64">
        <f>198</f>
        <v>198</v>
      </c>
      <c r="E220" s="64">
        <f t="shared" si="8"/>
        <v>2131.2719999999999</v>
      </c>
      <c r="F220" s="64">
        <f>(356.4)*10.764</f>
        <v>3836.2895999999996</v>
      </c>
      <c r="G220" s="86" t="s">
        <v>31</v>
      </c>
      <c r="H220" s="87" t="s">
        <v>31</v>
      </c>
      <c r="I220" s="36"/>
      <c r="L220" s="88"/>
      <c r="M220" s="88"/>
      <c r="N220" s="36"/>
      <c r="T220" s="21"/>
    </row>
    <row r="221" spans="1:20" s="72" customFormat="1" ht="15.75" customHeight="1" x14ac:dyDescent="0.25">
      <c r="A221" s="64">
        <v>80</v>
      </c>
      <c r="B221" s="86" t="s">
        <v>304</v>
      </c>
      <c r="C221" s="87"/>
      <c r="D221" s="64">
        <f>198</f>
        <v>198</v>
      </c>
      <c r="E221" s="64">
        <f t="shared" ref="E221" si="10">D221*10.764</f>
        <v>2131.2719999999999</v>
      </c>
      <c r="F221" s="64">
        <f>(356.4)*10.764</f>
        <v>3836.2895999999996</v>
      </c>
      <c r="G221" s="86" t="s">
        <v>31</v>
      </c>
      <c r="H221" s="87" t="s">
        <v>31</v>
      </c>
      <c r="I221" s="36"/>
      <c r="L221" s="88"/>
      <c r="M221" s="88"/>
      <c r="N221" s="36"/>
      <c r="T221" s="21"/>
    </row>
    <row r="222" spans="1:20" s="67" customFormat="1" ht="31.5" customHeight="1" x14ac:dyDescent="0.25">
      <c r="A222" s="64" t="s">
        <v>336</v>
      </c>
      <c r="B222" s="86" t="s">
        <v>335</v>
      </c>
      <c r="C222" s="87"/>
      <c r="D222" s="64">
        <f>1038.697</f>
        <v>1038.6969999999999</v>
      </c>
      <c r="E222" s="64">
        <f t="shared" si="8"/>
        <v>11180.534507999999</v>
      </c>
      <c r="F222" s="64">
        <f>(1869.736)*10.764</f>
        <v>20125.838304000001</v>
      </c>
      <c r="G222" s="86" t="s">
        <v>31</v>
      </c>
      <c r="H222" s="87" t="s">
        <v>31</v>
      </c>
      <c r="I222" s="36"/>
      <c r="L222" s="88"/>
      <c r="M222" s="88"/>
      <c r="N222" s="36"/>
      <c r="T222" s="21"/>
    </row>
    <row r="223" spans="1:20" s="67" customFormat="1" ht="15.75" customHeight="1" x14ac:dyDescent="0.25">
      <c r="A223" s="64">
        <f>A221+3</f>
        <v>83</v>
      </c>
      <c r="B223" s="86" t="s">
        <v>303</v>
      </c>
      <c r="C223" s="87"/>
      <c r="D223" s="64">
        <f>403.332</f>
        <v>403.33199999999999</v>
      </c>
      <c r="E223" s="64">
        <f t="shared" si="8"/>
        <v>4341.4656479999994</v>
      </c>
      <c r="F223" s="64">
        <f>(727.873)*10.764</f>
        <v>7834.8249720000003</v>
      </c>
      <c r="G223" s="86" t="s">
        <v>31</v>
      </c>
      <c r="H223" s="87" t="s">
        <v>31</v>
      </c>
      <c r="I223" s="36"/>
      <c r="L223" s="88"/>
      <c r="M223" s="88"/>
      <c r="N223" s="36"/>
      <c r="T223" s="21"/>
    </row>
    <row r="224" spans="1:20" s="67" customFormat="1" ht="15.75" customHeight="1" x14ac:dyDescent="0.25">
      <c r="A224" s="64">
        <f t="shared" si="9"/>
        <v>84</v>
      </c>
      <c r="B224" s="86" t="s">
        <v>304</v>
      </c>
      <c r="C224" s="87"/>
      <c r="D224" s="64">
        <f>198</f>
        <v>198</v>
      </c>
      <c r="E224" s="64">
        <f t="shared" si="8"/>
        <v>2131.2719999999999</v>
      </c>
      <c r="F224" s="64">
        <f>(356.4)*10.764</f>
        <v>3836.2895999999996</v>
      </c>
      <c r="G224" s="86" t="s">
        <v>31</v>
      </c>
      <c r="H224" s="87" t="s">
        <v>31</v>
      </c>
      <c r="I224" s="36"/>
      <c r="L224" s="88"/>
      <c r="M224" s="88"/>
      <c r="N224" s="36"/>
      <c r="T224" s="21"/>
    </row>
    <row r="225" spans="1:20" s="67" customFormat="1" ht="15.75" customHeight="1" x14ac:dyDescent="0.25">
      <c r="A225" s="64">
        <f t="shared" si="9"/>
        <v>85</v>
      </c>
      <c r="B225" s="86" t="s">
        <v>304</v>
      </c>
      <c r="C225" s="87"/>
      <c r="D225" s="64">
        <f>198</f>
        <v>198</v>
      </c>
      <c r="E225" s="64">
        <f t="shared" si="8"/>
        <v>2131.2719999999999</v>
      </c>
      <c r="F225" s="64">
        <f>(356.4)*10.764</f>
        <v>3836.2895999999996</v>
      </c>
      <c r="G225" s="86" t="s">
        <v>31</v>
      </c>
      <c r="H225" s="87" t="s">
        <v>31</v>
      </c>
      <c r="I225" s="36"/>
      <c r="L225" s="88"/>
      <c r="M225" s="88"/>
      <c r="N225" s="36"/>
      <c r="T225" s="21"/>
    </row>
    <row r="226" spans="1:20" s="67" customFormat="1" ht="15.75" customHeight="1" x14ac:dyDescent="0.25">
      <c r="A226" s="64">
        <f t="shared" si="9"/>
        <v>86</v>
      </c>
      <c r="B226" s="86" t="s">
        <v>304</v>
      </c>
      <c r="C226" s="87"/>
      <c r="D226" s="64">
        <f>198</f>
        <v>198</v>
      </c>
      <c r="E226" s="64">
        <f t="shared" si="8"/>
        <v>2131.2719999999999</v>
      </c>
      <c r="F226" s="64">
        <f>(356.4)*10.764</f>
        <v>3836.2895999999996</v>
      </c>
      <c r="G226" s="86" t="s">
        <v>31</v>
      </c>
      <c r="H226" s="87" t="s">
        <v>31</v>
      </c>
      <c r="I226" s="36"/>
      <c r="L226" s="88"/>
      <c r="M226" s="88"/>
      <c r="N226" s="36"/>
      <c r="T226" s="21"/>
    </row>
    <row r="227" spans="1:20" s="67" customFormat="1" ht="15.75" customHeight="1" x14ac:dyDescent="0.25">
      <c r="A227" s="64">
        <f t="shared" si="9"/>
        <v>87</v>
      </c>
      <c r="B227" s="86" t="s">
        <v>304</v>
      </c>
      <c r="C227" s="87"/>
      <c r="D227" s="64">
        <f>198</f>
        <v>198</v>
      </c>
      <c r="E227" s="64">
        <f t="shared" si="8"/>
        <v>2131.2719999999999</v>
      </c>
      <c r="F227" s="64">
        <f>(356.4)*10.764</f>
        <v>3836.2895999999996</v>
      </c>
      <c r="G227" s="86" t="s">
        <v>31</v>
      </c>
      <c r="H227" s="87" t="s">
        <v>31</v>
      </c>
      <c r="I227" s="36"/>
      <c r="L227" s="88"/>
      <c r="M227" s="88"/>
      <c r="N227" s="36"/>
      <c r="T227" s="21"/>
    </row>
    <row r="228" spans="1:20" s="67" customFormat="1" ht="15.75" customHeight="1" x14ac:dyDescent="0.25">
      <c r="A228" s="64">
        <f t="shared" si="9"/>
        <v>88</v>
      </c>
      <c r="B228" s="86" t="s">
        <v>304</v>
      </c>
      <c r="C228" s="87"/>
      <c r="D228" s="64">
        <f>198</f>
        <v>198</v>
      </c>
      <c r="E228" s="64">
        <f t="shared" si="8"/>
        <v>2131.2719999999999</v>
      </c>
      <c r="F228" s="64">
        <f>(356.4)*10.764</f>
        <v>3836.2895999999996</v>
      </c>
      <c r="G228" s="86" t="s">
        <v>31</v>
      </c>
      <c r="H228" s="87" t="s">
        <v>31</v>
      </c>
      <c r="I228" s="36"/>
      <c r="L228" s="88"/>
      <c r="M228" s="88"/>
      <c r="N228" s="36"/>
      <c r="T228" s="21"/>
    </row>
    <row r="229" spans="1:20" s="67" customFormat="1" ht="15.75" customHeight="1" x14ac:dyDescent="0.25">
      <c r="A229" s="64">
        <f t="shared" si="9"/>
        <v>89</v>
      </c>
      <c r="B229" s="86" t="s">
        <v>304</v>
      </c>
      <c r="C229" s="87"/>
      <c r="D229" s="64">
        <f>215.5</f>
        <v>215.5</v>
      </c>
      <c r="E229" s="64">
        <f t="shared" si="8"/>
        <v>2319.6419999999998</v>
      </c>
      <c r="F229" s="64">
        <f>(387.9)*10.764</f>
        <v>4175.3555999999999</v>
      </c>
      <c r="G229" s="86" t="s">
        <v>31</v>
      </c>
      <c r="H229" s="87" t="s">
        <v>31</v>
      </c>
      <c r="I229" s="36"/>
      <c r="L229" s="88"/>
      <c r="M229" s="88"/>
      <c r="N229" s="36"/>
      <c r="T229" s="21"/>
    </row>
    <row r="230" spans="1:20" s="67" customFormat="1" ht="15.75" customHeight="1" x14ac:dyDescent="0.25">
      <c r="A230" s="64">
        <f t="shared" si="9"/>
        <v>90</v>
      </c>
      <c r="B230" s="86" t="s">
        <v>304</v>
      </c>
      <c r="C230" s="87"/>
      <c r="D230" s="64">
        <f>215.5</f>
        <v>215.5</v>
      </c>
      <c r="E230" s="64">
        <f t="shared" si="8"/>
        <v>2319.6419999999998</v>
      </c>
      <c r="F230" s="64">
        <f>(387.9)*10.764</f>
        <v>4175.3555999999999</v>
      </c>
      <c r="G230" s="86" t="s">
        <v>31</v>
      </c>
      <c r="H230" s="87" t="s">
        <v>31</v>
      </c>
      <c r="I230" s="36"/>
      <c r="L230" s="88"/>
      <c r="M230" s="88"/>
      <c r="N230" s="36"/>
      <c r="T230" s="21"/>
    </row>
    <row r="231" spans="1:20" s="67" customFormat="1" ht="15.75" customHeight="1" x14ac:dyDescent="0.25">
      <c r="A231" s="64">
        <f t="shared" si="9"/>
        <v>91</v>
      </c>
      <c r="B231" s="86" t="s">
        <v>304</v>
      </c>
      <c r="C231" s="87"/>
      <c r="D231" s="64">
        <f>198</f>
        <v>198</v>
      </c>
      <c r="E231" s="64">
        <f t="shared" si="8"/>
        <v>2131.2719999999999</v>
      </c>
      <c r="F231" s="64">
        <f>(356.4)*10.764</f>
        <v>3836.2895999999996</v>
      </c>
      <c r="G231" s="86" t="s">
        <v>31</v>
      </c>
      <c r="H231" s="87" t="s">
        <v>31</v>
      </c>
      <c r="I231" s="36"/>
      <c r="L231" s="88"/>
      <c r="M231" s="88"/>
      <c r="N231" s="36"/>
      <c r="T231" s="21"/>
    </row>
    <row r="232" spans="1:20" s="67" customFormat="1" ht="15.75" customHeight="1" x14ac:dyDescent="0.25">
      <c r="A232" s="64">
        <f t="shared" si="9"/>
        <v>92</v>
      </c>
      <c r="B232" s="86" t="s">
        <v>304</v>
      </c>
      <c r="C232" s="87"/>
      <c r="D232" s="64">
        <f>198</f>
        <v>198</v>
      </c>
      <c r="E232" s="64">
        <f t="shared" si="8"/>
        <v>2131.2719999999999</v>
      </c>
      <c r="F232" s="64">
        <f>(356.4)*10.764</f>
        <v>3836.2895999999996</v>
      </c>
      <c r="G232" s="86" t="s">
        <v>31</v>
      </c>
      <c r="H232" s="87" t="s">
        <v>31</v>
      </c>
      <c r="I232" s="36"/>
      <c r="L232" s="88"/>
      <c r="M232" s="88"/>
      <c r="N232" s="36"/>
      <c r="T232" s="21"/>
    </row>
    <row r="233" spans="1:20" s="67" customFormat="1" ht="15.75" customHeight="1" x14ac:dyDescent="0.25">
      <c r="A233" s="64">
        <f t="shared" si="9"/>
        <v>93</v>
      </c>
      <c r="B233" s="86" t="s">
        <v>304</v>
      </c>
      <c r="C233" s="87"/>
      <c r="D233" s="64">
        <f>198</f>
        <v>198</v>
      </c>
      <c r="E233" s="64">
        <f t="shared" si="8"/>
        <v>2131.2719999999999</v>
      </c>
      <c r="F233" s="64">
        <f>(356.4)*10.764</f>
        <v>3836.2895999999996</v>
      </c>
      <c r="G233" s="86" t="s">
        <v>31</v>
      </c>
      <c r="H233" s="87" t="s">
        <v>31</v>
      </c>
      <c r="I233" s="36"/>
      <c r="L233" s="88"/>
      <c r="M233" s="88"/>
      <c r="N233" s="36"/>
      <c r="T233" s="21"/>
    </row>
    <row r="234" spans="1:20" s="67" customFormat="1" ht="15.75" customHeight="1" x14ac:dyDescent="0.25">
      <c r="A234" s="64">
        <f t="shared" si="9"/>
        <v>94</v>
      </c>
      <c r="B234" s="86" t="s">
        <v>304</v>
      </c>
      <c r="C234" s="87"/>
      <c r="D234" s="64">
        <f>198</f>
        <v>198</v>
      </c>
      <c r="E234" s="64">
        <f t="shared" si="8"/>
        <v>2131.2719999999999</v>
      </c>
      <c r="F234" s="64">
        <f>(356.4)*10.764</f>
        <v>3836.2895999999996</v>
      </c>
      <c r="G234" s="86" t="s">
        <v>31</v>
      </c>
      <c r="H234" s="87" t="s">
        <v>31</v>
      </c>
      <c r="I234" s="36"/>
      <c r="L234" s="88"/>
      <c r="M234" s="88"/>
      <c r="N234" s="36"/>
      <c r="T234" s="21"/>
    </row>
    <row r="235" spans="1:20" s="67" customFormat="1" ht="15.75" customHeight="1" x14ac:dyDescent="0.25">
      <c r="A235" s="64">
        <f t="shared" si="9"/>
        <v>95</v>
      </c>
      <c r="B235" s="86" t="s">
        <v>304</v>
      </c>
      <c r="C235" s="87"/>
      <c r="D235" s="64">
        <f>198</f>
        <v>198</v>
      </c>
      <c r="E235" s="64">
        <f t="shared" si="8"/>
        <v>2131.2719999999999</v>
      </c>
      <c r="F235" s="64">
        <f>(356.4)*10.764</f>
        <v>3836.2895999999996</v>
      </c>
      <c r="G235" s="86" t="s">
        <v>31</v>
      </c>
      <c r="H235" s="87" t="s">
        <v>31</v>
      </c>
      <c r="I235" s="36"/>
      <c r="L235" s="88"/>
      <c r="M235" s="88"/>
      <c r="N235" s="36"/>
      <c r="T235" s="21"/>
    </row>
    <row r="236" spans="1:20" s="67" customFormat="1" ht="15.75" customHeight="1" x14ac:dyDescent="0.25">
      <c r="A236" s="64">
        <f t="shared" si="9"/>
        <v>96</v>
      </c>
      <c r="B236" s="86" t="s">
        <v>303</v>
      </c>
      <c r="C236" s="87"/>
      <c r="D236" s="64">
        <f>377.973</f>
        <v>377.97300000000001</v>
      </c>
      <c r="E236" s="64">
        <f t="shared" si="8"/>
        <v>4068.5013719999997</v>
      </c>
      <c r="F236" s="64">
        <f>(693.857)*10.764</f>
        <v>7468.676747999999</v>
      </c>
      <c r="G236" s="86" t="s">
        <v>31</v>
      </c>
      <c r="H236" s="87" t="s">
        <v>31</v>
      </c>
      <c r="I236" s="36"/>
      <c r="L236" s="88"/>
      <c r="M236" s="88"/>
      <c r="N236" s="36"/>
      <c r="T236" s="21"/>
    </row>
    <row r="237" spans="1:20" s="67" customFormat="1" ht="15.75" customHeight="1" x14ac:dyDescent="0.25">
      <c r="A237" s="64">
        <f t="shared" si="9"/>
        <v>97</v>
      </c>
      <c r="B237" s="86" t="s">
        <v>303</v>
      </c>
      <c r="C237" s="87"/>
      <c r="D237" s="64">
        <f>315.191</f>
        <v>315.19099999999997</v>
      </c>
      <c r="E237" s="64">
        <f t="shared" si="8"/>
        <v>3392.7159239999996</v>
      </c>
      <c r="F237" s="64">
        <f>(567.346)*10.764</f>
        <v>6106.9123439999994</v>
      </c>
      <c r="G237" s="86" t="s">
        <v>31</v>
      </c>
      <c r="H237" s="87" t="s">
        <v>31</v>
      </c>
      <c r="I237" s="36"/>
      <c r="L237" s="88"/>
      <c r="M237" s="88"/>
      <c r="N237" s="36"/>
      <c r="T237" s="21"/>
    </row>
    <row r="238" spans="1:20" s="67" customFormat="1" ht="15.75" customHeight="1" x14ac:dyDescent="0.25">
      <c r="A238" s="64">
        <f t="shared" si="9"/>
        <v>98</v>
      </c>
      <c r="B238" s="86" t="s">
        <v>304</v>
      </c>
      <c r="C238" s="87"/>
      <c r="D238" s="64">
        <f>185.625</f>
        <v>185.625</v>
      </c>
      <c r="E238" s="64">
        <f t="shared" si="8"/>
        <v>1998.0674999999999</v>
      </c>
      <c r="F238" s="64">
        <f>(334.125)*10.764</f>
        <v>3596.5214999999998</v>
      </c>
      <c r="G238" s="86" t="s">
        <v>31</v>
      </c>
      <c r="H238" s="87" t="s">
        <v>31</v>
      </c>
      <c r="I238" s="36"/>
      <c r="L238" s="88"/>
      <c r="M238" s="88"/>
      <c r="N238" s="36"/>
      <c r="T238" s="21"/>
    </row>
    <row r="239" spans="1:20" s="67" customFormat="1" ht="15.75" customHeight="1" x14ac:dyDescent="0.25">
      <c r="A239" s="64">
        <f t="shared" si="9"/>
        <v>99</v>
      </c>
      <c r="B239" s="86" t="s">
        <v>304</v>
      </c>
      <c r="C239" s="87"/>
      <c r="D239" s="64">
        <f>185.625</f>
        <v>185.625</v>
      </c>
      <c r="E239" s="64">
        <f t="shared" si="8"/>
        <v>1998.0674999999999</v>
      </c>
      <c r="F239" s="64">
        <f>(334.125)*10.764</f>
        <v>3596.5214999999998</v>
      </c>
      <c r="G239" s="86" t="s">
        <v>31</v>
      </c>
      <c r="H239" s="87" t="s">
        <v>31</v>
      </c>
      <c r="I239" s="36"/>
      <c r="L239" s="88"/>
      <c r="M239" s="88"/>
      <c r="N239" s="36"/>
      <c r="T239" s="21"/>
    </row>
    <row r="240" spans="1:20" s="67" customFormat="1" ht="15.75" customHeight="1" x14ac:dyDescent="0.25">
      <c r="A240" s="64">
        <f t="shared" si="9"/>
        <v>100</v>
      </c>
      <c r="B240" s="86" t="s">
        <v>304</v>
      </c>
      <c r="C240" s="87"/>
      <c r="D240" s="64">
        <f>198</f>
        <v>198</v>
      </c>
      <c r="E240" s="64">
        <f t="shared" si="8"/>
        <v>2131.2719999999999</v>
      </c>
      <c r="F240" s="64">
        <f>(356.4)*10.764</f>
        <v>3836.2895999999996</v>
      </c>
      <c r="G240" s="86" t="s">
        <v>31</v>
      </c>
      <c r="H240" s="87" t="s">
        <v>31</v>
      </c>
      <c r="I240" s="36"/>
      <c r="L240" s="88"/>
      <c r="M240" s="88"/>
      <c r="N240" s="36"/>
      <c r="T240" s="21"/>
    </row>
    <row r="241" spans="1:20" s="67" customFormat="1" ht="15.75" customHeight="1" x14ac:dyDescent="0.25">
      <c r="A241" s="64">
        <f t="shared" si="9"/>
        <v>101</v>
      </c>
      <c r="B241" s="86" t="s">
        <v>304</v>
      </c>
      <c r="C241" s="87"/>
      <c r="D241" s="64">
        <f>198</f>
        <v>198</v>
      </c>
      <c r="E241" s="64">
        <f t="shared" si="8"/>
        <v>2131.2719999999999</v>
      </c>
      <c r="F241" s="64">
        <f>(356.4)*10.764</f>
        <v>3836.2895999999996</v>
      </c>
      <c r="G241" s="86" t="s">
        <v>31</v>
      </c>
      <c r="H241" s="87" t="s">
        <v>31</v>
      </c>
      <c r="I241" s="36"/>
      <c r="L241" s="88"/>
      <c r="M241" s="88"/>
      <c r="N241" s="36"/>
      <c r="T241" s="21"/>
    </row>
    <row r="242" spans="1:20" s="67" customFormat="1" ht="15.75" customHeight="1" x14ac:dyDescent="0.25">
      <c r="A242" s="64">
        <f t="shared" si="9"/>
        <v>102</v>
      </c>
      <c r="B242" s="86" t="s">
        <v>304</v>
      </c>
      <c r="C242" s="87"/>
      <c r="D242" s="64">
        <f>198</f>
        <v>198</v>
      </c>
      <c r="E242" s="64">
        <f t="shared" si="8"/>
        <v>2131.2719999999999</v>
      </c>
      <c r="F242" s="64">
        <f>(356.4)*10.764</f>
        <v>3836.2895999999996</v>
      </c>
      <c r="G242" s="86" t="s">
        <v>31</v>
      </c>
      <c r="H242" s="87" t="s">
        <v>31</v>
      </c>
      <c r="I242" s="36"/>
      <c r="L242" s="88"/>
      <c r="M242" s="88"/>
      <c r="N242" s="36"/>
      <c r="T242" s="21"/>
    </row>
    <row r="243" spans="1:20" s="67" customFormat="1" ht="15.75" customHeight="1" x14ac:dyDescent="0.25">
      <c r="A243" s="64">
        <f t="shared" si="9"/>
        <v>103</v>
      </c>
      <c r="B243" s="86" t="s">
        <v>304</v>
      </c>
      <c r="C243" s="87"/>
      <c r="D243" s="64">
        <v>215.5</v>
      </c>
      <c r="E243" s="64">
        <f t="shared" si="8"/>
        <v>2319.6419999999998</v>
      </c>
      <c r="F243" s="64">
        <f>(387.9)*10.764</f>
        <v>4175.3555999999999</v>
      </c>
      <c r="G243" s="86" t="s">
        <v>31</v>
      </c>
      <c r="H243" s="87" t="s">
        <v>31</v>
      </c>
      <c r="I243" s="36"/>
      <c r="L243" s="88"/>
      <c r="M243" s="88"/>
      <c r="N243" s="36"/>
      <c r="T243" s="21"/>
    </row>
    <row r="244" spans="1:20" s="67" customFormat="1" ht="15.75" customHeight="1" x14ac:dyDescent="0.25">
      <c r="A244" s="64">
        <f t="shared" si="9"/>
        <v>104</v>
      </c>
      <c r="B244" s="86" t="s">
        <v>304</v>
      </c>
      <c r="C244" s="87"/>
      <c r="D244" s="64">
        <f>215.5</f>
        <v>215.5</v>
      </c>
      <c r="E244" s="64">
        <f t="shared" si="8"/>
        <v>2319.6419999999998</v>
      </c>
      <c r="F244" s="64">
        <f>(387.9)*10.764</f>
        <v>4175.3555999999999</v>
      </c>
      <c r="G244" s="86" t="s">
        <v>31</v>
      </c>
      <c r="H244" s="87" t="s">
        <v>31</v>
      </c>
      <c r="I244" s="36"/>
      <c r="L244" s="88"/>
      <c r="M244" s="88"/>
      <c r="N244" s="36"/>
      <c r="T244" s="21"/>
    </row>
    <row r="245" spans="1:20" s="67" customFormat="1" ht="15.75" customHeight="1" x14ac:dyDescent="0.25">
      <c r="A245" s="64">
        <f t="shared" si="9"/>
        <v>105</v>
      </c>
      <c r="B245" s="86" t="s">
        <v>304</v>
      </c>
      <c r="C245" s="87"/>
      <c r="D245" s="64">
        <f>198</f>
        <v>198</v>
      </c>
      <c r="E245" s="64">
        <f t="shared" si="8"/>
        <v>2131.2719999999999</v>
      </c>
      <c r="F245" s="64">
        <f>(356.4)*10.764</f>
        <v>3836.2895999999996</v>
      </c>
      <c r="G245" s="86" t="s">
        <v>31</v>
      </c>
      <c r="H245" s="87" t="s">
        <v>31</v>
      </c>
      <c r="I245" s="36"/>
      <c r="L245" s="88"/>
      <c r="M245" s="88"/>
      <c r="N245" s="36"/>
      <c r="T245" s="21"/>
    </row>
    <row r="246" spans="1:20" s="67" customFormat="1" ht="15.75" customHeight="1" x14ac:dyDescent="0.25">
      <c r="A246" s="64">
        <f t="shared" si="9"/>
        <v>106</v>
      </c>
      <c r="B246" s="86" t="s">
        <v>304</v>
      </c>
      <c r="C246" s="87"/>
      <c r="D246" s="64">
        <f>198</f>
        <v>198</v>
      </c>
      <c r="E246" s="64">
        <f t="shared" si="8"/>
        <v>2131.2719999999999</v>
      </c>
      <c r="F246" s="64">
        <f>(356.4)*10.764</f>
        <v>3836.2895999999996</v>
      </c>
      <c r="G246" s="86" t="s">
        <v>31</v>
      </c>
      <c r="H246" s="87" t="s">
        <v>31</v>
      </c>
      <c r="I246" s="36"/>
      <c r="L246" s="88"/>
      <c r="M246" s="88"/>
      <c r="N246" s="36"/>
      <c r="T246" s="21"/>
    </row>
    <row r="247" spans="1:20" s="67" customFormat="1" ht="15.75" customHeight="1" x14ac:dyDescent="0.25">
      <c r="A247" s="64">
        <f t="shared" si="9"/>
        <v>107</v>
      </c>
      <c r="B247" s="86" t="s">
        <v>304</v>
      </c>
      <c r="C247" s="87"/>
      <c r="D247" s="64">
        <f>198</f>
        <v>198</v>
      </c>
      <c r="E247" s="64">
        <f t="shared" si="8"/>
        <v>2131.2719999999999</v>
      </c>
      <c r="F247" s="64">
        <f>(356.4)*10.764</f>
        <v>3836.2895999999996</v>
      </c>
      <c r="G247" s="86" t="s">
        <v>31</v>
      </c>
      <c r="H247" s="87" t="s">
        <v>31</v>
      </c>
      <c r="I247" s="36"/>
      <c r="L247" s="88"/>
      <c r="M247" s="88"/>
      <c r="N247" s="36"/>
      <c r="T247" s="21"/>
    </row>
    <row r="248" spans="1:20" s="67" customFormat="1" ht="15.75" customHeight="1" x14ac:dyDescent="0.25">
      <c r="A248" s="64">
        <f t="shared" si="9"/>
        <v>108</v>
      </c>
      <c r="B248" s="86" t="s">
        <v>304</v>
      </c>
      <c r="C248" s="87"/>
      <c r="D248" s="64">
        <f>185.625</f>
        <v>185.625</v>
      </c>
      <c r="E248" s="64">
        <f t="shared" si="8"/>
        <v>1998.0674999999999</v>
      </c>
      <c r="F248" s="64">
        <f>(334.125)*10.764</f>
        <v>3596.5214999999998</v>
      </c>
      <c r="G248" s="86" t="s">
        <v>31</v>
      </c>
      <c r="H248" s="87" t="s">
        <v>31</v>
      </c>
      <c r="I248" s="36"/>
      <c r="L248" s="88"/>
      <c r="M248" s="88"/>
      <c r="N248" s="36"/>
      <c r="T248" s="21"/>
    </row>
    <row r="249" spans="1:20" s="67" customFormat="1" ht="15.75" customHeight="1" x14ac:dyDescent="0.25">
      <c r="A249" s="64">
        <f t="shared" si="9"/>
        <v>109</v>
      </c>
      <c r="B249" s="86" t="s">
        <v>304</v>
      </c>
      <c r="C249" s="87"/>
      <c r="D249" s="64">
        <f>185.625</f>
        <v>185.625</v>
      </c>
      <c r="E249" s="64">
        <f t="shared" si="8"/>
        <v>1998.0674999999999</v>
      </c>
      <c r="F249" s="64">
        <f>(334.125)*10.764</f>
        <v>3596.5214999999998</v>
      </c>
      <c r="G249" s="86" t="s">
        <v>31</v>
      </c>
      <c r="H249" s="87" t="s">
        <v>31</v>
      </c>
      <c r="I249" s="36"/>
      <c r="L249" s="88"/>
      <c r="M249" s="88"/>
      <c r="N249" s="36"/>
      <c r="T249" s="21"/>
    </row>
    <row r="250" spans="1:20" s="67" customFormat="1" ht="15.75" customHeight="1" x14ac:dyDescent="0.25">
      <c r="A250" s="64">
        <f t="shared" si="9"/>
        <v>110</v>
      </c>
      <c r="B250" s="86" t="s">
        <v>303</v>
      </c>
      <c r="C250" s="87"/>
      <c r="D250" s="64">
        <f>203.909</f>
        <v>203.90899999999999</v>
      </c>
      <c r="E250" s="64">
        <f t="shared" si="8"/>
        <v>2194.8764759999999</v>
      </c>
      <c r="F250" s="64">
        <f>(367.036)*10.764</f>
        <v>3950.7755039999997</v>
      </c>
      <c r="G250" s="86" t="s">
        <v>31</v>
      </c>
      <c r="H250" s="87" t="s">
        <v>31</v>
      </c>
      <c r="I250" s="36"/>
      <c r="L250" s="88"/>
      <c r="M250" s="88"/>
      <c r="N250" s="36"/>
      <c r="T250" s="21"/>
    </row>
    <row r="251" spans="1:20" s="67" customFormat="1" ht="15.75" customHeight="1" x14ac:dyDescent="0.25">
      <c r="A251" s="64">
        <f t="shared" si="9"/>
        <v>111</v>
      </c>
      <c r="B251" s="86" t="s">
        <v>303</v>
      </c>
      <c r="C251" s="87"/>
      <c r="D251" s="64">
        <f>347.426</f>
        <v>347.42599999999999</v>
      </c>
      <c r="E251" s="64">
        <f t="shared" si="8"/>
        <v>3739.6934639999995</v>
      </c>
      <c r="F251" s="64">
        <f>(625.367)*10.764</f>
        <v>6731.4503879999993</v>
      </c>
      <c r="G251" s="86" t="s">
        <v>31</v>
      </c>
      <c r="H251" s="87" t="s">
        <v>31</v>
      </c>
      <c r="I251" s="36"/>
      <c r="L251" s="88"/>
      <c r="M251" s="88"/>
      <c r="N251" s="36"/>
      <c r="T251" s="21"/>
    </row>
    <row r="252" spans="1:20" s="67" customFormat="1" ht="15.75" customHeight="1" x14ac:dyDescent="0.25">
      <c r="A252" s="64">
        <f t="shared" si="9"/>
        <v>112</v>
      </c>
      <c r="B252" s="86" t="s">
        <v>303</v>
      </c>
      <c r="C252" s="87"/>
      <c r="D252" s="64">
        <f>245.686</f>
        <v>245.68600000000001</v>
      </c>
      <c r="E252" s="64">
        <f t="shared" si="8"/>
        <v>2644.564104</v>
      </c>
      <c r="F252" s="64">
        <f>(442.235)*10.764</f>
        <v>4760.2175399999996</v>
      </c>
      <c r="G252" s="86" t="s">
        <v>31</v>
      </c>
      <c r="H252" s="87" t="s">
        <v>31</v>
      </c>
      <c r="I252" s="36"/>
      <c r="L252" s="88"/>
      <c r="M252" s="88"/>
      <c r="N252" s="36"/>
      <c r="T252" s="21"/>
    </row>
    <row r="253" spans="1:20" s="67" customFormat="1" ht="15.75" customHeight="1" x14ac:dyDescent="0.25">
      <c r="A253" s="64">
        <f t="shared" si="9"/>
        <v>113</v>
      </c>
      <c r="B253" s="86" t="s">
        <v>303</v>
      </c>
      <c r="C253" s="87"/>
      <c r="D253" s="64">
        <f>284.62</f>
        <v>284.62</v>
      </c>
      <c r="E253" s="64">
        <f t="shared" si="8"/>
        <v>3063.64968</v>
      </c>
      <c r="F253" s="64">
        <f>(512.316)*10.764</f>
        <v>5514.5694240000003</v>
      </c>
      <c r="G253" s="86" t="s">
        <v>31</v>
      </c>
      <c r="H253" s="87" t="s">
        <v>31</v>
      </c>
      <c r="I253" s="36"/>
      <c r="L253" s="88"/>
      <c r="M253" s="88"/>
      <c r="N253" s="36"/>
      <c r="T253" s="21"/>
    </row>
    <row r="254" spans="1:20" s="67" customFormat="1" ht="15.75" customHeight="1" x14ac:dyDescent="0.25">
      <c r="A254" s="64">
        <f t="shared" si="9"/>
        <v>114</v>
      </c>
      <c r="B254" s="86" t="s">
        <v>303</v>
      </c>
      <c r="C254" s="87"/>
      <c r="D254" s="64">
        <f>323.554</f>
        <v>323.55399999999997</v>
      </c>
      <c r="E254" s="64">
        <f t="shared" si="8"/>
        <v>3482.7352559999995</v>
      </c>
      <c r="F254" s="64">
        <f>(582.397)*10.764</f>
        <v>6268.921308</v>
      </c>
      <c r="G254" s="86" t="s">
        <v>31</v>
      </c>
      <c r="H254" s="87" t="s">
        <v>31</v>
      </c>
      <c r="I254" s="36"/>
      <c r="L254" s="88"/>
      <c r="M254" s="88"/>
      <c r="N254" s="36"/>
      <c r="T254" s="21"/>
    </row>
    <row r="255" spans="1:20" s="67" customFormat="1" ht="15.75" customHeight="1" x14ac:dyDescent="0.25">
      <c r="A255" s="64">
        <f t="shared" si="9"/>
        <v>115</v>
      </c>
      <c r="B255" s="86" t="s">
        <v>303</v>
      </c>
      <c r="C255" s="87"/>
      <c r="D255" s="64">
        <f>251.791</f>
        <v>251.791</v>
      </c>
      <c r="E255" s="64">
        <f t="shared" si="8"/>
        <v>2710.2783239999999</v>
      </c>
      <c r="F255" s="64">
        <f>(453.224)*10.764</f>
        <v>4878.5031359999994</v>
      </c>
      <c r="G255" s="86" t="s">
        <v>31</v>
      </c>
      <c r="H255" s="87" t="s">
        <v>31</v>
      </c>
      <c r="I255" s="36"/>
      <c r="L255" s="88"/>
      <c r="M255" s="88"/>
      <c r="N255" s="36"/>
      <c r="T255" s="21"/>
    </row>
    <row r="256" spans="1:20" s="67" customFormat="1" ht="15.75" customHeight="1" x14ac:dyDescent="0.25">
      <c r="A256" s="64">
        <f t="shared" si="9"/>
        <v>116</v>
      </c>
      <c r="B256" s="86" t="s">
        <v>303</v>
      </c>
      <c r="C256" s="87"/>
      <c r="D256" s="64">
        <f>249.416</f>
        <v>249.416</v>
      </c>
      <c r="E256" s="64">
        <f t="shared" si="8"/>
        <v>2684.7138239999999</v>
      </c>
      <c r="F256" s="64">
        <f>(448.915)*10.764</f>
        <v>4832.1210599999995</v>
      </c>
      <c r="G256" s="86" t="s">
        <v>31</v>
      </c>
      <c r="H256" s="87" t="s">
        <v>31</v>
      </c>
      <c r="I256" s="36"/>
      <c r="L256" s="88"/>
      <c r="M256" s="88"/>
      <c r="N256" s="36"/>
      <c r="T256" s="21"/>
    </row>
    <row r="257" spans="1:20" s="67" customFormat="1" ht="15.75" customHeight="1" x14ac:dyDescent="0.25">
      <c r="A257" s="64">
        <f t="shared" si="9"/>
        <v>117</v>
      </c>
      <c r="B257" s="86" t="s">
        <v>303</v>
      </c>
      <c r="C257" s="87"/>
      <c r="D257" s="64">
        <f>351.34</f>
        <v>351.34</v>
      </c>
      <c r="E257" s="64">
        <f t="shared" si="8"/>
        <v>3781.8237599999993</v>
      </c>
      <c r="F257" s="64">
        <f>(825.971)*10.764</f>
        <v>8890.7518440000003</v>
      </c>
      <c r="G257" s="86" t="s">
        <v>31</v>
      </c>
      <c r="H257" s="87" t="s">
        <v>31</v>
      </c>
      <c r="I257" s="36"/>
      <c r="L257" s="88"/>
      <c r="M257" s="88"/>
      <c r="N257" s="36"/>
      <c r="T257" s="21"/>
    </row>
    <row r="258" spans="1:20" s="67" customFormat="1" ht="15.75" customHeight="1" x14ac:dyDescent="0.25">
      <c r="A258" s="64">
        <f t="shared" si="9"/>
        <v>118</v>
      </c>
      <c r="B258" s="86" t="s">
        <v>303</v>
      </c>
      <c r="C258" s="87"/>
      <c r="D258" s="64">
        <f>293.399</f>
        <v>293.399</v>
      </c>
      <c r="E258" s="64">
        <f t="shared" si="8"/>
        <v>3158.1468359999999</v>
      </c>
      <c r="F258" s="64">
        <f>(1311.844)*10.764</f>
        <v>14120.688816</v>
      </c>
      <c r="G258" s="86" t="s">
        <v>31</v>
      </c>
      <c r="H258" s="87" t="s">
        <v>31</v>
      </c>
      <c r="I258" s="36"/>
      <c r="L258" s="88"/>
      <c r="M258" s="88"/>
      <c r="N258" s="36"/>
      <c r="T258" s="21"/>
    </row>
    <row r="259" spans="1:20" s="67" customFormat="1" ht="15.75" customHeight="1" x14ac:dyDescent="0.25">
      <c r="A259" s="64">
        <f t="shared" si="9"/>
        <v>119</v>
      </c>
      <c r="B259" s="86" t="s">
        <v>303</v>
      </c>
      <c r="C259" s="87"/>
      <c r="D259" s="64">
        <f>1155.652</f>
        <v>1155.652</v>
      </c>
      <c r="E259" s="64">
        <f t="shared" si="8"/>
        <v>12439.438128</v>
      </c>
      <c r="F259" s="64">
        <f>(2080.174)*10.764</f>
        <v>22390.992935999999</v>
      </c>
      <c r="G259" s="86" t="s">
        <v>31</v>
      </c>
      <c r="H259" s="87" t="s">
        <v>31</v>
      </c>
      <c r="I259" s="36"/>
      <c r="L259" s="88"/>
      <c r="M259" s="88"/>
      <c r="N259" s="36"/>
      <c r="T259" s="21"/>
    </row>
    <row r="260" spans="1:20" s="67" customFormat="1" ht="15.75" customHeight="1" x14ac:dyDescent="0.25">
      <c r="A260" s="64">
        <f t="shared" si="9"/>
        <v>120</v>
      </c>
      <c r="B260" s="86" t="s">
        <v>304</v>
      </c>
      <c r="C260" s="87"/>
      <c r="D260" s="64">
        <f>150.033</f>
        <v>150.03299999999999</v>
      </c>
      <c r="E260" s="64">
        <f t="shared" si="8"/>
        <v>1614.9552119999998</v>
      </c>
      <c r="F260" s="64">
        <f>(270.059)*10.764</f>
        <v>2906.9150760000002</v>
      </c>
      <c r="G260" s="86" t="s">
        <v>31</v>
      </c>
      <c r="H260" s="87" t="s">
        <v>31</v>
      </c>
      <c r="I260" s="36"/>
      <c r="L260" s="88"/>
      <c r="M260" s="88"/>
      <c r="N260" s="36"/>
      <c r="T260" s="21"/>
    </row>
    <row r="261" spans="1:20" s="67" customFormat="1" ht="15.75" customHeight="1" x14ac:dyDescent="0.25">
      <c r="A261" s="64">
        <f t="shared" si="9"/>
        <v>121</v>
      </c>
      <c r="B261" s="86" t="s">
        <v>304</v>
      </c>
      <c r="C261" s="87"/>
      <c r="D261" s="64">
        <f>150</f>
        <v>150</v>
      </c>
      <c r="E261" s="64">
        <f t="shared" si="8"/>
        <v>1614.6</v>
      </c>
      <c r="F261" s="64">
        <f>(270)*10.764</f>
        <v>2906.2799999999997</v>
      </c>
      <c r="G261" s="86" t="s">
        <v>31</v>
      </c>
      <c r="H261" s="87" t="s">
        <v>31</v>
      </c>
      <c r="I261" s="36"/>
      <c r="L261" s="88"/>
      <c r="M261" s="88"/>
      <c r="N261" s="36"/>
      <c r="T261" s="21"/>
    </row>
    <row r="262" spans="1:20" s="67" customFormat="1" ht="15.75" customHeight="1" x14ac:dyDescent="0.25">
      <c r="A262" s="64">
        <f t="shared" si="9"/>
        <v>122</v>
      </c>
      <c r="B262" s="86" t="s">
        <v>304</v>
      </c>
      <c r="C262" s="87"/>
      <c r="D262" s="64">
        <f>150</f>
        <v>150</v>
      </c>
      <c r="E262" s="64">
        <f t="shared" si="8"/>
        <v>1614.6</v>
      </c>
      <c r="F262" s="64">
        <f>(270)*10.764</f>
        <v>2906.2799999999997</v>
      </c>
      <c r="G262" s="86" t="s">
        <v>31</v>
      </c>
      <c r="H262" s="87" t="s">
        <v>31</v>
      </c>
      <c r="I262" s="36"/>
      <c r="L262" s="88"/>
      <c r="M262" s="88"/>
      <c r="N262" s="36"/>
      <c r="T262" s="21"/>
    </row>
    <row r="263" spans="1:20" s="67" customFormat="1" ht="15.75" customHeight="1" x14ac:dyDescent="0.25">
      <c r="A263" s="64">
        <f t="shared" si="9"/>
        <v>123</v>
      </c>
      <c r="B263" s="86" t="s">
        <v>304</v>
      </c>
      <c r="C263" s="87"/>
      <c r="D263" s="64">
        <f>150</f>
        <v>150</v>
      </c>
      <c r="E263" s="64">
        <f t="shared" si="8"/>
        <v>1614.6</v>
      </c>
      <c r="F263" s="64">
        <f>(270)*10.764</f>
        <v>2906.2799999999997</v>
      </c>
      <c r="G263" s="86" t="s">
        <v>31</v>
      </c>
      <c r="H263" s="87" t="s">
        <v>31</v>
      </c>
      <c r="I263" s="36"/>
      <c r="L263" s="88"/>
      <c r="M263" s="88"/>
      <c r="N263" s="36"/>
      <c r="T263" s="21"/>
    </row>
    <row r="264" spans="1:20" s="67" customFormat="1" ht="15.75" customHeight="1" x14ac:dyDescent="0.25">
      <c r="A264" s="64">
        <f t="shared" si="9"/>
        <v>124</v>
      </c>
      <c r="B264" s="86" t="s">
        <v>304</v>
      </c>
      <c r="C264" s="87"/>
      <c r="D264" s="64">
        <f>150</f>
        <v>150</v>
      </c>
      <c r="E264" s="64">
        <f t="shared" si="8"/>
        <v>1614.6</v>
      </c>
      <c r="F264" s="64">
        <f>(270)*10.764</f>
        <v>2906.2799999999997</v>
      </c>
      <c r="G264" s="86" t="s">
        <v>31</v>
      </c>
      <c r="H264" s="87" t="s">
        <v>31</v>
      </c>
      <c r="I264" s="36"/>
      <c r="L264" s="88"/>
      <c r="M264" s="88"/>
      <c r="N264" s="36"/>
      <c r="T264" s="21"/>
    </row>
    <row r="265" spans="1:20" s="67" customFormat="1" ht="15.75" customHeight="1" x14ac:dyDescent="0.25">
      <c r="A265" s="64">
        <f t="shared" si="9"/>
        <v>125</v>
      </c>
      <c r="B265" s="86" t="s">
        <v>303</v>
      </c>
      <c r="C265" s="87"/>
      <c r="D265" s="64">
        <f>166.756</f>
        <v>166.756</v>
      </c>
      <c r="E265" s="64">
        <f t="shared" si="8"/>
        <v>1794.9615839999999</v>
      </c>
      <c r="F265" s="64">
        <f>(300.161)*10.764</f>
        <v>3230.933004</v>
      </c>
      <c r="G265" s="86" t="s">
        <v>31</v>
      </c>
      <c r="H265" s="87" t="s">
        <v>31</v>
      </c>
      <c r="I265" s="36"/>
      <c r="L265" s="88"/>
      <c r="M265" s="88"/>
      <c r="N265" s="36"/>
      <c r="T265" s="21"/>
    </row>
    <row r="266" spans="1:20" s="67" customFormat="1" ht="15.75" customHeight="1" x14ac:dyDescent="0.25">
      <c r="A266" s="64">
        <f t="shared" si="9"/>
        <v>126</v>
      </c>
      <c r="B266" s="86" t="s">
        <v>303</v>
      </c>
      <c r="C266" s="87"/>
      <c r="D266" s="64">
        <f>172.935</f>
        <v>172.935</v>
      </c>
      <c r="E266" s="64">
        <f t="shared" si="8"/>
        <v>1861.4723399999998</v>
      </c>
      <c r="F266" s="64">
        <f>(311.283)*10.764</f>
        <v>3350.650212</v>
      </c>
      <c r="G266" s="86" t="s">
        <v>31</v>
      </c>
      <c r="H266" s="87" t="s">
        <v>31</v>
      </c>
      <c r="I266" s="36"/>
      <c r="L266" s="88"/>
      <c r="M266" s="88"/>
      <c r="N266" s="36"/>
      <c r="T266" s="21"/>
    </row>
    <row r="267" spans="1:20" s="67" customFormat="1" ht="15.75" customHeight="1" x14ac:dyDescent="0.25">
      <c r="A267" s="64">
        <f t="shared" si="9"/>
        <v>127</v>
      </c>
      <c r="B267" s="86" t="s">
        <v>304</v>
      </c>
      <c r="C267" s="87"/>
      <c r="D267" s="64">
        <f>150</f>
        <v>150</v>
      </c>
      <c r="E267" s="64">
        <f t="shared" si="8"/>
        <v>1614.6</v>
      </c>
      <c r="F267" s="64">
        <f>(270)*10.764</f>
        <v>2906.2799999999997</v>
      </c>
      <c r="G267" s="86" t="s">
        <v>31</v>
      </c>
      <c r="H267" s="87" t="s">
        <v>31</v>
      </c>
      <c r="I267" s="36"/>
      <c r="L267" s="88"/>
      <c r="M267" s="88"/>
      <c r="N267" s="36"/>
      <c r="T267" s="21"/>
    </row>
    <row r="268" spans="1:20" s="67" customFormat="1" ht="15.75" customHeight="1" x14ac:dyDescent="0.25">
      <c r="A268" s="64">
        <f t="shared" si="9"/>
        <v>128</v>
      </c>
      <c r="B268" s="86" t="s">
        <v>304</v>
      </c>
      <c r="C268" s="87"/>
      <c r="D268" s="64">
        <f>150</f>
        <v>150</v>
      </c>
      <c r="E268" s="64">
        <f t="shared" si="8"/>
        <v>1614.6</v>
      </c>
      <c r="F268" s="64">
        <f>(270)*10.764</f>
        <v>2906.2799999999997</v>
      </c>
      <c r="G268" s="86" t="s">
        <v>31</v>
      </c>
      <c r="H268" s="87" t="s">
        <v>31</v>
      </c>
      <c r="I268" s="36"/>
      <c r="L268" s="88"/>
      <c r="M268" s="88"/>
      <c r="N268" s="36"/>
      <c r="T268" s="21"/>
    </row>
    <row r="269" spans="1:20" s="67" customFormat="1" ht="15.75" customHeight="1" x14ac:dyDescent="0.25">
      <c r="A269" s="64">
        <f t="shared" si="9"/>
        <v>129</v>
      </c>
      <c r="B269" s="86" t="s">
        <v>304</v>
      </c>
      <c r="C269" s="87"/>
      <c r="D269" s="64">
        <f>150</f>
        <v>150</v>
      </c>
      <c r="E269" s="64">
        <f t="shared" si="8"/>
        <v>1614.6</v>
      </c>
      <c r="F269" s="64">
        <f>(270)*10.764</f>
        <v>2906.2799999999997</v>
      </c>
      <c r="G269" s="86" t="s">
        <v>31</v>
      </c>
      <c r="H269" s="87" t="s">
        <v>31</v>
      </c>
      <c r="I269" s="36"/>
      <c r="L269" s="88"/>
      <c r="M269" s="88"/>
      <c r="N269" s="36"/>
      <c r="T269" s="21"/>
    </row>
    <row r="270" spans="1:20" s="67" customFormat="1" ht="15.75" customHeight="1" x14ac:dyDescent="0.25">
      <c r="A270" s="64">
        <f t="shared" si="9"/>
        <v>130</v>
      </c>
      <c r="B270" s="86" t="s">
        <v>304</v>
      </c>
      <c r="C270" s="87"/>
      <c r="D270" s="64">
        <f>150</f>
        <v>150</v>
      </c>
      <c r="E270" s="64">
        <f t="shared" ref="E270:E332" si="11">D270*10.764</f>
        <v>1614.6</v>
      </c>
      <c r="F270" s="64">
        <f>(270)*10.764</f>
        <v>2906.2799999999997</v>
      </c>
      <c r="G270" s="86" t="s">
        <v>31</v>
      </c>
      <c r="H270" s="87" t="s">
        <v>31</v>
      </c>
      <c r="I270" s="36"/>
      <c r="L270" s="88"/>
      <c r="M270" s="88"/>
      <c r="N270" s="36"/>
      <c r="T270" s="21"/>
    </row>
    <row r="271" spans="1:20" s="67" customFormat="1" ht="15.75" customHeight="1" x14ac:dyDescent="0.25">
      <c r="A271" s="64">
        <f t="shared" ref="A271:A332" si="12">A270+1</f>
        <v>131</v>
      </c>
      <c r="B271" s="86" t="s">
        <v>304</v>
      </c>
      <c r="C271" s="87"/>
      <c r="D271" s="64">
        <f>150</f>
        <v>150</v>
      </c>
      <c r="E271" s="64">
        <f t="shared" si="11"/>
        <v>1614.6</v>
      </c>
      <c r="F271" s="64">
        <f>(270)*10.764</f>
        <v>2906.2799999999997</v>
      </c>
      <c r="G271" s="86" t="s">
        <v>31</v>
      </c>
      <c r="H271" s="87" t="s">
        <v>31</v>
      </c>
      <c r="I271" s="36"/>
      <c r="L271" s="88"/>
      <c r="M271" s="88"/>
      <c r="N271" s="36"/>
      <c r="T271" s="21"/>
    </row>
    <row r="272" spans="1:20" s="67" customFormat="1" ht="15.75" customHeight="1" x14ac:dyDescent="0.25">
      <c r="A272" s="64">
        <f t="shared" si="12"/>
        <v>132</v>
      </c>
      <c r="B272" s="86" t="s">
        <v>303</v>
      </c>
      <c r="C272" s="87"/>
      <c r="D272" s="64">
        <f>456.541</f>
        <v>456.541</v>
      </c>
      <c r="E272" s="64">
        <f t="shared" si="11"/>
        <v>4914.207324</v>
      </c>
      <c r="F272" s="64">
        <f>(821.774)*10.764</f>
        <v>8845.5753359999999</v>
      </c>
      <c r="G272" s="86" t="s">
        <v>31</v>
      </c>
      <c r="H272" s="87" t="s">
        <v>31</v>
      </c>
      <c r="I272" s="36"/>
      <c r="L272" s="88"/>
      <c r="M272" s="88"/>
      <c r="N272" s="36"/>
      <c r="T272" s="21"/>
    </row>
    <row r="273" spans="1:20" s="67" customFormat="1" ht="15.75" customHeight="1" x14ac:dyDescent="0.25">
      <c r="A273" s="64">
        <f>A272+2</f>
        <v>134</v>
      </c>
      <c r="B273" s="86" t="s">
        <v>304</v>
      </c>
      <c r="C273" s="87"/>
      <c r="D273" s="64">
        <f>286.426</f>
        <v>286.42599999999999</v>
      </c>
      <c r="E273" s="64">
        <f t="shared" si="11"/>
        <v>3083.0894639999997</v>
      </c>
      <c r="F273" s="64">
        <f>(709.996)*10.764</f>
        <v>7642.3969439999992</v>
      </c>
      <c r="G273" s="86" t="s">
        <v>31</v>
      </c>
      <c r="H273" s="87" t="s">
        <v>31</v>
      </c>
      <c r="I273" s="36"/>
      <c r="L273" s="88"/>
      <c r="M273" s="88"/>
      <c r="N273" s="36"/>
      <c r="T273" s="21"/>
    </row>
    <row r="274" spans="1:20" s="67" customFormat="1" ht="15.75" customHeight="1" x14ac:dyDescent="0.25">
      <c r="A274" s="64">
        <f t="shared" si="12"/>
        <v>135</v>
      </c>
      <c r="B274" s="86" t="s">
        <v>304</v>
      </c>
      <c r="C274" s="87"/>
      <c r="D274" s="64">
        <f>198</f>
        <v>198</v>
      </c>
      <c r="E274" s="64">
        <f t="shared" si="11"/>
        <v>2131.2719999999999</v>
      </c>
      <c r="F274" s="64">
        <f>(356.4)*10.764</f>
        <v>3836.2895999999996</v>
      </c>
      <c r="G274" s="86" t="s">
        <v>31</v>
      </c>
      <c r="H274" s="87" t="s">
        <v>31</v>
      </c>
      <c r="I274" s="36"/>
      <c r="L274" s="88"/>
      <c r="M274" s="88"/>
      <c r="N274" s="36"/>
      <c r="T274" s="21"/>
    </row>
    <row r="275" spans="1:20" s="67" customFormat="1" ht="15.75" customHeight="1" x14ac:dyDescent="0.25">
      <c r="A275" s="64">
        <f t="shared" si="12"/>
        <v>136</v>
      </c>
      <c r="B275" s="86" t="s">
        <v>304</v>
      </c>
      <c r="C275" s="87"/>
      <c r="D275" s="64">
        <f>198</f>
        <v>198</v>
      </c>
      <c r="E275" s="64">
        <f t="shared" si="11"/>
        <v>2131.2719999999999</v>
      </c>
      <c r="F275" s="64">
        <f>(356.4)*10.764</f>
        <v>3836.2895999999996</v>
      </c>
      <c r="G275" s="86" t="s">
        <v>31</v>
      </c>
      <c r="H275" s="87" t="s">
        <v>31</v>
      </c>
      <c r="I275" s="36"/>
      <c r="L275" s="88"/>
      <c r="M275" s="88"/>
      <c r="N275" s="36"/>
      <c r="T275" s="21"/>
    </row>
    <row r="276" spans="1:20" s="67" customFormat="1" ht="15.75" customHeight="1" x14ac:dyDescent="0.25">
      <c r="A276" s="64">
        <f t="shared" si="12"/>
        <v>137</v>
      </c>
      <c r="B276" s="86" t="s">
        <v>304</v>
      </c>
      <c r="C276" s="87"/>
      <c r="D276" s="64">
        <f>198</f>
        <v>198</v>
      </c>
      <c r="E276" s="64">
        <f t="shared" si="11"/>
        <v>2131.2719999999999</v>
      </c>
      <c r="F276" s="64">
        <f>(356.4)*10.764</f>
        <v>3836.2895999999996</v>
      </c>
      <c r="G276" s="86" t="s">
        <v>31</v>
      </c>
      <c r="H276" s="87" t="s">
        <v>31</v>
      </c>
      <c r="I276" s="36"/>
      <c r="L276" s="88"/>
      <c r="M276" s="88"/>
      <c r="N276" s="36"/>
      <c r="T276" s="21"/>
    </row>
    <row r="277" spans="1:20" s="67" customFormat="1" ht="15.75" customHeight="1" x14ac:dyDescent="0.25">
      <c r="A277" s="64">
        <f t="shared" si="12"/>
        <v>138</v>
      </c>
      <c r="B277" s="86" t="s">
        <v>304</v>
      </c>
      <c r="C277" s="87"/>
      <c r="D277" s="64">
        <f>217.194</f>
        <v>217.19399999999999</v>
      </c>
      <c r="E277" s="64">
        <f t="shared" si="11"/>
        <v>2337.8762159999997</v>
      </c>
      <c r="F277" s="64">
        <f>(390.949)*10.764</f>
        <v>4208.1750359999996</v>
      </c>
      <c r="G277" s="86" t="s">
        <v>31</v>
      </c>
      <c r="H277" s="87" t="s">
        <v>31</v>
      </c>
      <c r="I277" s="36"/>
      <c r="L277" s="88"/>
      <c r="M277" s="88"/>
      <c r="N277" s="36"/>
      <c r="T277" s="21"/>
    </row>
    <row r="278" spans="1:20" s="67" customFormat="1" ht="15.75" customHeight="1" x14ac:dyDescent="0.25">
      <c r="A278" s="64">
        <f t="shared" si="12"/>
        <v>139</v>
      </c>
      <c r="B278" s="86" t="s">
        <v>304</v>
      </c>
      <c r="C278" s="87"/>
      <c r="D278" s="64">
        <f>217.194</f>
        <v>217.19399999999999</v>
      </c>
      <c r="E278" s="64">
        <f t="shared" si="11"/>
        <v>2337.8762159999997</v>
      </c>
      <c r="F278" s="64">
        <f>(390.949)*10.764</f>
        <v>4208.1750359999996</v>
      </c>
      <c r="G278" s="86" t="s">
        <v>31</v>
      </c>
      <c r="H278" s="87" t="s">
        <v>31</v>
      </c>
      <c r="I278" s="36"/>
      <c r="L278" s="88"/>
      <c r="M278" s="88"/>
      <c r="N278" s="36"/>
      <c r="T278" s="21"/>
    </row>
    <row r="279" spans="1:20" s="67" customFormat="1" ht="15.75" customHeight="1" x14ac:dyDescent="0.25">
      <c r="A279" s="64">
        <f t="shared" si="12"/>
        <v>140</v>
      </c>
      <c r="B279" s="86" t="s">
        <v>304</v>
      </c>
      <c r="C279" s="87"/>
      <c r="D279" s="64">
        <f>198</f>
        <v>198</v>
      </c>
      <c r="E279" s="64">
        <f t="shared" si="11"/>
        <v>2131.2719999999999</v>
      </c>
      <c r="F279" s="64">
        <f>(356.4)*10.764</f>
        <v>3836.2895999999996</v>
      </c>
      <c r="G279" s="86" t="s">
        <v>31</v>
      </c>
      <c r="H279" s="87" t="s">
        <v>31</v>
      </c>
      <c r="I279" s="36"/>
      <c r="L279" s="88"/>
      <c r="M279" s="88"/>
      <c r="N279" s="36"/>
      <c r="T279" s="21"/>
    </row>
    <row r="280" spans="1:20" s="67" customFormat="1" ht="15.75" customHeight="1" x14ac:dyDescent="0.25">
      <c r="A280" s="64">
        <f t="shared" si="12"/>
        <v>141</v>
      </c>
      <c r="B280" s="86" t="s">
        <v>304</v>
      </c>
      <c r="C280" s="87"/>
      <c r="D280" s="64">
        <f>198</f>
        <v>198</v>
      </c>
      <c r="E280" s="64">
        <f t="shared" si="11"/>
        <v>2131.2719999999999</v>
      </c>
      <c r="F280" s="64">
        <f>(356.4)*10.764</f>
        <v>3836.2895999999996</v>
      </c>
      <c r="G280" s="86" t="s">
        <v>31</v>
      </c>
      <c r="H280" s="87" t="s">
        <v>31</v>
      </c>
      <c r="I280" s="36"/>
      <c r="L280" s="88"/>
      <c r="M280" s="88"/>
      <c r="N280" s="36"/>
      <c r="T280" s="21"/>
    </row>
    <row r="281" spans="1:20" s="67" customFormat="1" ht="15.75" customHeight="1" x14ac:dyDescent="0.25">
      <c r="A281" s="64">
        <f t="shared" si="12"/>
        <v>142</v>
      </c>
      <c r="B281" s="86" t="s">
        <v>304</v>
      </c>
      <c r="C281" s="87"/>
      <c r="D281" s="64">
        <f>196.074</f>
        <v>196.07400000000001</v>
      </c>
      <c r="E281" s="64">
        <f t="shared" si="11"/>
        <v>2110.540536</v>
      </c>
      <c r="F281" s="64">
        <f>(352.933)*10.764</f>
        <v>3798.9708119999996</v>
      </c>
      <c r="G281" s="86" t="s">
        <v>31</v>
      </c>
      <c r="H281" s="87" t="s">
        <v>31</v>
      </c>
      <c r="I281" s="36"/>
      <c r="L281" s="88"/>
      <c r="M281" s="88"/>
      <c r="N281" s="36"/>
      <c r="T281" s="21"/>
    </row>
    <row r="282" spans="1:20" s="67" customFormat="1" ht="15.75" customHeight="1" x14ac:dyDescent="0.25">
      <c r="A282" s="64">
        <f t="shared" si="12"/>
        <v>143</v>
      </c>
      <c r="B282" s="86" t="s">
        <v>304</v>
      </c>
      <c r="C282" s="87"/>
      <c r="D282" s="64">
        <f>284.061</f>
        <v>284.06099999999998</v>
      </c>
      <c r="E282" s="64">
        <f t="shared" si="11"/>
        <v>3057.6326039999994</v>
      </c>
      <c r="F282" s="64">
        <f>(876.22)*10.764</f>
        <v>9431.6320799999994</v>
      </c>
      <c r="G282" s="86" t="s">
        <v>31</v>
      </c>
      <c r="H282" s="87" t="s">
        <v>31</v>
      </c>
      <c r="I282" s="36"/>
      <c r="L282" s="88"/>
      <c r="M282" s="88"/>
      <c r="N282" s="36"/>
      <c r="T282" s="21"/>
    </row>
    <row r="283" spans="1:20" s="67" customFormat="1" ht="15.75" customHeight="1" x14ac:dyDescent="0.25">
      <c r="A283" s="64">
        <f>A282+2</f>
        <v>145</v>
      </c>
      <c r="B283" s="86" t="s">
        <v>303</v>
      </c>
      <c r="C283" s="87"/>
      <c r="D283" s="64">
        <f>253.973</f>
        <v>253.97300000000001</v>
      </c>
      <c r="E283" s="64">
        <f t="shared" si="11"/>
        <v>2733.7653719999998</v>
      </c>
      <c r="F283" s="64">
        <f>(846.632)*10.764</f>
        <v>9113.1468479999985</v>
      </c>
      <c r="G283" s="86" t="s">
        <v>31</v>
      </c>
      <c r="H283" s="87" t="s">
        <v>31</v>
      </c>
      <c r="I283" s="36"/>
      <c r="L283" s="88"/>
      <c r="M283" s="88"/>
      <c r="N283" s="36"/>
      <c r="T283" s="21"/>
    </row>
    <row r="284" spans="1:20" s="67" customFormat="1" ht="15.75" customHeight="1" x14ac:dyDescent="0.25">
      <c r="A284" s="64">
        <f t="shared" si="12"/>
        <v>146</v>
      </c>
      <c r="B284" s="86" t="s">
        <v>304</v>
      </c>
      <c r="C284" s="87"/>
      <c r="D284" s="64">
        <f>198</f>
        <v>198</v>
      </c>
      <c r="E284" s="64">
        <f t="shared" si="11"/>
        <v>2131.2719999999999</v>
      </c>
      <c r="F284" s="64">
        <f>(356.4)*10.764</f>
        <v>3836.2895999999996</v>
      </c>
      <c r="G284" s="86" t="s">
        <v>31</v>
      </c>
      <c r="H284" s="87" t="s">
        <v>31</v>
      </c>
      <c r="I284" s="36"/>
      <c r="L284" s="88"/>
      <c r="M284" s="88"/>
      <c r="N284" s="36"/>
      <c r="T284" s="21"/>
    </row>
    <row r="285" spans="1:20" s="67" customFormat="1" ht="15.75" customHeight="1" x14ac:dyDescent="0.25">
      <c r="A285" s="64">
        <f t="shared" si="12"/>
        <v>147</v>
      </c>
      <c r="B285" s="86" t="s">
        <v>304</v>
      </c>
      <c r="C285" s="87"/>
      <c r="D285" s="64">
        <f>198</f>
        <v>198</v>
      </c>
      <c r="E285" s="64">
        <f t="shared" si="11"/>
        <v>2131.2719999999999</v>
      </c>
      <c r="F285" s="64">
        <f>(356.4)*10.764</f>
        <v>3836.2895999999996</v>
      </c>
      <c r="G285" s="86" t="s">
        <v>31</v>
      </c>
      <c r="H285" s="87" t="s">
        <v>31</v>
      </c>
      <c r="I285" s="36"/>
      <c r="L285" s="88"/>
      <c r="M285" s="88"/>
      <c r="N285" s="36"/>
      <c r="T285" s="21"/>
    </row>
    <row r="286" spans="1:20" s="67" customFormat="1" ht="15.75" customHeight="1" x14ac:dyDescent="0.25">
      <c r="A286" s="64">
        <f t="shared" si="12"/>
        <v>148</v>
      </c>
      <c r="B286" s="86" t="s">
        <v>303</v>
      </c>
      <c r="C286" s="87"/>
      <c r="D286" s="64">
        <f>265.06</f>
        <v>265.06</v>
      </c>
      <c r="E286" s="64">
        <f t="shared" si="11"/>
        <v>2853.1058399999997</v>
      </c>
      <c r="F286" s="64">
        <f>(477.108)*10.764</f>
        <v>5135.5905119999998</v>
      </c>
      <c r="G286" s="86" t="s">
        <v>31</v>
      </c>
      <c r="H286" s="87" t="s">
        <v>31</v>
      </c>
      <c r="I286" s="36"/>
      <c r="L286" s="88"/>
      <c r="M286" s="88"/>
      <c r="N286" s="36"/>
      <c r="T286" s="21"/>
    </row>
    <row r="287" spans="1:20" s="67" customFormat="1" ht="15.75" customHeight="1" x14ac:dyDescent="0.25">
      <c r="A287" s="64">
        <f t="shared" si="12"/>
        <v>149</v>
      </c>
      <c r="B287" s="86" t="s">
        <v>304</v>
      </c>
      <c r="C287" s="87"/>
      <c r="D287" s="64">
        <f>240.348</f>
        <v>240.34800000000001</v>
      </c>
      <c r="E287" s="64">
        <f t="shared" si="11"/>
        <v>2587.1058720000001</v>
      </c>
      <c r="F287" s="64">
        <f>(432.626)*10.764</f>
        <v>4656.7862639999994</v>
      </c>
      <c r="G287" s="86" t="s">
        <v>31</v>
      </c>
      <c r="H287" s="87" t="s">
        <v>31</v>
      </c>
      <c r="I287" s="36"/>
      <c r="L287" s="88"/>
      <c r="M287" s="88"/>
      <c r="N287" s="36"/>
      <c r="T287" s="21"/>
    </row>
    <row r="288" spans="1:20" s="67" customFormat="1" ht="15.75" customHeight="1" x14ac:dyDescent="0.25">
      <c r="A288" s="64">
        <f t="shared" si="12"/>
        <v>150</v>
      </c>
      <c r="B288" s="86" t="s">
        <v>304</v>
      </c>
      <c r="C288" s="87"/>
      <c r="D288" s="64">
        <f>165</f>
        <v>165</v>
      </c>
      <c r="E288" s="64">
        <f t="shared" si="11"/>
        <v>1776.06</v>
      </c>
      <c r="F288" s="64">
        <f>(297)*10.764</f>
        <v>3196.9079999999999</v>
      </c>
      <c r="G288" s="86" t="s">
        <v>31</v>
      </c>
      <c r="H288" s="87" t="s">
        <v>31</v>
      </c>
      <c r="I288" s="36"/>
      <c r="L288" s="88"/>
      <c r="M288" s="88"/>
      <c r="N288" s="36"/>
      <c r="T288" s="21"/>
    </row>
    <row r="289" spans="1:20" s="67" customFormat="1" ht="15.75" customHeight="1" x14ac:dyDescent="0.25">
      <c r="A289" s="64">
        <f t="shared" si="12"/>
        <v>151</v>
      </c>
      <c r="B289" s="86" t="s">
        <v>303</v>
      </c>
      <c r="C289" s="87"/>
      <c r="D289" s="64">
        <f>466.5</f>
        <v>466.5</v>
      </c>
      <c r="E289" s="64">
        <f t="shared" si="11"/>
        <v>5021.4059999999999</v>
      </c>
      <c r="F289" s="64">
        <f>(869.231)*10.764</f>
        <v>9356.4024840000002</v>
      </c>
      <c r="G289" s="86" t="s">
        <v>31</v>
      </c>
      <c r="H289" s="87" t="s">
        <v>31</v>
      </c>
      <c r="I289" s="36"/>
      <c r="L289" s="88"/>
      <c r="M289" s="88"/>
      <c r="N289" s="36"/>
      <c r="T289" s="21"/>
    </row>
    <row r="290" spans="1:20" s="67" customFormat="1" ht="15.75" customHeight="1" x14ac:dyDescent="0.25">
      <c r="A290" s="64">
        <f t="shared" si="12"/>
        <v>152</v>
      </c>
      <c r="B290" s="86" t="s">
        <v>303</v>
      </c>
      <c r="C290" s="87"/>
      <c r="D290" s="64">
        <f>293.074</f>
        <v>293.07400000000001</v>
      </c>
      <c r="E290" s="64">
        <f t="shared" si="11"/>
        <v>3154.6485360000001</v>
      </c>
      <c r="F290" s="64">
        <f>(599.548)*10.764</f>
        <v>6453.5346719999998</v>
      </c>
      <c r="G290" s="86" t="s">
        <v>31</v>
      </c>
      <c r="H290" s="87" t="s">
        <v>31</v>
      </c>
      <c r="I290" s="36"/>
      <c r="L290" s="88"/>
      <c r="M290" s="88"/>
      <c r="N290" s="36"/>
      <c r="T290" s="21"/>
    </row>
    <row r="291" spans="1:20" s="67" customFormat="1" ht="15.75" customHeight="1" x14ac:dyDescent="0.25">
      <c r="A291" s="64">
        <f t="shared" si="12"/>
        <v>153</v>
      </c>
      <c r="B291" s="86" t="s">
        <v>304</v>
      </c>
      <c r="C291" s="87"/>
      <c r="D291" s="64">
        <f>215.558</f>
        <v>215.55799999999999</v>
      </c>
      <c r="E291" s="64">
        <f t="shared" si="11"/>
        <v>2320.2663119999997</v>
      </c>
      <c r="F291" s="64">
        <f>(388.004)*10.764</f>
        <v>4176.4750560000002</v>
      </c>
      <c r="G291" s="86" t="s">
        <v>31</v>
      </c>
      <c r="H291" s="87" t="s">
        <v>31</v>
      </c>
      <c r="I291" s="36"/>
      <c r="L291" s="88"/>
      <c r="M291" s="88"/>
      <c r="N291" s="36"/>
      <c r="T291" s="21"/>
    </row>
    <row r="292" spans="1:20" s="67" customFormat="1" ht="15.75" customHeight="1" x14ac:dyDescent="0.25">
      <c r="A292" s="64">
        <f t="shared" si="12"/>
        <v>154</v>
      </c>
      <c r="B292" s="86" t="s">
        <v>304</v>
      </c>
      <c r="C292" s="87"/>
      <c r="D292" s="64">
        <f>198</f>
        <v>198</v>
      </c>
      <c r="E292" s="64">
        <f t="shared" si="11"/>
        <v>2131.2719999999999</v>
      </c>
      <c r="F292" s="64">
        <f>(356.4)*10.764</f>
        <v>3836.2895999999996</v>
      </c>
      <c r="G292" s="86" t="s">
        <v>31</v>
      </c>
      <c r="H292" s="87" t="s">
        <v>31</v>
      </c>
      <c r="I292" s="36"/>
      <c r="L292" s="88"/>
      <c r="M292" s="88"/>
      <c r="N292" s="36"/>
      <c r="T292" s="21"/>
    </row>
    <row r="293" spans="1:20" s="67" customFormat="1" ht="15.75" customHeight="1" x14ac:dyDescent="0.25">
      <c r="A293" s="64">
        <f t="shared" si="12"/>
        <v>155</v>
      </c>
      <c r="B293" s="86" t="s">
        <v>303</v>
      </c>
      <c r="C293" s="87"/>
      <c r="D293" s="64">
        <f>277.619</f>
        <v>277.61900000000003</v>
      </c>
      <c r="E293" s="64">
        <f t="shared" si="11"/>
        <v>2988.2909159999999</v>
      </c>
      <c r="F293" s="64">
        <f>(572.686)*10.764</f>
        <v>6164.3921039999996</v>
      </c>
      <c r="G293" s="86" t="s">
        <v>31</v>
      </c>
      <c r="H293" s="87" t="s">
        <v>31</v>
      </c>
      <c r="I293" s="36"/>
      <c r="L293" s="88"/>
      <c r="M293" s="88"/>
      <c r="N293" s="36"/>
      <c r="T293" s="21"/>
    </row>
    <row r="294" spans="1:20" s="67" customFormat="1" ht="15.75" customHeight="1" x14ac:dyDescent="0.25">
      <c r="A294" s="64">
        <f t="shared" si="12"/>
        <v>156</v>
      </c>
      <c r="B294" s="86" t="s">
        <v>303</v>
      </c>
      <c r="C294" s="87"/>
      <c r="D294" s="64">
        <f>312.569</f>
        <v>312.56900000000002</v>
      </c>
      <c r="E294" s="64">
        <f t="shared" si="11"/>
        <v>3364.4927160000002</v>
      </c>
      <c r="F294" s="64">
        <f>(566.05)*10.764</f>
        <v>6092.962199999999</v>
      </c>
      <c r="G294" s="86" t="s">
        <v>31</v>
      </c>
      <c r="H294" s="87" t="s">
        <v>31</v>
      </c>
      <c r="I294" s="36"/>
      <c r="L294" s="88"/>
      <c r="M294" s="88"/>
      <c r="N294" s="36"/>
      <c r="T294" s="21"/>
    </row>
    <row r="295" spans="1:20" s="67" customFormat="1" ht="15.75" customHeight="1" x14ac:dyDescent="0.25">
      <c r="A295" s="64">
        <f t="shared" si="12"/>
        <v>157</v>
      </c>
      <c r="B295" s="86" t="s">
        <v>304</v>
      </c>
      <c r="C295" s="87"/>
      <c r="D295" s="64">
        <f>176.239</f>
        <v>176.239</v>
      </c>
      <c r="E295" s="64">
        <f t="shared" si="11"/>
        <v>1897.0365959999999</v>
      </c>
      <c r="F295" s="64">
        <f>(365.89)*10.764</f>
        <v>3938.4399599999997</v>
      </c>
      <c r="G295" s="86" t="s">
        <v>31</v>
      </c>
      <c r="H295" s="87" t="s">
        <v>31</v>
      </c>
      <c r="I295" s="36"/>
      <c r="L295" s="88"/>
      <c r="M295" s="88"/>
      <c r="N295" s="36"/>
      <c r="T295" s="21"/>
    </row>
    <row r="296" spans="1:20" s="67" customFormat="1" ht="15.75" customHeight="1" x14ac:dyDescent="0.25">
      <c r="A296" s="64">
        <f t="shared" si="12"/>
        <v>158</v>
      </c>
      <c r="B296" s="86" t="s">
        <v>304</v>
      </c>
      <c r="C296" s="87"/>
      <c r="D296" s="64">
        <f>156.38</f>
        <v>156.38</v>
      </c>
      <c r="E296" s="64">
        <f t="shared" si="11"/>
        <v>1683.2743199999998</v>
      </c>
      <c r="F296" s="64">
        <f>(331.483)*10.764</f>
        <v>3568.0830120000001</v>
      </c>
      <c r="G296" s="86" t="s">
        <v>31</v>
      </c>
      <c r="H296" s="87" t="s">
        <v>31</v>
      </c>
      <c r="I296" s="36"/>
      <c r="L296" s="88"/>
      <c r="M296" s="88"/>
      <c r="N296" s="36"/>
      <c r="T296" s="21"/>
    </row>
    <row r="297" spans="1:20" s="67" customFormat="1" ht="15.75" customHeight="1" x14ac:dyDescent="0.25">
      <c r="A297" s="64">
        <f t="shared" si="12"/>
        <v>159</v>
      </c>
      <c r="B297" s="86" t="s">
        <v>303</v>
      </c>
      <c r="C297" s="87"/>
      <c r="D297" s="64">
        <f>170.577</f>
        <v>170.577</v>
      </c>
      <c r="E297" s="64">
        <f t="shared" si="11"/>
        <v>1836.0908279999999</v>
      </c>
      <c r="F297" s="64">
        <f>(307.039)*10.764</f>
        <v>3304.9677959999995</v>
      </c>
      <c r="G297" s="86" t="s">
        <v>31</v>
      </c>
      <c r="H297" s="87" t="s">
        <v>31</v>
      </c>
      <c r="I297" s="36"/>
      <c r="L297" s="88"/>
      <c r="M297" s="88"/>
      <c r="N297" s="36"/>
      <c r="T297" s="21"/>
    </row>
    <row r="298" spans="1:20" s="67" customFormat="1" ht="15.75" customHeight="1" x14ac:dyDescent="0.25">
      <c r="A298" s="64">
        <f t="shared" si="12"/>
        <v>160</v>
      </c>
      <c r="B298" s="86" t="s">
        <v>304</v>
      </c>
      <c r="C298" s="87"/>
      <c r="D298" s="64">
        <f>239.67</f>
        <v>239.67</v>
      </c>
      <c r="E298" s="64">
        <f t="shared" si="11"/>
        <v>2579.8078799999998</v>
      </c>
      <c r="F298" s="64">
        <f>(431.406)*10.764</f>
        <v>4643.654184</v>
      </c>
      <c r="G298" s="86" t="s">
        <v>31</v>
      </c>
      <c r="H298" s="87" t="s">
        <v>31</v>
      </c>
      <c r="I298" s="36"/>
      <c r="L298" s="88"/>
      <c r="M298" s="88"/>
      <c r="N298" s="36"/>
      <c r="T298" s="21"/>
    </row>
    <row r="299" spans="1:20" s="67" customFormat="1" ht="15.75" customHeight="1" x14ac:dyDescent="0.25">
      <c r="A299" s="64">
        <f t="shared" si="12"/>
        <v>161</v>
      </c>
      <c r="B299" s="86" t="s">
        <v>303</v>
      </c>
      <c r="C299" s="87"/>
      <c r="D299" s="64">
        <f>170.012</f>
        <v>170.012</v>
      </c>
      <c r="E299" s="64">
        <f t="shared" si="11"/>
        <v>1830.0091679999998</v>
      </c>
      <c r="F299" s="64">
        <f>(306.022)*10.764</f>
        <v>3294.0208079999998</v>
      </c>
      <c r="G299" s="86" t="s">
        <v>31</v>
      </c>
      <c r="H299" s="87" t="s">
        <v>31</v>
      </c>
      <c r="I299" s="36"/>
      <c r="L299" s="88"/>
      <c r="M299" s="88"/>
      <c r="N299" s="36"/>
      <c r="T299" s="21"/>
    </row>
    <row r="300" spans="1:20" s="67" customFormat="1" ht="15.75" customHeight="1" x14ac:dyDescent="0.25">
      <c r="A300" s="64">
        <f t="shared" si="12"/>
        <v>162</v>
      </c>
      <c r="B300" s="86" t="s">
        <v>305</v>
      </c>
      <c r="C300" s="87"/>
      <c r="D300" s="64">
        <f>220.153</f>
        <v>220.15299999999999</v>
      </c>
      <c r="E300" s="64">
        <f t="shared" si="11"/>
        <v>2369.7268919999997</v>
      </c>
      <c r="F300" s="64">
        <f>(396.275)*10.764</f>
        <v>4265.5040999999992</v>
      </c>
      <c r="G300" s="86" t="s">
        <v>31</v>
      </c>
      <c r="H300" s="87" t="s">
        <v>31</v>
      </c>
      <c r="I300" s="36"/>
      <c r="L300" s="88"/>
      <c r="M300" s="88"/>
      <c r="N300" s="36"/>
      <c r="T300" s="21"/>
    </row>
    <row r="301" spans="1:20" s="67" customFormat="1" ht="15.75" customHeight="1" x14ac:dyDescent="0.25">
      <c r="A301" s="64">
        <f t="shared" si="12"/>
        <v>163</v>
      </c>
      <c r="B301" s="86" t="s">
        <v>303</v>
      </c>
      <c r="C301" s="87"/>
      <c r="D301" s="69">
        <f>312.707</f>
        <v>312.70699999999999</v>
      </c>
      <c r="E301" s="64">
        <f t="shared" si="11"/>
        <v>3365.9781479999997</v>
      </c>
      <c r="F301" s="64">
        <f>(562.873)*10.764</f>
        <v>6058.7649719999999</v>
      </c>
      <c r="G301" s="86" t="s">
        <v>31</v>
      </c>
      <c r="H301" s="87" t="s">
        <v>31</v>
      </c>
      <c r="I301" s="36"/>
      <c r="L301" s="88"/>
      <c r="M301" s="88"/>
      <c r="N301" s="36"/>
      <c r="T301" s="21"/>
    </row>
    <row r="302" spans="1:20" s="67" customFormat="1" ht="15.75" customHeight="1" x14ac:dyDescent="0.25">
      <c r="A302" s="64">
        <f t="shared" si="12"/>
        <v>164</v>
      </c>
      <c r="B302" s="86" t="s">
        <v>303</v>
      </c>
      <c r="C302" s="87"/>
      <c r="D302" s="64">
        <f>183.378</f>
        <v>183.37799999999999</v>
      </c>
      <c r="E302" s="64">
        <f t="shared" si="11"/>
        <v>1973.8807919999997</v>
      </c>
      <c r="F302" s="64">
        <f>(330.08)*10.764</f>
        <v>3552.9811199999995</v>
      </c>
      <c r="G302" s="86" t="s">
        <v>31</v>
      </c>
      <c r="H302" s="87" t="s">
        <v>31</v>
      </c>
      <c r="I302" s="36"/>
      <c r="L302" s="88"/>
      <c r="M302" s="88"/>
      <c r="N302" s="36"/>
      <c r="T302" s="21"/>
    </row>
    <row r="303" spans="1:20" s="67" customFormat="1" ht="15.75" customHeight="1" x14ac:dyDescent="0.25">
      <c r="A303" s="64">
        <f t="shared" si="12"/>
        <v>165</v>
      </c>
      <c r="B303" s="86" t="s">
        <v>304</v>
      </c>
      <c r="C303" s="87"/>
      <c r="D303" s="64">
        <f>244.047</f>
        <v>244.047</v>
      </c>
      <c r="E303" s="64">
        <f t="shared" si="11"/>
        <v>2626.9219079999998</v>
      </c>
      <c r="F303" s="64">
        <f>(439.285)*10.764</f>
        <v>4728.4637400000001</v>
      </c>
      <c r="G303" s="86" t="s">
        <v>31</v>
      </c>
      <c r="H303" s="87" t="s">
        <v>31</v>
      </c>
      <c r="I303" s="36"/>
      <c r="L303" s="88"/>
      <c r="M303" s="88"/>
      <c r="N303" s="36"/>
      <c r="T303" s="21"/>
    </row>
    <row r="304" spans="1:20" s="67" customFormat="1" ht="15.75" customHeight="1" x14ac:dyDescent="0.25">
      <c r="A304" s="64">
        <f t="shared" si="12"/>
        <v>166</v>
      </c>
      <c r="B304" s="86" t="s">
        <v>304</v>
      </c>
      <c r="C304" s="87"/>
      <c r="D304" s="64">
        <f>246.543</f>
        <v>246.54300000000001</v>
      </c>
      <c r="E304" s="64">
        <f t="shared" si="11"/>
        <v>2653.7888520000001</v>
      </c>
      <c r="F304" s="64">
        <f>(443.777)*10.764</f>
        <v>4776.8156279999994</v>
      </c>
      <c r="G304" s="86" t="s">
        <v>31</v>
      </c>
      <c r="H304" s="87" t="s">
        <v>31</v>
      </c>
      <c r="I304" s="36"/>
      <c r="L304" s="88"/>
      <c r="M304" s="88"/>
      <c r="N304" s="36"/>
      <c r="T304" s="21"/>
    </row>
    <row r="305" spans="1:20" s="67" customFormat="1" ht="15.75" customHeight="1" x14ac:dyDescent="0.25">
      <c r="A305" s="64">
        <f t="shared" si="12"/>
        <v>167</v>
      </c>
      <c r="B305" s="86" t="s">
        <v>304</v>
      </c>
      <c r="C305" s="87"/>
      <c r="D305" s="64">
        <f>257.89</f>
        <v>257.89</v>
      </c>
      <c r="E305" s="64">
        <f t="shared" si="11"/>
        <v>2775.9279599999995</v>
      </c>
      <c r="F305" s="64">
        <f>(464.202)*10.764</f>
        <v>4996.6703279999992</v>
      </c>
      <c r="G305" s="86" t="s">
        <v>31</v>
      </c>
      <c r="H305" s="87" t="s">
        <v>31</v>
      </c>
      <c r="I305" s="36"/>
      <c r="L305" s="88"/>
      <c r="M305" s="88"/>
      <c r="N305" s="36"/>
      <c r="T305" s="21"/>
    </row>
    <row r="306" spans="1:20" s="67" customFormat="1" ht="15.75" customHeight="1" x14ac:dyDescent="0.25">
      <c r="A306" s="64">
        <f t="shared" si="12"/>
        <v>168</v>
      </c>
      <c r="B306" s="86" t="s">
        <v>304</v>
      </c>
      <c r="C306" s="87"/>
      <c r="D306" s="64">
        <f>260.243</f>
        <v>260.24299999999999</v>
      </c>
      <c r="E306" s="64">
        <f t="shared" si="11"/>
        <v>2801.2556519999998</v>
      </c>
      <c r="F306" s="64">
        <f>(468.437)*10.764</f>
        <v>5042.2558680000002</v>
      </c>
      <c r="G306" s="86" t="s">
        <v>31</v>
      </c>
      <c r="H306" s="87" t="s">
        <v>31</v>
      </c>
      <c r="I306" s="36"/>
      <c r="L306" s="88"/>
      <c r="M306" s="88"/>
      <c r="N306" s="36"/>
      <c r="T306" s="21"/>
    </row>
    <row r="307" spans="1:20" s="67" customFormat="1" ht="15.75" customHeight="1" x14ac:dyDescent="0.25">
      <c r="A307" s="64">
        <f t="shared" si="12"/>
        <v>169</v>
      </c>
      <c r="B307" s="86" t="s">
        <v>304</v>
      </c>
      <c r="C307" s="87"/>
      <c r="D307" s="64">
        <f>257.977</f>
        <v>257.97699999999998</v>
      </c>
      <c r="E307" s="64">
        <f t="shared" si="11"/>
        <v>2776.8644279999994</v>
      </c>
      <c r="F307" s="64">
        <f>(464.359)*10.764</f>
        <v>4998.3602759999994</v>
      </c>
      <c r="G307" s="86" t="s">
        <v>31</v>
      </c>
      <c r="H307" s="87" t="s">
        <v>31</v>
      </c>
      <c r="I307" s="36"/>
      <c r="L307" s="88"/>
      <c r="M307" s="88"/>
      <c r="N307" s="36"/>
      <c r="T307" s="21"/>
    </row>
    <row r="308" spans="1:20" s="67" customFormat="1" ht="15.75" customHeight="1" x14ac:dyDescent="0.25">
      <c r="A308" s="64">
        <f t="shared" si="12"/>
        <v>170</v>
      </c>
      <c r="B308" s="86" t="s">
        <v>304</v>
      </c>
      <c r="C308" s="87"/>
      <c r="D308" s="64">
        <f>264.004</f>
        <v>264.00400000000002</v>
      </c>
      <c r="E308" s="64">
        <f t="shared" si="11"/>
        <v>2841.7390559999999</v>
      </c>
      <c r="F308" s="64">
        <f>(475.207)*10.764</f>
        <v>5115.1281479999998</v>
      </c>
      <c r="G308" s="86" t="s">
        <v>31</v>
      </c>
      <c r="H308" s="87" t="s">
        <v>31</v>
      </c>
      <c r="I308" s="36"/>
      <c r="L308" s="88"/>
      <c r="M308" s="88"/>
      <c r="N308" s="36"/>
      <c r="T308" s="21"/>
    </row>
    <row r="309" spans="1:20" s="67" customFormat="1" ht="15.75" customHeight="1" x14ac:dyDescent="0.25">
      <c r="A309" s="64">
        <f t="shared" si="12"/>
        <v>171</v>
      </c>
      <c r="B309" s="86" t="s">
        <v>304</v>
      </c>
      <c r="C309" s="87"/>
      <c r="D309" s="64">
        <f>271.8</f>
        <v>271.8</v>
      </c>
      <c r="E309" s="64">
        <f t="shared" si="11"/>
        <v>2925.6552000000001</v>
      </c>
      <c r="F309" s="64">
        <f>(489.24)*10.764</f>
        <v>5266.1793600000001</v>
      </c>
      <c r="G309" s="86" t="s">
        <v>31</v>
      </c>
      <c r="H309" s="87" t="s">
        <v>31</v>
      </c>
      <c r="I309" s="36"/>
      <c r="L309" s="88"/>
      <c r="M309" s="88"/>
      <c r="N309" s="36"/>
      <c r="T309" s="21"/>
    </row>
    <row r="310" spans="1:20" s="67" customFormat="1" ht="15.75" customHeight="1" x14ac:dyDescent="0.25">
      <c r="A310" s="64">
        <f t="shared" si="12"/>
        <v>172</v>
      </c>
      <c r="B310" s="86" t="s">
        <v>304</v>
      </c>
      <c r="C310" s="87"/>
      <c r="D310" s="64">
        <f>275.85</f>
        <v>275.85000000000002</v>
      </c>
      <c r="E310" s="64">
        <f t="shared" si="11"/>
        <v>2969.2494000000002</v>
      </c>
      <c r="F310" s="64">
        <f>(496.53)*10.764</f>
        <v>5344.6489199999996</v>
      </c>
      <c r="G310" s="86" t="s">
        <v>31</v>
      </c>
      <c r="H310" s="87" t="s">
        <v>31</v>
      </c>
      <c r="I310" s="36"/>
      <c r="L310" s="88"/>
      <c r="M310" s="88"/>
      <c r="N310" s="36"/>
      <c r="T310" s="21"/>
    </row>
    <row r="311" spans="1:20" s="67" customFormat="1" ht="15.75" customHeight="1" x14ac:dyDescent="0.25">
      <c r="A311" s="64">
        <f t="shared" si="12"/>
        <v>173</v>
      </c>
      <c r="B311" s="86" t="s">
        <v>303</v>
      </c>
      <c r="C311" s="87"/>
      <c r="D311" s="64">
        <f>340.593</f>
        <v>340.59300000000002</v>
      </c>
      <c r="E311" s="64">
        <f t="shared" si="11"/>
        <v>3666.1430519999999</v>
      </c>
      <c r="F311" s="64">
        <f>(613.067)*10.764</f>
        <v>6599.0531879999999</v>
      </c>
      <c r="G311" s="86" t="s">
        <v>31</v>
      </c>
      <c r="H311" s="87" t="s">
        <v>31</v>
      </c>
      <c r="I311" s="36"/>
      <c r="L311" s="88"/>
      <c r="M311" s="88"/>
      <c r="N311" s="36"/>
      <c r="T311" s="21"/>
    </row>
    <row r="312" spans="1:20" s="67" customFormat="1" ht="15.75" customHeight="1" x14ac:dyDescent="0.25">
      <c r="A312" s="64">
        <f t="shared" si="12"/>
        <v>174</v>
      </c>
      <c r="B312" s="86" t="s">
        <v>303</v>
      </c>
      <c r="C312" s="87"/>
      <c r="D312" s="64">
        <f>245.552</f>
        <v>245.55199999999999</v>
      </c>
      <c r="E312" s="64">
        <f t="shared" si="11"/>
        <v>2643.1217279999996</v>
      </c>
      <c r="F312" s="64">
        <f>(441.994)*10.764</f>
        <v>4757.6234160000004</v>
      </c>
      <c r="G312" s="86" t="s">
        <v>31</v>
      </c>
      <c r="H312" s="87" t="s">
        <v>31</v>
      </c>
      <c r="I312" s="36"/>
      <c r="L312" s="88"/>
      <c r="M312" s="88"/>
      <c r="N312" s="36"/>
      <c r="T312" s="21"/>
    </row>
    <row r="313" spans="1:20" s="72" customFormat="1" ht="15.75" customHeight="1" x14ac:dyDescent="0.25">
      <c r="A313" s="64" t="s">
        <v>337</v>
      </c>
      <c r="B313" s="86" t="s">
        <v>303</v>
      </c>
      <c r="C313" s="87"/>
      <c r="D313" s="64">
        <f>183.326</f>
        <v>183.32599999999999</v>
      </c>
      <c r="E313" s="64">
        <f t="shared" ref="E313" si="13">D313*10.764</f>
        <v>1973.3210639999998</v>
      </c>
      <c r="F313" s="64">
        <f>(897.899)*10.764</f>
        <v>9664.9848359999996</v>
      </c>
      <c r="G313" s="86" t="s">
        <v>31</v>
      </c>
      <c r="H313" s="87" t="s">
        <v>31</v>
      </c>
      <c r="I313" s="36"/>
      <c r="L313" s="88"/>
      <c r="M313" s="88"/>
      <c r="N313" s="36"/>
      <c r="T313" s="21"/>
    </row>
    <row r="314" spans="1:20" s="67" customFormat="1" ht="15.75" customHeight="1" x14ac:dyDescent="0.25">
      <c r="A314" s="64">
        <f>A312+1</f>
        <v>175</v>
      </c>
      <c r="B314" s="86" t="s">
        <v>303</v>
      </c>
      <c r="C314" s="87"/>
      <c r="D314" s="64">
        <f>326.472</f>
        <v>326.47199999999998</v>
      </c>
      <c r="E314" s="64">
        <f t="shared" si="11"/>
        <v>3514.1446079999996</v>
      </c>
      <c r="F314" s="64">
        <f>(598.379)*10.764</f>
        <v>6440.951556</v>
      </c>
      <c r="G314" s="86" t="s">
        <v>31</v>
      </c>
      <c r="H314" s="87" t="s">
        <v>31</v>
      </c>
      <c r="I314" s="36"/>
      <c r="L314" s="88"/>
      <c r="M314" s="88"/>
      <c r="N314" s="36"/>
      <c r="T314" s="21"/>
    </row>
    <row r="315" spans="1:20" s="67" customFormat="1" ht="15.75" customHeight="1" x14ac:dyDescent="0.25">
      <c r="A315" s="64">
        <f t="shared" si="12"/>
        <v>176</v>
      </c>
      <c r="B315" s="86" t="s">
        <v>303</v>
      </c>
      <c r="C315" s="87"/>
      <c r="D315" s="64">
        <f>348.215</f>
        <v>348.21499999999997</v>
      </c>
      <c r="E315" s="64">
        <f t="shared" si="11"/>
        <v>3748.1862599999995</v>
      </c>
      <c r="F315" s="64">
        <f>(626.787)*10.764</f>
        <v>6746.7352680000004</v>
      </c>
      <c r="G315" s="86" t="s">
        <v>31</v>
      </c>
      <c r="H315" s="87" t="s">
        <v>31</v>
      </c>
      <c r="I315" s="36"/>
      <c r="L315" s="88"/>
      <c r="M315" s="88"/>
      <c r="N315" s="36"/>
      <c r="T315" s="21"/>
    </row>
    <row r="316" spans="1:20" s="67" customFormat="1" ht="15.75" customHeight="1" x14ac:dyDescent="0.25">
      <c r="A316" s="64">
        <f t="shared" si="12"/>
        <v>177</v>
      </c>
      <c r="B316" s="86" t="s">
        <v>304</v>
      </c>
      <c r="C316" s="87"/>
      <c r="D316" s="64">
        <f>198</f>
        <v>198</v>
      </c>
      <c r="E316" s="64">
        <f t="shared" si="11"/>
        <v>2131.2719999999999</v>
      </c>
      <c r="F316" s="64">
        <f>(356.4)*10.764</f>
        <v>3836.2895999999996</v>
      </c>
      <c r="G316" s="86" t="s">
        <v>31</v>
      </c>
      <c r="H316" s="87" t="s">
        <v>31</v>
      </c>
      <c r="I316" s="36"/>
      <c r="L316" s="88"/>
      <c r="M316" s="88"/>
      <c r="N316" s="36"/>
      <c r="T316" s="21"/>
    </row>
    <row r="317" spans="1:20" s="67" customFormat="1" ht="15.75" customHeight="1" x14ac:dyDescent="0.25">
      <c r="A317" s="64">
        <f t="shared" si="12"/>
        <v>178</v>
      </c>
      <c r="B317" s="86" t="s">
        <v>304</v>
      </c>
      <c r="C317" s="87"/>
      <c r="D317" s="64">
        <f>198</f>
        <v>198</v>
      </c>
      <c r="E317" s="64">
        <f t="shared" si="11"/>
        <v>2131.2719999999999</v>
      </c>
      <c r="F317" s="64">
        <f>(356.4)*10.764</f>
        <v>3836.2895999999996</v>
      </c>
      <c r="G317" s="86" t="s">
        <v>31</v>
      </c>
      <c r="H317" s="87" t="s">
        <v>31</v>
      </c>
      <c r="I317" s="36"/>
      <c r="L317" s="88"/>
      <c r="M317" s="88"/>
      <c r="N317" s="36"/>
      <c r="T317" s="21"/>
    </row>
    <row r="318" spans="1:20" s="67" customFormat="1" ht="15.75" customHeight="1" x14ac:dyDescent="0.25">
      <c r="A318" s="64">
        <f t="shared" si="12"/>
        <v>179</v>
      </c>
      <c r="B318" s="86" t="s">
        <v>304</v>
      </c>
      <c r="C318" s="87"/>
      <c r="D318" s="64">
        <f>198</f>
        <v>198</v>
      </c>
      <c r="E318" s="64">
        <f t="shared" si="11"/>
        <v>2131.2719999999999</v>
      </c>
      <c r="F318" s="64">
        <f>(356.4)*10.764</f>
        <v>3836.2895999999996</v>
      </c>
      <c r="G318" s="86" t="s">
        <v>31</v>
      </c>
      <c r="H318" s="87" t="s">
        <v>31</v>
      </c>
      <c r="I318" s="36"/>
      <c r="L318" s="88"/>
      <c r="M318" s="88"/>
      <c r="N318" s="36"/>
      <c r="T318" s="21"/>
    </row>
    <row r="319" spans="1:20" s="67" customFormat="1" ht="15.75" customHeight="1" x14ac:dyDescent="0.25">
      <c r="A319" s="64">
        <f t="shared" si="12"/>
        <v>180</v>
      </c>
      <c r="B319" s="86" t="s">
        <v>304</v>
      </c>
      <c r="C319" s="87"/>
      <c r="D319" s="64">
        <f>198</f>
        <v>198</v>
      </c>
      <c r="E319" s="64">
        <f t="shared" si="11"/>
        <v>2131.2719999999999</v>
      </c>
      <c r="F319" s="64">
        <f>(356.4)*10.764</f>
        <v>3836.2895999999996</v>
      </c>
      <c r="G319" s="86" t="s">
        <v>31</v>
      </c>
      <c r="H319" s="87" t="s">
        <v>31</v>
      </c>
      <c r="I319" s="36"/>
      <c r="L319" s="88"/>
      <c r="M319" s="88"/>
      <c r="N319" s="36"/>
      <c r="T319" s="21"/>
    </row>
    <row r="320" spans="1:20" s="67" customFormat="1" ht="15.75" customHeight="1" x14ac:dyDescent="0.25">
      <c r="A320" s="64">
        <f t="shared" si="12"/>
        <v>181</v>
      </c>
      <c r="B320" s="86" t="s">
        <v>303</v>
      </c>
      <c r="C320" s="87"/>
      <c r="D320" s="64">
        <f>345.478</f>
        <v>345.47800000000001</v>
      </c>
      <c r="E320" s="64">
        <f t="shared" si="11"/>
        <v>3718.7251919999999</v>
      </c>
      <c r="F320" s="64">
        <f>(621.862)*10.764</f>
        <v>6693.7225679999992</v>
      </c>
      <c r="G320" s="86" t="s">
        <v>31</v>
      </c>
      <c r="H320" s="87" t="s">
        <v>31</v>
      </c>
      <c r="I320" s="36"/>
      <c r="L320" s="88"/>
      <c r="M320" s="88"/>
      <c r="N320" s="36"/>
      <c r="T320" s="21"/>
    </row>
    <row r="321" spans="1:20" s="67" customFormat="1" ht="15.75" customHeight="1" x14ac:dyDescent="0.25">
      <c r="A321" s="64">
        <f t="shared" si="12"/>
        <v>182</v>
      </c>
      <c r="B321" s="86" t="s">
        <v>304</v>
      </c>
      <c r="C321" s="87"/>
      <c r="D321" s="64">
        <f>211.617</f>
        <v>211.61699999999999</v>
      </c>
      <c r="E321" s="64">
        <f t="shared" si="11"/>
        <v>2277.8453879999997</v>
      </c>
      <c r="F321" s="64">
        <f>(380.911)*10.764</f>
        <v>4100.1260039999997</v>
      </c>
      <c r="G321" s="86" t="s">
        <v>31</v>
      </c>
      <c r="H321" s="87" t="s">
        <v>31</v>
      </c>
      <c r="I321" s="36"/>
      <c r="L321" s="88"/>
      <c r="M321" s="88"/>
      <c r="N321" s="36"/>
      <c r="T321" s="21"/>
    </row>
    <row r="322" spans="1:20" s="67" customFormat="1" ht="15.75" customHeight="1" x14ac:dyDescent="0.25">
      <c r="A322" s="64">
        <f t="shared" si="12"/>
        <v>183</v>
      </c>
      <c r="B322" s="86" t="s">
        <v>304</v>
      </c>
      <c r="C322" s="87"/>
      <c r="D322" s="64">
        <f>213.066</f>
        <v>213.066</v>
      </c>
      <c r="E322" s="64">
        <f t="shared" si="11"/>
        <v>2293.4424239999998</v>
      </c>
      <c r="F322" s="64">
        <f>(383.519)*10.764</f>
        <v>4128.1985159999995</v>
      </c>
      <c r="G322" s="86" t="s">
        <v>31</v>
      </c>
      <c r="H322" s="87" t="s">
        <v>31</v>
      </c>
      <c r="I322" s="36"/>
      <c r="L322" s="88"/>
      <c r="M322" s="88"/>
      <c r="N322" s="36"/>
      <c r="T322" s="21"/>
    </row>
    <row r="323" spans="1:20" s="67" customFormat="1" ht="15.75" customHeight="1" x14ac:dyDescent="0.25">
      <c r="A323" s="64">
        <f t="shared" si="12"/>
        <v>184</v>
      </c>
      <c r="B323" s="86" t="s">
        <v>304</v>
      </c>
      <c r="C323" s="87"/>
      <c r="D323" s="64">
        <f>211.778</f>
        <v>211.77799999999999</v>
      </c>
      <c r="E323" s="64">
        <f t="shared" si="11"/>
        <v>2279.5783919999999</v>
      </c>
      <c r="F323" s="64">
        <f>(381.2)*10.764</f>
        <v>4103.2367999999997</v>
      </c>
      <c r="G323" s="86" t="s">
        <v>31</v>
      </c>
      <c r="H323" s="87" t="s">
        <v>31</v>
      </c>
      <c r="I323" s="36"/>
      <c r="L323" s="88"/>
      <c r="M323" s="88"/>
      <c r="N323" s="36"/>
      <c r="T323" s="21"/>
    </row>
    <row r="324" spans="1:20" s="67" customFormat="1" ht="15.75" customHeight="1" x14ac:dyDescent="0.25">
      <c r="A324" s="64">
        <f t="shared" si="12"/>
        <v>185</v>
      </c>
      <c r="B324" s="86" t="s">
        <v>304</v>
      </c>
      <c r="C324" s="87"/>
      <c r="D324" s="64">
        <f>220.431</f>
        <v>220.43100000000001</v>
      </c>
      <c r="E324" s="64">
        <f t="shared" si="11"/>
        <v>2372.7192839999998</v>
      </c>
      <c r="F324" s="64">
        <f>(421.488)*10.764</f>
        <v>4536.8968319999994</v>
      </c>
      <c r="G324" s="86" t="s">
        <v>31</v>
      </c>
      <c r="H324" s="87" t="s">
        <v>31</v>
      </c>
      <c r="I324" s="36"/>
      <c r="L324" s="88"/>
      <c r="M324" s="88"/>
      <c r="N324" s="36"/>
      <c r="T324" s="21"/>
    </row>
    <row r="325" spans="1:20" s="67" customFormat="1" ht="15.75" customHeight="1" x14ac:dyDescent="0.25">
      <c r="A325" s="64">
        <f t="shared" si="12"/>
        <v>186</v>
      </c>
      <c r="B325" s="86" t="s">
        <v>303</v>
      </c>
      <c r="C325" s="87"/>
      <c r="D325" s="64">
        <f>215.92</f>
        <v>215.92</v>
      </c>
      <c r="E325" s="64">
        <f t="shared" si="11"/>
        <v>2324.1628799999999</v>
      </c>
      <c r="F325" s="64">
        <f>(388.656)*10.764</f>
        <v>4183.4931839999999</v>
      </c>
      <c r="G325" s="86" t="s">
        <v>31</v>
      </c>
      <c r="H325" s="87" t="s">
        <v>31</v>
      </c>
      <c r="I325" s="36"/>
      <c r="L325" s="88"/>
      <c r="M325" s="88"/>
      <c r="N325" s="36"/>
      <c r="T325" s="21"/>
    </row>
    <row r="326" spans="1:20" s="67" customFormat="1" ht="15.75" customHeight="1" x14ac:dyDescent="0.25">
      <c r="A326" s="64">
        <f t="shared" si="12"/>
        <v>187</v>
      </c>
      <c r="B326" s="86" t="s">
        <v>303</v>
      </c>
      <c r="C326" s="87"/>
      <c r="D326" s="64">
        <f>248.192</f>
        <v>248.19200000000001</v>
      </c>
      <c r="E326" s="64">
        <f t="shared" si="11"/>
        <v>2671.5386880000001</v>
      </c>
      <c r="F326" s="64">
        <f>(446.746)*10.764</f>
        <v>4808.7739439999996</v>
      </c>
      <c r="G326" s="86" t="s">
        <v>31</v>
      </c>
      <c r="H326" s="87" t="s">
        <v>31</v>
      </c>
      <c r="I326" s="36"/>
      <c r="L326" s="88"/>
      <c r="M326" s="88"/>
      <c r="N326" s="36"/>
      <c r="T326" s="21"/>
    </row>
    <row r="327" spans="1:20" s="67" customFormat="1" ht="15.75" customHeight="1" x14ac:dyDescent="0.25">
      <c r="A327" s="64">
        <f t="shared" si="12"/>
        <v>188</v>
      </c>
      <c r="B327" s="86" t="s">
        <v>303</v>
      </c>
      <c r="C327" s="87"/>
      <c r="D327" s="64">
        <f>277.237</f>
        <v>277.23700000000002</v>
      </c>
      <c r="E327" s="64">
        <f t="shared" si="11"/>
        <v>2984.1790679999999</v>
      </c>
      <c r="F327" s="64">
        <f>(506.137)*10.764</f>
        <v>5448.0586679999997</v>
      </c>
      <c r="G327" s="86" t="s">
        <v>31</v>
      </c>
      <c r="H327" s="87" t="s">
        <v>31</v>
      </c>
      <c r="I327" s="36"/>
      <c r="L327" s="88"/>
      <c r="M327" s="88"/>
      <c r="N327" s="36"/>
      <c r="T327" s="21"/>
    </row>
    <row r="328" spans="1:20" s="67" customFormat="1" ht="15.75" customHeight="1" x14ac:dyDescent="0.25">
      <c r="A328" s="64">
        <f t="shared" si="12"/>
        <v>189</v>
      </c>
      <c r="B328" s="86" t="s">
        <v>304</v>
      </c>
      <c r="C328" s="87"/>
      <c r="D328" s="64">
        <f>213.752</f>
        <v>213.75200000000001</v>
      </c>
      <c r="E328" s="64">
        <f t="shared" si="11"/>
        <v>2300.8265280000001</v>
      </c>
      <c r="F328" s="64">
        <f>(384.754)*10.764</f>
        <v>4141.492056</v>
      </c>
      <c r="G328" s="86" t="s">
        <v>31</v>
      </c>
      <c r="H328" s="87" t="s">
        <v>31</v>
      </c>
      <c r="I328" s="36"/>
      <c r="L328" s="88"/>
      <c r="M328" s="88"/>
      <c r="N328" s="36"/>
      <c r="T328" s="21"/>
    </row>
    <row r="329" spans="1:20" s="67" customFormat="1" ht="15.75" customHeight="1" x14ac:dyDescent="0.25">
      <c r="A329" s="64">
        <f t="shared" si="12"/>
        <v>190</v>
      </c>
      <c r="B329" s="86" t="s">
        <v>304</v>
      </c>
      <c r="C329" s="87"/>
      <c r="D329" s="64">
        <f>241.753</f>
        <v>241.75299999999999</v>
      </c>
      <c r="E329" s="64">
        <f t="shared" si="11"/>
        <v>2602.2292919999995</v>
      </c>
      <c r="F329" s="64">
        <f>(435.155)*10.764</f>
        <v>4684.0084199999992</v>
      </c>
      <c r="G329" s="86" t="s">
        <v>31</v>
      </c>
      <c r="H329" s="87" t="s">
        <v>31</v>
      </c>
      <c r="I329" s="36"/>
      <c r="L329" s="88"/>
      <c r="M329" s="88"/>
      <c r="N329" s="36"/>
      <c r="T329" s="21"/>
    </row>
    <row r="330" spans="1:20" s="67" customFormat="1" ht="15.75" customHeight="1" x14ac:dyDescent="0.25">
      <c r="A330" s="64">
        <f t="shared" si="12"/>
        <v>191</v>
      </c>
      <c r="B330" s="86" t="s">
        <v>303</v>
      </c>
      <c r="C330" s="87"/>
      <c r="D330" s="64">
        <f>269.741</f>
        <v>269.74099999999999</v>
      </c>
      <c r="E330" s="64">
        <f t="shared" si="11"/>
        <v>2903.4921239999999</v>
      </c>
      <c r="F330" s="64">
        <f>(509.578)*10.764</f>
        <v>5485.0975919999992</v>
      </c>
      <c r="G330" s="86" t="s">
        <v>31</v>
      </c>
      <c r="H330" s="87" t="s">
        <v>31</v>
      </c>
      <c r="I330" s="36"/>
      <c r="L330" s="88"/>
      <c r="M330" s="88"/>
      <c r="N330" s="36"/>
      <c r="T330" s="21"/>
    </row>
    <row r="331" spans="1:20" s="67" customFormat="1" ht="15.75" customHeight="1" x14ac:dyDescent="0.25">
      <c r="A331" s="64">
        <f t="shared" si="12"/>
        <v>192</v>
      </c>
      <c r="B331" s="86" t="s">
        <v>303</v>
      </c>
      <c r="C331" s="87"/>
      <c r="D331" s="64">
        <f>265.487</f>
        <v>265.48700000000002</v>
      </c>
      <c r="E331" s="64">
        <f t="shared" si="11"/>
        <v>2857.7020680000001</v>
      </c>
      <c r="F331" s="64">
        <f>(586.129)*10.764</f>
        <v>6309.0925559999996</v>
      </c>
      <c r="G331" s="86" t="s">
        <v>31</v>
      </c>
      <c r="H331" s="87" t="s">
        <v>31</v>
      </c>
      <c r="I331" s="36"/>
      <c r="L331" s="88"/>
      <c r="M331" s="88"/>
      <c r="N331" s="36"/>
      <c r="T331" s="21"/>
    </row>
    <row r="332" spans="1:20" s="67" customFormat="1" ht="15.75" customHeight="1" x14ac:dyDescent="0.25">
      <c r="A332" s="64">
        <f t="shared" si="12"/>
        <v>193</v>
      </c>
      <c r="B332" s="86" t="s">
        <v>303</v>
      </c>
      <c r="C332" s="87"/>
      <c r="D332" s="64">
        <f>323.085</f>
        <v>323.08499999999998</v>
      </c>
      <c r="E332" s="64">
        <f t="shared" si="11"/>
        <v>3477.6869399999996</v>
      </c>
      <c r="F332" s="64">
        <f>(816.138)*10.764</f>
        <v>8784.9094320000004</v>
      </c>
      <c r="G332" s="86" t="s">
        <v>31</v>
      </c>
      <c r="H332" s="87" t="s">
        <v>31</v>
      </c>
      <c r="I332" s="36"/>
      <c r="L332" s="88"/>
      <c r="M332" s="88"/>
      <c r="N332" s="36"/>
      <c r="T332" s="21"/>
    </row>
    <row r="333" spans="1:20" s="67" customFormat="1" ht="15.75" customHeight="1" x14ac:dyDescent="0.25">
      <c r="A333" s="64">
        <f>A332+7</f>
        <v>200</v>
      </c>
      <c r="B333" s="86" t="s">
        <v>306</v>
      </c>
      <c r="C333" s="87"/>
      <c r="D333" s="64">
        <f>172.67</f>
        <v>172.67</v>
      </c>
      <c r="E333" s="64">
        <f t="shared" ref="E333:E390" si="14">D333*10.764</f>
        <v>1858.6198799999997</v>
      </c>
      <c r="F333" s="64">
        <f>(320.479)*10.764</f>
        <v>3449.6359559999996</v>
      </c>
      <c r="G333" s="86" t="s">
        <v>31</v>
      </c>
      <c r="H333" s="87" t="s">
        <v>31</v>
      </c>
      <c r="I333" s="36"/>
      <c r="L333" s="88"/>
      <c r="M333" s="88"/>
      <c r="N333" s="36"/>
      <c r="T333" s="21"/>
    </row>
    <row r="334" spans="1:20" s="67" customFormat="1" ht="15.75" customHeight="1" x14ac:dyDescent="0.25">
      <c r="A334" s="64">
        <f t="shared" ref="A334:A391" si="15">A333+1</f>
        <v>201</v>
      </c>
      <c r="B334" s="86" t="s">
        <v>306</v>
      </c>
      <c r="C334" s="87"/>
      <c r="D334" s="64">
        <f>120</f>
        <v>120</v>
      </c>
      <c r="E334" s="64">
        <f t="shared" si="14"/>
        <v>1291.6799999999998</v>
      </c>
      <c r="F334" s="64">
        <f>(216)*10.764</f>
        <v>2325.0239999999999</v>
      </c>
      <c r="G334" s="86" t="s">
        <v>31</v>
      </c>
      <c r="H334" s="87" t="s">
        <v>31</v>
      </c>
      <c r="I334" s="36"/>
      <c r="L334" s="88"/>
      <c r="M334" s="88"/>
      <c r="N334" s="36"/>
      <c r="T334" s="21"/>
    </row>
    <row r="335" spans="1:20" s="67" customFormat="1" ht="15.75" customHeight="1" x14ac:dyDescent="0.25">
      <c r="A335" s="64">
        <f t="shared" si="15"/>
        <v>202</v>
      </c>
      <c r="B335" s="86" t="s">
        <v>306</v>
      </c>
      <c r="C335" s="87"/>
      <c r="D335" s="64">
        <f>120</f>
        <v>120</v>
      </c>
      <c r="E335" s="64">
        <f t="shared" si="14"/>
        <v>1291.6799999999998</v>
      </c>
      <c r="F335" s="64">
        <f>(216)*10.764</f>
        <v>2325.0239999999999</v>
      </c>
      <c r="G335" s="86" t="s">
        <v>31</v>
      </c>
      <c r="H335" s="87" t="s">
        <v>31</v>
      </c>
      <c r="I335" s="36"/>
      <c r="L335" s="88"/>
      <c r="M335" s="88"/>
      <c r="N335" s="36"/>
      <c r="T335" s="21"/>
    </row>
    <row r="336" spans="1:20" s="67" customFormat="1" ht="15.75" customHeight="1" x14ac:dyDescent="0.25">
      <c r="A336" s="64">
        <f t="shared" si="15"/>
        <v>203</v>
      </c>
      <c r="B336" s="86" t="s">
        <v>306</v>
      </c>
      <c r="C336" s="87"/>
      <c r="D336" s="64">
        <f>120</f>
        <v>120</v>
      </c>
      <c r="E336" s="64">
        <f t="shared" si="14"/>
        <v>1291.6799999999998</v>
      </c>
      <c r="F336" s="64">
        <f>(216)*10.764</f>
        <v>2325.0239999999999</v>
      </c>
      <c r="G336" s="86" t="s">
        <v>31</v>
      </c>
      <c r="H336" s="87" t="s">
        <v>31</v>
      </c>
      <c r="I336" s="36"/>
      <c r="L336" s="88"/>
      <c r="M336" s="88"/>
      <c r="N336" s="36"/>
      <c r="T336" s="21"/>
    </row>
    <row r="337" spans="1:20" s="67" customFormat="1" ht="15.75" customHeight="1" x14ac:dyDescent="0.25">
      <c r="A337" s="64">
        <f t="shared" si="15"/>
        <v>204</v>
      </c>
      <c r="B337" s="86" t="s">
        <v>304</v>
      </c>
      <c r="C337" s="87"/>
      <c r="D337" s="64">
        <f>165</f>
        <v>165</v>
      </c>
      <c r="E337" s="64">
        <f t="shared" si="14"/>
        <v>1776.06</v>
      </c>
      <c r="F337" s="64">
        <f>(297)*10.764</f>
        <v>3196.9079999999999</v>
      </c>
      <c r="G337" s="86" t="s">
        <v>31</v>
      </c>
      <c r="H337" s="87" t="s">
        <v>31</v>
      </c>
      <c r="I337" s="36"/>
      <c r="L337" s="88"/>
      <c r="M337" s="88"/>
      <c r="N337" s="36"/>
      <c r="T337" s="21"/>
    </row>
    <row r="338" spans="1:20" s="67" customFormat="1" ht="15.75" customHeight="1" x14ac:dyDescent="0.25">
      <c r="A338" s="64">
        <f t="shared" si="15"/>
        <v>205</v>
      </c>
      <c r="B338" s="86" t="s">
        <v>304</v>
      </c>
      <c r="C338" s="87"/>
      <c r="D338" s="64">
        <f>165</f>
        <v>165</v>
      </c>
      <c r="E338" s="64">
        <f t="shared" si="14"/>
        <v>1776.06</v>
      </c>
      <c r="F338" s="64">
        <f>(297)*10.764</f>
        <v>3196.9079999999999</v>
      </c>
      <c r="G338" s="86" t="s">
        <v>31</v>
      </c>
      <c r="H338" s="87" t="s">
        <v>31</v>
      </c>
      <c r="I338" s="36"/>
      <c r="L338" s="88"/>
      <c r="M338" s="88"/>
      <c r="N338" s="36"/>
      <c r="T338" s="21"/>
    </row>
    <row r="339" spans="1:20" s="67" customFormat="1" ht="15.75" customHeight="1" x14ac:dyDescent="0.25">
      <c r="A339" s="64">
        <f t="shared" si="15"/>
        <v>206</v>
      </c>
      <c r="B339" s="86" t="s">
        <v>306</v>
      </c>
      <c r="C339" s="87"/>
      <c r="D339" s="64">
        <f>120</f>
        <v>120</v>
      </c>
      <c r="E339" s="64">
        <f t="shared" si="14"/>
        <v>1291.6799999999998</v>
      </c>
      <c r="F339" s="64">
        <f t="shared" ref="F339:F344" si="16">(216)*10.764</f>
        <v>2325.0239999999999</v>
      </c>
      <c r="G339" s="86" t="s">
        <v>31</v>
      </c>
      <c r="H339" s="87" t="s">
        <v>31</v>
      </c>
      <c r="I339" s="36"/>
      <c r="L339" s="88"/>
      <c r="M339" s="88"/>
      <c r="N339" s="36"/>
      <c r="T339" s="21"/>
    </row>
    <row r="340" spans="1:20" s="67" customFormat="1" ht="15.75" customHeight="1" x14ac:dyDescent="0.25">
      <c r="A340" s="64">
        <f t="shared" si="15"/>
        <v>207</v>
      </c>
      <c r="B340" s="86" t="s">
        <v>306</v>
      </c>
      <c r="C340" s="87"/>
      <c r="D340" s="64">
        <f>120</f>
        <v>120</v>
      </c>
      <c r="E340" s="64">
        <f t="shared" si="14"/>
        <v>1291.6799999999998</v>
      </c>
      <c r="F340" s="64">
        <f t="shared" si="16"/>
        <v>2325.0239999999999</v>
      </c>
      <c r="G340" s="86" t="s">
        <v>31</v>
      </c>
      <c r="H340" s="87" t="s">
        <v>31</v>
      </c>
      <c r="I340" s="36"/>
      <c r="L340" s="88"/>
      <c r="M340" s="88"/>
      <c r="N340" s="36"/>
      <c r="T340" s="21"/>
    </row>
    <row r="341" spans="1:20" s="67" customFormat="1" ht="15.75" customHeight="1" x14ac:dyDescent="0.25">
      <c r="A341" s="64">
        <f t="shared" si="15"/>
        <v>208</v>
      </c>
      <c r="B341" s="86" t="s">
        <v>306</v>
      </c>
      <c r="C341" s="87"/>
      <c r="D341" s="64">
        <f>120</f>
        <v>120</v>
      </c>
      <c r="E341" s="64">
        <f t="shared" si="14"/>
        <v>1291.6799999999998</v>
      </c>
      <c r="F341" s="64">
        <f t="shared" si="16"/>
        <v>2325.0239999999999</v>
      </c>
      <c r="G341" s="86" t="s">
        <v>31</v>
      </c>
      <c r="H341" s="87" t="s">
        <v>31</v>
      </c>
      <c r="I341" s="36"/>
      <c r="L341" s="88"/>
      <c r="M341" s="88"/>
      <c r="N341" s="36"/>
      <c r="T341" s="21"/>
    </row>
    <row r="342" spans="1:20" s="67" customFormat="1" ht="15.75" customHeight="1" x14ac:dyDescent="0.25">
      <c r="A342" s="64">
        <f t="shared" si="15"/>
        <v>209</v>
      </c>
      <c r="B342" s="86" t="s">
        <v>306</v>
      </c>
      <c r="C342" s="87"/>
      <c r="D342" s="64">
        <f>120</f>
        <v>120</v>
      </c>
      <c r="E342" s="64">
        <f t="shared" si="14"/>
        <v>1291.6799999999998</v>
      </c>
      <c r="F342" s="64">
        <f t="shared" si="16"/>
        <v>2325.0239999999999</v>
      </c>
      <c r="G342" s="86" t="s">
        <v>31</v>
      </c>
      <c r="H342" s="87" t="s">
        <v>31</v>
      </c>
      <c r="I342" s="36"/>
      <c r="L342" s="88"/>
      <c r="M342" s="88"/>
      <c r="N342" s="36"/>
      <c r="T342" s="21"/>
    </row>
    <row r="343" spans="1:20" s="67" customFormat="1" ht="15.75" customHeight="1" x14ac:dyDescent="0.25">
      <c r="A343" s="64">
        <f t="shared" si="15"/>
        <v>210</v>
      </c>
      <c r="B343" s="86" t="s">
        <v>306</v>
      </c>
      <c r="C343" s="87"/>
      <c r="D343" s="64">
        <f>120</f>
        <v>120</v>
      </c>
      <c r="E343" s="64">
        <f t="shared" si="14"/>
        <v>1291.6799999999998</v>
      </c>
      <c r="F343" s="64">
        <f t="shared" si="16"/>
        <v>2325.0239999999999</v>
      </c>
      <c r="G343" s="86" t="s">
        <v>31</v>
      </c>
      <c r="H343" s="87" t="s">
        <v>31</v>
      </c>
      <c r="I343" s="36"/>
      <c r="L343" s="88"/>
      <c r="M343" s="88"/>
      <c r="N343" s="36"/>
      <c r="T343" s="21"/>
    </row>
    <row r="344" spans="1:20" s="67" customFormat="1" ht="15.75" customHeight="1" x14ac:dyDescent="0.25">
      <c r="A344" s="64">
        <f t="shared" si="15"/>
        <v>211</v>
      </c>
      <c r="B344" s="86" t="s">
        <v>306</v>
      </c>
      <c r="C344" s="87"/>
      <c r="D344" s="64">
        <f>120</f>
        <v>120</v>
      </c>
      <c r="E344" s="64">
        <f t="shared" si="14"/>
        <v>1291.6799999999998</v>
      </c>
      <c r="F344" s="64">
        <f t="shared" si="16"/>
        <v>2325.0239999999999</v>
      </c>
      <c r="G344" s="86" t="s">
        <v>31</v>
      </c>
      <c r="H344" s="87" t="s">
        <v>31</v>
      </c>
      <c r="I344" s="36"/>
      <c r="L344" s="88"/>
      <c r="M344" s="88"/>
      <c r="N344" s="36"/>
      <c r="T344" s="21"/>
    </row>
    <row r="345" spans="1:20" s="67" customFormat="1" ht="15.75" customHeight="1" x14ac:dyDescent="0.25">
      <c r="A345" s="64">
        <f t="shared" si="15"/>
        <v>212</v>
      </c>
      <c r="B345" s="86" t="s">
        <v>306</v>
      </c>
      <c r="C345" s="87"/>
      <c r="D345" s="64">
        <f>193.155</f>
        <v>193.155</v>
      </c>
      <c r="E345" s="64">
        <f t="shared" si="14"/>
        <v>2079.1204199999997</v>
      </c>
      <c r="F345" s="64">
        <f>(347.68)*10.764</f>
        <v>3742.4275199999997</v>
      </c>
      <c r="G345" s="86" t="s">
        <v>31</v>
      </c>
      <c r="H345" s="87" t="s">
        <v>31</v>
      </c>
      <c r="I345" s="36"/>
      <c r="L345" s="88"/>
      <c r="M345" s="88"/>
      <c r="N345" s="36"/>
      <c r="T345" s="21"/>
    </row>
    <row r="346" spans="1:20" s="67" customFormat="1" ht="15.75" customHeight="1" x14ac:dyDescent="0.25">
      <c r="A346" s="64">
        <f t="shared" si="15"/>
        <v>213</v>
      </c>
      <c r="B346" s="86" t="s">
        <v>306</v>
      </c>
      <c r="C346" s="87"/>
      <c r="D346" s="64">
        <f>193.155</f>
        <v>193.155</v>
      </c>
      <c r="E346" s="64">
        <f t="shared" si="14"/>
        <v>2079.1204199999997</v>
      </c>
      <c r="F346" s="64">
        <f>(347.68)*10.764</f>
        <v>3742.4275199999997</v>
      </c>
      <c r="G346" s="86" t="s">
        <v>31</v>
      </c>
      <c r="H346" s="87" t="s">
        <v>31</v>
      </c>
      <c r="I346" s="36"/>
      <c r="L346" s="88"/>
      <c r="M346" s="88"/>
      <c r="N346" s="36"/>
      <c r="T346" s="21"/>
    </row>
    <row r="347" spans="1:20" s="67" customFormat="1" ht="15.75" customHeight="1" x14ac:dyDescent="0.25">
      <c r="A347" s="64">
        <f t="shared" si="15"/>
        <v>214</v>
      </c>
      <c r="B347" s="86" t="s">
        <v>306</v>
      </c>
      <c r="C347" s="87"/>
      <c r="D347" s="64">
        <f>120</f>
        <v>120</v>
      </c>
      <c r="E347" s="64">
        <f t="shared" si="14"/>
        <v>1291.6799999999998</v>
      </c>
      <c r="F347" s="64">
        <f t="shared" ref="F347:F352" si="17">(216)*10.764</f>
        <v>2325.0239999999999</v>
      </c>
      <c r="G347" s="86" t="s">
        <v>31</v>
      </c>
      <c r="H347" s="87" t="s">
        <v>31</v>
      </c>
      <c r="I347" s="36"/>
      <c r="L347" s="88"/>
      <c r="M347" s="88"/>
      <c r="N347" s="36"/>
      <c r="T347" s="21"/>
    </row>
    <row r="348" spans="1:20" s="67" customFormat="1" ht="15.75" customHeight="1" x14ac:dyDescent="0.25">
      <c r="A348" s="64">
        <f t="shared" si="15"/>
        <v>215</v>
      </c>
      <c r="B348" s="86" t="s">
        <v>306</v>
      </c>
      <c r="C348" s="87"/>
      <c r="D348" s="64">
        <f>120</f>
        <v>120</v>
      </c>
      <c r="E348" s="64">
        <f t="shared" si="14"/>
        <v>1291.6799999999998</v>
      </c>
      <c r="F348" s="64">
        <f t="shared" si="17"/>
        <v>2325.0239999999999</v>
      </c>
      <c r="G348" s="86" t="s">
        <v>31</v>
      </c>
      <c r="H348" s="87" t="s">
        <v>31</v>
      </c>
      <c r="I348" s="36"/>
      <c r="L348" s="88"/>
      <c r="M348" s="88"/>
      <c r="N348" s="36"/>
      <c r="T348" s="21"/>
    </row>
    <row r="349" spans="1:20" s="67" customFormat="1" ht="15.75" customHeight="1" x14ac:dyDescent="0.25">
      <c r="A349" s="64">
        <f t="shared" si="15"/>
        <v>216</v>
      </c>
      <c r="B349" s="86" t="s">
        <v>306</v>
      </c>
      <c r="C349" s="87"/>
      <c r="D349" s="64">
        <f>120</f>
        <v>120</v>
      </c>
      <c r="E349" s="64">
        <f t="shared" si="14"/>
        <v>1291.6799999999998</v>
      </c>
      <c r="F349" s="64">
        <f t="shared" si="17"/>
        <v>2325.0239999999999</v>
      </c>
      <c r="G349" s="86" t="s">
        <v>31</v>
      </c>
      <c r="H349" s="87" t="s">
        <v>31</v>
      </c>
      <c r="I349" s="36"/>
      <c r="L349" s="88"/>
      <c r="M349" s="88"/>
      <c r="N349" s="36"/>
      <c r="T349" s="21"/>
    </row>
    <row r="350" spans="1:20" s="67" customFormat="1" ht="15.75" customHeight="1" x14ac:dyDescent="0.25">
      <c r="A350" s="64">
        <f t="shared" si="15"/>
        <v>217</v>
      </c>
      <c r="B350" s="86" t="s">
        <v>306</v>
      </c>
      <c r="C350" s="87"/>
      <c r="D350" s="64">
        <f>120</f>
        <v>120</v>
      </c>
      <c r="E350" s="64">
        <f t="shared" si="14"/>
        <v>1291.6799999999998</v>
      </c>
      <c r="F350" s="64">
        <f t="shared" si="17"/>
        <v>2325.0239999999999</v>
      </c>
      <c r="G350" s="86" t="s">
        <v>31</v>
      </c>
      <c r="H350" s="87" t="s">
        <v>31</v>
      </c>
      <c r="I350" s="36"/>
      <c r="L350" s="88"/>
      <c r="M350" s="88"/>
      <c r="N350" s="36"/>
      <c r="T350" s="21"/>
    </row>
    <row r="351" spans="1:20" s="67" customFormat="1" ht="15.75" customHeight="1" x14ac:dyDescent="0.25">
      <c r="A351" s="64">
        <f t="shared" si="15"/>
        <v>218</v>
      </c>
      <c r="B351" s="86" t="s">
        <v>306</v>
      </c>
      <c r="C351" s="87"/>
      <c r="D351" s="64">
        <f>120</f>
        <v>120</v>
      </c>
      <c r="E351" s="64">
        <f t="shared" si="14"/>
        <v>1291.6799999999998</v>
      </c>
      <c r="F351" s="64">
        <f t="shared" si="17"/>
        <v>2325.0239999999999</v>
      </c>
      <c r="G351" s="86" t="s">
        <v>31</v>
      </c>
      <c r="H351" s="87" t="s">
        <v>31</v>
      </c>
      <c r="I351" s="36"/>
      <c r="L351" s="88"/>
      <c r="M351" s="88"/>
      <c r="N351" s="36"/>
      <c r="T351" s="21"/>
    </row>
    <row r="352" spans="1:20" s="67" customFormat="1" ht="15.75" customHeight="1" x14ac:dyDescent="0.25">
      <c r="A352" s="64">
        <f t="shared" si="15"/>
        <v>219</v>
      </c>
      <c r="B352" s="86" t="s">
        <v>306</v>
      </c>
      <c r="C352" s="87"/>
      <c r="D352" s="64">
        <v>120</v>
      </c>
      <c r="E352" s="64">
        <f t="shared" si="14"/>
        <v>1291.6799999999998</v>
      </c>
      <c r="F352" s="64">
        <f t="shared" si="17"/>
        <v>2325.0239999999999</v>
      </c>
      <c r="G352" s="86" t="s">
        <v>31</v>
      </c>
      <c r="H352" s="87" t="s">
        <v>31</v>
      </c>
      <c r="I352" s="36"/>
      <c r="L352" s="88"/>
      <c r="M352" s="88"/>
      <c r="N352" s="36"/>
      <c r="T352" s="21"/>
    </row>
    <row r="353" spans="1:20" s="67" customFormat="1" ht="15.75" customHeight="1" x14ac:dyDescent="0.25">
      <c r="A353" s="64">
        <f t="shared" si="15"/>
        <v>220</v>
      </c>
      <c r="B353" s="86" t="s">
        <v>304</v>
      </c>
      <c r="C353" s="87"/>
      <c r="D353" s="64">
        <f>165</f>
        <v>165</v>
      </c>
      <c r="E353" s="64">
        <f t="shared" si="14"/>
        <v>1776.06</v>
      </c>
      <c r="F353" s="64">
        <f>(297)*10.764</f>
        <v>3196.9079999999999</v>
      </c>
      <c r="G353" s="86" t="s">
        <v>31</v>
      </c>
      <c r="H353" s="87" t="s">
        <v>31</v>
      </c>
      <c r="I353" s="36"/>
      <c r="L353" s="88"/>
      <c r="M353" s="88"/>
      <c r="N353" s="36"/>
      <c r="T353" s="21"/>
    </row>
    <row r="354" spans="1:20" s="67" customFormat="1" ht="15.75" customHeight="1" x14ac:dyDescent="0.25">
      <c r="A354" s="64">
        <f t="shared" si="15"/>
        <v>221</v>
      </c>
      <c r="B354" s="86" t="s">
        <v>304</v>
      </c>
      <c r="C354" s="87"/>
      <c r="D354" s="64">
        <f>165</f>
        <v>165</v>
      </c>
      <c r="E354" s="64">
        <f t="shared" si="14"/>
        <v>1776.06</v>
      </c>
      <c r="F354" s="64">
        <f>(297)*10.764</f>
        <v>3196.9079999999999</v>
      </c>
      <c r="G354" s="86" t="s">
        <v>31</v>
      </c>
      <c r="H354" s="87" t="s">
        <v>31</v>
      </c>
      <c r="I354" s="36"/>
      <c r="L354" s="88"/>
      <c r="M354" s="88"/>
      <c r="N354" s="36"/>
      <c r="T354" s="21"/>
    </row>
    <row r="355" spans="1:20" s="67" customFormat="1" ht="15.75" customHeight="1" x14ac:dyDescent="0.25">
      <c r="A355" s="64">
        <f t="shared" si="15"/>
        <v>222</v>
      </c>
      <c r="B355" s="86" t="s">
        <v>306</v>
      </c>
      <c r="C355" s="87"/>
      <c r="D355" s="64">
        <f>120</f>
        <v>120</v>
      </c>
      <c r="E355" s="64">
        <f t="shared" si="14"/>
        <v>1291.6799999999998</v>
      </c>
      <c r="F355" s="64">
        <f>(216)*10.764</f>
        <v>2325.0239999999999</v>
      </c>
      <c r="G355" s="86" t="s">
        <v>31</v>
      </c>
      <c r="H355" s="87" t="s">
        <v>31</v>
      </c>
      <c r="I355" s="36"/>
      <c r="L355" s="88"/>
      <c r="M355" s="88"/>
      <c r="N355" s="36"/>
      <c r="T355" s="21"/>
    </row>
    <row r="356" spans="1:20" s="67" customFormat="1" ht="15.75" customHeight="1" x14ac:dyDescent="0.25">
      <c r="A356" s="64">
        <f t="shared" si="15"/>
        <v>223</v>
      </c>
      <c r="B356" s="86" t="s">
        <v>306</v>
      </c>
      <c r="C356" s="87"/>
      <c r="D356" s="64">
        <f>120</f>
        <v>120</v>
      </c>
      <c r="E356" s="64">
        <f t="shared" si="14"/>
        <v>1291.6799999999998</v>
      </c>
      <c r="F356" s="64">
        <f>(216)*10.764</f>
        <v>2325.0239999999999</v>
      </c>
      <c r="G356" s="86" t="s">
        <v>31</v>
      </c>
      <c r="H356" s="87" t="s">
        <v>31</v>
      </c>
      <c r="I356" s="36"/>
      <c r="L356" s="88"/>
      <c r="M356" s="88"/>
      <c r="N356" s="36"/>
      <c r="T356" s="21"/>
    </row>
    <row r="357" spans="1:20" s="67" customFormat="1" ht="15.75" customHeight="1" x14ac:dyDescent="0.25">
      <c r="A357" s="64">
        <f t="shared" si="15"/>
        <v>224</v>
      </c>
      <c r="B357" s="86" t="s">
        <v>306</v>
      </c>
      <c r="C357" s="87"/>
      <c r="D357" s="64">
        <f>120</f>
        <v>120</v>
      </c>
      <c r="E357" s="64">
        <f t="shared" si="14"/>
        <v>1291.6799999999998</v>
      </c>
      <c r="F357" s="64">
        <f>(216)*10.764</f>
        <v>2325.0239999999999</v>
      </c>
      <c r="G357" s="86" t="s">
        <v>31</v>
      </c>
      <c r="H357" s="87" t="s">
        <v>31</v>
      </c>
      <c r="I357" s="36"/>
      <c r="L357" s="88"/>
      <c r="M357" s="88"/>
      <c r="N357" s="36"/>
      <c r="T357" s="21"/>
    </row>
    <row r="358" spans="1:20" s="67" customFormat="1" ht="15.75" customHeight="1" x14ac:dyDescent="0.25">
      <c r="A358" s="64">
        <f t="shared" si="15"/>
        <v>225</v>
      </c>
      <c r="B358" s="86" t="s">
        <v>306</v>
      </c>
      <c r="C358" s="87"/>
      <c r="D358" s="64">
        <f>120</f>
        <v>120</v>
      </c>
      <c r="E358" s="64">
        <f t="shared" si="14"/>
        <v>1291.6799999999998</v>
      </c>
      <c r="F358" s="64">
        <f>(216)*10.764</f>
        <v>2325.0239999999999</v>
      </c>
      <c r="G358" s="86" t="s">
        <v>31</v>
      </c>
      <c r="H358" s="87" t="s">
        <v>31</v>
      </c>
      <c r="I358" s="36"/>
      <c r="L358" s="88"/>
      <c r="M358" s="88"/>
      <c r="N358" s="36"/>
      <c r="T358" s="21"/>
    </row>
    <row r="359" spans="1:20" s="67" customFormat="1" ht="15.75" customHeight="1" x14ac:dyDescent="0.25">
      <c r="A359" s="64">
        <f t="shared" si="15"/>
        <v>226</v>
      </c>
      <c r="B359" s="86" t="s">
        <v>306</v>
      </c>
      <c r="C359" s="87"/>
      <c r="D359" s="64">
        <f>141.955</f>
        <v>141.95500000000001</v>
      </c>
      <c r="E359" s="64">
        <f t="shared" si="14"/>
        <v>1528.00362</v>
      </c>
      <c r="F359" s="64">
        <f>(266.87)*10.764</f>
        <v>2872.5886799999998</v>
      </c>
      <c r="G359" s="86" t="s">
        <v>31</v>
      </c>
      <c r="H359" s="87" t="s">
        <v>31</v>
      </c>
      <c r="I359" s="36"/>
      <c r="L359" s="88"/>
      <c r="M359" s="88"/>
      <c r="N359" s="36"/>
      <c r="T359" s="21"/>
    </row>
    <row r="360" spans="1:20" s="67" customFormat="1" ht="15.75" customHeight="1" x14ac:dyDescent="0.25">
      <c r="A360" s="64">
        <f t="shared" si="15"/>
        <v>227</v>
      </c>
      <c r="B360" s="86" t="s">
        <v>306</v>
      </c>
      <c r="C360" s="87"/>
      <c r="D360" s="64">
        <f>179.977</f>
        <v>179.977</v>
      </c>
      <c r="E360" s="64">
        <f t="shared" si="14"/>
        <v>1937.272428</v>
      </c>
      <c r="F360" s="64">
        <f>(341.989)*10.764</f>
        <v>3681.1695959999997</v>
      </c>
      <c r="G360" s="86" t="s">
        <v>31</v>
      </c>
      <c r="H360" s="87" t="s">
        <v>31</v>
      </c>
      <c r="I360" s="36"/>
      <c r="L360" s="88"/>
      <c r="M360" s="88"/>
      <c r="N360" s="36"/>
      <c r="T360" s="21"/>
    </row>
    <row r="361" spans="1:20" s="67" customFormat="1" ht="15.75" customHeight="1" x14ac:dyDescent="0.25">
      <c r="A361" s="64">
        <f t="shared" si="15"/>
        <v>228</v>
      </c>
      <c r="B361" s="86" t="s">
        <v>306</v>
      </c>
      <c r="C361" s="87"/>
      <c r="D361" s="64">
        <f>120</f>
        <v>120</v>
      </c>
      <c r="E361" s="64">
        <f t="shared" si="14"/>
        <v>1291.6799999999998</v>
      </c>
      <c r="F361" s="64">
        <f>(216)*10.764</f>
        <v>2325.0239999999999</v>
      </c>
      <c r="G361" s="86" t="s">
        <v>31</v>
      </c>
      <c r="H361" s="87" t="s">
        <v>31</v>
      </c>
      <c r="I361" s="36"/>
      <c r="L361" s="88"/>
      <c r="M361" s="88"/>
      <c r="N361" s="36"/>
      <c r="T361" s="21"/>
    </row>
    <row r="362" spans="1:20" s="67" customFormat="1" ht="15.75" customHeight="1" x14ac:dyDescent="0.25">
      <c r="A362" s="64">
        <f t="shared" si="15"/>
        <v>229</v>
      </c>
      <c r="B362" s="86" t="s">
        <v>306</v>
      </c>
      <c r="C362" s="87"/>
      <c r="D362" s="64">
        <f>120</f>
        <v>120</v>
      </c>
      <c r="E362" s="64">
        <f t="shared" si="14"/>
        <v>1291.6799999999998</v>
      </c>
      <c r="F362" s="64">
        <f>(216)*10.764</f>
        <v>2325.0239999999999</v>
      </c>
      <c r="G362" s="86" t="s">
        <v>31</v>
      </c>
      <c r="H362" s="87" t="s">
        <v>31</v>
      </c>
      <c r="I362" s="36"/>
      <c r="L362" s="88"/>
      <c r="M362" s="88"/>
      <c r="N362" s="36"/>
      <c r="T362" s="21"/>
    </row>
    <row r="363" spans="1:20" s="67" customFormat="1" ht="15.75" customHeight="1" x14ac:dyDescent="0.25">
      <c r="A363" s="64">
        <f t="shared" si="15"/>
        <v>230</v>
      </c>
      <c r="B363" s="86" t="s">
        <v>306</v>
      </c>
      <c r="C363" s="87"/>
      <c r="D363" s="64">
        <f>120</f>
        <v>120</v>
      </c>
      <c r="E363" s="64">
        <f t="shared" si="14"/>
        <v>1291.6799999999998</v>
      </c>
      <c r="F363" s="64">
        <f>(216)*10.764</f>
        <v>2325.0239999999999</v>
      </c>
      <c r="G363" s="86" t="s">
        <v>31</v>
      </c>
      <c r="H363" s="87" t="s">
        <v>31</v>
      </c>
      <c r="I363" s="36"/>
      <c r="L363" s="88"/>
      <c r="M363" s="88"/>
      <c r="N363" s="36"/>
      <c r="T363" s="21"/>
    </row>
    <row r="364" spans="1:20" s="67" customFormat="1" ht="15.75" customHeight="1" x14ac:dyDescent="0.25">
      <c r="A364" s="64">
        <f t="shared" si="15"/>
        <v>231</v>
      </c>
      <c r="B364" s="86" t="s">
        <v>306</v>
      </c>
      <c r="C364" s="87"/>
      <c r="D364" s="64">
        <f>120</f>
        <v>120</v>
      </c>
      <c r="E364" s="64">
        <f t="shared" si="14"/>
        <v>1291.6799999999998</v>
      </c>
      <c r="F364" s="64">
        <f>(216)*10.764</f>
        <v>2325.0239999999999</v>
      </c>
      <c r="G364" s="86" t="s">
        <v>31</v>
      </c>
      <c r="H364" s="87" t="s">
        <v>31</v>
      </c>
      <c r="I364" s="36"/>
      <c r="L364" s="88"/>
      <c r="M364" s="88"/>
      <c r="N364" s="36"/>
      <c r="T364" s="21"/>
    </row>
    <row r="365" spans="1:20" s="67" customFormat="1" ht="15.75" customHeight="1" x14ac:dyDescent="0.25">
      <c r="A365" s="64">
        <f t="shared" si="15"/>
        <v>232</v>
      </c>
      <c r="B365" s="86" t="s">
        <v>306</v>
      </c>
      <c r="C365" s="87"/>
      <c r="D365" s="64">
        <f>120</f>
        <v>120</v>
      </c>
      <c r="E365" s="64">
        <f t="shared" si="14"/>
        <v>1291.6799999999998</v>
      </c>
      <c r="F365" s="64">
        <f>(216)*10.764</f>
        <v>2325.0239999999999</v>
      </c>
      <c r="G365" s="86" t="s">
        <v>31</v>
      </c>
      <c r="H365" s="87" t="s">
        <v>31</v>
      </c>
      <c r="I365" s="36"/>
      <c r="L365" s="88"/>
      <c r="M365" s="88"/>
      <c r="N365" s="36"/>
      <c r="T365" s="21"/>
    </row>
    <row r="366" spans="1:20" s="67" customFormat="1" ht="15.75" customHeight="1" x14ac:dyDescent="0.25">
      <c r="A366" s="64">
        <f t="shared" si="15"/>
        <v>233</v>
      </c>
      <c r="B366" s="86" t="s">
        <v>304</v>
      </c>
      <c r="C366" s="87"/>
      <c r="D366" s="64">
        <f>165</f>
        <v>165</v>
      </c>
      <c r="E366" s="64">
        <f t="shared" si="14"/>
        <v>1776.06</v>
      </c>
      <c r="F366" s="64">
        <f>(297)*10.764</f>
        <v>3196.9079999999999</v>
      </c>
      <c r="G366" s="86" t="s">
        <v>31</v>
      </c>
      <c r="H366" s="87" t="s">
        <v>31</v>
      </c>
      <c r="I366" s="36"/>
      <c r="L366" s="88"/>
      <c r="M366" s="88"/>
      <c r="N366" s="36"/>
      <c r="T366" s="21"/>
    </row>
    <row r="367" spans="1:20" s="67" customFormat="1" ht="15.75" customHeight="1" x14ac:dyDescent="0.25">
      <c r="A367" s="64">
        <f t="shared" si="15"/>
        <v>234</v>
      </c>
      <c r="B367" s="86" t="s">
        <v>304</v>
      </c>
      <c r="C367" s="87"/>
      <c r="D367" s="64">
        <f>165</f>
        <v>165</v>
      </c>
      <c r="E367" s="64">
        <f t="shared" si="14"/>
        <v>1776.06</v>
      </c>
      <c r="F367" s="64">
        <f>(297)*10.764</f>
        <v>3196.9079999999999</v>
      </c>
      <c r="G367" s="86" t="s">
        <v>31</v>
      </c>
      <c r="H367" s="87" t="s">
        <v>31</v>
      </c>
      <c r="I367" s="36"/>
      <c r="L367" s="88"/>
      <c r="M367" s="88"/>
      <c r="N367" s="36"/>
      <c r="T367" s="21"/>
    </row>
    <row r="368" spans="1:20" s="67" customFormat="1" ht="15.75" customHeight="1" x14ac:dyDescent="0.25">
      <c r="A368" s="64">
        <f t="shared" si="15"/>
        <v>235</v>
      </c>
      <c r="B368" s="86" t="s">
        <v>306</v>
      </c>
      <c r="C368" s="87"/>
      <c r="D368" s="64">
        <f>120</f>
        <v>120</v>
      </c>
      <c r="E368" s="64">
        <f t="shared" si="14"/>
        <v>1291.6799999999998</v>
      </c>
      <c r="F368" s="64">
        <f t="shared" ref="F368:F373" si="18">(216)*10.764</f>
        <v>2325.0239999999999</v>
      </c>
      <c r="G368" s="86" t="s">
        <v>31</v>
      </c>
      <c r="H368" s="87" t="s">
        <v>31</v>
      </c>
      <c r="I368" s="36"/>
      <c r="L368" s="88"/>
      <c r="M368" s="88"/>
      <c r="N368" s="36"/>
      <c r="T368" s="21"/>
    </row>
    <row r="369" spans="1:20" s="67" customFormat="1" ht="15.75" customHeight="1" x14ac:dyDescent="0.25">
      <c r="A369" s="64">
        <f t="shared" si="15"/>
        <v>236</v>
      </c>
      <c r="B369" s="86" t="s">
        <v>306</v>
      </c>
      <c r="C369" s="87"/>
      <c r="D369" s="64">
        <f>120</f>
        <v>120</v>
      </c>
      <c r="E369" s="64">
        <f t="shared" si="14"/>
        <v>1291.6799999999998</v>
      </c>
      <c r="F369" s="64">
        <f t="shared" si="18"/>
        <v>2325.0239999999999</v>
      </c>
      <c r="G369" s="86" t="s">
        <v>31</v>
      </c>
      <c r="H369" s="87" t="s">
        <v>31</v>
      </c>
      <c r="I369" s="36"/>
      <c r="L369" s="88"/>
      <c r="M369" s="88"/>
      <c r="N369" s="36"/>
      <c r="T369" s="21"/>
    </row>
    <row r="370" spans="1:20" s="67" customFormat="1" ht="15.75" customHeight="1" x14ac:dyDescent="0.25">
      <c r="A370" s="64">
        <f t="shared" si="15"/>
        <v>237</v>
      </c>
      <c r="B370" s="86" t="s">
        <v>306</v>
      </c>
      <c r="C370" s="87"/>
      <c r="D370" s="64">
        <f>120</f>
        <v>120</v>
      </c>
      <c r="E370" s="64">
        <f t="shared" si="14"/>
        <v>1291.6799999999998</v>
      </c>
      <c r="F370" s="64">
        <f t="shared" si="18"/>
        <v>2325.0239999999999</v>
      </c>
      <c r="G370" s="86" t="s">
        <v>31</v>
      </c>
      <c r="H370" s="87" t="s">
        <v>31</v>
      </c>
      <c r="I370" s="36"/>
      <c r="L370" s="88"/>
      <c r="M370" s="88"/>
      <c r="N370" s="36"/>
      <c r="T370" s="21"/>
    </row>
    <row r="371" spans="1:20" s="67" customFormat="1" ht="15.75" customHeight="1" x14ac:dyDescent="0.25">
      <c r="A371" s="64">
        <f t="shared" si="15"/>
        <v>238</v>
      </c>
      <c r="B371" s="86" t="s">
        <v>306</v>
      </c>
      <c r="C371" s="87"/>
      <c r="D371" s="64">
        <f>120</f>
        <v>120</v>
      </c>
      <c r="E371" s="64">
        <f t="shared" si="14"/>
        <v>1291.6799999999998</v>
      </c>
      <c r="F371" s="64">
        <f t="shared" si="18"/>
        <v>2325.0239999999999</v>
      </c>
      <c r="G371" s="86" t="s">
        <v>31</v>
      </c>
      <c r="H371" s="87" t="s">
        <v>31</v>
      </c>
      <c r="I371" s="36"/>
      <c r="L371" s="88"/>
      <c r="M371" s="88"/>
      <c r="N371" s="36"/>
      <c r="T371" s="21"/>
    </row>
    <row r="372" spans="1:20" s="67" customFormat="1" ht="15.75" customHeight="1" x14ac:dyDescent="0.25">
      <c r="A372" s="64">
        <f t="shared" si="15"/>
        <v>239</v>
      </c>
      <c r="B372" s="86" t="s">
        <v>306</v>
      </c>
      <c r="C372" s="87"/>
      <c r="D372" s="64">
        <f>120</f>
        <v>120</v>
      </c>
      <c r="E372" s="64">
        <f t="shared" si="14"/>
        <v>1291.6799999999998</v>
      </c>
      <c r="F372" s="64">
        <f t="shared" si="18"/>
        <v>2325.0239999999999</v>
      </c>
      <c r="G372" s="86" t="s">
        <v>31</v>
      </c>
      <c r="H372" s="87" t="s">
        <v>31</v>
      </c>
      <c r="I372" s="36"/>
      <c r="L372" s="88"/>
      <c r="M372" s="88"/>
      <c r="N372" s="36"/>
      <c r="T372" s="21"/>
    </row>
    <row r="373" spans="1:20" s="67" customFormat="1" ht="15.75" customHeight="1" x14ac:dyDescent="0.25">
      <c r="A373" s="64">
        <f t="shared" si="15"/>
        <v>240</v>
      </c>
      <c r="B373" s="86" t="s">
        <v>306</v>
      </c>
      <c r="C373" s="87"/>
      <c r="D373" s="64">
        <f>120</f>
        <v>120</v>
      </c>
      <c r="E373" s="64">
        <f t="shared" si="14"/>
        <v>1291.6799999999998</v>
      </c>
      <c r="F373" s="64">
        <f t="shared" si="18"/>
        <v>2325.0239999999999</v>
      </c>
      <c r="G373" s="86" t="s">
        <v>31</v>
      </c>
      <c r="H373" s="87" t="s">
        <v>31</v>
      </c>
      <c r="I373" s="36"/>
      <c r="L373" s="88"/>
      <c r="M373" s="88"/>
      <c r="N373" s="36"/>
      <c r="T373" s="21"/>
    </row>
    <row r="374" spans="1:20" s="67" customFormat="1" ht="15.75" customHeight="1" x14ac:dyDescent="0.25">
      <c r="A374" s="64">
        <f t="shared" si="15"/>
        <v>241</v>
      </c>
      <c r="B374" s="86" t="s">
        <v>304</v>
      </c>
      <c r="C374" s="87"/>
      <c r="D374" s="64">
        <f>206.835</f>
        <v>206.83500000000001</v>
      </c>
      <c r="E374" s="64">
        <f t="shared" si="14"/>
        <v>2226.37194</v>
      </c>
      <c r="F374" s="64">
        <f>(372.303)*10.764</f>
        <v>4007.4694919999997</v>
      </c>
      <c r="G374" s="86" t="s">
        <v>31</v>
      </c>
      <c r="H374" s="87" t="s">
        <v>31</v>
      </c>
      <c r="I374" s="36"/>
      <c r="L374" s="88"/>
      <c r="M374" s="88"/>
      <c r="N374" s="36"/>
      <c r="T374" s="21"/>
    </row>
    <row r="375" spans="1:20" s="67" customFormat="1" ht="15.75" customHeight="1" x14ac:dyDescent="0.25">
      <c r="A375" s="64">
        <f t="shared" si="15"/>
        <v>242</v>
      </c>
      <c r="B375" s="86" t="s">
        <v>304</v>
      </c>
      <c r="C375" s="87"/>
      <c r="D375" s="64">
        <f>252.536</f>
        <v>252.536</v>
      </c>
      <c r="E375" s="64">
        <f t="shared" si="14"/>
        <v>2718.2975039999997</v>
      </c>
      <c r="F375" s="64">
        <f>(454.565)*10.764</f>
        <v>4892.9376599999996</v>
      </c>
      <c r="G375" s="86" t="s">
        <v>31</v>
      </c>
      <c r="H375" s="87" t="s">
        <v>31</v>
      </c>
      <c r="I375" s="36"/>
      <c r="L375" s="88"/>
      <c r="M375" s="88"/>
      <c r="N375" s="36"/>
      <c r="T375" s="21"/>
    </row>
    <row r="376" spans="1:20" s="67" customFormat="1" ht="15.75" customHeight="1" x14ac:dyDescent="0.25">
      <c r="A376" s="64">
        <f t="shared" si="15"/>
        <v>243</v>
      </c>
      <c r="B376" s="86" t="s">
        <v>304</v>
      </c>
      <c r="C376" s="87"/>
      <c r="D376" s="64">
        <f>194.951</f>
        <v>194.95099999999999</v>
      </c>
      <c r="E376" s="64">
        <f t="shared" si="14"/>
        <v>2098.4525639999997</v>
      </c>
      <c r="F376" s="64">
        <f>(350.912)*10.764</f>
        <v>3777.2167679999993</v>
      </c>
      <c r="G376" s="86" t="s">
        <v>31</v>
      </c>
      <c r="H376" s="87" t="s">
        <v>31</v>
      </c>
      <c r="I376" s="36"/>
      <c r="L376" s="88"/>
      <c r="M376" s="88"/>
      <c r="N376" s="36"/>
      <c r="T376" s="21"/>
    </row>
    <row r="377" spans="1:20" s="67" customFormat="1" ht="15.75" customHeight="1" x14ac:dyDescent="0.25">
      <c r="A377" s="64">
        <f t="shared" si="15"/>
        <v>244</v>
      </c>
      <c r="B377" s="86" t="s">
        <v>304</v>
      </c>
      <c r="C377" s="87"/>
      <c r="D377" s="64">
        <f>177.895</f>
        <v>177.89500000000001</v>
      </c>
      <c r="E377" s="64">
        <f t="shared" si="14"/>
        <v>1914.86178</v>
      </c>
      <c r="F377" s="64">
        <f>(320.211)*10.764</f>
        <v>3446.7512040000001</v>
      </c>
      <c r="G377" s="86" t="s">
        <v>31</v>
      </c>
      <c r="H377" s="87" t="s">
        <v>31</v>
      </c>
      <c r="I377" s="36"/>
      <c r="L377" s="88"/>
      <c r="M377" s="88"/>
      <c r="N377" s="36"/>
      <c r="T377" s="21"/>
    </row>
    <row r="378" spans="1:20" s="67" customFormat="1" ht="15.75" customHeight="1" x14ac:dyDescent="0.25">
      <c r="A378" s="64">
        <f t="shared" si="15"/>
        <v>245</v>
      </c>
      <c r="B378" s="86" t="s">
        <v>304</v>
      </c>
      <c r="C378" s="87"/>
      <c r="D378" s="64">
        <f>214.751</f>
        <v>214.751</v>
      </c>
      <c r="E378" s="64">
        <f t="shared" si="14"/>
        <v>2311.5797640000001</v>
      </c>
      <c r="F378" s="64">
        <f>(386.552)*10.764</f>
        <v>4160.8457280000002</v>
      </c>
      <c r="G378" s="86" t="s">
        <v>31</v>
      </c>
      <c r="H378" s="87" t="s">
        <v>31</v>
      </c>
      <c r="I378" s="36"/>
      <c r="L378" s="88"/>
      <c r="M378" s="88"/>
      <c r="N378" s="36"/>
      <c r="T378" s="21"/>
    </row>
    <row r="379" spans="1:20" s="67" customFormat="1" ht="15.75" customHeight="1" x14ac:dyDescent="0.25">
      <c r="A379" s="64">
        <f t="shared" si="15"/>
        <v>246</v>
      </c>
      <c r="B379" s="86" t="s">
        <v>304</v>
      </c>
      <c r="C379" s="87"/>
      <c r="D379" s="64">
        <f>256.918</f>
        <v>256.91800000000001</v>
      </c>
      <c r="E379" s="64">
        <f t="shared" si="14"/>
        <v>2765.4653519999997</v>
      </c>
      <c r="F379" s="64">
        <f>(462.452)*10.764</f>
        <v>4977.8333279999997</v>
      </c>
      <c r="G379" s="86" t="s">
        <v>31</v>
      </c>
      <c r="H379" s="87" t="s">
        <v>31</v>
      </c>
      <c r="I379" s="36"/>
      <c r="L379" s="88"/>
      <c r="M379" s="88"/>
      <c r="N379" s="36"/>
      <c r="T379" s="21"/>
    </row>
    <row r="380" spans="1:20" s="67" customFormat="1" ht="15.75" customHeight="1" x14ac:dyDescent="0.25">
      <c r="A380" s="64">
        <f t="shared" si="15"/>
        <v>247</v>
      </c>
      <c r="B380" s="86" t="s">
        <v>304</v>
      </c>
      <c r="C380" s="87"/>
      <c r="D380" s="64">
        <f>364.149</f>
        <v>364.149</v>
      </c>
      <c r="E380" s="64">
        <f t="shared" si="14"/>
        <v>3919.6998359999998</v>
      </c>
      <c r="F380" s="64">
        <f>(655.468)*10.764</f>
        <v>7055.4575519999989</v>
      </c>
      <c r="G380" s="86" t="s">
        <v>31</v>
      </c>
      <c r="H380" s="87" t="s">
        <v>31</v>
      </c>
      <c r="I380" s="36"/>
      <c r="L380" s="88"/>
      <c r="M380" s="88"/>
      <c r="N380" s="36"/>
      <c r="T380" s="21"/>
    </row>
    <row r="381" spans="1:20" s="67" customFormat="1" ht="15.75" customHeight="1" x14ac:dyDescent="0.25">
      <c r="A381" s="64">
        <f t="shared" si="15"/>
        <v>248</v>
      </c>
      <c r="B381" s="86" t="s">
        <v>304</v>
      </c>
      <c r="C381" s="87"/>
      <c r="D381" s="64">
        <v>495.50099999999998</v>
      </c>
      <c r="E381" s="64">
        <f t="shared" si="14"/>
        <v>5333.5727639999996</v>
      </c>
      <c r="F381" s="64">
        <f>(919.485)*10.764</f>
        <v>9897.3365400000002</v>
      </c>
      <c r="G381" s="86" t="s">
        <v>31</v>
      </c>
      <c r="H381" s="87" t="s">
        <v>31</v>
      </c>
      <c r="I381" s="36"/>
      <c r="L381" s="88"/>
      <c r="M381" s="88"/>
      <c r="N381" s="36"/>
      <c r="T381" s="21"/>
    </row>
    <row r="382" spans="1:20" s="67" customFormat="1" ht="15.75" customHeight="1" x14ac:dyDescent="0.25">
      <c r="A382" s="64">
        <f t="shared" si="15"/>
        <v>249</v>
      </c>
      <c r="B382" s="86" t="s">
        <v>304</v>
      </c>
      <c r="C382" s="87"/>
      <c r="D382" s="64">
        <v>307.74299999999999</v>
      </c>
      <c r="E382" s="64">
        <f t="shared" si="14"/>
        <v>3312.5456519999998</v>
      </c>
      <c r="F382" s="64">
        <f>(554.492)*10.764</f>
        <v>5968.5518879999991</v>
      </c>
      <c r="G382" s="86" t="s">
        <v>31</v>
      </c>
      <c r="H382" s="87" t="s">
        <v>31</v>
      </c>
      <c r="I382" s="36"/>
      <c r="L382" s="88"/>
      <c r="M382" s="88"/>
      <c r="N382" s="36"/>
      <c r="T382" s="21"/>
    </row>
    <row r="383" spans="1:20" s="67" customFormat="1" ht="15.75" customHeight="1" x14ac:dyDescent="0.25">
      <c r="A383" s="64">
        <f t="shared" si="15"/>
        <v>250</v>
      </c>
      <c r="B383" s="86" t="s">
        <v>303</v>
      </c>
      <c r="C383" s="87"/>
      <c r="D383" s="64">
        <f>228.258</f>
        <v>228.25800000000001</v>
      </c>
      <c r="E383" s="64">
        <f t="shared" si="14"/>
        <v>2456.9691119999998</v>
      </c>
      <c r="F383" s="64">
        <f>(410.864)*10.764</f>
        <v>4422.5400959999997</v>
      </c>
      <c r="G383" s="86" t="s">
        <v>31</v>
      </c>
      <c r="H383" s="87" t="s">
        <v>31</v>
      </c>
      <c r="I383" s="36"/>
      <c r="L383" s="88"/>
      <c r="M383" s="88"/>
      <c r="N383" s="36"/>
      <c r="T383" s="21"/>
    </row>
    <row r="384" spans="1:20" s="67" customFormat="1" ht="15.75" customHeight="1" x14ac:dyDescent="0.25">
      <c r="A384" s="64">
        <f t="shared" si="15"/>
        <v>251</v>
      </c>
      <c r="B384" s="86" t="s">
        <v>304</v>
      </c>
      <c r="C384" s="87"/>
      <c r="D384" s="64">
        <f>198</f>
        <v>198</v>
      </c>
      <c r="E384" s="64">
        <f t="shared" si="14"/>
        <v>2131.2719999999999</v>
      </c>
      <c r="F384" s="64">
        <f t="shared" ref="F384:F392" si="19">(356.4)*10.764</f>
        <v>3836.2895999999996</v>
      </c>
      <c r="G384" s="86" t="s">
        <v>31</v>
      </c>
      <c r="H384" s="87" t="s">
        <v>31</v>
      </c>
      <c r="I384" s="36"/>
      <c r="L384" s="88"/>
      <c r="M384" s="88"/>
      <c r="N384" s="36"/>
      <c r="T384" s="21"/>
    </row>
    <row r="385" spans="1:20" s="67" customFormat="1" ht="15.75" customHeight="1" x14ac:dyDescent="0.25">
      <c r="A385" s="64">
        <f t="shared" si="15"/>
        <v>252</v>
      </c>
      <c r="B385" s="86" t="s">
        <v>304</v>
      </c>
      <c r="C385" s="87"/>
      <c r="D385" s="64">
        <f>198</f>
        <v>198</v>
      </c>
      <c r="E385" s="64">
        <f t="shared" si="14"/>
        <v>2131.2719999999999</v>
      </c>
      <c r="F385" s="64">
        <f t="shared" si="19"/>
        <v>3836.2895999999996</v>
      </c>
      <c r="G385" s="86" t="s">
        <v>31</v>
      </c>
      <c r="H385" s="87" t="s">
        <v>31</v>
      </c>
      <c r="I385" s="36"/>
      <c r="L385" s="88"/>
      <c r="M385" s="88"/>
      <c r="N385" s="36"/>
      <c r="T385" s="21"/>
    </row>
    <row r="386" spans="1:20" s="67" customFormat="1" ht="15.75" customHeight="1" x14ac:dyDescent="0.25">
      <c r="A386" s="64">
        <f t="shared" si="15"/>
        <v>253</v>
      </c>
      <c r="B386" s="86" t="s">
        <v>304</v>
      </c>
      <c r="C386" s="87"/>
      <c r="D386" s="64">
        <f>198</f>
        <v>198</v>
      </c>
      <c r="E386" s="64">
        <f t="shared" si="14"/>
        <v>2131.2719999999999</v>
      </c>
      <c r="F386" s="64">
        <f t="shared" si="19"/>
        <v>3836.2895999999996</v>
      </c>
      <c r="G386" s="86" t="s">
        <v>31</v>
      </c>
      <c r="H386" s="87" t="s">
        <v>31</v>
      </c>
      <c r="I386" s="1">
        <f>135626.442*10.764</f>
        <v>1459883.0216880001</v>
      </c>
      <c r="L386" s="88"/>
      <c r="M386" s="88"/>
      <c r="N386" s="36"/>
      <c r="T386" s="21"/>
    </row>
    <row r="387" spans="1:20" s="67" customFormat="1" ht="15.75" customHeight="1" x14ac:dyDescent="0.25">
      <c r="A387" s="64">
        <f t="shared" si="15"/>
        <v>254</v>
      </c>
      <c r="B387" s="86" t="s">
        <v>304</v>
      </c>
      <c r="C387" s="87"/>
      <c r="D387" s="64">
        <f>198</f>
        <v>198</v>
      </c>
      <c r="E387" s="64">
        <f t="shared" si="14"/>
        <v>2131.2719999999999</v>
      </c>
      <c r="F387" s="64">
        <f t="shared" si="19"/>
        <v>3836.2895999999996</v>
      </c>
      <c r="G387" s="86" t="s">
        <v>31</v>
      </c>
      <c r="H387" s="87" t="s">
        <v>31</v>
      </c>
      <c r="I387" s="36"/>
      <c r="L387" s="88"/>
      <c r="M387" s="88"/>
      <c r="N387" s="36"/>
      <c r="T387" s="21"/>
    </row>
    <row r="388" spans="1:20" s="67" customFormat="1" ht="15.75" customHeight="1" x14ac:dyDescent="0.25">
      <c r="A388" s="64">
        <f t="shared" si="15"/>
        <v>255</v>
      </c>
      <c r="B388" s="86" t="s">
        <v>304</v>
      </c>
      <c r="C388" s="87"/>
      <c r="D388" s="64">
        <f>198</f>
        <v>198</v>
      </c>
      <c r="E388" s="64">
        <f t="shared" si="14"/>
        <v>2131.2719999999999</v>
      </c>
      <c r="F388" s="64">
        <f t="shared" si="19"/>
        <v>3836.2895999999996</v>
      </c>
      <c r="G388" s="86" t="s">
        <v>31</v>
      </c>
      <c r="H388" s="87" t="s">
        <v>31</v>
      </c>
      <c r="I388" s="36"/>
      <c r="L388" s="88"/>
      <c r="M388" s="88"/>
      <c r="N388" s="36"/>
      <c r="T388" s="21"/>
    </row>
    <row r="389" spans="1:20" s="67" customFormat="1" ht="15.75" customHeight="1" x14ac:dyDescent="0.25">
      <c r="A389" s="64">
        <f t="shared" si="15"/>
        <v>256</v>
      </c>
      <c r="B389" s="86" t="s">
        <v>304</v>
      </c>
      <c r="C389" s="87"/>
      <c r="D389" s="64">
        <f>198</f>
        <v>198</v>
      </c>
      <c r="E389" s="64">
        <f t="shared" si="14"/>
        <v>2131.2719999999999</v>
      </c>
      <c r="F389" s="64">
        <f t="shared" si="19"/>
        <v>3836.2895999999996</v>
      </c>
      <c r="G389" s="86" t="s">
        <v>31</v>
      </c>
      <c r="H389" s="87" t="s">
        <v>31</v>
      </c>
      <c r="I389" s="36"/>
      <c r="L389" s="88"/>
      <c r="M389" s="88"/>
      <c r="N389" s="36"/>
      <c r="T389" s="21"/>
    </row>
    <row r="390" spans="1:20" s="67" customFormat="1" ht="15.75" customHeight="1" x14ac:dyDescent="0.25">
      <c r="A390" s="64">
        <f t="shared" si="15"/>
        <v>257</v>
      </c>
      <c r="B390" s="86" t="s">
        <v>304</v>
      </c>
      <c r="C390" s="87"/>
      <c r="D390" s="64">
        <f>198</f>
        <v>198</v>
      </c>
      <c r="E390" s="64">
        <f t="shared" si="14"/>
        <v>2131.2719999999999</v>
      </c>
      <c r="F390" s="64">
        <f t="shared" si="19"/>
        <v>3836.2895999999996</v>
      </c>
      <c r="G390" s="86" t="s">
        <v>31</v>
      </c>
      <c r="H390" s="87" t="s">
        <v>31</v>
      </c>
      <c r="I390" s="36"/>
      <c r="L390" s="88"/>
      <c r="M390" s="88"/>
      <c r="N390" s="36"/>
      <c r="T390" s="21"/>
    </row>
    <row r="391" spans="1:20" s="67" customFormat="1" ht="15.75" customHeight="1" x14ac:dyDescent="0.25">
      <c r="A391" s="64">
        <f t="shared" si="15"/>
        <v>258</v>
      </c>
      <c r="B391" s="86" t="s">
        <v>304</v>
      </c>
      <c r="C391" s="87"/>
      <c r="D391" s="64">
        <f>198</f>
        <v>198</v>
      </c>
      <c r="E391" s="64">
        <f t="shared" ref="E391:E450" si="20">D391*10.764</f>
        <v>2131.2719999999999</v>
      </c>
      <c r="F391" s="64">
        <f t="shared" si="19"/>
        <v>3836.2895999999996</v>
      </c>
      <c r="G391" s="86" t="s">
        <v>31</v>
      </c>
      <c r="H391" s="87" t="s">
        <v>31</v>
      </c>
      <c r="I391" s="36"/>
      <c r="L391" s="88"/>
      <c r="M391" s="88"/>
      <c r="N391" s="36"/>
      <c r="T391" s="21"/>
    </row>
    <row r="392" spans="1:20" s="67" customFormat="1" ht="15.75" customHeight="1" x14ac:dyDescent="0.25">
      <c r="A392" s="64">
        <f t="shared" ref="A392:A451" si="21">A391+1</f>
        <v>259</v>
      </c>
      <c r="B392" s="86" t="s">
        <v>304</v>
      </c>
      <c r="C392" s="87"/>
      <c r="D392" s="64">
        <f>198</f>
        <v>198</v>
      </c>
      <c r="E392" s="64">
        <f t="shared" si="20"/>
        <v>2131.2719999999999</v>
      </c>
      <c r="F392" s="64">
        <f t="shared" si="19"/>
        <v>3836.2895999999996</v>
      </c>
      <c r="G392" s="86" t="s">
        <v>31</v>
      </c>
      <c r="H392" s="87" t="s">
        <v>31</v>
      </c>
      <c r="I392" s="36"/>
      <c r="L392" s="88"/>
      <c r="M392" s="88"/>
      <c r="N392" s="36"/>
      <c r="T392" s="21"/>
    </row>
    <row r="393" spans="1:20" s="67" customFormat="1" ht="15.75" customHeight="1" x14ac:dyDescent="0.25">
      <c r="A393" s="64">
        <f t="shared" si="21"/>
        <v>260</v>
      </c>
      <c r="B393" s="86" t="s">
        <v>304</v>
      </c>
      <c r="C393" s="87"/>
      <c r="D393" s="64">
        <f>201.248</f>
        <v>201.24799999999999</v>
      </c>
      <c r="E393" s="64">
        <f t="shared" si="20"/>
        <v>2166.2334719999999</v>
      </c>
      <c r="F393" s="64">
        <f>(362.246)*10.764</f>
        <v>3899.2159439999996</v>
      </c>
      <c r="G393" s="86" t="s">
        <v>31</v>
      </c>
      <c r="H393" s="87" t="s">
        <v>31</v>
      </c>
      <c r="I393" s="36"/>
      <c r="L393" s="88"/>
      <c r="M393" s="88"/>
      <c r="N393" s="36"/>
      <c r="T393" s="21"/>
    </row>
    <row r="394" spans="1:20" s="67" customFormat="1" ht="15.75" customHeight="1" x14ac:dyDescent="0.25">
      <c r="A394" s="64">
        <f t="shared" si="21"/>
        <v>261</v>
      </c>
      <c r="B394" s="86" t="s">
        <v>303</v>
      </c>
      <c r="C394" s="87"/>
      <c r="D394" s="64">
        <f>277.916</f>
        <v>277.916</v>
      </c>
      <c r="E394" s="64">
        <f t="shared" si="20"/>
        <v>2991.4878239999998</v>
      </c>
      <c r="F394" s="64">
        <f>(506.126)*10.764</f>
        <v>5447.9402639999998</v>
      </c>
      <c r="G394" s="86" t="s">
        <v>31</v>
      </c>
      <c r="H394" s="87" t="s">
        <v>31</v>
      </c>
      <c r="I394" s="36"/>
      <c r="L394" s="88"/>
      <c r="M394" s="88"/>
      <c r="N394" s="36"/>
      <c r="T394" s="21"/>
    </row>
    <row r="395" spans="1:20" s="67" customFormat="1" ht="15.75" customHeight="1" x14ac:dyDescent="0.25">
      <c r="A395" s="64">
        <f t="shared" si="21"/>
        <v>262</v>
      </c>
      <c r="B395" s="86" t="s">
        <v>304</v>
      </c>
      <c r="C395" s="87"/>
      <c r="D395" s="64">
        <v>153.815</v>
      </c>
      <c r="E395" s="64">
        <f t="shared" si="20"/>
        <v>1655.6646599999999</v>
      </c>
      <c r="F395" s="64">
        <f>(278.312)*10.764</f>
        <v>2995.750368</v>
      </c>
      <c r="G395" s="86" t="s">
        <v>31</v>
      </c>
      <c r="H395" s="87" t="s">
        <v>31</v>
      </c>
      <c r="I395" s="36"/>
      <c r="L395" s="88"/>
      <c r="M395" s="88"/>
      <c r="N395" s="36"/>
      <c r="T395" s="21"/>
    </row>
    <row r="396" spans="1:20" s="67" customFormat="1" ht="15.75" customHeight="1" x14ac:dyDescent="0.25">
      <c r="A396" s="64">
        <f t="shared" si="21"/>
        <v>263</v>
      </c>
      <c r="B396" s="86" t="s">
        <v>304</v>
      </c>
      <c r="C396" s="87"/>
      <c r="D396" s="64">
        <f>153.603</f>
        <v>153.60300000000001</v>
      </c>
      <c r="E396" s="64">
        <f t="shared" si="20"/>
        <v>1653.3826919999999</v>
      </c>
      <c r="F396" s="64">
        <f>(280.066)*10.764</f>
        <v>3014.6304239999995</v>
      </c>
      <c r="G396" s="86" t="s">
        <v>31</v>
      </c>
      <c r="H396" s="87" t="s">
        <v>31</v>
      </c>
      <c r="I396" s="36"/>
      <c r="L396" s="88"/>
      <c r="M396" s="88"/>
      <c r="N396" s="36"/>
      <c r="T396" s="21"/>
    </row>
    <row r="397" spans="1:20" s="67" customFormat="1" ht="15.75" customHeight="1" x14ac:dyDescent="0.25">
      <c r="A397" s="64">
        <f t="shared" si="21"/>
        <v>264</v>
      </c>
      <c r="B397" s="86" t="s">
        <v>304</v>
      </c>
      <c r="C397" s="87"/>
      <c r="D397" s="64">
        <f>153.392</f>
        <v>153.392</v>
      </c>
      <c r="E397" s="64">
        <f t="shared" si="20"/>
        <v>1651.1114879999998</v>
      </c>
      <c r="F397" s="64">
        <f>(281.704)*10.764</f>
        <v>3032.2618560000001</v>
      </c>
      <c r="G397" s="86" t="s">
        <v>31</v>
      </c>
      <c r="H397" s="87" t="s">
        <v>31</v>
      </c>
      <c r="I397" s="36"/>
      <c r="L397" s="88"/>
      <c r="M397" s="88"/>
      <c r="N397" s="36"/>
      <c r="T397" s="21"/>
    </row>
    <row r="398" spans="1:20" s="67" customFormat="1" ht="15.75" customHeight="1" x14ac:dyDescent="0.25">
      <c r="A398" s="64">
        <f t="shared" si="21"/>
        <v>265</v>
      </c>
      <c r="B398" s="86" t="s">
        <v>304</v>
      </c>
      <c r="C398" s="87"/>
      <c r="D398" s="64">
        <f>153.18</f>
        <v>153.18</v>
      </c>
      <c r="E398" s="64">
        <f t="shared" si="20"/>
        <v>1648.82952</v>
      </c>
      <c r="F398" s="64">
        <f>(283.262)*10.764</f>
        <v>3049.0321679999997</v>
      </c>
      <c r="G398" s="86" t="s">
        <v>31</v>
      </c>
      <c r="H398" s="87" t="s">
        <v>31</v>
      </c>
      <c r="I398" s="36"/>
      <c r="L398" s="88"/>
      <c r="M398" s="88"/>
      <c r="N398" s="36"/>
      <c r="T398" s="21"/>
    </row>
    <row r="399" spans="1:20" s="67" customFormat="1" ht="15.75" customHeight="1" x14ac:dyDescent="0.25">
      <c r="A399" s="64">
        <f t="shared" si="21"/>
        <v>266</v>
      </c>
      <c r="B399" s="86" t="s">
        <v>304</v>
      </c>
      <c r="C399" s="87"/>
      <c r="D399" s="64">
        <f>152.97</f>
        <v>152.97</v>
      </c>
      <c r="E399" s="64">
        <f t="shared" si="20"/>
        <v>1646.56908</v>
      </c>
      <c r="F399" s="64">
        <f>(284.744)*10.764</f>
        <v>3064.9844160000002</v>
      </c>
      <c r="G399" s="86" t="s">
        <v>31</v>
      </c>
      <c r="H399" s="87" t="s">
        <v>31</v>
      </c>
      <c r="I399" s="36"/>
      <c r="L399" s="88"/>
      <c r="M399" s="88"/>
      <c r="N399" s="36"/>
      <c r="T399" s="21"/>
    </row>
    <row r="400" spans="1:20" s="67" customFormat="1" ht="15.75" customHeight="1" x14ac:dyDescent="0.25">
      <c r="A400" s="64">
        <f t="shared" si="21"/>
        <v>267</v>
      </c>
      <c r="B400" s="86" t="s">
        <v>304</v>
      </c>
      <c r="C400" s="87"/>
      <c r="D400" s="64">
        <f>152.758</f>
        <v>152.75800000000001</v>
      </c>
      <c r="E400" s="64">
        <f t="shared" si="20"/>
        <v>1644.287112</v>
      </c>
      <c r="F400" s="64">
        <f>(286.159)*10.764</f>
        <v>3080.2154759999999</v>
      </c>
      <c r="G400" s="86" t="s">
        <v>31</v>
      </c>
      <c r="H400" s="87" t="s">
        <v>31</v>
      </c>
      <c r="I400" s="36"/>
      <c r="L400" s="88"/>
      <c r="M400" s="88"/>
      <c r="N400" s="36"/>
      <c r="T400" s="21"/>
    </row>
    <row r="401" spans="1:20" s="67" customFormat="1" ht="15.75" customHeight="1" x14ac:dyDescent="0.25">
      <c r="A401" s="64">
        <f t="shared" si="21"/>
        <v>268</v>
      </c>
      <c r="B401" s="86" t="s">
        <v>304</v>
      </c>
      <c r="C401" s="87"/>
      <c r="D401" s="64">
        <f>152.546</f>
        <v>152.54599999999999</v>
      </c>
      <c r="E401" s="64">
        <f t="shared" si="20"/>
        <v>1642.0051439999997</v>
      </c>
      <c r="F401" s="64">
        <f>(287.221)*10.764</f>
        <v>3091.6468439999999</v>
      </c>
      <c r="G401" s="86" t="s">
        <v>31</v>
      </c>
      <c r="H401" s="87" t="s">
        <v>31</v>
      </c>
      <c r="I401" s="36"/>
      <c r="L401" s="88"/>
      <c r="M401" s="88"/>
      <c r="N401" s="36"/>
      <c r="T401" s="21"/>
    </row>
    <row r="402" spans="1:20" s="67" customFormat="1" ht="15.75" customHeight="1" x14ac:dyDescent="0.25">
      <c r="A402" s="64">
        <f t="shared" si="21"/>
        <v>269</v>
      </c>
      <c r="B402" s="86" t="s">
        <v>304</v>
      </c>
      <c r="C402" s="87"/>
      <c r="D402" s="64">
        <f>152.337</f>
        <v>152.33699999999999</v>
      </c>
      <c r="E402" s="64">
        <f t="shared" si="20"/>
        <v>1639.7554679999998</v>
      </c>
      <c r="F402" s="64">
        <f>(288.283)*10.764</f>
        <v>3103.0782119999999</v>
      </c>
      <c r="G402" s="86" t="s">
        <v>31</v>
      </c>
      <c r="H402" s="87" t="s">
        <v>31</v>
      </c>
      <c r="I402" s="36"/>
      <c r="L402" s="88"/>
      <c r="M402" s="88"/>
      <c r="N402" s="36"/>
      <c r="T402" s="21"/>
    </row>
    <row r="403" spans="1:20" s="67" customFormat="1" ht="15.75" customHeight="1" x14ac:dyDescent="0.25">
      <c r="A403" s="64">
        <f t="shared" si="21"/>
        <v>270</v>
      </c>
      <c r="B403" s="86" t="s">
        <v>304</v>
      </c>
      <c r="C403" s="87"/>
      <c r="D403" s="64">
        <f>152.125</f>
        <v>152.125</v>
      </c>
      <c r="E403" s="64">
        <f t="shared" si="20"/>
        <v>1637.4734999999998</v>
      </c>
      <c r="F403" s="64">
        <f>(289.422)*10.764</f>
        <v>3115.3384080000001</v>
      </c>
      <c r="G403" s="86" t="s">
        <v>31</v>
      </c>
      <c r="H403" s="87" t="s">
        <v>31</v>
      </c>
      <c r="I403" s="36"/>
      <c r="L403" s="88"/>
      <c r="M403" s="88"/>
      <c r="N403" s="36"/>
      <c r="T403" s="21"/>
    </row>
    <row r="404" spans="1:20" s="67" customFormat="1" ht="15.75" customHeight="1" x14ac:dyDescent="0.25">
      <c r="A404" s="64">
        <f t="shared" si="21"/>
        <v>271</v>
      </c>
      <c r="B404" s="86" t="s">
        <v>303</v>
      </c>
      <c r="C404" s="87"/>
      <c r="D404" s="64">
        <f>202.12</f>
        <v>202.12</v>
      </c>
      <c r="E404" s="64">
        <f t="shared" si="20"/>
        <v>2175.6196799999998</v>
      </c>
      <c r="F404" s="64">
        <f>(378.162)*10.764</f>
        <v>4070.5357679999997</v>
      </c>
      <c r="G404" s="86" t="s">
        <v>31</v>
      </c>
      <c r="H404" s="87" t="s">
        <v>31</v>
      </c>
      <c r="I404" s="36"/>
      <c r="L404" s="88"/>
      <c r="M404" s="88"/>
      <c r="N404" s="36"/>
      <c r="T404" s="21"/>
    </row>
    <row r="405" spans="1:20" s="67" customFormat="1" ht="15.75" customHeight="1" x14ac:dyDescent="0.25">
      <c r="A405" s="64">
        <f t="shared" si="21"/>
        <v>272</v>
      </c>
      <c r="B405" s="86" t="s">
        <v>303</v>
      </c>
      <c r="C405" s="87"/>
      <c r="D405" s="64">
        <f>243.103</f>
        <v>243.10300000000001</v>
      </c>
      <c r="E405" s="64">
        <f t="shared" si="20"/>
        <v>2616.7606919999998</v>
      </c>
      <c r="F405" s="64">
        <f>(444.641)*10.764</f>
        <v>4786.1157240000002</v>
      </c>
      <c r="G405" s="86" t="s">
        <v>31</v>
      </c>
      <c r="H405" s="87" t="s">
        <v>31</v>
      </c>
      <c r="I405" s="36"/>
      <c r="L405" s="88"/>
      <c r="M405" s="88"/>
      <c r="N405" s="36"/>
      <c r="T405" s="21"/>
    </row>
    <row r="406" spans="1:20" s="67" customFormat="1" ht="15.75" customHeight="1" x14ac:dyDescent="0.25">
      <c r="A406" s="64">
        <f t="shared" si="21"/>
        <v>273</v>
      </c>
      <c r="B406" s="86" t="s">
        <v>303</v>
      </c>
      <c r="C406" s="87"/>
      <c r="D406" s="64">
        <f>211.778</f>
        <v>211.77799999999999</v>
      </c>
      <c r="E406" s="64">
        <f t="shared" si="20"/>
        <v>2279.5783919999999</v>
      </c>
      <c r="F406" s="64">
        <f>(403.542)*10.764</f>
        <v>4343.7260879999994</v>
      </c>
      <c r="G406" s="86" t="s">
        <v>31</v>
      </c>
      <c r="H406" s="87" t="s">
        <v>31</v>
      </c>
      <c r="I406" s="36"/>
      <c r="L406" s="88"/>
      <c r="M406" s="88"/>
      <c r="N406" s="36"/>
      <c r="T406" s="21"/>
    </row>
    <row r="407" spans="1:20" s="67" customFormat="1" ht="15.75" customHeight="1" x14ac:dyDescent="0.25">
      <c r="A407" s="64">
        <f t="shared" si="21"/>
        <v>274</v>
      </c>
      <c r="B407" s="86" t="s">
        <v>303</v>
      </c>
      <c r="C407" s="87"/>
      <c r="D407" s="64">
        <f>204.864</f>
        <v>204.864</v>
      </c>
      <c r="E407" s="64">
        <f t="shared" si="20"/>
        <v>2205.1560959999997</v>
      </c>
      <c r="F407" s="64">
        <f>(372.656)*10.764</f>
        <v>4011.2691839999998</v>
      </c>
      <c r="G407" s="86" t="s">
        <v>31</v>
      </c>
      <c r="H407" s="87" t="s">
        <v>31</v>
      </c>
      <c r="I407" s="36"/>
      <c r="L407" s="88"/>
      <c r="M407" s="88"/>
      <c r="N407" s="36"/>
      <c r="T407" s="21"/>
    </row>
    <row r="408" spans="1:20" s="67" customFormat="1" ht="15.75" customHeight="1" x14ac:dyDescent="0.25">
      <c r="A408" s="64">
        <f t="shared" si="21"/>
        <v>275</v>
      </c>
      <c r="B408" s="86" t="s">
        <v>303</v>
      </c>
      <c r="C408" s="87"/>
      <c r="D408" s="64">
        <f>195.095</f>
        <v>195.095</v>
      </c>
      <c r="E408" s="64">
        <f t="shared" si="20"/>
        <v>2100.0025799999999</v>
      </c>
      <c r="F408" s="64">
        <f>(351.171)*10.764</f>
        <v>3780.0046439999996</v>
      </c>
      <c r="G408" s="86" t="s">
        <v>31</v>
      </c>
      <c r="H408" s="87" t="s">
        <v>31</v>
      </c>
      <c r="I408" s="36"/>
      <c r="L408" s="88"/>
      <c r="M408" s="88"/>
      <c r="N408" s="36"/>
      <c r="T408" s="21"/>
    </row>
    <row r="409" spans="1:20" s="67" customFormat="1" ht="15.75" customHeight="1" x14ac:dyDescent="0.25">
      <c r="A409" s="64">
        <f t="shared" si="21"/>
        <v>276</v>
      </c>
      <c r="B409" s="86" t="s">
        <v>303</v>
      </c>
      <c r="C409" s="87"/>
      <c r="D409" s="64">
        <f>671.746</f>
        <v>671.74599999999998</v>
      </c>
      <c r="E409" s="64">
        <f t="shared" si="20"/>
        <v>7230.6739439999992</v>
      </c>
      <c r="F409" s="64">
        <f>(1209.143)*10.764</f>
        <v>13015.215252</v>
      </c>
      <c r="G409" s="86" t="s">
        <v>31</v>
      </c>
      <c r="H409" s="87" t="s">
        <v>31</v>
      </c>
      <c r="I409" s="36"/>
      <c r="L409" s="88"/>
      <c r="M409" s="88"/>
      <c r="N409" s="36"/>
      <c r="T409" s="21"/>
    </row>
    <row r="410" spans="1:20" s="67" customFormat="1" ht="15.75" customHeight="1" x14ac:dyDescent="0.25">
      <c r="A410" s="64">
        <f>A409+2</f>
        <v>278</v>
      </c>
      <c r="B410" s="86" t="s">
        <v>303</v>
      </c>
      <c r="C410" s="87"/>
      <c r="D410" s="64">
        <f>589.963</f>
        <v>589.96299999999997</v>
      </c>
      <c r="E410" s="64">
        <f t="shared" si="20"/>
        <v>6350.3617319999994</v>
      </c>
      <c r="F410" s="64">
        <f>(1061.933)*10.764</f>
        <v>11430.646811999999</v>
      </c>
      <c r="G410" s="86" t="s">
        <v>31</v>
      </c>
      <c r="H410" s="87" t="s">
        <v>31</v>
      </c>
      <c r="I410" s="36"/>
      <c r="L410" s="88"/>
      <c r="M410" s="88"/>
      <c r="N410" s="36"/>
      <c r="T410" s="21"/>
    </row>
    <row r="411" spans="1:20" s="67" customFormat="1" ht="15.75" customHeight="1" x14ac:dyDescent="0.25">
      <c r="A411" s="64">
        <f>A410+2</f>
        <v>280</v>
      </c>
      <c r="B411" s="86" t="s">
        <v>303</v>
      </c>
      <c r="C411" s="87"/>
      <c r="D411" s="64">
        <f>570.033</f>
        <v>570.03300000000002</v>
      </c>
      <c r="E411" s="64">
        <f t="shared" si="20"/>
        <v>6135.835212</v>
      </c>
      <c r="F411" s="64">
        <f>(1026.059)*10.764</f>
        <v>11044.499075999998</v>
      </c>
      <c r="G411" s="86" t="s">
        <v>31</v>
      </c>
      <c r="H411" s="87" t="s">
        <v>31</v>
      </c>
      <c r="I411" s="36"/>
      <c r="L411" s="88"/>
      <c r="M411" s="88"/>
      <c r="N411" s="36"/>
      <c r="T411" s="21"/>
    </row>
    <row r="412" spans="1:20" s="67" customFormat="1" ht="15.75" customHeight="1" x14ac:dyDescent="0.25">
      <c r="A412" s="64">
        <f>A411+2</f>
        <v>282</v>
      </c>
      <c r="B412" s="86" t="s">
        <v>304</v>
      </c>
      <c r="C412" s="87"/>
      <c r="D412" s="64">
        <f>164.382</f>
        <v>164.38200000000001</v>
      </c>
      <c r="E412" s="64">
        <f t="shared" si="20"/>
        <v>1769.4078480000001</v>
      </c>
      <c r="F412" s="64">
        <f>(295.888)*10.764</f>
        <v>3184.9384319999995</v>
      </c>
      <c r="G412" s="86" t="s">
        <v>31</v>
      </c>
      <c r="H412" s="87" t="s">
        <v>31</v>
      </c>
      <c r="I412" s="36"/>
      <c r="L412" s="88"/>
      <c r="M412" s="88"/>
      <c r="N412" s="36"/>
      <c r="T412" s="21"/>
    </row>
    <row r="413" spans="1:20" s="67" customFormat="1" ht="15.75" customHeight="1" x14ac:dyDescent="0.25">
      <c r="A413" s="64">
        <f t="shared" si="21"/>
        <v>283</v>
      </c>
      <c r="B413" s="86" t="s">
        <v>304</v>
      </c>
      <c r="C413" s="87"/>
      <c r="D413" s="64">
        <f>150</f>
        <v>150</v>
      </c>
      <c r="E413" s="64">
        <f t="shared" si="20"/>
        <v>1614.6</v>
      </c>
      <c r="F413" s="64">
        <f>(270)*10.764</f>
        <v>2906.2799999999997</v>
      </c>
      <c r="G413" s="86" t="s">
        <v>31</v>
      </c>
      <c r="H413" s="87" t="s">
        <v>31</v>
      </c>
      <c r="I413" s="36"/>
      <c r="L413" s="88"/>
      <c r="M413" s="88"/>
      <c r="N413" s="36"/>
      <c r="T413" s="21"/>
    </row>
    <row r="414" spans="1:20" s="67" customFormat="1" ht="15.75" customHeight="1" x14ac:dyDescent="0.25">
      <c r="A414" s="64">
        <f t="shared" si="21"/>
        <v>284</v>
      </c>
      <c r="B414" s="86" t="s">
        <v>304</v>
      </c>
      <c r="C414" s="87"/>
      <c r="D414" s="64">
        <f>150</f>
        <v>150</v>
      </c>
      <c r="E414" s="64">
        <f t="shared" si="20"/>
        <v>1614.6</v>
      </c>
      <c r="F414" s="64">
        <f>(270)*10.764</f>
        <v>2906.2799999999997</v>
      </c>
      <c r="G414" s="86" t="s">
        <v>31</v>
      </c>
      <c r="H414" s="87" t="s">
        <v>31</v>
      </c>
      <c r="I414" s="36"/>
      <c r="L414" s="88"/>
      <c r="M414" s="88"/>
      <c r="N414" s="36"/>
      <c r="T414" s="21"/>
    </row>
    <row r="415" spans="1:20" s="67" customFormat="1" ht="15.75" customHeight="1" x14ac:dyDescent="0.25">
      <c r="A415" s="64">
        <f t="shared" si="21"/>
        <v>285</v>
      </c>
      <c r="B415" s="86" t="s">
        <v>304</v>
      </c>
      <c r="C415" s="87"/>
      <c r="D415" s="64">
        <f>150</f>
        <v>150</v>
      </c>
      <c r="E415" s="64">
        <f t="shared" si="20"/>
        <v>1614.6</v>
      </c>
      <c r="F415" s="64">
        <f>(270)*10.764</f>
        <v>2906.2799999999997</v>
      </c>
      <c r="G415" s="86" t="s">
        <v>31</v>
      </c>
      <c r="H415" s="87" t="s">
        <v>31</v>
      </c>
      <c r="I415" s="36"/>
      <c r="L415" s="88"/>
      <c r="M415" s="88"/>
      <c r="N415" s="36"/>
      <c r="T415" s="21"/>
    </row>
    <row r="416" spans="1:20" s="67" customFormat="1" ht="15.75" customHeight="1" x14ac:dyDescent="0.25">
      <c r="A416" s="64">
        <f t="shared" si="21"/>
        <v>286</v>
      </c>
      <c r="B416" s="86" t="s">
        <v>304</v>
      </c>
      <c r="C416" s="87"/>
      <c r="D416" s="64">
        <f>213.153</f>
        <v>213.15299999999999</v>
      </c>
      <c r="E416" s="64">
        <f t="shared" si="20"/>
        <v>2294.3788919999997</v>
      </c>
      <c r="F416" s="64">
        <f>(383.675)*10.764</f>
        <v>4129.8777</v>
      </c>
      <c r="G416" s="86" t="s">
        <v>31</v>
      </c>
      <c r="H416" s="87" t="s">
        <v>31</v>
      </c>
      <c r="I416" s="36"/>
      <c r="L416" s="88"/>
      <c r="M416" s="88"/>
      <c r="N416" s="36"/>
      <c r="T416" s="21"/>
    </row>
    <row r="417" spans="1:20" s="67" customFormat="1" ht="15.75" customHeight="1" x14ac:dyDescent="0.25">
      <c r="A417" s="64">
        <f t="shared" si="21"/>
        <v>287</v>
      </c>
      <c r="B417" s="86" t="s">
        <v>304</v>
      </c>
      <c r="C417" s="87"/>
      <c r="D417" s="64">
        <f>213.153</f>
        <v>213.15299999999999</v>
      </c>
      <c r="E417" s="64">
        <f t="shared" si="20"/>
        <v>2294.3788919999997</v>
      </c>
      <c r="F417" s="64">
        <f>(383.675)*10.764</f>
        <v>4129.8777</v>
      </c>
      <c r="G417" s="86" t="s">
        <v>31</v>
      </c>
      <c r="H417" s="87" t="s">
        <v>31</v>
      </c>
      <c r="I417" s="36"/>
      <c r="L417" s="88"/>
      <c r="M417" s="88"/>
      <c r="N417" s="36"/>
      <c r="T417" s="21"/>
    </row>
    <row r="418" spans="1:20" s="67" customFormat="1" ht="15.75" customHeight="1" x14ac:dyDescent="0.25">
      <c r="A418" s="64">
        <f t="shared" si="21"/>
        <v>288</v>
      </c>
      <c r="B418" s="86" t="s">
        <v>304</v>
      </c>
      <c r="C418" s="87"/>
      <c r="D418" s="64">
        <f>150</f>
        <v>150</v>
      </c>
      <c r="E418" s="64">
        <f t="shared" si="20"/>
        <v>1614.6</v>
      </c>
      <c r="F418" s="64">
        <f>(270)*10.764</f>
        <v>2906.2799999999997</v>
      </c>
      <c r="G418" s="86" t="s">
        <v>31</v>
      </c>
      <c r="H418" s="87" t="s">
        <v>31</v>
      </c>
      <c r="I418" s="36"/>
      <c r="L418" s="88"/>
      <c r="M418" s="88"/>
      <c r="N418" s="36"/>
      <c r="T418" s="21"/>
    </row>
    <row r="419" spans="1:20" s="67" customFormat="1" ht="15.75" customHeight="1" x14ac:dyDescent="0.25">
      <c r="A419" s="64">
        <f t="shared" si="21"/>
        <v>289</v>
      </c>
      <c r="B419" s="86" t="s">
        <v>304</v>
      </c>
      <c r="C419" s="87"/>
      <c r="D419" s="64">
        <f>150</f>
        <v>150</v>
      </c>
      <c r="E419" s="64">
        <f t="shared" si="20"/>
        <v>1614.6</v>
      </c>
      <c r="F419" s="64">
        <f>(270)*10.764</f>
        <v>2906.2799999999997</v>
      </c>
      <c r="G419" s="86" t="s">
        <v>31</v>
      </c>
      <c r="H419" s="87" t="s">
        <v>31</v>
      </c>
      <c r="I419" s="36"/>
      <c r="L419" s="88"/>
      <c r="M419" s="88"/>
      <c r="N419" s="36"/>
      <c r="T419" s="21"/>
    </row>
    <row r="420" spans="1:20" s="75" customFormat="1" ht="15.75" customHeight="1" x14ac:dyDescent="0.25">
      <c r="A420" s="73">
        <f t="shared" si="21"/>
        <v>290</v>
      </c>
      <c r="B420" s="239" t="s">
        <v>304</v>
      </c>
      <c r="C420" s="240"/>
      <c r="D420" s="73">
        <f>150</f>
        <v>150</v>
      </c>
      <c r="E420" s="73">
        <f t="shared" si="20"/>
        <v>1614.6</v>
      </c>
      <c r="F420" s="73">
        <f>(270)*10.764</f>
        <v>2906.2799999999997</v>
      </c>
      <c r="G420" s="239" t="s">
        <v>31</v>
      </c>
      <c r="H420" s="240" t="s">
        <v>31</v>
      </c>
      <c r="I420" s="74"/>
      <c r="L420" s="241"/>
      <c r="M420" s="241"/>
      <c r="N420" s="74"/>
      <c r="T420" s="76"/>
    </row>
    <row r="421" spans="1:20" s="75" customFormat="1" ht="15.75" customHeight="1" x14ac:dyDescent="0.25">
      <c r="A421" s="73">
        <f t="shared" si="21"/>
        <v>291</v>
      </c>
      <c r="B421" s="239" t="s">
        <v>304</v>
      </c>
      <c r="C421" s="240"/>
      <c r="D421" s="73">
        <v>164.38200000000001</v>
      </c>
      <c r="E421" s="73">
        <f t="shared" si="20"/>
        <v>1769.4078480000001</v>
      </c>
      <c r="F421" s="73">
        <f>(295.887)*10.764</f>
        <v>3184.9276679999998</v>
      </c>
      <c r="G421" s="239" t="s">
        <v>31</v>
      </c>
      <c r="H421" s="240" t="s">
        <v>31</v>
      </c>
      <c r="I421" s="74"/>
      <c r="L421" s="241"/>
      <c r="M421" s="241"/>
      <c r="N421" s="74"/>
      <c r="T421" s="76"/>
    </row>
    <row r="422" spans="1:20" s="67" customFormat="1" ht="15.75" customHeight="1" x14ac:dyDescent="0.25">
      <c r="A422" s="64">
        <f t="shared" si="21"/>
        <v>292</v>
      </c>
      <c r="B422" s="86" t="s">
        <v>304</v>
      </c>
      <c r="C422" s="87"/>
      <c r="D422" s="64">
        <f>236.841</f>
        <v>236.84100000000001</v>
      </c>
      <c r="E422" s="64">
        <f t="shared" si="20"/>
        <v>2549.3565239999998</v>
      </c>
      <c r="F422" s="64">
        <f>(426.314)*10.764</f>
        <v>4588.8438960000003</v>
      </c>
      <c r="G422" s="86" t="s">
        <v>31</v>
      </c>
      <c r="H422" s="87" t="s">
        <v>31</v>
      </c>
      <c r="I422" s="36"/>
      <c r="L422" s="88"/>
      <c r="M422" s="88"/>
      <c r="N422" s="36"/>
      <c r="T422" s="21"/>
    </row>
    <row r="423" spans="1:20" s="67" customFormat="1" ht="15.75" customHeight="1" x14ac:dyDescent="0.25">
      <c r="A423" s="64" t="s">
        <v>339</v>
      </c>
      <c r="B423" s="86" t="s">
        <v>304</v>
      </c>
      <c r="C423" s="87"/>
      <c r="D423" s="64">
        <f>249.835</f>
        <v>249.83500000000001</v>
      </c>
      <c r="E423" s="64">
        <f t="shared" si="20"/>
        <v>2689.2239399999999</v>
      </c>
      <c r="F423" s="64">
        <f>(449.703)*10.764</f>
        <v>4840.6030919999994</v>
      </c>
      <c r="G423" s="86" t="s">
        <v>31</v>
      </c>
      <c r="H423" s="87" t="s">
        <v>31</v>
      </c>
      <c r="I423" s="36"/>
      <c r="L423" s="88"/>
      <c r="M423" s="88"/>
      <c r="N423" s="36"/>
      <c r="T423" s="21"/>
    </row>
    <row r="424" spans="1:20" s="67" customFormat="1" ht="15.75" customHeight="1" x14ac:dyDescent="0.25">
      <c r="A424" s="64" t="s">
        <v>340</v>
      </c>
      <c r="B424" s="86" t="s">
        <v>304</v>
      </c>
      <c r="C424" s="87"/>
      <c r="D424" s="64">
        <v>247.82</v>
      </c>
      <c r="E424" s="64">
        <f t="shared" si="20"/>
        <v>2667.5344799999998</v>
      </c>
      <c r="F424" s="64">
        <f>(446.076)*10.764</f>
        <v>4801.5620639999997</v>
      </c>
      <c r="G424" s="86" t="s">
        <v>31</v>
      </c>
      <c r="H424" s="87" t="s">
        <v>31</v>
      </c>
      <c r="I424" s="36"/>
      <c r="L424" s="88"/>
      <c r="M424" s="88"/>
      <c r="N424" s="36"/>
      <c r="T424" s="21"/>
    </row>
    <row r="425" spans="1:20" s="67" customFormat="1" ht="15.75" customHeight="1" x14ac:dyDescent="0.25">
      <c r="A425" s="64">
        <f>A422+1</f>
        <v>293</v>
      </c>
      <c r="B425" s="86" t="s">
        <v>304</v>
      </c>
      <c r="C425" s="87"/>
      <c r="D425" s="64">
        <v>216.798</v>
      </c>
      <c r="E425" s="64">
        <f t="shared" si="20"/>
        <v>2333.613672</v>
      </c>
      <c r="F425" s="64">
        <f>(390.236)*10.764</f>
        <v>4200.5003039999992</v>
      </c>
      <c r="G425" s="86" t="s">
        <v>31</v>
      </c>
      <c r="H425" s="87" t="s">
        <v>31</v>
      </c>
      <c r="I425" s="36"/>
      <c r="L425" s="88"/>
      <c r="M425" s="88"/>
      <c r="N425" s="36"/>
      <c r="T425" s="21"/>
    </row>
    <row r="426" spans="1:20" s="67" customFormat="1" ht="15.75" customHeight="1" x14ac:dyDescent="0.25">
      <c r="A426" s="64">
        <f t="shared" si="21"/>
        <v>294</v>
      </c>
      <c r="B426" s="86" t="s">
        <v>304</v>
      </c>
      <c r="C426" s="87"/>
      <c r="D426" s="64">
        <v>227.80199999999999</v>
      </c>
      <c r="E426" s="64">
        <f t="shared" si="20"/>
        <v>2452.0607279999999</v>
      </c>
      <c r="F426" s="64">
        <f>(410.044)*10.764</f>
        <v>4413.7136159999991</v>
      </c>
      <c r="G426" s="86" t="s">
        <v>31</v>
      </c>
      <c r="H426" s="87" t="s">
        <v>31</v>
      </c>
      <c r="I426" s="36"/>
      <c r="L426" s="88"/>
      <c r="M426" s="88"/>
      <c r="N426" s="36"/>
      <c r="T426" s="21"/>
    </row>
    <row r="427" spans="1:20" s="67" customFormat="1" ht="15.75" customHeight="1" x14ac:dyDescent="0.25">
      <c r="A427" s="64">
        <f t="shared" si="21"/>
        <v>295</v>
      </c>
      <c r="B427" s="86" t="s">
        <v>304</v>
      </c>
      <c r="C427" s="87"/>
      <c r="D427" s="64">
        <v>238.68100000000001</v>
      </c>
      <c r="E427" s="64">
        <f t="shared" si="20"/>
        <v>2569.162284</v>
      </c>
      <c r="F427" s="64">
        <f>(429.626)*10.764</f>
        <v>4624.494263999999</v>
      </c>
      <c r="G427" s="86" t="s">
        <v>31</v>
      </c>
      <c r="H427" s="87" t="s">
        <v>31</v>
      </c>
      <c r="I427" s="36"/>
      <c r="L427" s="88"/>
      <c r="M427" s="88"/>
      <c r="N427" s="36"/>
      <c r="T427" s="21"/>
    </row>
    <row r="428" spans="1:20" s="67" customFormat="1" ht="15.75" customHeight="1" x14ac:dyDescent="0.25">
      <c r="A428" s="64">
        <f t="shared" si="21"/>
        <v>296</v>
      </c>
      <c r="B428" s="86" t="s">
        <v>304</v>
      </c>
      <c r="C428" s="87"/>
      <c r="D428" s="64">
        <f>193.794</f>
        <v>193.79400000000001</v>
      </c>
      <c r="E428" s="64">
        <f t="shared" si="20"/>
        <v>2085.9986159999999</v>
      </c>
      <c r="F428" s="64">
        <f>(348.829)*10.764</f>
        <v>3754.7953559999996</v>
      </c>
      <c r="G428" s="86" t="s">
        <v>31</v>
      </c>
      <c r="H428" s="87" t="s">
        <v>31</v>
      </c>
      <c r="I428" s="36"/>
      <c r="L428" s="88"/>
      <c r="M428" s="88"/>
      <c r="N428" s="36"/>
      <c r="T428" s="21"/>
    </row>
    <row r="429" spans="1:20" s="67" customFormat="1" ht="15.75" customHeight="1" x14ac:dyDescent="0.25">
      <c r="A429" s="64">
        <f t="shared" si="21"/>
        <v>297</v>
      </c>
      <c r="B429" s="86" t="s">
        <v>304</v>
      </c>
      <c r="C429" s="87"/>
      <c r="D429" s="64">
        <f>221.114</f>
        <v>221.114</v>
      </c>
      <c r="E429" s="64">
        <f t="shared" si="20"/>
        <v>2380.0710960000001</v>
      </c>
      <c r="F429" s="64">
        <f>(398.005)*10.764</f>
        <v>4284.1258199999993</v>
      </c>
      <c r="G429" s="86" t="s">
        <v>31</v>
      </c>
      <c r="H429" s="87" t="s">
        <v>31</v>
      </c>
      <c r="I429" s="36"/>
      <c r="L429" s="88"/>
      <c r="M429" s="88"/>
      <c r="N429" s="36"/>
      <c r="T429" s="21"/>
    </row>
    <row r="430" spans="1:20" s="67" customFormat="1" ht="15.75" customHeight="1" x14ac:dyDescent="0.25">
      <c r="A430" s="64">
        <f t="shared" si="21"/>
        <v>298</v>
      </c>
      <c r="B430" s="86" t="s">
        <v>303</v>
      </c>
      <c r="C430" s="87"/>
      <c r="D430" s="64">
        <f>260.55</f>
        <v>260.55</v>
      </c>
      <c r="E430" s="64">
        <f t="shared" si="20"/>
        <v>2804.5601999999999</v>
      </c>
      <c r="F430" s="64">
        <f>(468.99)*10.764</f>
        <v>5048.2083599999996</v>
      </c>
      <c r="G430" s="86" t="s">
        <v>31</v>
      </c>
      <c r="H430" s="87" t="s">
        <v>31</v>
      </c>
      <c r="I430" s="36"/>
      <c r="L430" s="88"/>
      <c r="M430" s="88"/>
      <c r="N430" s="36"/>
      <c r="T430" s="21"/>
    </row>
    <row r="431" spans="1:20" s="67" customFormat="1" ht="15.75" customHeight="1" x14ac:dyDescent="0.25">
      <c r="A431" s="64">
        <f t="shared" si="21"/>
        <v>299</v>
      </c>
      <c r="B431" s="86" t="s">
        <v>304</v>
      </c>
      <c r="C431" s="87"/>
      <c r="D431" s="64">
        <f>262.396</f>
        <v>262.39600000000002</v>
      </c>
      <c r="E431" s="64">
        <f t="shared" si="20"/>
        <v>2824.4305439999998</v>
      </c>
      <c r="F431" s="64">
        <f>(472.313)*10.764</f>
        <v>5083.977132</v>
      </c>
      <c r="G431" s="86" t="s">
        <v>31</v>
      </c>
      <c r="H431" s="87" t="s">
        <v>31</v>
      </c>
      <c r="I431" s="36"/>
      <c r="L431" s="88"/>
      <c r="M431" s="88"/>
      <c r="N431" s="36"/>
      <c r="T431" s="21"/>
    </row>
    <row r="432" spans="1:20" s="67" customFormat="1" ht="15.75" customHeight="1" x14ac:dyDescent="0.25">
      <c r="A432" s="64">
        <f t="shared" si="21"/>
        <v>300</v>
      </c>
      <c r="B432" s="86" t="s">
        <v>304</v>
      </c>
      <c r="C432" s="87"/>
      <c r="D432" s="64">
        <f>209.863</f>
        <v>209.863</v>
      </c>
      <c r="E432" s="64">
        <f t="shared" si="20"/>
        <v>2258.9653319999998</v>
      </c>
      <c r="F432" s="64">
        <f>(377.754)*10.764</f>
        <v>4066.1440560000001</v>
      </c>
      <c r="G432" s="86" t="s">
        <v>31</v>
      </c>
      <c r="H432" s="87" t="s">
        <v>31</v>
      </c>
      <c r="I432" s="36"/>
      <c r="L432" s="88"/>
      <c r="M432" s="88"/>
      <c r="N432" s="36"/>
      <c r="T432" s="21"/>
    </row>
    <row r="433" spans="1:20" s="67" customFormat="1" ht="15.75" customHeight="1" x14ac:dyDescent="0.25">
      <c r="A433" s="64">
        <f t="shared" si="21"/>
        <v>301</v>
      </c>
      <c r="B433" s="86" t="s">
        <v>304</v>
      </c>
      <c r="C433" s="87"/>
      <c r="D433" s="64">
        <f>193.584</f>
        <v>193.584</v>
      </c>
      <c r="E433" s="64">
        <f t="shared" si="20"/>
        <v>2083.7381759999998</v>
      </c>
      <c r="F433" s="64">
        <f>(348.451)*10.764</f>
        <v>3750.7265640000001</v>
      </c>
      <c r="G433" s="86" t="s">
        <v>31</v>
      </c>
      <c r="H433" s="87" t="s">
        <v>31</v>
      </c>
      <c r="I433" s="36"/>
      <c r="L433" s="88"/>
      <c r="M433" s="88"/>
      <c r="N433" s="36"/>
      <c r="T433" s="21"/>
    </row>
    <row r="434" spans="1:20" s="67" customFormat="1" ht="15.75" customHeight="1" x14ac:dyDescent="0.25">
      <c r="A434" s="64">
        <f t="shared" si="21"/>
        <v>302</v>
      </c>
      <c r="B434" s="86" t="s">
        <v>304</v>
      </c>
      <c r="C434" s="87"/>
      <c r="D434" s="64">
        <f>222.391</f>
        <v>222.39099999999999</v>
      </c>
      <c r="E434" s="64">
        <f t="shared" si="20"/>
        <v>2393.8167239999998</v>
      </c>
      <c r="F434" s="64">
        <f>(400.304)*10.764</f>
        <v>4308.8722559999997</v>
      </c>
      <c r="G434" s="86" t="s">
        <v>31</v>
      </c>
      <c r="H434" s="87" t="s">
        <v>31</v>
      </c>
      <c r="I434" s="36"/>
      <c r="L434" s="88"/>
      <c r="M434" s="88"/>
      <c r="N434" s="36"/>
      <c r="T434" s="21"/>
    </row>
    <row r="435" spans="1:20" s="67" customFormat="1" ht="15.75" customHeight="1" x14ac:dyDescent="0.25">
      <c r="A435" s="64">
        <f t="shared" si="21"/>
        <v>303</v>
      </c>
      <c r="B435" s="86" t="s">
        <v>304</v>
      </c>
      <c r="C435" s="87"/>
      <c r="D435" s="64">
        <f>198</f>
        <v>198</v>
      </c>
      <c r="E435" s="64">
        <f t="shared" si="20"/>
        <v>2131.2719999999999</v>
      </c>
      <c r="F435" s="64">
        <f>(356.4)*10.764</f>
        <v>3836.2895999999996</v>
      </c>
      <c r="G435" s="86" t="s">
        <v>31</v>
      </c>
      <c r="H435" s="87" t="s">
        <v>31</v>
      </c>
      <c r="I435" s="36"/>
      <c r="L435" s="88"/>
      <c r="M435" s="88"/>
      <c r="N435" s="36"/>
      <c r="T435" s="21"/>
    </row>
    <row r="436" spans="1:20" s="67" customFormat="1" ht="15.75" customHeight="1" x14ac:dyDescent="0.25">
      <c r="A436" s="64">
        <f t="shared" si="21"/>
        <v>304</v>
      </c>
      <c r="B436" s="86" t="s">
        <v>304</v>
      </c>
      <c r="C436" s="87"/>
      <c r="D436" s="64">
        <f>198</f>
        <v>198</v>
      </c>
      <c r="E436" s="64">
        <f t="shared" si="20"/>
        <v>2131.2719999999999</v>
      </c>
      <c r="F436" s="64">
        <f>(356.4)*10.764</f>
        <v>3836.2895999999996</v>
      </c>
      <c r="G436" s="86" t="s">
        <v>31</v>
      </c>
      <c r="H436" s="87" t="s">
        <v>31</v>
      </c>
      <c r="I436" s="36"/>
      <c r="L436" s="88"/>
      <c r="M436" s="88"/>
      <c r="N436" s="36"/>
      <c r="T436" s="21"/>
    </row>
    <row r="437" spans="1:20" s="67" customFormat="1" ht="15.75" customHeight="1" x14ac:dyDescent="0.25">
      <c r="A437" s="64">
        <f t="shared" si="21"/>
        <v>305</v>
      </c>
      <c r="B437" s="86" t="s">
        <v>304</v>
      </c>
      <c r="C437" s="87"/>
      <c r="D437" s="64">
        <f>198</f>
        <v>198</v>
      </c>
      <c r="E437" s="64">
        <f t="shared" ref="E437:E438" si="22">D437*10.764</f>
        <v>2131.2719999999999</v>
      </c>
      <c r="F437" s="64">
        <f>(356.4)*10.764</f>
        <v>3836.2895999999996</v>
      </c>
      <c r="G437" s="86" t="s">
        <v>31</v>
      </c>
      <c r="H437" s="87" t="s">
        <v>31</v>
      </c>
      <c r="I437" s="36" t="s">
        <v>329</v>
      </c>
      <c r="L437" s="88"/>
      <c r="M437" s="88"/>
      <c r="N437" s="36"/>
      <c r="T437" s="21"/>
    </row>
    <row r="438" spans="1:20" s="67" customFormat="1" ht="15.75" customHeight="1" x14ac:dyDescent="0.25">
      <c r="A438" s="64">
        <f t="shared" si="21"/>
        <v>306</v>
      </c>
      <c r="B438" s="86" t="s">
        <v>304</v>
      </c>
      <c r="C438" s="87"/>
      <c r="D438" s="64">
        <f>198</f>
        <v>198</v>
      </c>
      <c r="E438" s="64">
        <f t="shared" si="22"/>
        <v>2131.2719999999999</v>
      </c>
      <c r="F438" s="64">
        <f>(356.4)*10.764</f>
        <v>3836.2895999999996</v>
      </c>
      <c r="G438" s="86" t="s">
        <v>31</v>
      </c>
      <c r="H438" s="87" t="s">
        <v>31</v>
      </c>
      <c r="I438" s="36"/>
      <c r="L438" s="88"/>
      <c r="M438" s="88"/>
      <c r="N438" s="36"/>
      <c r="T438" s="21"/>
    </row>
    <row r="439" spans="1:20" s="67" customFormat="1" ht="15.75" customHeight="1" x14ac:dyDescent="0.25">
      <c r="A439" s="64">
        <f t="shared" si="21"/>
        <v>307</v>
      </c>
      <c r="B439" s="86" t="s">
        <v>304</v>
      </c>
      <c r="C439" s="87"/>
      <c r="D439" s="64">
        <f>238.425</f>
        <v>238.42500000000001</v>
      </c>
      <c r="E439" s="64">
        <f t="shared" si="20"/>
        <v>2566.4067</v>
      </c>
      <c r="F439" s="64">
        <f>(429.165)*10.764</f>
        <v>4619.5320599999995</v>
      </c>
      <c r="G439" s="86" t="s">
        <v>31</v>
      </c>
      <c r="H439" s="87" t="s">
        <v>31</v>
      </c>
      <c r="I439" s="36"/>
      <c r="L439" s="88"/>
      <c r="M439" s="88"/>
      <c r="N439" s="36"/>
      <c r="T439" s="21"/>
    </row>
    <row r="440" spans="1:20" s="79" customFormat="1" ht="15.75" customHeight="1" x14ac:dyDescent="0.25">
      <c r="A440" s="73">
        <f t="shared" si="21"/>
        <v>308</v>
      </c>
      <c r="B440" s="239" t="s">
        <v>303</v>
      </c>
      <c r="C440" s="240"/>
      <c r="D440" s="73">
        <f>251.123</f>
        <v>251.12299999999999</v>
      </c>
      <c r="E440" s="73">
        <f t="shared" si="20"/>
        <v>2703.0879719999998</v>
      </c>
      <c r="F440" s="73">
        <f>(452.021)*10.764</f>
        <v>4865.5540439999995</v>
      </c>
      <c r="G440" s="239" t="s">
        <v>31</v>
      </c>
      <c r="H440" s="240" t="s">
        <v>31</v>
      </c>
      <c r="I440" s="74"/>
      <c r="L440" s="241"/>
      <c r="M440" s="241"/>
      <c r="N440" s="74"/>
      <c r="T440" s="76"/>
    </row>
    <row r="441" spans="1:20" s="67" customFormat="1" ht="15.75" customHeight="1" x14ac:dyDescent="0.25">
      <c r="A441" s="64">
        <f t="shared" si="21"/>
        <v>309</v>
      </c>
      <c r="B441" s="86" t="s">
        <v>304</v>
      </c>
      <c r="C441" s="87"/>
      <c r="D441" s="64">
        <f>249.296</f>
        <v>249.29599999999999</v>
      </c>
      <c r="E441" s="64">
        <f t="shared" si="20"/>
        <v>2683.4221439999997</v>
      </c>
      <c r="F441" s="64">
        <f>(448.733)*10.764</f>
        <v>4830.1620119999998</v>
      </c>
      <c r="G441" s="86" t="s">
        <v>31</v>
      </c>
      <c r="H441" s="87" t="s">
        <v>31</v>
      </c>
      <c r="I441" s="36"/>
      <c r="L441" s="88"/>
      <c r="M441" s="88"/>
      <c r="N441" s="36"/>
      <c r="T441" s="21"/>
    </row>
    <row r="442" spans="1:20" s="67" customFormat="1" ht="15.75" customHeight="1" x14ac:dyDescent="0.25">
      <c r="A442" s="64">
        <f t="shared" si="21"/>
        <v>310</v>
      </c>
      <c r="B442" s="86" t="s">
        <v>304</v>
      </c>
      <c r="C442" s="87"/>
      <c r="D442" s="64">
        <f>198</f>
        <v>198</v>
      </c>
      <c r="E442" s="64">
        <f t="shared" si="20"/>
        <v>2131.2719999999999</v>
      </c>
      <c r="F442" s="64">
        <f>(356.4)*10.764</f>
        <v>3836.2895999999996</v>
      </c>
      <c r="G442" s="86" t="s">
        <v>31</v>
      </c>
      <c r="H442" s="87" t="s">
        <v>31</v>
      </c>
      <c r="I442" s="36"/>
      <c r="L442" s="88"/>
      <c r="M442" s="88"/>
      <c r="N442" s="36"/>
      <c r="T442" s="21"/>
    </row>
    <row r="443" spans="1:20" s="67" customFormat="1" ht="15.75" customHeight="1" x14ac:dyDescent="0.25">
      <c r="A443" s="64">
        <f t="shared" si="21"/>
        <v>311</v>
      </c>
      <c r="B443" s="86" t="s">
        <v>304</v>
      </c>
      <c r="C443" s="87"/>
      <c r="D443" s="64">
        <f>198</f>
        <v>198</v>
      </c>
      <c r="E443" s="64">
        <f t="shared" si="20"/>
        <v>2131.2719999999999</v>
      </c>
      <c r="F443" s="64">
        <f t="shared" ref="F443:F444" si="23">(356.4)*10.764</f>
        <v>3836.2895999999996</v>
      </c>
      <c r="G443" s="86" t="s">
        <v>31</v>
      </c>
      <c r="H443" s="87" t="s">
        <v>31</v>
      </c>
      <c r="I443" s="36"/>
      <c r="L443" s="88"/>
      <c r="M443" s="88"/>
      <c r="N443" s="36"/>
      <c r="T443" s="21"/>
    </row>
    <row r="444" spans="1:20" s="67" customFormat="1" ht="15.75" customHeight="1" x14ac:dyDescent="0.25">
      <c r="A444" s="64">
        <f t="shared" si="21"/>
        <v>312</v>
      </c>
      <c r="B444" s="86" t="s">
        <v>304</v>
      </c>
      <c r="C444" s="87"/>
      <c r="D444" s="64">
        <f>198</f>
        <v>198</v>
      </c>
      <c r="E444" s="64">
        <f t="shared" si="20"/>
        <v>2131.2719999999999</v>
      </c>
      <c r="F444" s="64">
        <f t="shared" si="23"/>
        <v>3836.2895999999996</v>
      </c>
      <c r="G444" s="86" t="s">
        <v>31</v>
      </c>
      <c r="H444" s="87" t="s">
        <v>31</v>
      </c>
      <c r="I444" s="36"/>
      <c r="L444" s="88"/>
      <c r="M444" s="88"/>
      <c r="N444" s="36"/>
      <c r="T444" s="21"/>
    </row>
    <row r="445" spans="1:20" s="67" customFormat="1" ht="15.75" customHeight="1" x14ac:dyDescent="0.25">
      <c r="A445" s="64">
        <f t="shared" si="21"/>
        <v>313</v>
      </c>
      <c r="B445" s="86" t="s">
        <v>303</v>
      </c>
      <c r="C445" s="87"/>
      <c r="D445" s="64">
        <v>284.24</v>
      </c>
      <c r="E445" s="64">
        <f t="shared" si="20"/>
        <v>3059.5593599999997</v>
      </c>
      <c r="F445" s="64">
        <f>(511.632)*10.764</f>
        <v>5507.2068479999998</v>
      </c>
      <c r="G445" s="86" t="s">
        <v>31</v>
      </c>
      <c r="H445" s="87" t="s">
        <v>31</v>
      </c>
      <c r="I445" s="36"/>
      <c r="L445" s="88"/>
      <c r="M445" s="88"/>
      <c r="N445" s="36"/>
      <c r="T445" s="21"/>
    </row>
    <row r="446" spans="1:20" s="67" customFormat="1" ht="15.75" customHeight="1" x14ac:dyDescent="0.25">
      <c r="A446" s="64">
        <f>A445+2</f>
        <v>315</v>
      </c>
      <c r="B446" s="86" t="s">
        <v>303</v>
      </c>
      <c r="C446" s="87"/>
      <c r="D446" s="64">
        <f>366.422</f>
        <v>366.42200000000003</v>
      </c>
      <c r="E446" s="64">
        <f t="shared" si="20"/>
        <v>3944.166408</v>
      </c>
      <c r="F446" s="64">
        <f>(659.56)*10.764</f>
        <v>7099.5038399999994</v>
      </c>
      <c r="G446" s="86" t="s">
        <v>31</v>
      </c>
      <c r="H446" s="87" t="s">
        <v>31</v>
      </c>
      <c r="I446" s="36"/>
      <c r="L446" s="88"/>
      <c r="M446" s="88"/>
      <c r="N446" s="36"/>
      <c r="T446" s="21"/>
    </row>
    <row r="447" spans="1:20" s="67" customFormat="1" ht="15.75" customHeight="1" x14ac:dyDescent="0.25">
      <c r="A447" s="64">
        <f t="shared" si="21"/>
        <v>316</v>
      </c>
      <c r="B447" s="86" t="s">
        <v>304</v>
      </c>
      <c r="C447" s="87"/>
      <c r="D447" s="64">
        <f>245.433</f>
        <v>245.43299999999999</v>
      </c>
      <c r="E447" s="64">
        <f t="shared" si="20"/>
        <v>2641.8408119999999</v>
      </c>
      <c r="F447" s="64">
        <f>(441.779)*10.764</f>
        <v>4755.3091559999993</v>
      </c>
      <c r="G447" s="86" t="s">
        <v>31</v>
      </c>
      <c r="H447" s="87" t="s">
        <v>31</v>
      </c>
      <c r="I447" s="36"/>
      <c r="L447" s="88"/>
      <c r="M447" s="88"/>
      <c r="N447" s="36"/>
      <c r="T447" s="21"/>
    </row>
    <row r="448" spans="1:20" s="67" customFormat="1" ht="15.75" customHeight="1" x14ac:dyDescent="0.25">
      <c r="A448" s="64">
        <f t="shared" si="21"/>
        <v>317</v>
      </c>
      <c r="B448" s="86" t="s">
        <v>304</v>
      </c>
      <c r="C448" s="87"/>
      <c r="D448" s="64">
        <f>269.158</f>
        <v>269.15800000000002</v>
      </c>
      <c r="E448" s="64">
        <f t="shared" si="20"/>
        <v>2897.2167119999999</v>
      </c>
      <c r="F448" s="64">
        <f>(484.484)*10.764</f>
        <v>5214.9857759999995</v>
      </c>
      <c r="G448" s="86" t="s">
        <v>31</v>
      </c>
      <c r="H448" s="87" t="s">
        <v>31</v>
      </c>
      <c r="I448" s="36"/>
      <c r="L448" s="88"/>
      <c r="M448" s="88"/>
      <c r="N448" s="36"/>
      <c r="T448" s="21"/>
    </row>
    <row r="449" spans="1:20" s="67" customFormat="1" ht="15.75" customHeight="1" x14ac:dyDescent="0.25">
      <c r="A449" s="64">
        <f t="shared" si="21"/>
        <v>318</v>
      </c>
      <c r="B449" s="86" t="s">
        <v>304</v>
      </c>
      <c r="C449" s="87"/>
      <c r="D449" s="64">
        <f>269.376</f>
        <v>269.37599999999998</v>
      </c>
      <c r="E449" s="64">
        <f t="shared" si="20"/>
        <v>2899.5632639999994</v>
      </c>
      <c r="F449" s="64">
        <f>(484.877)*10.764</f>
        <v>5219.2160279999998</v>
      </c>
      <c r="G449" s="86" t="s">
        <v>31</v>
      </c>
      <c r="H449" s="87" t="s">
        <v>31</v>
      </c>
      <c r="I449" s="36"/>
      <c r="L449" s="88"/>
      <c r="M449" s="88"/>
      <c r="N449" s="36"/>
      <c r="T449" s="21"/>
    </row>
    <row r="450" spans="1:20" s="67" customFormat="1" ht="15.75" customHeight="1" x14ac:dyDescent="0.25">
      <c r="A450" s="64">
        <f t="shared" si="21"/>
        <v>319</v>
      </c>
      <c r="B450" s="86" t="s">
        <v>304</v>
      </c>
      <c r="C450" s="87"/>
      <c r="D450" s="64">
        <f>270.624</f>
        <v>270.62400000000002</v>
      </c>
      <c r="E450" s="64">
        <f t="shared" si="20"/>
        <v>2912.9967360000001</v>
      </c>
      <c r="F450" s="64">
        <f>(487.123)*10.764</f>
        <v>5243.3919719999994</v>
      </c>
      <c r="G450" s="86" t="s">
        <v>31</v>
      </c>
      <c r="H450" s="87" t="s">
        <v>31</v>
      </c>
      <c r="I450" s="36"/>
      <c r="L450" s="88"/>
      <c r="M450" s="88"/>
      <c r="N450" s="36"/>
      <c r="T450" s="21"/>
    </row>
    <row r="451" spans="1:20" s="67" customFormat="1" ht="15.75" customHeight="1" x14ac:dyDescent="0.25">
      <c r="A451" s="64">
        <f t="shared" si="21"/>
        <v>320</v>
      </c>
      <c r="B451" s="86" t="s">
        <v>304</v>
      </c>
      <c r="C451" s="87"/>
      <c r="D451" s="64">
        <f>289.685</f>
        <v>289.685</v>
      </c>
      <c r="E451" s="64">
        <f t="shared" ref="E451:E479" si="24">D451*10.764</f>
        <v>3118.1693399999999</v>
      </c>
      <c r="F451" s="64">
        <f>(521.433)*10.764</f>
        <v>5612.7048119999999</v>
      </c>
      <c r="G451" s="86" t="s">
        <v>31</v>
      </c>
      <c r="H451" s="87" t="s">
        <v>31</v>
      </c>
      <c r="I451" s="36"/>
      <c r="L451" s="88"/>
      <c r="M451" s="88"/>
      <c r="N451" s="36"/>
      <c r="T451" s="21"/>
    </row>
    <row r="452" spans="1:20" s="67" customFormat="1" ht="15.75" customHeight="1" x14ac:dyDescent="0.25">
      <c r="A452" s="64">
        <f>A451+2</f>
        <v>322</v>
      </c>
      <c r="B452" s="86" t="s">
        <v>341</v>
      </c>
      <c r="C452" s="87"/>
      <c r="D452" s="64">
        <v>530.98299999999995</v>
      </c>
      <c r="E452" s="64">
        <f t="shared" si="24"/>
        <v>5715.5010119999988</v>
      </c>
      <c r="F452" s="64">
        <f>(1027.042)*10.764</f>
        <v>11055.080087999999</v>
      </c>
      <c r="G452" s="86" t="s">
        <v>31</v>
      </c>
      <c r="H452" s="87" t="s">
        <v>31</v>
      </c>
      <c r="I452" s="36"/>
      <c r="L452" s="88"/>
      <c r="M452" s="88"/>
      <c r="N452" s="36"/>
      <c r="T452" s="21"/>
    </row>
    <row r="453" spans="1:20" s="72" customFormat="1" ht="15.75" customHeight="1" x14ac:dyDescent="0.25">
      <c r="A453" s="64" t="s">
        <v>342</v>
      </c>
      <c r="B453" s="86" t="s">
        <v>341</v>
      </c>
      <c r="C453" s="87"/>
      <c r="D453" s="64">
        <v>268.45699999999999</v>
      </c>
      <c r="E453" s="64">
        <f t="shared" ref="E453" si="25">D453*10.764</f>
        <v>2889.6711479999999</v>
      </c>
      <c r="F453" s="64">
        <f>(610.006)*10.764</f>
        <v>6566.1045839999997</v>
      </c>
      <c r="G453" s="86" t="s">
        <v>31</v>
      </c>
      <c r="H453" s="87" t="s">
        <v>31</v>
      </c>
      <c r="I453" s="36"/>
      <c r="L453" s="88"/>
      <c r="M453" s="88"/>
      <c r="N453" s="36"/>
      <c r="T453" s="21"/>
    </row>
    <row r="454" spans="1:20" s="67" customFormat="1" ht="15.75" customHeight="1" x14ac:dyDescent="0.25">
      <c r="A454" s="64">
        <f>A452+1</f>
        <v>323</v>
      </c>
      <c r="B454" s="86" t="s">
        <v>304</v>
      </c>
      <c r="C454" s="87"/>
      <c r="D454" s="64">
        <f>188.933</f>
        <v>188.93299999999999</v>
      </c>
      <c r="E454" s="64">
        <f t="shared" si="24"/>
        <v>2033.6748119999997</v>
      </c>
      <c r="F454" s="64">
        <f>(340.079)*10.764</f>
        <v>3660.6103559999997</v>
      </c>
      <c r="G454" s="86" t="s">
        <v>31</v>
      </c>
      <c r="H454" s="87" t="s">
        <v>31</v>
      </c>
      <c r="I454" s="36"/>
      <c r="L454" s="88"/>
      <c r="M454" s="88"/>
      <c r="N454" s="36"/>
      <c r="T454" s="21"/>
    </row>
    <row r="455" spans="1:20" s="67" customFormat="1" ht="15.75" customHeight="1" x14ac:dyDescent="0.25">
      <c r="A455" s="64">
        <f t="shared" ref="A455:A481" si="26">A454+1</f>
        <v>324</v>
      </c>
      <c r="B455" s="86" t="s">
        <v>304</v>
      </c>
      <c r="C455" s="87"/>
      <c r="D455" s="64">
        <f>198</f>
        <v>198</v>
      </c>
      <c r="E455" s="64">
        <f t="shared" si="24"/>
        <v>2131.2719999999999</v>
      </c>
      <c r="F455" s="64">
        <f t="shared" ref="F455:F460" si="27">(356.4)*10.764</f>
        <v>3836.2895999999996</v>
      </c>
      <c r="G455" s="86" t="s">
        <v>31</v>
      </c>
      <c r="H455" s="87" t="s">
        <v>31</v>
      </c>
      <c r="I455" s="36"/>
      <c r="L455" s="88"/>
      <c r="M455" s="88"/>
      <c r="N455" s="36"/>
      <c r="T455" s="21"/>
    </row>
    <row r="456" spans="1:20" s="67" customFormat="1" ht="15.75" customHeight="1" x14ac:dyDescent="0.25">
      <c r="A456" s="64">
        <f t="shared" si="26"/>
        <v>325</v>
      </c>
      <c r="B456" s="86" t="s">
        <v>304</v>
      </c>
      <c r="C456" s="87"/>
      <c r="D456" s="64">
        <f>198</f>
        <v>198</v>
      </c>
      <c r="E456" s="64">
        <f t="shared" si="24"/>
        <v>2131.2719999999999</v>
      </c>
      <c r="F456" s="64">
        <f t="shared" si="27"/>
        <v>3836.2895999999996</v>
      </c>
      <c r="G456" s="86" t="s">
        <v>31</v>
      </c>
      <c r="H456" s="87" t="s">
        <v>31</v>
      </c>
      <c r="I456" s="36"/>
      <c r="L456" s="88"/>
      <c r="M456" s="88"/>
      <c r="N456" s="36"/>
      <c r="T456" s="21"/>
    </row>
    <row r="457" spans="1:20" s="67" customFormat="1" ht="15.75" customHeight="1" x14ac:dyDescent="0.25">
      <c r="A457" s="64">
        <f t="shared" si="26"/>
        <v>326</v>
      </c>
      <c r="B457" s="86" t="s">
        <v>304</v>
      </c>
      <c r="C457" s="87"/>
      <c r="D457" s="64">
        <f>198</f>
        <v>198</v>
      </c>
      <c r="E457" s="64">
        <f t="shared" si="24"/>
        <v>2131.2719999999999</v>
      </c>
      <c r="F457" s="64">
        <f t="shared" si="27"/>
        <v>3836.2895999999996</v>
      </c>
      <c r="G457" s="86" t="s">
        <v>31</v>
      </c>
      <c r="H457" s="87" t="s">
        <v>31</v>
      </c>
      <c r="I457" s="36"/>
      <c r="L457" s="88"/>
      <c r="M457" s="88"/>
      <c r="N457" s="36"/>
      <c r="T457" s="21"/>
    </row>
    <row r="458" spans="1:20" s="67" customFormat="1" ht="15.75" customHeight="1" x14ac:dyDescent="0.25">
      <c r="A458" s="64">
        <f t="shared" si="26"/>
        <v>327</v>
      </c>
      <c r="B458" s="86" t="s">
        <v>304</v>
      </c>
      <c r="C458" s="87"/>
      <c r="D458" s="64">
        <f>198</f>
        <v>198</v>
      </c>
      <c r="E458" s="64">
        <f t="shared" si="24"/>
        <v>2131.2719999999999</v>
      </c>
      <c r="F458" s="64">
        <f t="shared" si="27"/>
        <v>3836.2895999999996</v>
      </c>
      <c r="G458" s="86" t="s">
        <v>31</v>
      </c>
      <c r="H458" s="87" t="s">
        <v>31</v>
      </c>
      <c r="I458" s="36"/>
      <c r="L458" s="88"/>
      <c r="M458" s="88"/>
      <c r="N458" s="36"/>
      <c r="T458" s="21"/>
    </row>
    <row r="459" spans="1:20" s="67" customFormat="1" ht="15.75" customHeight="1" x14ac:dyDescent="0.25">
      <c r="A459" s="64">
        <f t="shared" si="26"/>
        <v>328</v>
      </c>
      <c r="B459" s="86" t="s">
        <v>304</v>
      </c>
      <c r="C459" s="87"/>
      <c r="D459" s="64">
        <f>198</f>
        <v>198</v>
      </c>
      <c r="E459" s="64">
        <f t="shared" si="24"/>
        <v>2131.2719999999999</v>
      </c>
      <c r="F459" s="64">
        <f t="shared" si="27"/>
        <v>3836.2895999999996</v>
      </c>
      <c r="G459" s="86" t="s">
        <v>31</v>
      </c>
      <c r="H459" s="87" t="s">
        <v>31</v>
      </c>
      <c r="I459" s="36"/>
      <c r="L459" s="88"/>
      <c r="M459" s="88"/>
      <c r="N459" s="36"/>
      <c r="T459" s="21"/>
    </row>
    <row r="460" spans="1:20" s="67" customFormat="1" ht="15.75" customHeight="1" x14ac:dyDescent="0.25">
      <c r="A460" s="64">
        <f t="shared" si="26"/>
        <v>329</v>
      </c>
      <c r="B460" s="86" t="s">
        <v>304</v>
      </c>
      <c r="C460" s="87"/>
      <c r="D460" s="64">
        <f>198</f>
        <v>198</v>
      </c>
      <c r="E460" s="64">
        <f t="shared" si="24"/>
        <v>2131.2719999999999</v>
      </c>
      <c r="F460" s="64">
        <f t="shared" si="27"/>
        <v>3836.2895999999996</v>
      </c>
      <c r="G460" s="86" t="s">
        <v>31</v>
      </c>
      <c r="H460" s="87" t="s">
        <v>31</v>
      </c>
      <c r="I460" s="36"/>
      <c r="L460" s="88"/>
      <c r="M460" s="88"/>
      <c r="N460" s="36"/>
      <c r="T460" s="21"/>
    </row>
    <row r="461" spans="1:20" s="67" customFormat="1" ht="15.75" customHeight="1" x14ac:dyDescent="0.25">
      <c r="A461" s="64">
        <f t="shared" si="26"/>
        <v>330</v>
      </c>
      <c r="B461" s="86" t="s">
        <v>304</v>
      </c>
      <c r="C461" s="87"/>
      <c r="D461" s="64">
        <f>194.548</f>
        <v>194.548</v>
      </c>
      <c r="E461" s="64">
        <f t="shared" si="24"/>
        <v>2094.1146719999997</v>
      </c>
      <c r="F461" s="64">
        <f>(350.186)*10.764</f>
        <v>3769.4021039999993</v>
      </c>
      <c r="G461" s="86" t="s">
        <v>31</v>
      </c>
      <c r="H461" s="87" t="s">
        <v>31</v>
      </c>
      <c r="I461" s="36"/>
      <c r="L461" s="88"/>
      <c r="M461" s="88"/>
      <c r="N461" s="36"/>
      <c r="T461" s="21"/>
    </row>
    <row r="462" spans="1:20" s="67" customFormat="1" ht="15.75" customHeight="1" x14ac:dyDescent="0.25">
      <c r="A462" s="64">
        <f t="shared" si="26"/>
        <v>331</v>
      </c>
      <c r="B462" s="86" t="s">
        <v>304</v>
      </c>
      <c r="C462" s="87"/>
      <c r="D462" s="64">
        <f>227.878</f>
        <v>227.87799999999999</v>
      </c>
      <c r="E462" s="64">
        <f t="shared" si="24"/>
        <v>2452.8787919999995</v>
      </c>
      <c r="F462" s="64">
        <f>(410.18)*10.764</f>
        <v>4415.1775200000002</v>
      </c>
      <c r="G462" s="86" t="s">
        <v>31</v>
      </c>
      <c r="H462" s="87" t="s">
        <v>31</v>
      </c>
      <c r="I462" s="36"/>
      <c r="L462" s="88"/>
      <c r="M462" s="88"/>
      <c r="N462" s="36"/>
      <c r="T462" s="21"/>
    </row>
    <row r="463" spans="1:20" s="67" customFormat="1" ht="15.75" customHeight="1" x14ac:dyDescent="0.25">
      <c r="A463" s="64">
        <f t="shared" si="26"/>
        <v>332</v>
      </c>
      <c r="B463" s="86" t="s">
        <v>304</v>
      </c>
      <c r="C463" s="87"/>
      <c r="D463" s="64">
        <f>198</f>
        <v>198</v>
      </c>
      <c r="E463" s="64">
        <f t="shared" si="24"/>
        <v>2131.2719999999999</v>
      </c>
      <c r="F463" s="64">
        <f t="shared" ref="F463:F468" si="28">(356.4)*10.764</f>
        <v>3836.2895999999996</v>
      </c>
      <c r="G463" s="86" t="s">
        <v>31</v>
      </c>
      <c r="H463" s="87" t="s">
        <v>31</v>
      </c>
      <c r="I463" s="36"/>
      <c r="L463" s="88"/>
      <c r="M463" s="88"/>
      <c r="N463" s="36"/>
      <c r="T463" s="21"/>
    </row>
    <row r="464" spans="1:20" s="67" customFormat="1" ht="15.75" customHeight="1" x14ac:dyDescent="0.25">
      <c r="A464" s="64">
        <f t="shared" si="26"/>
        <v>333</v>
      </c>
      <c r="B464" s="86" t="s">
        <v>304</v>
      </c>
      <c r="C464" s="87"/>
      <c r="D464" s="64">
        <f>198</f>
        <v>198</v>
      </c>
      <c r="E464" s="64">
        <f t="shared" si="24"/>
        <v>2131.2719999999999</v>
      </c>
      <c r="F464" s="64">
        <f t="shared" si="28"/>
        <v>3836.2895999999996</v>
      </c>
      <c r="G464" s="86" t="s">
        <v>31</v>
      </c>
      <c r="H464" s="87" t="s">
        <v>31</v>
      </c>
      <c r="I464" s="36"/>
      <c r="L464" s="88"/>
      <c r="M464" s="88"/>
      <c r="N464" s="36"/>
      <c r="T464" s="21"/>
    </row>
    <row r="465" spans="1:20" s="67" customFormat="1" ht="15.75" customHeight="1" x14ac:dyDescent="0.25">
      <c r="A465" s="64">
        <f t="shared" si="26"/>
        <v>334</v>
      </c>
      <c r="B465" s="86" t="s">
        <v>304</v>
      </c>
      <c r="C465" s="87"/>
      <c r="D465" s="64">
        <f>198</f>
        <v>198</v>
      </c>
      <c r="E465" s="64">
        <f t="shared" si="24"/>
        <v>2131.2719999999999</v>
      </c>
      <c r="F465" s="64">
        <f t="shared" si="28"/>
        <v>3836.2895999999996</v>
      </c>
      <c r="G465" s="86" t="s">
        <v>31</v>
      </c>
      <c r="H465" s="87" t="s">
        <v>31</v>
      </c>
      <c r="I465" s="36"/>
      <c r="L465" s="88"/>
      <c r="M465" s="88"/>
      <c r="N465" s="36"/>
      <c r="T465" s="21"/>
    </row>
    <row r="466" spans="1:20" s="67" customFormat="1" ht="15.75" customHeight="1" x14ac:dyDescent="0.25">
      <c r="A466" s="64">
        <f t="shared" si="26"/>
        <v>335</v>
      </c>
      <c r="B466" s="86" t="s">
        <v>304</v>
      </c>
      <c r="C466" s="87"/>
      <c r="D466" s="64">
        <f>198</f>
        <v>198</v>
      </c>
      <c r="E466" s="64">
        <f t="shared" si="24"/>
        <v>2131.2719999999999</v>
      </c>
      <c r="F466" s="64">
        <f t="shared" si="28"/>
        <v>3836.2895999999996</v>
      </c>
      <c r="G466" s="86" t="s">
        <v>31</v>
      </c>
      <c r="H466" s="87" t="s">
        <v>31</v>
      </c>
      <c r="I466" s="36"/>
      <c r="L466" s="88"/>
      <c r="M466" s="88"/>
      <c r="N466" s="36"/>
      <c r="T466" s="21"/>
    </row>
    <row r="467" spans="1:20" s="67" customFormat="1" ht="15.75" customHeight="1" x14ac:dyDescent="0.25">
      <c r="A467" s="64">
        <f t="shared" si="26"/>
        <v>336</v>
      </c>
      <c r="B467" s="86" t="s">
        <v>304</v>
      </c>
      <c r="C467" s="87"/>
      <c r="D467" s="64">
        <f>198</f>
        <v>198</v>
      </c>
      <c r="E467" s="64">
        <f t="shared" si="24"/>
        <v>2131.2719999999999</v>
      </c>
      <c r="F467" s="64">
        <f t="shared" si="28"/>
        <v>3836.2895999999996</v>
      </c>
      <c r="G467" s="86" t="s">
        <v>31</v>
      </c>
      <c r="H467" s="87" t="s">
        <v>31</v>
      </c>
      <c r="I467" s="36"/>
      <c r="L467" s="88"/>
      <c r="M467" s="88"/>
      <c r="N467" s="36"/>
      <c r="T467" s="21"/>
    </row>
    <row r="468" spans="1:20" s="67" customFormat="1" ht="15.75" customHeight="1" x14ac:dyDescent="0.25">
      <c r="A468" s="64">
        <f t="shared" si="26"/>
        <v>337</v>
      </c>
      <c r="B468" s="86" t="s">
        <v>304</v>
      </c>
      <c r="C468" s="87"/>
      <c r="D468" s="64">
        <f>198</f>
        <v>198</v>
      </c>
      <c r="E468" s="64">
        <f t="shared" si="24"/>
        <v>2131.2719999999999</v>
      </c>
      <c r="F468" s="64">
        <f t="shared" si="28"/>
        <v>3836.2895999999996</v>
      </c>
      <c r="G468" s="86" t="s">
        <v>31</v>
      </c>
      <c r="H468" s="87" t="s">
        <v>31</v>
      </c>
      <c r="I468" s="36"/>
      <c r="L468" s="88"/>
      <c r="M468" s="88"/>
      <c r="N468" s="36"/>
      <c r="T468" s="21"/>
    </row>
    <row r="469" spans="1:20" s="67" customFormat="1" ht="15.75" customHeight="1" x14ac:dyDescent="0.25">
      <c r="A469" s="64">
        <f t="shared" si="26"/>
        <v>338</v>
      </c>
      <c r="B469" s="86" t="s">
        <v>304</v>
      </c>
      <c r="C469" s="87"/>
      <c r="D469" s="64">
        <f>188.933</f>
        <v>188.93299999999999</v>
      </c>
      <c r="E469" s="64">
        <f t="shared" si="24"/>
        <v>2033.6748119999997</v>
      </c>
      <c r="F469" s="64">
        <f>(340.079)*10.764</f>
        <v>3660.6103559999997</v>
      </c>
      <c r="G469" s="86" t="s">
        <v>31</v>
      </c>
      <c r="H469" s="87" t="s">
        <v>31</v>
      </c>
      <c r="I469" s="36"/>
      <c r="L469" s="88"/>
      <c r="M469" s="88"/>
      <c r="N469" s="36"/>
      <c r="T469" s="21"/>
    </row>
    <row r="470" spans="1:20" s="67" customFormat="1" ht="15.75" customHeight="1" x14ac:dyDescent="0.25">
      <c r="A470" s="64">
        <f t="shared" si="26"/>
        <v>339</v>
      </c>
      <c r="B470" s="86" t="s">
        <v>341</v>
      </c>
      <c r="C470" s="87"/>
      <c r="D470" s="64">
        <f>359.204</f>
        <v>359.20400000000001</v>
      </c>
      <c r="E470" s="64">
        <f t="shared" si="24"/>
        <v>3866.4718559999997</v>
      </c>
      <c r="F470" s="64">
        <f>(646.567)*10.764</f>
        <v>6959.6471879999999</v>
      </c>
      <c r="G470" s="86" t="s">
        <v>31</v>
      </c>
      <c r="H470" s="87" t="s">
        <v>31</v>
      </c>
      <c r="I470" s="36"/>
      <c r="L470" s="88"/>
      <c r="M470" s="88"/>
      <c r="N470" s="36"/>
      <c r="T470" s="21"/>
    </row>
    <row r="471" spans="1:20" s="67" customFormat="1" ht="15.75" customHeight="1" x14ac:dyDescent="0.25">
      <c r="A471" s="64">
        <f t="shared" si="26"/>
        <v>340</v>
      </c>
      <c r="B471" s="86" t="s">
        <v>304</v>
      </c>
      <c r="C471" s="87"/>
      <c r="D471" s="64">
        <f>158.65</f>
        <v>158.65</v>
      </c>
      <c r="E471" s="64">
        <f t="shared" si="24"/>
        <v>1707.7085999999999</v>
      </c>
      <c r="F471" s="64">
        <f>(285.57)*10.764</f>
        <v>3073.8754799999997</v>
      </c>
      <c r="G471" s="86" t="s">
        <v>31</v>
      </c>
      <c r="H471" s="87" t="s">
        <v>31</v>
      </c>
      <c r="I471" s="36"/>
      <c r="L471" s="88"/>
      <c r="M471" s="88"/>
      <c r="N471" s="36"/>
      <c r="T471" s="21"/>
    </row>
    <row r="472" spans="1:20" s="67" customFormat="1" ht="15.75" customHeight="1" x14ac:dyDescent="0.25">
      <c r="A472" s="64">
        <f t="shared" si="26"/>
        <v>341</v>
      </c>
      <c r="B472" s="86" t="s">
        <v>304</v>
      </c>
      <c r="C472" s="87"/>
      <c r="D472" s="64">
        <f>158.722</f>
        <v>158.72200000000001</v>
      </c>
      <c r="E472" s="64">
        <f t="shared" si="24"/>
        <v>1708.483608</v>
      </c>
      <c r="F472" s="64">
        <f>(285.7)*10.764</f>
        <v>3075.2747999999997</v>
      </c>
      <c r="G472" s="86" t="s">
        <v>31</v>
      </c>
      <c r="H472" s="87" t="s">
        <v>31</v>
      </c>
      <c r="I472" s="36"/>
      <c r="L472" s="88"/>
      <c r="M472" s="88"/>
      <c r="N472" s="36"/>
      <c r="T472" s="21"/>
    </row>
    <row r="473" spans="1:20" s="67" customFormat="1" ht="15.75" customHeight="1" x14ac:dyDescent="0.25">
      <c r="A473" s="64">
        <f t="shared" si="26"/>
        <v>342</v>
      </c>
      <c r="B473" s="86" t="s">
        <v>304</v>
      </c>
      <c r="C473" s="87"/>
      <c r="D473" s="64">
        <f>158.696</f>
        <v>158.696</v>
      </c>
      <c r="E473" s="64">
        <f t="shared" si="24"/>
        <v>1708.2037439999999</v>
      </c>
      <c r="F473" s="64">
        <f>(285.653)*10.764</f>
        <v>3074.7688920000001</v>
      </c>
      <c r="G473" s="86" t="s">
        <v>31</v>
      </c>
      <c r="H473" s="87" t="s">
        <v>31</v>
      </c>
      <c r="I473" s="36"/>
      <c r="L473" s="88"/>
      <c r="M473" s="88"/>
      <c r="N473" s="36"/>
      <c r="T473" s="21"/>
    </row>
    <row r="474" spans="1:20" s="67" customFormat="1" ht="15.75" customHeight="1" x14ac:dyDescent="0.25">
      <c r="A474" s="64">
        <f t="shared" si="26"/>
        <v>343</v>
      </c>
      <c r="B474" s="86" t="s">
        <v>304</v>
      </c>
      <c r="C474" s="87"/>
      <c r="D474" s="64">
        <f>158.522</f>
        <v>158.52199999999999</v>
      </c>
      <c r="E474" s="64">
        <f t="shared" si="24"/>
        <v>1706.3308079999997</v>
      </c>
      <c r="F474" s="64">
        <f>(285.34)*10.764</f>
        <v>3071.3997599999993</v>
      </c>
      <c r="G474" s="86" t="s">
        <v>31</v>
      </c>
      <c r="H474" s="87" t="s">
        <v>31</v>
      </c>
      <c r="I474" s="36"/>
      <c r="L474" s="88"/>
      <c r="M474" s="88"/>
      <c r="N474" s="36"/>
      <c r="T474" s="21"/>
    </row>
    <row r="475" spans="1:20" s="67" customFormat="1" ht="15.75" customHeight="1" x14ac:dyDescent="0.25">
      <c r="A475" s="64">
        <f t="shared" si="26"/>
        <v>344</v>
      </c>
      <c r="B475" s="86" t="s">
        <v>304</v>
      </c>
      <c r="C475" s="87"/>
      <c r="D475" s="64">
        <f>158.206</f>
        <v>158.20599999999999</v>
      </c>
      <c r="E475" s="64">
        <f t="shared" si="24"/>
        <v>1702.9293839999998</v>
      </c>
      <c r="F475" s="64">
        <f>(284.771)*10.764</f>
        <v>3065.275044</v>
      </c>
      <c r="G475" s="86" t="s">
        <v>31</v>
      </c>
      <c r="H475" s="87" t="s">
        <v>31</v>
      </c>
      <c r="I475" s="36"/>
      <c r="L475" s="88"/>
      <c r="M475" s="88"/>
      <c r="N475" s="36"/>
      <c r="T475" s="21"/>
    </row>
    <row r="476" spans="1:20" s="67" customFormat="1" ht="15.75" customHeight="1" x14ac:dyDescent="0.25">
      <c r="A476" s="64">
        <f t="shared" si="26"/>
        <v>345</v>
      </c>
      <c r="B476" s="86" t="s">
        <v>304</v>
      </c>
      <c r="C476" s="87"/>
      <c r="D476" s="64">
        <f>157.892</f>
        <v>157.892</v>
      </c>
      <c r="E476" s="64">
        <f t="shared" si="24"/>
        <v>1699.5494879999999</v>
      </c>
      <c r="F476" s="64">
        <f>(284.206)*10.764</f>
        <v>3059.1933840000002</v>
      </c>
      <c r="G476" s="86" t="s">
        <v>31</v>
      </c>
      <c r="H476" s="87" t="s">
        <v>31</v>
      </c>
      <c r="I476" s="36"/>
      <c r="L476" s="88"/>
      <c r="M476" s="88"/>
      <c r="N476" s="36"/>
      <c r="T476" s="21"/>
    </row>
    <row r="477" spans="1:20" s="67" customFormat="1" ht="15.75" customHeight="1" x14ac:dyDescent="0.25">
      <c r="A477" s="64">
        <f t="shared" si="26"/>
        <v>346</v>
      </c>
      <c r="B477" s="86" t="s">
        <v>304</v>
      </c>
      <c r="C477" s="87"/>
      <c r="D477" s="64">
        <f>157.569</f>
        <v>157.56899999999999</v>
      </c>
      <c r="E477" s="64">
        <f t="shared" si="24"/>
        <v>1696.0727159999997</v>
      </c>
      <c r="F477" s="64">
        <f>(283.624)*10.764</f>
        <v>3052.9287359999998</v>
      </c>
      <c r="G477" s="86" t="s">
        <v>31</v>
      </c>
      <c r="H477" s="87" t="s">
        <v>31</v>
      </c>
      <c r="I477" s="36"/>
      <c r="L477" s="88"/>
      <c r="M477" s="88"/>
      <c r="N477" s="36"/>
      <c r="T477" s="21"/>
    </row>
    <row r="478" spans="1:20" s="67" customFormat="1" ht="15.75" customHeight="1" x14ac:dyDescent="0.25">
      <c r="A478" s="64">
        <f t="shared" si="26"/>
        <v>347</v>
      </c>
      <c r="B478" s="86" t="s">
        <v>304</v>
      </c>
      <c r="C478" s="87"/>
      <c r="D478" s="64">
        <f>157.294</f>
        <v>157.29400000000001</v>
      </c>
      <c r="E478" s="64">
        <f t="shared" si="24"/>
        <v>1693.1126160000001</v>
      </c>
      <c r="F478" s="64">
        <f>(283.129)*10.764</f>
        <v>3047.6005559999999</v>
      </c>
      <c r="G478" s="86" t="s">
        <v>31</v>
      </c>
      <c r="H478" s="87" t="s">
        <v>31</v>
      </c>
      <c r="I478" s="36"/>
      <c r="L478" s="88"/>
      <c r="M478" s="88"/>
      <c r="N478" s="36"/>
      <c r="T478" s="21"/>
    </row>
    <row r="479" spans="1:20" s="67" customFormat="1" ht="15.75" customHeight="1" x14ac:dyDescent="0.25">
      <c r="A479" s="64">
        <f t="shared" si="26"/>
        <v>348</v>
      </c>
      <c r="B479" s="86" t="s">
        <v>304</v>
      </c>
      <c r="C479" s="87"/>
      <c r="D479" s="64">
        <f>158.004</f>
        <v>158.00399999999999</v>
      </c>
      <c r="E479" s="64">
        <f t="shared" si="24"/>
        <v>1700.7550559999997</v>
      </c>
      <c r="F479" s="64">
        <f>(284.407)*10.764</f>
        <v>3061.3569479999996</v>
      </c>
      <c r="G479" s="86" t="s">
        <v>31</v>
      </c>
      <c r="H479" s="87" t="s">
        <v>31</v>
      </c>
      <c r="I479" s="36"/>
      <c r="L479" s="88"/>
      <c r="M479" s="88"/>
      <c r="N479" s="36"/>
      <c r="T479" s="21"/>
    </row>
    <row r="480" spans="1:20" s="72" customFormat="1" ht="15.75" customHeight="1" x14ac:dyDescent="0.25">
      <c r="A480" s="64">
        <f t="shared" si="26"/>
        <v>349</v>
      </c>
      <c r="B480" s="86" t="s">
        <v>304</v>
      </c>
      <c r="C480" s="87"/>
      <c r="D480" s="64">
        <f>159.146</f>
        <v>159.14599999999999</v>
      </c>
      <c r="E480" s="64">
        <f t="shared" ref="E480" si="29">D480*10.764</f>
        <v>1713.0475439999998</v>
      </c>
      <c r="F480" s="64">
        <f>(286.463)*10.764</f>
        <v>3083.4877320000001</v>
      </c>
      <c r="G480" s="86" t="s">
        <v>31</v>
      </c>
      <c r="H480" s="87" t="s">
        <v>31</v>
      </c>
      <c r="I480" s="36"/>
      <c r="L480" s="88"/>
      <c r="M480" s="88"/>
      <c r="N480" s="36"/>
      <c r="T480" s="21"/>
    </row>
    <row r="481" spans="1:20" s="72" customFormat="1" ht="15.75" customHeight="1" x14ac:dyDescent="0.25">
      <c r="A481" s="64">
        <f t="shared" si="26"/>
        <v>350</v>
      </c>
      <c r="B481" s="86" t="s">
        <v>303</v>
      </c>
      <c r="C481" s="87"/>
      <c r="D481" s="64">
        <f>240.539</f>
        <v>240.53899999999999</v>
      </c>
      <c r="E481" s="64">
        <f t="shared" ref="E481:E483" si="30">D481*10.764</f>
        <v>2589.1617959999999</v>
      </c>
      <c r="F481" s="64">
        <f>(432.97)*10.764</f>
        <v>4660.4890800000003</v>
      </c>
      <c r="G481" s="86" t="s">
        <v>31</v>
      </c>
      <c r="H481" s="87" t="s">
        <v>31</v>
      </c>
      <c r="I481" s="36"/>
      <c r="L481" s="88"/>
      <c r="M481" s="88"/>
      <c r="N481" s="36"/>
      <c r="T481" s="21"/>
    </row>
    <row r="482" spans="1:20" s="72" customFormat="1" ht="15.75" customHeight="1" x14ac:dyDescent="0.25">
      <c r="A482" s="64" t="s">
        <v>343</v>
      </c>
      <c r="B482" s="86" t="s">
        <v>303</v>
      </c>
      <c r="C482" s="87"/>
      <c r="D482" s="64">
        <f>214.023</f>
        <v>214.023</v>
      </c>
      <c r="E482" s="64">
        <f t="shared" si="30"/>
        <v>2303.7435719999999</v>
      </c>
      <c r="F482" s="64">
        <f>(385.241)*10.764</f>
        <v>4146.7341239999996</v>
      </c>
      <c r="G482" s="86" t="s">
        <v>31</v>
      </c>
      <c r="H482" s="87" t="s">
        <v>31</v>
      </c>
      <c r="I482" s="36"/>
      <c r="L482" s="88"/>
      <c r="M482" s="88"/>
      <c r="N482" s="36"/>
      <c r="T482" s="21"/>
    </row>
    <row r="483" spans="1:20" s="72" customFormat="1" ht="15.75" customHeight="1" x14ac:dyDescent="0.25">
      <c r="A483" s="64" t="s">
        <v>344</v>
      </c>
      <c r="B483" s="86" t="s">
        <v>303</v>
      </c>
      <c r="C483" s="87"/>
      <c r="D483" s="64">
        <f>206.42</f>
        <v>206.42</v>
      </c>
      <c r="E483" s="64">
        <f t="shared" si="30"/>
        <v>2221.9048799999996</v>
      </c>
      <c r="F483" s="64">
        <f>(371.556)*10.764</f>
        <v>3999.4287839999997</v>
      </c>
      <c r="G483" s="86" t="s">
        <v>31</v>
      </c>
      <c r="H483" s="87" t="s">
        <v>31</v>
      </c>
      <c r="I483" s="36"/>
      <c r="L483" s="88"/>
      <c r="M483" s="88"/>
      <c r="N483" s="36"/>
      <c r="T483" s="21"/>
    </row>
    <row r="484" spans="1:20" s="35" customFormat="1" x14ac:dyDescent="0.25">
      <c r="A484" s="188" t="s">
        <v>58</v>
      </c>
      <c r="B484" s="188"/>
      <c r="C484" s="188"/>
      <c r="D484" s="188"/>
      <c r="E484" s="188"/>
      <c r="F484" s="188"/>
      <c r="G484" s="188"/>
      <c r="H484" s="188"/>
      <c r="T484" s="37"/>
    </row>
    <row r="485" spans="1:20" s="35" customFormat="1" ht="18.75" customHeight="1" x14ac:dyDescent="0.25">
      <c r="A485" s="46" t="s">
        <v>139</v>
      </c>
      <c r="B485" s="83" t="s">
        <v>351</v>
      </c>
      <c r="C485" s="84"/>
      <c r="D485" s="84"/>
      <c r="E485" s="84"/>
      <c r="F485" s="84"/>
      <c r="G485" s="84"/>
      <c r="H485" s="85"/>
      <c r="I485" s="243" t="s">
        <v>325</v>
      </c>
      <c r="T485" s="37"/>
    </row>
    <row r="486" spans="1:20" s="35" customFormat="1" hidden="1" x14ac:dyDescent="0.25">
      <c r="A486" s="46" t="s">
        <v>139</v>
      </c>
      <c r="B486" s="83" t="str">
        <f>(IF(H140="Saleable area Loading :","We have considered Saleable area of Flats as per our Calculation.","We considered Saleable area of Flat as per Builder area Sheet."))</f>
        <v>We considered Saleable area of Flat as per Builder area Sheet.</v>
      </c>
      <c r="C486" s="84"/>
      <c r="D486" s="84"/>
      <c r="E486" s="84"/>
      <c r="F486" s="84"/>
      <c r="G486" s="84"/>
      <c r="H486" s="85"/>
      <c r="T486" s="37"/>
    </row>
    <row r="487" spans="1:20" s="35" customFormat="1" x14ac:dyDescent="0.25">
      <c r="A487" s="46" t="s">
        <v>139</v>
      </c>
      <c r="B487" s="113" t="s">
        <v>324</v>
      </c>
      <c r="C487" s="114"/>
      <c r="D487" s="114"/>
      <c r="E487" s="114"/>
      <c r="F487" s="114"/>
      <c r="G487" s="114"/>
      <c r="H487" s="115"/>
    </row>
    <row r="488" spans="1:20" s="35" customFormat="1" ht="33.75" hidden="1" customHeight="1" x14ac:dyDescent="0.25">
      <c r="A488" s="46" t="s">
        <v>139</v>
      </c>
      <c r="B488" s="113" t="s">
        <v>111</v>
      </c>
      <c r="C488" s="114"/>
      <c r="D488" s="114"/>
      <c r="E488" s="114"/>
      <c r="F488" s="114"/>
      <c r="G488" s="114"/>
      <c r="H488" s="115"/>
    </row>
    <row r="489" spans="1:20" s="35" customFormat="1" hidden="1" x14ac:dyDescent="0.25">
      <c r="A489" s="46" t="s">
        <v>139</v>
      </c>
      <c r="B489" s="113" t="s">
        <v>138</v>
      </c>
      <c r="C489" s="114"/>
      <c r="D489" s="114"/>
      <c r="E489" s="114"/>
      <c r="F489" s="114"/>
      <c r="G489" s="114"/>
      <c r="H489" s="115"/>
    </row>
    <row r="490" spans="1:20" s="35" customFormat="1" x14ac:dyDescent="0.25">
      <c r="A490" s="46" t="s">
        <v>139</v>
      </c>
      <c r="B490" s="113" t="s">
        <v>112</v>
      </c>
      <c r="C490" s="114"/>
      <c r="D490" s="114"/>
      <c r="E490" s="114"/>
      <c r="F490" s="114"/>
      <c r="G490" s="114"/>
      <c r="H490" s="115"/>
    </row>
    <row r="491" spans="1:20" s="35" customFormat="1" ht="34.5" customHeight="1" x14ac:dyDescent="0.25">
      <c r="A491" s="46" t="s">
        <v>139</v>
      </c>
      <c r="B491" s="113" t="s">
        <v>140</v>
      </c>
      <c r="C491" s="114"/>
      <c r="D491" s="114"/>
      <c r="E491" s="114"/>
      <c r="F491" s="114"/>
      <c r="G491" s="114"/>
      <c r="H491" s="115"/>
    </row>
    <row r="492" spans="1:20" s="35" customFormat="1" x14ac:dyDescent="0.25">
      <c r="A492" s="46" t="s">
        <v>139</v>
      </c>
      <c r="B492" s="113" t="s">
        <v>113</v>
      </c>
      <c r="C492" s="114"/>
      <c r="D492" s="114"/>
      <c r="E492" s="114"/>
      <c r="F492" s="114"/>
      <c r="G492" s="114"/>
      <c r="H492" s="115"/>
    </row>
    <row r="493" spans="1:20" s="35" customFormat="1" ht="32.25" customHeight="1" x14ac:dyDescent="0.25">
      <c r="A493" s="82" t="s">
        <v>139</v>
      </c>
      <c r="B493" s="183" t="s">
        <v>349</v>
      </c>
      <c r="C493" s="184"/>
      <c r="D493" s="184"/>
      <c r="E493" s="184"/>
      <c r="F493" s="184"/>
      <c r="G493" s="184"/>
      <c r="H493" s="185"/>
    </row>
    <row r="494" spans="1:20" s="35" customFormat="1" hidden="1" x14ac:dyDescent="0.25">
      <c r="A494" s="58" t="s">
        <v>139</v>
      </c>
      <c r="B494" s="100" t="s">
        <v>215</v>
      </c>
      <c r="C494" s="101"/>
      <c r="D494" s="101"/>
      <c r="E494" s="101"/>
      <c r="F494" s="101"/>
      <c r="G494" s="101"/>
      <c r="H494" s="102"/>
    </row>
    <row r="495" spans="1:20" s="35" customFormat="1" x14ac:dyDescent="0.25">
      <c r="A495" s="71" t="s">
        <v>139</v>
      </c>
      <c r="B495" s="83" t="s">
        <v>347</v>
      </c>
      <c r="C495" s="84"/>
      <c r="D495" s="84"/>
      <c r="E495" s="84"/>
      <c r="F495" s="84"/>
      <c r="G495" s="84"/>
      <c r="H495" s="85"/>
    </row>
    <row r="496" spans="1:20" x14ac:dyDescent="0.25">
      <c r="A496" s="176" t="s">
        <v>51</v>
      </c>
      <c r="B496" s="176"/>
      <c r="C496" s="176"/>
      <c r="D496" s="176"/>
      <c r="E496" s="176"/>
      <c r="F496" s="176"/>
      <c r="G496" s="176"/>
      <c r="H496" s="176"/>
      <c r="T496" s="35"/>
    </row>
    <row r="497" spans="1:20" x14ac:dyDescent="0.25">
      <c r="A497" s="103" t="s">
        <v>52</v>
      </c>
      <c r="B497" s="103"/>
      <c r="C497" s="103"/>
      <c r="D497" s="103"/>
      <c r="E497" s="103"/>
      <c r="F497" s="103"/>
      <c r="G497" s="103"/>
      <c r="H497" s="103"/>
      <c r="T497" s="35"/>
    </row>
    <row r="498" spans="1:20" ht="15.75" customHeight="1" x14ac:dyDescent="0.25">
      <c r="A498" s="177" t="s">
        <v>53</v>
      </c>
      <c r="B498" s="177"/>
      <c r="C498" s="177"/>
      <c r="D498" s="177"/>
      <c r="E498" s="177"/>
      <c r="F498" s="177"/>
      <c r="G498" s="177"/>
      <c r="H498" s="177"/>
      <c r="T498" s="35"/>
    </row>
    <row r="499" spans="1:20" x14ac:dyDescent="0.25">
      <c r="A499" s="103" t="s">
        <v>54</v>
      </c>
      <c r="B499" s="103"/>
      <c r="C499" s="103"/>
      <c r="D499" s="103"/>
      <c r="E499" s="103"/>
      <c r="F499" s="103"/>
      <c r="G499" s="103"/>
      <c r="H499" s="103"/>
    </row>
    <row r="500" spans="1:20" x14ac:dyDescent="0.25">
      <c r="A500" s="103" t="s">
        <v>55</v>
      </c>
      <c r="B500" s="103"/>
      <c r="C500" s="103"/>
      <c r="D500" s="103"/>
      <c r="E500" s="103"/>
      <c r="F500" s="103"/>
      <c r="G500" s="103"/>
      <c r="H500" s="103"/>
    </row>
    <row r="501" spans="1:20" x14ac:dyDescent="0.25">
      <c r="A501" s="103" t="s">
        <v>114</v>
      </c>
      <c r="B501" s="103"/>
      <c r="C501" s="103"/>
      <c r="D501" s="103"/>
      <c r="E501" s="103"/>
      <c r="F501" s="103"/>
      <c r="G501" s="103"/>
      <c r="H501" s="103"/>
    </row>
    <row r="502" spans="1:20" ht="33.950000000000003" customHeight="1" x14ac:dyDescent="0.25">
      <c r="A502" s="166" t="s">
        <v>115</v>
      </c>
      <c r="B502" s="166"/>
      <c r="C502" s="166"/>
      <c r="D502" s="166"/>
      <c r="E502" s="166"/>
      <c r="F502" s="166"/>
      <c r="G502" s="166"/>
      <c r="H502" s="166"/>
    </row>
    <row r="503" spans="1:20" x14ac:dyDescent="0.25">
      <c r="A503" s="173" t="s">
        <v>66</v>
      </c>
      <c r="B503" s="173"/>
      <c r="C503" s="173" t="s">
        <v>328</v>
      </c>
      <c r="D503" s="173"/>
      <c r="E503" s="173" t="s">
        <v>96</v>
      </c>
      <c r="F503" s="173"/>
      <c r="G503" s="173" t="s">
        <v>338</v>
      </c>
      <c r="H503" s="173"/>
    </row>
    <row r="504" spans="1:20" x14ac:dyDescent="0.25">
      <c r="A504" s="172" t="s">
        <v>68</v>
      </c>
      <c r="B504" s="172"/>
      <c r="C504" s="172"/>
      <c r="D504" s="172"/>
      <c r="E504" s="172"/>
      <c r="F504" s="172"/>
      <c r="G504" s="172"/>
      <c r="H504" s="172"/>
    </row>
    <row r="505" spans="1:20" x14ac:dyDescent="0.25">
      <c r="A505" s="172"/>
      <c r="B505" s="172"/>
      <c r="C505" s="172"/>
      <c r="D505" s="172"/>
      <c r="E505" s="172"/>
      <c r="F505" s="172"/>
      <c r="G505" s="172"/>
      <c r="H505" s="172"/>
      <c r="J505" s="78">
        <v>38458</v>
      </c>
    </row>
    <row r="506" spans="1:20" x14ac:dyDescent="0.25">
      <c r="A506" s="172"/>
      <c r="B506" s="172"/>
      <c r="C506" s="172"/>
      <c r="D506" s="172"/>
      <c r="E506" s="172"/>
      <c r="F506" s="172"/>
      <c r="G506" s="172"/>
      <c r="H506" s="172"/>
    </row>
    <row r="507" spans="1:20" x14ac:dyDescent="0.25">
      <c r="A507" s="172"/>
      <c r="B507" s="172"/>
      <c r="C507" s="172"/>
      <c r="D507" s="172"/>
      <c r="E507" s="172"/>
      <c r="F507" s="172"/>
      <c r="G507" s="172"/>
      <c r="H507" s="172"/>
    </row>
    <row r="508" spans="1:20" x14ac:dyDescent="0.25">
      <c r="A508" s="38" t="s">
        <v>56</v>
      </c>
      <c r="B508" s="39"/>
      <c r="C508" s="39"/>
      <c r="D508" s="38" t="str">
        <f>E9</f>
        <v>Wise City RZ 01 (Phase 1, 2 &amp; 3)</v>
      </c>
      <c r="F508" s="39"/>
      <c r="G508" s="39"/>
      <c r="H508" s="39"/>
    </row>
    <row r="509" spans="1:20" x14ac:dyDescent="0.25">
      <c r="A509" s="39"/>
      <c r="B509" s="39"/>
      <c r="C509" s="39"/>
      <c r="D509" s="39"/>
      <c r="E509" s="39"/>
      <c r="F509" s="39"/>
      <c r="G509" s="39"/>
      <c r="H509" s="39"/>
    </row>
    <row r="510" spans="1:20" x14ac:dyDescent="0.25">
      <c r="A510" s="39"/>
      <c r="B510" s="39"/>
      <c r="C510" s="39"/>
      <c r="D510" s="39"/>
      <c r="E510" s="39"/>
      <c r="F510" s="39"/>
      <c r="G510" s="39"/>
      <c r="H510" s="39"/>
    </row>
    <row r="511" spans="1:20" ht="15" customHeight="1" x14ac:dyDescent="0.25"/>
    <row r="539" spans="9:9" x14ac:dyDescent="0.25">
      <c r="I539"/>
    </row>
    <row r="543" spans="9:9" hidden="1" x14ac:dyDescent="0.25"/>
    <row r="544" spans="9:9" hidden="1" x14ac:dyDescent="0.25"/>
    <row r="545" spans="1:7" hidden="1" x14ac:dyDescent="0.25"/>
    <row r="546" spans="1:7" hidden="1" x14ac:dyDescent="0.25"/>
    <row r="547" spans="1:7" hidden="1" x14ac:dyDescent="0.25"/>
    <row r="548" spans="1:7" hidden="1" x14ac:dyDescent="0.25"/>
    <row r="549" spans="1:7" hidden="1" x14ac:dyDescent="0.25"/>
    <row r="550" spans="1:7" hidden="1" x14ac:dyDescent="0.25"/>
    <row r="551" spans="1:7" hidden="1" x14ac:dyDescent="0.25"/>
    <row r="552" spans="1:7" hidden="1" x14ac:dyDescent="0.25"/>
    <row r="553" spans="1:7" hidden="1" x14ac:dyDescent="0.25"/>
    <row r="554" spans="1:7" x14ac:dyDescent="0.25">
      <c r="A554" s="41" t="s">
        <v>352</v>
      </c>
      <c r="D554" s="244" t="str">
        <f>E9</f>
        <v>Wise City RZ 01 (Phase 1, 2 &amp; 3)</v>
      </c>
      <c r="E554" s="244"/>
      <c r="F554" s="244"/>
      <c r="G554" s="245"/>
    </row>
    <row r="593" spans="1:1" x14ac:dyDescent="0.25">
      <c r="A593" s="41" t="s">
        <v>146</v>
      </c>
    </row>
    <row r="637" spans="1:1" x14ac:dyDescent="0.25">
      <c r="A637" s="41" t="s">
        <v>57</v>
      </c>
    </row>
  </sheetData>
  <mergeCells count="1325">
    <mergeCell ref="D554:F554"/>
    <mergeCell ref="G469:H469"/>
    <mergeCell ref="L469:M469"/>
    <mergeCell ref="B470:C470"/>
    <mergeCell ref="B465:C465"/>
    <mergeCell ref="G465:H465"/>
    <mergeCell ref="L465:M465"/>
    <mergeCell ref="B478:C478"/>
    <mergeCell ref="G478:H478"/>
    <mergeCell ref="L478:M478"/>
    <mergeCell ref="B479:C479"/>
    <mergeCell ref="G479:H479"/>
    <mergeCell ref="L479:M479"/>
    <mergeCell ref="A136:B136"/>
    <mergeCell ref="C136:D136"/>
    <mergeCell ref="E136:F136"/>
    <mergeCell ref="G136:H136"/>
    <mergeCell ref="B475:C475"/>
    <mergeCell ref="G475:H475"/>
    <mergeCell ref="L475:M475"/>
    <mergeCell ref="B476:C476"/>
    <mergeCell ref="G476:H476"/>
    <mergeCell ref="L476:M476"/>
    <mergeCell ref="B477:C477"/>
    <mergeCell ref="G477:H477"/>
    <mergeCell ref="L477:M477"/>
    <mergeCell ref="B472:C472"/>
    <mergeCell ref="G472:H472"/>
    <mergeCell ref="L472:M472"/>
    <mergeCell ref="B473:C473"/>
    <mergeCell ref="G473:H473"/>
    <mergeCell ref="L473:M473"/>
    <mergeCell ref="B474:C474"/>
    <mergeCell ref="G474:H474"/>
    <mergeCell ref="L474:M474"/>
    <mergeCell ref="B469:C469"/>
    <mergeCell ref="B462:C462"/>
    <mergeCell ref="G462:H462"/>
    <mergeCell ref="L462:M462"/>
    <mergeCell ref="B457:C457"/>
    <mergeCell ref="G457:H457"/>
    <mergeCell ref="L457:M457"/>
    <mergeCell ref="B458:C458"/>
    <mergeCell ref="G458:H458"/>
    <mergeCell ref="L458:M458"/>
    <mergeCell ref="B459:C459"/>
    <mergeCell ref="G459:H459"/>
    <mergeCell ref="L459:M459"/>
    <mergeCell ref="G470:H470"/>
    <mergeCell ref="L470:M470"/>
    <mergeCell ref="B471:C471"/>
    <mergeCell ref="G471:H471"/>
    <mergeCell ref="L471:M471"/>
    <mergeCell ref="B466:C466"/>
    <mergeCell ref="G466:H466"/>
    <mergeCell ref="L466:M466"/>
    <mergeCell ref="B467:C467"/>
    <mergeCell ref="G467:H467"/>
    <mergeCell ref="L467:M467"/>
    <mergeCell ref="B468:C468"/>
    <mergeCell ref="G468:H468"/>
    <mergeCell ref="L468:M468"/>
    <mergeCell ref="B463:C463"/>
    <mergeCell ref="G463:H463"/>
    <mergeCell ref="L463:M463"/>
    <mergeCell ref="B464:C464"/>
    <mergeCell ref="G464:H464"/>
    <mergeCell ref="L464:M464"/>
    <mergeCell ref="B456:C456"/>
    <mergeCell ref="G456:H456"/>
    <mergeCell ref="L456:M456"/>
    <mergeCell ref="B451:C451"/>
    <mergeCell ref="G451:H451"/>
    <mergeCell ref="L451:M451"/>
    <mergeCell ref="B452:C452"/>
    <mergeCell ref="G452:H452"/>
    <mergeCell ref="L452:M452"/>
    <mergeCell ref="B460:C460"/>
    <mergeCell ref="G460:H460"/>
    <mergeCell ref="L460:M460"/>
    <mergeCell ref="B461:C461"/>
    <mergeCell ref="G461:H461"/>
    <mergeCell ref="L461:M461"/>
    <mergeCell ref="B449:C449"/>
    <mergeCell ref="G449:H449"/>
    <mergeCell ref="L449:M449"/>
    <mergeCell ref="B450:C450"/>
    <mergeCell ref="G450:H450"/>
    <mergeCell ref="L450:M450"/>
    <mergeCell ref="B446:C446"/>
    <mergeCell ref="G446:H446"/>
    <mergeCell ref="L446:M446"/>
    <mergeCell ref="B447:C447"/>
    <mergeCell ref="G447:H447"/>
    <mergeCell ref="L447:M447"/>
    <mergeCell ref="B454:C454"/>
    <mergeCell ref="G454:H454"/>
    <mergeCell ref="L454:M454"/>
    <mergeCell ref="B455:C455"/>
    <mergeCell ref="G455:H455"/>
    <mergeCell ref="L455:M455"/>
    <mergeCell ref="B444:C444"/>
    <mergeCell ref="G444:H444"/>
    <mergeCell ref="L444:M444"/>
    <mergeCell ref="B445:C445"/>
    <mergeCell ref="G445:H445"/>
    <mergeCell ref="L445:M445"/>
    <mergeCell ref="B440:C440"/>
    <mergeCell ref="G440:H440"/>
    <mergeCell ref="L440:M440"/>
    <mergeCell ref="B441:C441"/>
    <mergeCell ref="G441:H441"/>
    <mergeCell ref="L441:M441"/>
    <mergeCell ref="B442:C442"/>
    <mergeCell ref="G442:H442"/>
    <mergeCell ref="L442:M442"/>
    <mergeCell ref="B448:C448"/>
    <mergeCell ref="G448:H448"/>
    <mergeCell ref="L448:M448"/>
    <mergeCell ref="B438:C438"/>
    <mergeCell ref="G438:H438"/>
    <mergeCell ref="L438:M438"/>
    <mergeCell ref="B439:C439"/>
    <mergeCell ref="G439:H439"/>
    <mergeCell ref="L439:M439"/>
    <mergeCell ref="B434:C434"/>
    <mergeCell ref="G434:H434"/>
    <mergeCell ref="L434:M434"/>
    <mergeCell ref="B435:C435"/>
    <mergeCell ref="G435:H435"/>
    <mergeCell ref="L435:M435"/>
    <mergeCell ref="B436:C436"/>
    <mergeCell ref="G436:H436"/>
    <mergeCell ref="L436:M436"/>
    <mergeCell ref="B443:C443"/>
    <mergeCell ref="G443:H443"/>
    <mergeCell ref="L443:M443"/>
    <mergeCell ref="B432:C432"/>
    <mergeCell ref="G432:H432"/>
    <mergeCell ref="L432:M432"/>
    <mergeCell ref="B433:C433"/>
    <mergeCell ref="G433:H433"/>
    <mergeCell ref="L433:M433"/>
    <mergeCell ref="B428:C428"/>
    <mergeCell ref="G428:H428"/>
    <mergeCell ref="L428:M428"/>
    <mergeCell ref="B429:C429"/>
    <mergeCell ref="G429:H429"/>
    <mergeCell ref="L429:M429"/>
    <mergeCell ref="B430:C430"/>
    <mergeCell ref="G430:H430"/>
    <mergeCell ref="L430:M430"/>
    <mergeCell ref="B437:C437"/>
    <mergeCell ref="G437:H437"/>
    <mergeCell ref="L437:M437"/>
    <mergeCell ref="B426:C426"/>
    <mergeCell ref="G426:H426"/>
    <mergeCell ref="L426:M426"/>
    <mergeCell ref="B427:C427"/>
    <mergeCell ref="G427:H427"/>
    <mergeCell ref="L427:M427"/>
    <mergeCell ref="B422:C422"/>
    <mergeCell ref="G422:H422"/>
    <mergeCell ref="L422:M422"/>
    <mergeCell ref="B423:C423"/>
    <mergeCell ref="G423:H423"/>
    <mergeCell ref="L423:M423"/>
    <mergeCell ref="B424:C424"/>
    <mergeCell ref="G424:H424"/>
    <mergeCell ref="L424:M424"/>
    <mergeCell ref="B431:C431"/>
    <mergeCell ref="G431:H431"/>
    <mergeCell ref="L431:M431"/>
    <mergeCell ref="B420:C420"/>
    <mergeCell ref="G420:H420"/>
    <mergeCell ref="L420:M420"/>
    <mergeCell ref="B421:C421"/>
    <mergeCell ref="G421:H421"/>
    <mergeCell ref="L421:M421"/>
    <mergeCell ref="B416:C416"/>
    <mergeCell ref="G416:H416"/>
    <mergeCell ref="L416:M416"/>
    <mergeCell ref="B417:C417"/>
    <mergeCell ref="G417:H417"/>
    <mergeCell ref="L417:M417"/>
    <mergeCell ref="B418:C418"/>
    <mergeCell ref="G418:H418"/>
    <mergeCell ref="L418:M418"/>
    <mergeCell ref="B425:C425"/>
    <mergeCell ref="G425:H425"/>
    <mergeCell ref="L425:M425"/>
    <mergeCell ref="B413:C413"/>
    <mergeCell ref="G413:H413"/>
    <mergeCell ref="L413:M413"/>
    <mergeCell ref="B414:C414"/>
    <mergeCell ref="G414:H414"/>
    <mergeCell ref="L414:M414"/>
    <mergeCell ref="B415:C415"/>
    <mergeCell ref="G415:H415"/>
    <mergeCell ref="L415:M415"/>
    <mergeCell ref="B411:C411"/>
    <mergeCell ref="G411:H411"/>
    <mergeCell ref="L411:M411"/>
    <mergeCell ref="B412:C412"/>
    <mergeCell ref="G412:H412"/>
    <mergeCell ref="L412:M412"/>
    <mergeCell ref="B419:C419"/>
    <mergeCell ref="G419:H419"/>
    <mergeCell ref="L419:M419"/>
    <mergeCell ref="B405:C405"/>
    <mergeCell ref="G405:H405"/>
    <mergeCell ref="L405:M405"/>
    <mergeCell ref="B406:C406"/>
    <mergeCell ref="G406:H406"/>
    <mergeCell ref="L406:M406"/>
    <mergeCell ref="B401:C401"/>
    <mergeCell ref="G401:H401"/>
    <mergeCell ref="L401:M401"/>
    <mergeCell ref="B402:C402"/>
    <mergeCell ref="G402:H402"/>
    <mergeCell ref="L402:M402"/>
    <mergeCell ref="B403:C403"/>
    <mergeCell ref="G403:H403"/>
    <mergeCell ref="L403:M403"/>
    <mergeCell ref="B410:C410"/>
    <mergeCell ref="G410:H410"/>
    <mergeCell ref="L410:M410"/>
    <mergeCell ref="B407:C407"/>
    <mergeCell ref="G407:H407"/>
    <mergeCell ref="L407:M407"/>
    <mergeCell ref="B408:C408"/>
    <mergeCell ref="G408:H408"/>
    <mergeCell ref="L408:M408"/>
    <mergeCell ref="B409:C409"/>
    <mergeCell ref="G409:H409"/>
    <mergeCell ref="L409:M409"/>
    <mergeCell ref="B399:C399"/>
    <mergeCell ref="G399:H399"/>
    <mergeCell ref="L399:M399"/>
    <mergeCell ref="B400:C400"/>
    <mergeCell ref="G400:H400"/>
    <mergeCell ref="L400:M400"/>
    <mergeCell ref="B395:C395"/>
    <mergeCell ref="G395:H395"/>
    <mergeCell ref="L395:M395"/>
    <mergeCell ref="B396:C396"/>
    <mergeCell ref="G396:H396"/>
    <mergeCell ref="L396:M396"/>
    <mergeCell ref="B397:C397"/>
    <mergeCell ref="G397:H397"/>
    <mergeCell ref="L397:M397"/>
    <mergeCell ref="B404:C404"/>
    <mergeCell ref="G404:H404"/>
    <mergeCell ref="L404:M404"/>
    <mergeCell ref="B393:C393"/>
    <mergeCell ref="G393:H393"/>
    <mergeCell ref="L393:M393"/>
    <mergeCell ref="B394:C394"/>
    <mergeCell ref="G394:H394"/>
    <mergeCell ref="L394:M394"/>
    <mergeCell ref="B389:C389"/>
    <mergeCell ref="G389:H389"/>
    <mergeCell ref="L389:M389"/>
    <mergeCell ref="B390:C390"/>
    <mergeCell ref="G390:H390"/>
    <mergeCell ref="L390:M390"/>
    <mergeCell ref="B391:C391"/>
    <mergeCell ref="G391:H391"/>
    <mergeCell ref="L391:M391"/>
    <mergeCell ref="B398:C398"/>
    <mergeCell ref="G398:H398"/>
    <mergeCell ref="L398:M398"/>
    <mergeCell ref="B387:C387"/>
    <mergeCell ref="G387:H387"/>
    <mergeCell ref="L387:M387"/>
    <mergeCell ref="B388:C388"/>
    <mergeCell ref="G388:H388"/>
    <mergeCell ref="L388:M388"/>
    <mergeCell ref="B383:C383"/>
    <mergeCell ref="G383:H383"/>
    <mergeCell ref="L383:M383"/>
    <mergeCell ref="B384:C384"/>
    <mergeCell ref="G384:H384"/>
    <mergeCell ref="L384:M384"/>
    <mergeCell ref="B385:C385"/>
    <mergeCell ref="G385:H385"/>
    <mergeCell ref="L385:M385"/>
    <mergeCell ref="B392:C392"/>
    <mergeCell ref="G392:H392"/>
    <mergeCell ref="L392:M392"/>
    <mergeCell ref="B381:C381"/>
    <mergeCell ref="G381:H381"/>
    <mergeCell ref="L381:M381"/>
    <mergeCell ref="B382:C382"/>
    <mergeCell ref="G382:H382"/>
    <mergeCell ref="L382:M382"/>
    <mergeCell ref="B377:C377"/>
    <mergeCell ref="G377:H377"/>
    <mergeCell ref="L377:M377"/>
    <mergeCell ref="B378:C378"/>
    <mergeCell ref="G378:H378"/>
    <mergeCell ref="L378:M378"/>
    <mergeCell ref="B379:C379"/>
    <mergeCell ref="G379:H379"/>
    <mergeCell ref="L379:M379"/>
    <mergeCell ref="B386:C386"/>
    <mergeCell ref="G386:H386"/>
    <mergeCell ref="L386:M386"/>
    <mergeCell ref="B375:C375"/>
    <mergeCell ref="G375:H375"/>
    <mergeCell ref="L375:M375"/>
    <mergeCell ref="B376:C376"/>
    <mergeCell ref="G376:H376"/>
    <mergeCell ref="L376:M376"/>
    <mergeCell ref="B371:C371"/>
    <mergeCell ref="G371:H371"/>
    <mergeCell ref="L371:M371"/>
    <mergeCell ref="B372:C372"/>
    <mergeCell ref="G372:H372"/>
    <mergeCell ref="L372:M372"/>
    <mergeCell ref="B373:C373"/>
    <mergeCell ref="G373:H373"/>
    <mergeCell ref="L373:M373"/>
    <mergeCell ref="B380:C380"/>
    <mergeCell ref="G380:H380"/>
    <mergeCell ref="L380:M380"/>
    <mergeCell ref="B369:C369"/>
    <mergeCell ref="G369:H369"/>
    <mergeCell ref="L369:M369"/>
    <mergeCell ref="B370:C370"/>
    <mergeCell ref="G370:H370"/>
    <mergeCell ref="L370:M370"/>
    <mergeCell ref="B365:C365"/>
    <mergeCell ref="G365:H365"/>
    <mergeCell ref="L365:M365"/>
    <mergeCell ref="B366:C366"/>
    <mergeCell ref="G366:H366"/>
    <mergeCell ref="L366:M366"/>
    <mergeCell ref="B367:C367"/>
    <mergeCell ref="G367:H367"/>
    <mergeCell ref="L367:M367"/>
    <mergeCell ref="B374:C374"/>
    <mergeCell ref="G374:H374"/>
    <mergeCell ref="L374:M374"/>
    <mergeCell ref="B363:C363"/>
    <mergeCell ref="G363:H363"/>
    <mergeCell ref="L363:M363"/>
    <mergeCell ref="B364:C364"/>
    <mergeCell ref="G364:H364"/>
    <mergeCell ref="L364:M364"/>
    <mergeCell ref="B359:C359"/>
    <mergeCell ref="G359:H359"/>
    <mergeCell ref="L359:M359"/>
    <mergeCell ref="B360:C360"/>
    <mergeCell ref="G360:H360"/>
    <mergeCell ref="L360:M360"/>
    <mergeCell ref="B361:C361"/>
    <mergeCell ref="G361:H361"/>
    <mergeCell ref="L361:M361"/>
    <mergeCell ref="B368:C368"/>
    <mergeCell ref="G368:H368"/>
    <mergeCell ref="L368:M368"/>
    <mergeCell ref="B357:C357"/>
    <mergeCell ref="G357:H357"/>
    <mergeCell ref="L357:M357"/>
    <mergeCell ref="B358:C358"/>
    <mergeCell ref="G358:H358"/>
    <mergeCell ref="L358:M358"/>
    <mergeCell ref="B353:C353"/>
    <mergeCell ref="G353:H353"/>
    <mergeCell ref="L353:M353"/>
    <mergeCell ref="B354:C354"/>
    <mergeCell ref="G354:H354"/>
    <mergeCell ref="L354:M354"/>
    <mergeCell ref="B355:C355"/>
    <mergeCell ref="G355:H355"/>
    <mergeCell ref="L355:M355"/>
    <mergeCell ref="B362:C362"/>
    <mergeCell ref="G362:H362"/>
    <mergeCell ref="L362:M362"/>
    <mergeCell ref="B351:C351"/>
    <mergeCell ref="G351:H351"/>
    <mergeCell ref="L351:M351"/>
    <mergeCell ref="B352:C352"/>
    <mergeCell ref="G352:H352"/>
    <mergeCell ref="L352:M352"/>
    <mergeCell ref="B347:C347"/>
    <mergeCell ref="G347:H347"/>
    <mergeCell ref="L347:M347"/>
    <mergeCell ref="B348:C348"/>
    <mergeCell ref="G348:H348"/>
    <mergeCell ref="L348:M348"/>
    <mergeCell ref="B349:C349"/>
    <mergeCell ref="G349:H349"/>
    <mergeCell ref="L349:M349"/>
    <mergeCell ref="B356:C356"/>
    <mergeCell ref="G356:H356"/>
    <mergeCell ref="L356:M356"/>
    <mergeCell ref="B345:C345"/>
    <mergeCell ref="G345:H345"/>
    <mergeCell ref="L345:M345"/>
    <mergeCell ref="B346:C346"/>
    <mergeCell ref="G346:H346"/>
    <mergeCell ref="L346:M346"/>
    <mergeCell ref="B341:C341"/>
    <mergeCell ref="G341:H341"/>
    <mergeCell ref="L341:M341"/>
    <mergeCell ref="B342:C342"/>
    <mergeCell ref="G342:H342"/>
    <mergeCell ref="L342:M342"/>
    <mergeCell ref="B343:C343"/>
    <mergeCell ref="G343:H343"/>
    <mergeCell ref="L343:M343"/>
    <mergeCell ref="B350:C350"/>
    <mergeCell ref="G350:H350"/>
    <mergeCell ref="L350:M350"/>
    <mergeCell ref="B339:C339"/>
    <mergeCell ref="G339:H339"/>
    <mergeCell ref="L339:M339"/>
    <mergeCell ref="B340:C340"/>
    <mergeCell ref="G340:H340"/>
    <mergeCell ref="L340:M340"/>
    <mergeCell ref="B335:C335"/>
    <mergeCell ref="G335:H335"/>
    <mergeCell ref="L335:M335"/>
    <mergeCell ref="B336:C336"/>
    <mergeCell ref="G336:H336"/>
    <mergeCell ref="L336:M336"/>
    <mergeCell ref="B337:C337"/>
    <mergeCell ref="G337:H337"/>
    <mergeCell ref="L337:M337"/>
    <mergeCell ref="B344:C344"/>
    <mergeCell ref="G344:H344"/>
    <mergeCell ref="L344:M344"/>
    <mergeCell ref="B333:C333"/>
    <mergeCell ref="B329:C329"/>
    <mergeCell ref="G329:H329"/>
    <mergeCell ref="L329:M329"/>
    <mergeCell ref="B330:C330"/>
    <mergeCell ref="G330:H330"/>
    <mergeCell ref="L330:M330"/>
    <mergeCell ref="B331:C331"/>
    <mergeCell ref="G331:H331"/>
    <mergeCell ref="L331:M331"/>
    <mergeCell ref="G333:H333"/>
    <mergeCell ref="L333:M333"/>
    <mergeCell ref="B334:C334"/>
    <mergeCell ref="G334:H334"/>
    <mergeCell ref="L334:M334"/>
    <mergeCell ref="B338:C338"/>
    <mergeCell ref="G338:H338"/>
    <mergeCell ref="L338:M338"/>
    <mergeCell ref="B327:C327"/>
    <mergeCell ref="G327:H327"/>
    <mergeCell ref="L327:M327"/>
    <mergeCell ref="B328:C328"/>
    <mergeCell ref="G328:H328"/>
    <mergeCell ref="L328:M328"/>
    <mergeCell ref="B323:C323"/>
    <mergeCell ref="G323:H323"/>
    <mergeCell ref="L323:M323"/>
    <mergeCell ref="B324:C324"/>
    <mergeCell ref="G324:H324"/>
    <mergeCell ref="L324:M324"/>
    <mergeCell ref="B325:C325"/>
    <mergeCell ref="G325:H325"/>
    <mergeCell ref="L325:M325"/>
    <mergeCell ref="B332:C332"/>
    <mergeCell ref="G332:H332"/>
    <mergeCell ref="L332:M332"/>
    <mergeCell ref="B321:C321"/>
    <mergeCell ref="G321:H321"/>
    <mergeCell ref="L321:M321"/>
    <mergeCell ref="B322:C322"/>
    <mergeCell ref="G322:H322"/>
    <mergeCell ref="L322:M322"/>
    <mergeCell ref="B317:C317"/>
    <mergeCell ref="G317:H317"/>
    <mergeCell ref="L317:M317"/>
    <mergeCell ref="B318:C318"/>
    <mergeCell ref="G318:H318"/>
    <mergeCell ref="L318:M318"/>
    <mergeCell ref="B319:C319"/>
    <mergeCell ref="G319:H319"/>
    <mergeCell ref="L319:M319"/>
    <mergeCell ref="B326:C326"/>
    <mergeCell ref="G326:H326"/>
    <mergeCell ref="L326:M326"/>
    <mergeCell ref="B315:C315"/>
    <mergeCell ref="G315:H315"/>
    <mergeCell ref="L315:M315"/>
    <mergeCell ref="B316:C316"/>
    <mergeCell ref="G316:H316"/>
    <mergeCell ref="L316:M316"/>
    <mergeCell ref="B310:C310"/>
    <mergeCell ref="G310:H310"/>
    <mergeCell ref="L310:M310"/>
    <mergeCell ref="B311:C311"/>
    <mergeCell ref="G311:H311"/>
    <mergeCell ref="L311:M311"/>
    <mergeCell ref="B312:C312"/>
    <mergeCell ref="G312:H312"/>
    <mergeCell ref="L312:M312"/>
    <mergeCell ref="B320:C320"/>
    <mergeCell ref="G320:H320"/>
    <mergeCell ref="L320:M320"/>
    <mergeCell ref="B309:C309"/>
    <mergeCell ref="G309:H309"/>
    <mergeCell ref="L309:M309"/>
    <mergeCell ref="B304:C304"/>
    <mergeCell ref="G304:H304"/>
    <mergeCell ref="L304:M304"/>
    <mergeCell ref="B305:C305"/>
    <mergeCell ref="G305:H305"/>
    <mergeCell ref="L305:M305"/>
    <mergeCell ref="B306:C306"/>
    <mergeCell ref="G306:H306"/>
    <mergeCell ref="L306:M306"/>
    <mergeCell ref="B314:C314"/>
    <mergeCell ref="G314:H314"/>
    <mergeCell ref="L314:M314"/>
    <mergeCell ref="B313:C313"/>
    <mergeCell ref="G313:H313"/>
    <mergeCell ref="L313:M313"/>
    <mergeCell ref="B303:C303"/>
    <mergeCell ref="G303:H303"/>
    <mergeCell ref="L303:M303"/>
    <mergeCell ref="B298:C298"/>
    <mergeCell ref="G298:H298"/>
    <mergeCell ref="L298:M298"/>
    <mergeCell ref="B299:C299"/>
    <mergeCell ref="G299:H299"/>
    <mergeCell ref="L299:M299"/>
    <mergeCell ref="B300:C300"/>
    <mergeCell ref="G300:H300"/>
    <mergeCell ref="L300:M300"/>
    <mergeCell ref="B307:C307"/>
    <mergeCell ref="G307:H307"/>
    <mergeCell ref="L307:M307"/>
    <mergeCell ref="B308:C308"/>
    <mergeCell ref="G308:H308"/>
    <mergeCell ref="L308:M308"/>
    <mergeCell ref="B297:C297"/>
    <mergeCell ref="G297:H297"/>
    <mergeCell ref="L297:M297"/>
    <mergeCell ref="B292:C292"/>
    <mergeCell ref="G292:H292"/>
    <mergeCell ref="L292:M292"/>
    <mergeCell ref="B293:C293"/>
    <mergeCell ref="G293:H293"/>
    <mergeCell ref="L293:M293"/>
    <mergeCell ref="B294:C294"/>
    <mergeCell ref="G294:H294"/>
    <mergeCell ref="L294:M294"/>
    <mergeCell ref="B301:C301"/>
    <mergeCell ref="G301:H301"/>
    <mergeCell ref="L301:M301"/>
    <mergeCell ref="B302:C302"/>
    <mergeCell ref="G302:H302"/>
    <mergeCell ref="L302:M302"/>
    <mergeCell ref="B291:C291"/>
    <mergeCell ref="G291:H291"/>
    <mergeCell ref="L291:M291"/>
    <mergeCell ref="B286:C286"/>
    <mergeCell ref="G286:H286"/>
    <mergeCell ref="L286:M286"/>
    <mergeCell ref="B287:C287"/>
    <mergeCell ref="G287:H287"/>
    <mergeCell ref="L287:M287"/>
    <mergeCell ref="B288:C288"/>
    <mergeCell ref="G288:H288"/>
    <mergeCell ref="L288:M288"/>
    <mergeCell ref="B295:C295"/>
    <mergeCell ref="G295:H295"/>
    <mergeCell ref="L295:M295"/>
    <mergeCell ref="B296:C296"/>
    <mergeCell ref="G296:H296"/>
    <mergeCell ref="L296:M296"/>
    <mergeCell ref="B284:C284"/>
    <mergeCell ref="G284:H284"/>
    <mergeCell ref="L284:M284"/>
    <mergeCell ref="B285:C285"/>
    <mergeCell ref="G285:H285"/>
    <mergeCell ref="L285:M285"/>
    <mergeCell ref="B281:C281"/>
    <mergeCell ref="G281:H281"/>
    <mergeCell ref="L281:M281"/>
    <mergeCell ref="B282:C282"/>
    <mergeCell ref="G282:H282"/>
    <mergeCell ref="L282:M282"/>
    <mergeCell ref="B289:C289"/>
    <mergeCell ref="G289:H289"/>
    <mergeCell ref="L289:M289"/>
    <mergeCell ref="B290:C290"/>
    <mergeCell ref="G290:H290"/>
    <mergeCell ref="L290:M290"/>
    <mergeCell ref="B279:C279"/>
    <mergeCell ref="G279:H279"/>
    <mergeCell ref="L279:M279"/>
    <mergeCell ref="B280:C280"/>
    <mergeCell ref="G280:H280"/>
    <mergeCell ref="L280:M280"/>
    <mergeCell ref="B275:C275"/>
    <mergeCell ref="G275:H275"/>
    <mergeCell ref="L275:M275"/>
    <mergeCell ref="B276:C276"/>
    <mergeCell ref="G276:H276"/>
    <mergeCell ref="L276:M276"/>
    <mergeCell ref="B277:C277"/>
    <mergeCell ref="G277:H277"/>
    <mergeCell ref="L277:M277"/>
    <mergeCell ref="B283:C283"/>
    <mergeCell ref="G283:H283"/>
    <mergeCell ref="L283:M283"/>
    <mergeCell ref="B273:C273"/>
    <mergeCell ref="G273:H273"/>
    <mergeCell ref="L273:M273"/>
    <mergeCell ref="B274:C274"/>
    <mergeCell ref="G274:H274"/>
    <mergeCell ref="L274:M274"/>
    <mergeCell ref="B270:C270"/>
    <mergeCell ref="G270:H270"/>
    <mergeCell ref="L270:M270"/>
    <mergeCell ref="B271:C271"/>
    <mergeCell ref="G271:H271"/>
    <mergeCell ref="L271:M271"/>
    <mergeCell ref="B272:C272"/>
    <mergeCell ref="G272:H272"/>
    <mergeCell ref="L272:M272"/>
    <mergeCell ref="B278:C278"/>
    <mergeCell ref="G278:H278"/>
    <mergeCell ref="L278:M278"/>
    <mergeCell ref="B267:C267"/>
    <mergeCell ref="G267:H267"/>
    <mergeCell ref="L267:M267"/>
    <mergeCell ref="B268:C268"/>
    <mergeCell ref="G268:H268"/>
    <mergeCell ref="L268:M268"/>
    <mergeCell ref="B269:C269"/>
    <mergeCell ref="G269:H269"/>
    <mergeCell ref="L269:M269"/>
    <mergeCell ref="B264:C264"/>
    <mergeCell ref="G264:H264"/>
    <mergeCell ref="L264:M264"/>
    <mergeCell ref="B265:C265"/>
    <mergeCell ref="G265:H265"/>
    <mergeCell ref="L265:M265"/>
    <mergeCell ref="B266:C266"/>
    <mergeCell ref="G266:H266"/>
    <mergeCell ref="L266:M266"/>
    <mergeCell ref="B261:C261"/>
    <mergeCell ref="G261:H261"/>
    <mergeCell ref="L261:M261"/>
    <mergeCell ref="B262:C262"/>
    <mergeCell ref="G262:H262"/>
    <mergeCell ref="L262:M262"/>
    <mergeCell ref="B263:C263"/>
    <mergeCell ref="G263:H263"/>
    <mergeCell ref="L263:M263"/>
    <mergeCell ref="B258:C258"/>
    <mergeCell ref="G258:H258"/>
    <mergeCell ref="L258:M258"/>
    <mergeCell ref="B259:C259"/>
    <mergeCell ref="G259:H259"/>
    <mergeCell ref="L259:M259"/>
    <mergeCell ref="B260:C260"/>
    <mergeCell ref="G260:H260"/>
    <mergeCell ref="L260:M260"/>
    <mergeCell ref="B255:C255"/>
    <mergeCell ref="G255:H255"/>
    <mergeCell ref="L255:M255"/>
    <mergeCell ref="B256:C256"/>
    <mergeCell ref="G256:H256"/>
    <mergeCell ref="L256:M256"/>
    <mergeCell ref="B257:C257"/>
    <mergeCell ref="G257:H257"/>
    <mergeCell ref="L257:M257"/>
    <mergeCell ref="B252:C252"/>
    <mergeCell ref="G252:H252"/>
    <mergeCell ref="L252:M252"/>
    <mergeCell ref="B253:C253"/>
    <mergeCell ref="G253:H253"/>
    <mergeCell ref="L253:M253"/>
    <mergeCell ref="B254:C254"/>
    <mergeCell ref="G254:H254"/>
    <mergeCell ref="L254:M254"/>
    <mergeCell ref="B249:C249"/>
    <mergeCell ref="G249:H249"/>
    <mergeCell ref="L249:M249"/>
    <mergeCell ref="B250:C250"/>
    <mergeCell ref="G250:H250"/>
    <mergeCell ref="L250:M250"/>
    <mergeCell ref="B251:C251"/>
    <mergeCell ref="G251:H251"/>
    <mergeCell ref="L251:M251"/>
    <mergeCell ref="B246:C246"/>
    <mergeCell ref="G246:H246"/>
    <mergeCell ref="L246:M246"/>
    <mergeCell ref="B247:C247"/>
    <mergeCell ref="G247:H247"/>
    <mergeCell ref="L247:M247"/>
    <mergeCell ref="B248:C248"/>
    <mergeCell ref="G248:H248"/>
    <mergeCell ref="L248:M248"/>
    <mergeCell ref="B243:C243"/>
    <mergeCell ref="G243:H243"/>
    <mergeCell ref="L243:M243"/>
    <mergeCell ref="B244:C244"/>
    <mergeCell ref="G244:H244"/>
    <mergeCell ref="L244:M244"/>
    <mergeCell ref="B245:C245"/>
    <mergeCell ref="G245:H245"/>
    <mergeCell ref="L245:M245"/>
    <mergeCell ref="B240:C240"/>
    <mergeCell ref="G240:H240"/>
    <mergeCell ref="L240:M240"/>
    <mergeCell ref="B241:C241"/>
    <mergeCell ref="G241:H241"/>
    <mergeCell ref="L241:M241"/>
    <mergeCell ref="B242:C242"/>
    <mergeCell ref="G242:H242"/>
    <mergeCell ref="L242:M242"/>
    <mergeCell ref="B237:C237"/>
    <mergeCell ref="G237:H237"/>
    <mergeCell ref="L237:M237"/>
    <mergeCell ref="B238:C238"/>
    <mergeCell ref="G238:H238"/>
    <mergeCell ref="L238:M238"/>
    <mergeCell ref="B239:C239"/>
    <mergeCell ref="G239:H239"/>
    <mergeCell ref="L239:M239"/>
    <mergeCell ref="B234:C234"/>
    <mergeCell ref="G234:H234"/>
    <mergeCell ref="L234:M234"/>
    <mergeCell ref="B235:C235"/>
    <mergeCell ref="G235:H235"/>
    <mergeCell ref="L235:M235"/>
    <mergeCell ref="B236:C236"/>
    <mergeCell ref="G236:H236"/>
    <mergeCell ref="L236:M236"/>
    <mergeCell ref="B231:C231"/>
    <mergeCell ref="G231:H231"/>
    <mergeCell ref="L231:M231"/>
    <mergeCell ref="B232:C232"/>
    <mergeCell ref="G232:H232"/>
    <mergeCell ref="L232:M232"/>
    <mergeCell ref="B233:C233"/>
    <mergeCell ref="G233:H233"/>
    <mergeCell ref="L233:M233"/>
    <mergeCell ref="B228:C228"/>
    <mergeCell ref="G228:H228"/>
    <mergeCell ref="L228:M228"/>
    <mergeCell ref="B229:C229"/>
    <mergeCell ref="G229:H229"/>
    <mergeCell ref="L229:M229"/>
    <mergeCell ref="B230:C230"/>
    <mergeCell ref="G230:H230"/>
    <mergeCell ref="L230:M230"/>
    <mergeCell ref="B225:C225"/>
    <mergeCell ref="G225:H225"/>
    <mergeCell ref="L225:M225"/>
    <mergeCell ref="B221:C221"/>
    <mergeCell ref="G221:H221"/>
    <mergeCell ref="L221:M221"/>
    <mergeCell ref="B226:C226"/>
    <mergeCell ref="G226:H226"/>
    <mergeCell ref="L226:M226"/>
    <mergeCell ref="B227:C227"/>
    <mergeCell ref="G227:H227"/>
    <mergeCell ref="L227:M227"/>
    <mergeCell ref="B223:C223"/>
    <mergeCell ref="G223:H223"/>
    <mergeCell ref="L223:M223"/>
    <mergeCell ref="B224:C224"/>
    <mergeCell ref="G224:H224"/>
    <mergeCell ref="L224:M224"/>
    <mergeCell ref="B215:C215"/>
    <mergeCell ref="G215:H215"/>
    <mergeCell ref="L215:M215"/>
    <mergeCell ref="B216:C216"/>
    <mergeCell ref="G216:H216"/>
    <mergeCell ref="L216:M216"/>
    <mergeCell ref="B212:C212"/>
    <mergeCell ref="G212:H212"/>
    <mergeCell ref="L212:M212"/>
    <mergeCell ref="B213:C213"/>
    <mergeCell ref="G213:H213"/>
    <mergeCell ref="L213:M213"/>
    <mergeCell ref="B220:C220"/>
    <mergeCell ref="G220:H220"/>
    <mergeCell ref="L220:M220"/>
    <mergeCell ref="B222:C222"/>
    <mergeCell ref="G222:H222"/>
    <mergeCell ref="L222:M222"/>
    <mergeCell ref="B217:C217"/>
    <mergeCell ref="G217:H217"/>
    <mergeCell ref="L217:M217"/>
    <mergeCell ref="B218:C218"/>
    <mergeCell ref="G218:H218"/>
    <mergeCell ref="L218:M218"/>
    <mergeCell ref="B219:C219"/>
    <mergeCell ref="G219:H219"/>
    <mergeCell ref="L219:M219"/>
    <mergeCell ref="B210:C210"/>
    <mergeCell ref="G210:H210"/>
    <mergeCell ref="L210:M210"/>
    <mergeCell ref="B206:C206"/>
    <mergeCell ref="G206:H206"/>
    <mergeCell ref="L206:M206"/>
    <mergeCell ref="L211:M211"/>
    <mergeCell ref="B207:C207"/>
    <mergeCell ref="G207:H207"/>
    <mergeCell ref="L207:M207"/>
    <mergeCell ref="B208:C208"/>
    <mergeCell ref="G208:H208"/>
    <mergeCell ref="L208:M208"/>
    <mergeCell ref="B209:C209"/>
    <mergeCell ref="G209:H209"/>
    <mergeCell ref="L209:M209"/>
    <mergeCell ref="B214:C214"/>
    <mergeCell ref="G214:H214"/>
    <mergeCell ref="L214:M214"/>
    <mergeCell ref="B198:C198"/>
    <mergeCell ref="G198:H198"/>
    <mergeCell ref="L198:M198"/>
    <mergeCell ref="B193:C193"/>
    <mergeCell ref="G193:H193"/>
    <mergeCell ref="L193:M193"/>
    <mergeCell ref="B194:C194"/>
    <mergeCell ref="G194:H194"/>
    <mergeCell ref="L194:M194"/>
    <mergeCell ref="B195:C195"/>
    <mergeCell ref="G195:H195"/>
    <mergeCell ref="L195:M195"/>
    <mergeCell ref="L203:M203"/>
    <mergeCell ref="B204:C204"/>
    <mergeCell ref="G204:H204"/>
    <mergeCell ref="L204:M204"/>
    <mergeCell ref="B205:C205"/>
    <mergeCell ref="G205:H205"/>
    <mergeCell ref="L205:M205"/>
    <mergeCell ref="B200:C200"/>
    <mergeCell ref="G200:H200"/>
    <mergeCell ref="L200:M200"/>
    <mergeCell ref="B201:C201"/>
    <mergeCell ref="G201:H201"/>
    <mergeCell ref="L201:M201"/>
    <mergeCell ref="B202:C202"/>
    <mergeCell ref="G202:H202"/>
    <mergeCell ref="L202:M202"/>
    <mergeCell ref="B191:C191"/>
    <mergeCell ref="G191:H191"/>
    <mergeCell ref="L191:M191"/>
    <mergeCell ref="L192:M192"/>
    <mergeCell ref="B187:C187"/>
    <mergeCell ref="G187:H187"/>
    <mergeCell ref="L187:M187"/>
    <mergeCell ref="B188:C188"/>
    <mergeCell ref="G188:H188"/>
    <mergeCell ref="L188:M188"/>
    <mergeCell ref="B189:C189"/>
    <mergeCell ref="G189:H189"/>
    <mergeCell ref="L189:M189"/>
    <mergeCell ref="B196:C196"/>
    <mergeCell ref="G196:H196"/>
    <mergeCell ref="L196:M196"/>
    <mergeCell ref="B197:C197"/>
    <mergeCell ref="G197:H197"/>
    <mergeCell ref="L197:M197"/>
    <mergeCell ref="B184:C184"/>
    <mergeCell ref="G184:H184"/>
    <mergeCell ref="L184:M184"/>
    <mergeCell ref="L185:M185"/>
    <mergeCell ref="B186:C186"/>
    <mergeCell ref="G186:H186"/>
    <mergeCell ref="L186:M186"/>
    <mergeCell ref="B181:C181"/>
    <mergeCell ref="G181:H181"/>
    <mergeCell ref="L181:M181"/>
    <mergeCell ref="B182:C182"/>
    <mergeCell ref="G182:H182"/>
    <mergeCell ref="L182:M182"/>
    <mergeCell ref="B183:C183"/>
    <mergeCell ref="G183:H183"/>
    <mergeCell ref="L183:M183"/>
    <mergeCell ref="B190:C190"/>
    <mergeCell ref="G190:H190"/>
    <mergeCell ref="L190:M190"/>
    <mergeCell ref="B174:C174"/>
    <mergeCell ref="G174:H174"/>
    <mergeCell ref="L174:M174"/>
    <mergeCell ref="B170:C170"/>
    <mergeCell ref="G170:H170"/>
    <mergeCell ref="L170:M170"/>
    <mergeCell ref="B171:C171"/>
    <mergeCell ref="G171:H171"/>
    <mergeCell ref="L171:M171"/>
    <mergeCell ref="B172:C172"/>
    <mergeCell ref="G172:H172"/>
    <mergeCell ref="L172:M172"/>
    <mergeCell ref="L178:M178"/>
    <mergeCell ref="L179:M179"/>
    <mergeCell ref="B180:C180"/>
    <mergeCell ref="G180:H180"/>
    <mergeCell ref="L180:M180"/>
    <mergeCell ref="B175:C175"/>
    <mergeCell ref="G175:H175"/>
    <mergeCell ref="L175:M175"/>
    <mergeCell ref="B176:C176"/>
    <mergeCell ref="G176:H176"/>
    <mergeCell ref="L176:M176"/>
    <mergeCell ref="B177:C177"/>
    <mergeCell ref="G177:H177"/>
    <mergeCell ref="L177:M177"/>
    <mergeCell ref="B167:C167"/>
    <mergeCell ref="G167:H167"/>
    <mergeCell ref="L167:M167"/>
    <mergeCell ref="B168:C168"/>
    <mergeCell ref="G168:H168"/>
    <mergeCell ref="L168:M168"/>
    <mergeCell ref="L169:M169"/>
    <mergeCell ref="B164:C164"/>
    <mergeCell ref="G164:H164"/>
    <mergeCell ref="L164:M164"/>
    <mergeCell ref="B165:C165"/>
    <mergeCell ref="G165:H165"/>
    <mergeCell ref="L165:M165"/>
    <mergeCell ref="B166:C166"/>
    <mergeCell ref="G166:H166"/>
    <mergeCell ref="L166:M166"/>
    <mergeCell ref="B173:C173"/>
    <mergeCell ref="G173:H173"/>
    <mergeCell ref="L173:M173"/>
    <mergeCell ref="B157:C157"/>
    <mergeCell ref="G157:H157"/>
    <mergeCell ref="L157:M157"/>
    <mergeCell ref="B152:C152"/>
    <mergeCell ref="G152:H152"/>
    <mergeCell ref="L152:M152"/>
    <mergeCell ref="B153:C153"/>
    <mergeCell ref="G153:H153"/>
    <mergeCell ref="L153:M153"/>
    <mergeCell ref="B154:C154"/>
    <mergeCell ref="G154:H154"/>
    <mergeCell ref="L154:M154"/>
    <mergeCell ref="B161:C161"/>
    <mergeCell ref="G161:H161"/>
    <mergeCell ref="L161:M161"/>
    <mergeCell ref="L162:M162"/>
    <mergeCell ref="B163:C163"/>
    <mergeCell ref="G163:H163"/>
    <mergeCell ref="L163:M163"/>
    <mergeCell ref="B158:C158"/>
    <mergeCell ref="G158:H158"/>
    <mergeCell ref="L158:M158"/>
    <mergeCell ref="B159:C159"/>
    <mergeCell ref="G159:H159"/>
    <mergeCell ref="L159:M159"/>
    <mergeCell ref="B160:C160"/>
    <mergeCell ref="G160:H160"/>
    <mergeCell ref="L160:M160"/>
    <mergeCell ref="G150:H150"/>
    <mergeCell ref="L150:M150"/>
    <mergeCell ref="B151:C151"/>
    <mergeCell ref="G151:H151"/>
    <mergeCell ref="L151:M151"/>
    <mergeCell ref="B144:C144"/>
    <mergeCell ref="G144:H144"/>
    <mergeCell ref="B145:C145"/>
    <mergeCell ref="G145:H145"/>
    <mergeCell ref="B146:C146"/>
    <mergeCell ref="G146:H146"/>
    <mergeCell ref="B147:C147"/>
    <mergeCell ref="G147:H147"/>
    <mergeCell ref="B148:C148"/>
    <mergeCell ref="G148:H148"/>
    <mergeCell ref="L155:M155"/>
    <mergeCell ref="B156:C156"/>
    <mergeCell ref="G156:H156"/>
    <mergeCell ref="L156:M156"/>
    <mergeCell ref="I15:P15"/>
    <mergeCell ref="F127:H127"/>
    <mergeCell ref="F125:H125"/>
    <mergeCell ref="A139:H139"/>
    <mergeCell ref="A126:E126"/>
    <mergeCell ref="A60:B60"/>
    <mergeCell ref="C60:E60"/>
    <mergeCell ref="D62:H62"/>
    <mergeCell ref="F126:H126"/>
    <mergeCell ref="C131:D131"/>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97:B97"/>
    <mergeCell ref="A98:B98"/>
    <mergeCell ref="A99:B99"/>
    <mergeCell ref="A113:B113"/>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F118:H118"/>
    <mergeCell ref="G132:H132"/>
    <mergeCell ref="A116:B116"/>
    <mergeCell ref="F124:H124"/>
    <mergeCell ref="A141:H141"/>
    <mergeCell ref="B493:H493"/>
    <mergeCell ref="A137:B137"/>
    <mergeCell ref="C137:D137"/>
    <mergeCell ref="E137:F137"/>
    <mergeCell ref="B492:H492"/>
    <mergeCell ref="B490:H490"/>
    <mergeCell ref="B485:H485"/>
    <mergeCell ref="B486:H486"/>
    <mergeCell ref="B487:H487"/>
    <mergeCell ref="B488:H488"/>
    <mergeCell ref="A484:H484"/>
    <mergeCell ref="F117:H117"/>
    <mergeCell ref="F122:H122"/>
    <mergeCell ref="C132:D132"/>
    <mergeCell ref="E132:F132"/>
    <mergeCell ref="A118:E118"/>
    <mergeCell ref="B489:H489"/>
    <mergeCell ref="F121:H121"/>
    <mergeCell ref="B140:C140"/>
    <mergeCell ref="B143:C143"/>
    <mergeCell ref="G140:H140"/>
    <mergeCell ref="G143:H143"/>
    <mergeCell ref="B155:C155"/>
    <mergeCell ref="E107:F116"/>
    <mergeCell ref="E131:F131"/>
    <mergeCell ref="A138:H138"/>
    <mergeCell ref="B192:C192"/>
    <mergeCell ref="A504:H507"/>
    <mergeCell ref="A503:B503"/>
    <mergeCell ref="E503:F503"/>
    <mergeCell ref="C503:D503"/>
    <mergeCell ref="G503:H503"/>
    <mergeCell ref="A128:E128"/>
    <mergeCell ref="F128:H128"/>
    <mergeCell ref="A129:E129"/>
    <mergeCell ref="F129:H129"/>
    <mergeCell ref="A132:B132"/>
    <mergeCell ref="A499:H499"/>
    <mergeCell ref="A130:H130"/>
    <mergeCell ref="A502:H502"/>
    <mergeCell ref="A500:H500"/>
    <mergeCell ref="A496:H496"/>
    <mergeCell ref="G131:H131"/>
    <mergeCell ref="A501:H501"/>
    <mergeCell ref="A498:H498"/>
    <mergeCell ref="A131:B131"/>
    <mergeCell ref="A497:H497"/>
    <mergeCell ref="G155:H155"/>
    <mergeCell ref="B162:C162"/>
    <mergeCell ref="G162:H162"/>
    <mergeCell ref="B169:C169"/>
    <mergeCell ref="G169:H169"/>
    <mergeCell ref="B185:C185"/>
    <mergeCell ref="G185:H185"/>
    <mergeCell ref="G192:H192"/>
    <mergeCell ref="B203:C203"/>
    <mergeCell ref="G203:H203"/>
    <mergeCell ref="B211:C211"/>
    <mergeCell ref="G211:H211"/>
    <mergeCell ref="D73:H73"/>
    <mergeCell ref="A79:B79"/>
    <mergeCell ref="G78:H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86:B86"/>
    <mergeCell ref="A103:B103"/>
    <mergeCell ref="C103:H103"/>
    <mergeCell ref="A93:B93"/>
    <mergeCell ref="A47:D47"/>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112:B112"/>
    <mergeCell ref="A114:B114"/>
    <mergeCell ref="A115:B115"/>
    <mergeCell ref="A120:E120"/>
    <mergeCell ref="A117:E117"/>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A39:B39"/>
    <mergeCell ref="C39:H39"/>
    <mergeCell ref="A46:D46"/>
    <mergeCell ref="A111:B111"/>
    <mergeCell ref="E93:F102"/>
    <mergeCell ref="A100:B100"/>
    <mergeCell ref="A101:B101"/>
    <mergeCell ref="E106:F106"/>
    <mergeCell ref="A48:H48"/>
    <mergeCell ref="D64:H64"/>
    <mergeCell ref="A64:C64"/>
    <mergeCell ref="A85:B85"/>
    <mergeCell ref="C91:H91"/>
    <mergeCell ref="A45:D45"/>
    <mergeCell ref="L147:M147"/>
    <mergeCell ref="A40:B40"/>
    <mergeCell ref="C40:H40"/>
    <mergeCell ref="L146:M146"/>
    <mergeCell ref="L143:M143"/>
    <mergeCell ref="G137:H137"/>
    <mergeCell ref="L144:M144"/>
    <mergeCell ref="L145:M145"/>
    <mergeCell ref="C55:H55"/>
    <mergeCell ref="A78:B78"/>
    <mergeCell ref="A49:B49"/>
    <mergeCell ref="C49:H49"/>
    <mergeCell ref="A108:B108"/>
    <mergeCell ref="A109:B109"/>
    <mergeCell ref="G93:H102"/>
    <mergeCell ref="A94:B94"/>
    <mergeCell ref="A95:B95"/>
    <mergeCell ref="A96:B96"/>
    <mergeCell ref="F119:H119"/>
    <mergeCell ref="A119:E119"/>
    <mergeCell ref="A121:E121"/>
    <mergeCell ref="G106:H106"/>
    <mergeCell ref="A105:B105"/>
    <mergeCell ref="A81:B81"/>
    <mergeCell ref="B494:H494"/>
    <mergeCell ref="A122:E122"/>
    <mergeCell ref="A102:B102"/>
    <mergeCell ref="A107:B107"/>
    <mergeCell ref="C105:H105"/>
    <mergeCell ref="A106:B106"/>
    <mergeCell ref="A127:E127"/>
    <mergeCell ref="G133:H133"/>
    <mergeCell ref="A134:B134"/>
    <mergeCell ref="C134:D134"/>
    <mergeCell ref="E134:F134"/>
    <mergeCell ref="G134:H134"/>
    <mergeCell ref="A133:B133"/>
    <mergeCell ref="C133:D133"/>
    <mergeCell ref="E133:F133"/>
    <mergeCell ref="B491:H491"/>
    <mergeCell ref="E92:F92"/>
    <mergeCell ref="G92:H92"/>
    <mergeCell ref="A123:E123"/>
    <mergeCell ref="F123:H123"/>
    <mergeCell ref="A125:E125"/>
    <mergeCell ref="F120:H120"/>
    <mergeCell ref="A124:E124"/>
    <mergeCell ref="A135:B135"/>
    <mergeCell ref="C135:D135"/>
    <mergeCell ref="E135:F135"/>
    <mergeCell ref="G135:H135"/>
    <mergeCell ref="A178:A179"/>
    <mergeCell ref="A110:B110"/>
    <mergeCell ref="B495:H495"/>
    <mergeCell ref="B453:C453"/>
    <mergeCell ref="G453:H453"/>
    <mergeCell ref="L453:M453"/>
    <mergeCell ref="B480:C480"/>
    <mergeCell ref="G480:H480"/>
    <mergeCell ref="L480:M480"/>
    <mergeCell ref="B481:C481"/>
    <mergeCell ref="G481:H481"/>
    <mergeCell ref="L481:M481"/>
    <mergeCell ref="B482:C482"/>
    <mergeCell ref="G482:H482"/>
    <mergeCell ref="L482:M482"/>
    <mergeCell ref="B483:C483"/>
    <mergeCell ref="G483:H483"/>
    <mergeCell ref="L483:M483"/>
    <mergeCell ref="B142:C142"/>
    <mergeCell ref="G142:H142"/>
    <mergeCell ref="L142:M142"/>
    <mergeCell ref="B178:C179"/>
    <mergeCell ref="D178:D179"/>
    <mergeCell ref="E178:E179"/>
    <mergeCell ref="F178:F179"/>
    <mergeCell ref="G178:H179"/>
    <mergeCell ref="B199:C199"/>
    <mergeCell ref="G199:H199"/>
    <mergeCell ref="L199:M199"/>
    <mergeCell ref="L148:M148"/>
    <mergeCell ref="B149:C149"/>
    <mergeCell ref="G149:H149"/>
    <mergeCell ref="L149:M149"/>
    <mergeCell ref="B150:C150"/>
  </mergeCells>
  <dataValidations disablePrompts="1" count="10">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G503:H503" xr:uid="{00000000-0002-0000-0000-000003000000}">
      <formula1>"Gaurav Panchal,Kunal Kadam,Pranita Mhatre,Shruti Fule,Pooja Kawale,Mansee Mohite,Anjali Kamble, Hitakshi Mhatre, Sachin Sawant"</formula1>
    </dataValidation>
    <dataValidation type="list" allowBlank="1" showInputMessage="1" showErrorMessage="1" sqref="F117:H117" xr:uid="{00000000-0002-0000-0000-000004000000}">
      <formula1>"On Saleable Area,On Builtup Area,On Carpet Area,On Plot Area"</formula1>
    </dataValidation>
    <dataValidation type="list" allowBlank="1" showInputMessage="1" showErrorMessage="1" sqref="C21:D21" xr:uid="{00000000-0002-0000-0000-000005000000}">
      <formula1>OFFSET($S$13,1,MATCH($G20,$S$13:$W$13,0)-1,15,1)</formula1>
    </dataValidation>
    <dataValidation type="list" allowBlank="1" showInputMessage="1" showErrorMessage="1" sqref="Y13" xr:uid="{00000000-0002-0000-0000-000006000000}">
      <formula1>$D$5:$H$5</formula1>
    </dataValidation>
    <dataValidation type="list" allowBlank="1" showInputMessage="1" showErrorMessage="1" sqref="E4:H4" xr:uid="{00000000-0002-0000-0000-000007000000}">
      <formula1>$L$3:$P$3</formula1>
    </dataValidation>
    <dataValidation type="list" allowBlank="1" showInputMessage="1" showErrorMessage="1" sqref="C49:H49" xr:uid="{00000000-0002-0000-0000-000008000000}">
      <formula1>OFFSET($S$49,1,MATCH($G20,$S$49:$W$49,0)-1,15,1)</formula1>
    </dataValidation>
    <dataValidation type="list" allowBlank="1" showInputMessage="1" showErrorMessage="1" sqref="F128:H128" xr:uid="{00000000-0002-0000-0000-000009000000}">
      <formula1>OFFSET($S$117,1,MATCH($G20,$S$117:$W$117,0)-1,15,1)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scale="96" fitToHeight="0" orientation="portrait" r:id="rId2"/>
  <headerFooter>
    <oddHeader>&amp;C&amp;G</oddHeader>
    <oddFooter>&amp;L&amp;"Times New Roman,Bold"&amp;12Ref No: &amp;F&amp;C&amp;G&amp;R&amp;"Times New Roman,Bold"&amp;12&amp;P</oddFooter>
  </headerFooter>
  <rowBreaks count="6" manualBreakCount="6">
    <brk id="129" max="7" man="1"/>
    <brk id="483" max="7" man="1"/>
    <brk id="507" max="7" man="1"/>
    <brk id="553" max="16383" man="1"/>
    <brk id="592" max="16383" man="1"/>
    <brk id="63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22"/>
  <sheetViews>
    <sheetView zoomScale="85" zoomScaleNormal="85" workbookViewId="0">
      <selection activeCell="C22" sqref="C22"/>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2" t="s">
        <v>97</v>
      </c>
      <c r="C3" s="242"/>
      <c r="D3" s="242"/>
      <c r="E3" s="242"/>
      <c r="F3" s="242"/>
      <c r="G3" s="242"/>
      <c r="H3" s="242"/>
    </row>
    <row r="4" spans="1:9" x14ac:dyDescent="0.25">
      <c r="A4" s="2"/>
      <c r="B4" s="3" t="s">
        <v>98</v>
      </c>
      <c r="C4" s="3" t="s">
        <v>99</v>
      </c>
      <c r="D4" s="3" t="s">
        <v>59</v>
      </c>
      <c r="E4" s="3" t="s">
        <v>100</v>
      </c>
      <c r="F4" s="3" t="s">
        <v>106</v>
      </c>
      <c r="G4" s="3" t="s">
        <v>107</v>
      </c>
      <c r="H4" s="3" t="s">
        <v>101</v>
      </c>
    </row>
    <row r="5" spans="1:9" ht="15" customHeight="1" x14ac:dyDescent="0.25">
      <c r="A5" s="2"/>
      <c r="B5" s="5" t="s">
        <v>102</v>
      </c>
      <c r="C5" s="6"/>
      <c r="D5" s="5"/>
      <c r="E5" s="5"/>
      <c r="F5" s="7">
        <f>E5*1.6</f>
        <v>0</v>
      </c>
      <c r="G5" s="7" t="e">
        <f>H5/F5</f>
        <v>#DIV/0!</v>
      </c>
      <c r="H5" s="8"/>
    </row>
    <row r="6" spans="1:9" x14ac:dyDescent="0.25">
      <c r="A6" s="2"/>
      <c r="B6" s="5" t="s">
        <v>102</v>
      </c>
      <c r="C6" s="9"/>
      <c r="D6" s="5"/>
      <c r="E6" s="5"/>
      <c r="F6" s="7">
        <f t="shared" ref="F6:F11" si="0">E6*1.6</f>
        <v>0</v>
      </c>
      <c r="G6" s="7" t="e">
        <f t="shared" ref="G6:G11" si="1">H6/F6</f>
        <v>#DIV/0!</v>
      </c>
      <c r="H6" s="8"/>
    </row>
    <row r="7" spans="1:9" ht="15" customHeight="1" x14ac:dyDescent="0.25">
      <c r="A7" s="2"/>
      <c r="B7" s="5" t="s">
        <v>102</v>
      </c>
      <c r="C7" s="6"/>
      <c r="D7" s="5"/>
      <c r="E7" s="5"/>
      <c r="F7" s="7">
        <f t="shared" si="0"/>
        <v>0</v>
      </c>
      <c r="G7" s="7" t="e">
        <f t="shared" si="1"/>
        <v>#DIV/0!</v>
      </c>
      <c r="H7" s="8"/>
    </row>
    <row r="8" spans="1:9" x14ac:dyDescent="0.25">
      <c r="A8" s="2"/>
      <c r="B8" s="5" t="s">
        <v>102</v>
      </c>
      <c r="C8" s="9"/>
      <c r="D8" s="5"/>
      <c r="E8" s="5"/>
      <c r="F8" s="7">
        <f t="shared" si="0"/>
        <v>0</v>
      </c>
      <c r="G8" s="7" t="e">
        <f t="shared" si="1"/>
        <v>#DIV/0!</v>
      </c>
      <c r="H8" s="8"/>
    </row>
    <row r="9" spans="1:9" ht="15" customHeight="1" x14ac:dyDescent="0.25">
      <c r="A9" s="2"/>
      <c r="B9" s="5" t="s">
        <v>102</v>
      </c>
      <c r="C9" s="9"/>
      <c r="D9" s="5"/>
      <c r="E9" s="5"/>
      <c r="F9" s="7">
        <f t="shared" si="0"/>
        <v>0</v>
      </c>
      <c r="G9" s="7" t="e">
        <f t="shared" si="1"/>
        <v>#DIV/0!</v>
      </c>
      <c r="H9" s="8"/>
    </row>
    <row r="10" spans="1:9" ht="15" customHeight="1" x14ac:dyDescent="0.25">
      <c r="A10" s="2"/>
      <c r="B10" s="5" t="s">
        <v>103</v>
      </c>
      <c r="C10" s="6"/>
      <c r="D10" s="5"/>
      <c r="E10" s="5"/>
      <c r="F10" s="7">
        <f t="shared" si="0"/>
        <v>0</v>
      </c>
      <c r="G10" s="7" t="e">
        <f t="shared" si="1"/>
        <v>#DIV/0!</v>
      </c>
      <c r="H10" s="8"/>
    </row>
    <row r="11" spans="1:9" ht="15" customHeight="1" x14ac:dyDescent="0.25">
      <c r="A11" s="2"/>
      <c r="B11" s="5" t="s">
        <v>103</v>
      </c>
      <c r="C11" s="6"/>
      <c r="D11" s="5"/>
      <c r="E11" s="5"/>
      <c r="F11" s="7">
        <f t="shared" si="0"/>
        <v>0</v>
      </c>
      <c r="G11" s="7" t="e">
        <f t="shared" si="1"/>
        <v>#DIV/0!</v>
      </c>
      <c r="H11" s="8"/>
    </row>
    <row r="12" spans="1:9" ht="15" customHeight="1" x14ac:dyDescent="0.25">
      <c r="A12" s="2"/>
      <c r="B12" s="10" t="s">
        <v>104</v>
      </c>
      <c r="C12" s="5"/>
      <c r="D12" s="5"/>
      <c r="E12" s="5"/>
      <c r="F12" s="5"/>
      <c r="G12" s="11" t="e">
        <f>AVERAGE(G5:G11)</f>
        <v>#DIV/0!</v>
      </c>
      <c r="H12" s="5"/>
    </row>
    <row r="13" spans="1:9" ht="15" customHeight="1" x14ac:dyDescent="0.25">
      <c r="B13" s="10" t="s">
        <v>105</v>
      </c>
      <c r="C13" s="5"/>
      <c r="D13" s="5"/>
      <c r="E13" s="5"/>
      <c r="F13" s="12"/>
      <c r="G13" s="10"/>
      <c r="H13" s="10"/>
      <c r="I13" s="4"/>
    </row>
    <row r="14" spans="1:9" ht="15" customHeight="1" x14ac:dyDescent="0.25"/>
    <row r="15" spans="1:9" ht="15" customHeight="1" x14ac:dyDescent="0.25"/>
    <row r="16" spans="1:9" ht="15" customHeight="1" x14ac:dyDescent="0.25"/>
    <row r="22" spans="3:3" x14ac:dyDescent="0.25">
      <c r="C22" s="1">
        <f>135626.442*10.764</f>
        <v>1459883.0216880001</v>
      </c>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6"/>
      <c r="C4" s="56" t="s">
        <v>11</v>
      </c>
      <c r="D4" s="57" t="s">
        <v>162</v>
      </c>
      <c r="E4" s="57" t="s">
        <v>172</v>
      </c>
      <c r="F4" s="57" t="s">
        <v>159</v>
      </c>
      <c r="G4" s="57" t="s">
        <v>177</v>
      </c>
      <c r="H4" s="57" t="s">
        <v>195</v>
      </c>
      <c r="J4" t="s">
        <v>177</v>
      </c>
      <c r="K4" t="s">
        <v>193</v>
      </c>
    </row>
    <row r="5" spans="2:11" x14ac:dyDescent="0.25">
      <c r="B5" s="56"/>
      <c r="C5" s="56"/>
      <c r="D5" s="57" t="s">
        <v>163</v>
      </c>
      <c r="E5" s="57" t="s">
        <v>170</v>
      </c>
      <c r="F5" s="57" t="s">
        <v>192</v>
      </c>
      <c r="G5" s="57" t="s">
        <v>178</v>
      </c>
      <c r="H5" s="57" t="s">
        <v>196</v>
      </c>
    </row>
    <row r="6" spans="2:11" x14ac:dyDescent="0.25">
      <c r="B6" s="56"/>
      <c r="C6" s="56"/>
      <c r="D6" s="57" t="s">
        <v>164</v>
      </c>
      <c r="E6" s="57" t="s">
        <v>171</v>
      </c>
      <c r="F6" s="57" t="s">
        <v>193</v>
      </c>
      <c r="G6" s="57" t="s">
        <v>179</v>
      </c>
      <c r="H6" s="57" t="s">
        <v>209</v>
      </c>
    </row>
    <row r="7" spans="2:11" x14ac:dyDescent="0.25">
      <c r="B7" s="56"/>
      <c r="C7" s="56"/>
      <c r="D7" s="57" t="s">
        <v>165</v>
      </c>
      <c r="E7" s="57" t="s">
        <v>173</v>
      </c>
      <c r="F7" s="57" t="s">
        <v>194</v>
      </c>
      <c r="G7" s="57" t="s">
        <v>180</v>
      </c>
      <c r="H7" s="57" t="s">
        <v>197</v>
      </c>
    </row>
    <row r="8" spans="2:11" x14ac:dyDescent="0.25">
      <c r="B8" s="56"/>
      <c r="C8" s="56"/>
      <c r="D8" s="57" t="s">
        <v>166</v>
      </c>
      <c r="E8" s="57" t="s">
        <v>174</v>
      </c>
      <c r="F8" s="57"/>
      <c r="G8" s="57" t="s">
        <v>181</v>
      </c>
      <c r="H8" s="57" t="s">
        <v>198</v>
      </c>
    </row>
    <row r="9" spans="2:11" x14ac:dyDescent="0.25">
      <c r="B9" s="56"/>
      <c r="C9" s="56"/>
      <c r="D9" s="57" t="s">
        <v>167</v>
      </c>
      <c r="E9" s="57" t="s">
        <v>172</v>
      </c>
      <c r="F9" s="57"/>
      <c r="G9" s="57" t="s">
        <v>182</v>
      </c>
      <c r="H9" s="57" t="s">
        <v>199</v>
      </c>
    </row>
    <row r="10" spans="2:11" x14ac:dyDescent="0.25">
      <c r="B10" s="56"/>
      <c r="C10" s="56"/>
      <c r="D10" s="57" t="s">
        <v>168</v>
      </c>
      <c r="E10" s="57" t="s">
        <v>175</v>
      </c>
      <c r="F10" s="57"/>
      <c r="G10" s="57" t="s">
        <v>183</v>
      </c>
      <c r="H10" s="57" t="s">
        <v>200</v>
      </c>
    </row>
    <row r="11" spans="2:11" x14ac:dyDescent="0.25">
      <c r="B11" s="56"/>
      <c r="C11" s="56"/>
      <c r="D11" s="57" t="s">
        <v>169</v>
      </c>
      <c r="E11" s="57" t="s">
        <v>176</v>
      </c>
      <c r="F11" s="57"/>
      <c r="G11" s="57" t="s">
        <v>184</v>
      </c>
      <c r="H11" s="57" t="s">
        <v>201</v>
      </c>
    </row>
    <row r="12" spans="2:11" x14ac:dyDescent="0.25">
      <c r="B12" s="56"/>
      <c r="C12" s="56"/>
      <c r="D12" s="57"/>
      <c r="E12" s="57"/>
      <c r="F12" s="57"/>
      <c r="G12" s="57" t="s">
        <v>185</v>
      </c>
      <c r="H12" s="57" t="s">
        <v>202</v>
      </c>
    </row>
    <row r="13" spans="2:11" x14ac:dyDescent="0.25">
      <c r="B13" s="56"/>
      <c r="C13" s="56"/>
      <c r="D13" s="57"/>
      <c r="E13" s="57"/>
      <c r="F13" s="57"/>
      <c r="G13" s="57" t="s">
        <v>186</v>
      </c>
      <c r="H13" s="57" t="s">
        <v>203</v>
      </c>
    </row>
    <row r="14" spans="2:11" x14ac:dyDescent="0.25">
      <c r="B14" s="56"/>
      <c r="C14" s="56"/>
      <c r="D14" s="57"/>
      <c r="E14" s="57"/>
      <c r="F14" s="57"/>
      <c r="G14" s="57" t="s">
        <v>187</v>
      </c>
      <c r="H14" s="57" t="s">
        <v>204</v>
      </c>
    </row>
    <row r="15" spans="2:11" x14ac:dyDescent="0.25">
      <c r="B15" s="56"/>
      <c r="C15" s="56"/>
      <c r="D15" s="57"/>
      <c r="E15" s="57"/>
      <c r="F15" s="57"/>
      <c r="G15" s="57" t="s">
        <v>188</v>
      </c>
      <c r="H15" s="57" t="s">
        <v>205</v>
      </c>
    </row>
    <row r="16" spans="2:11" x14ac:dyDescent="0.25">
      <c r="B16" s="56"/>
      <c r="C16" s="56"/>
      <c r="D16" s="57"/>
      <c r="E16" s="57"/>
      <c r="F16" s="57"/>
      <c r="G16" s="57" t="s">
        <v>189</v>
      </c>
      <c r="H16" s="57" t="s">
        <v>206</v>
      </c>
    </row>
    <row r="17" spans="2:8" x14ac:dyDescent="0.25">
      <c r="B17" s="56"/>
      <c r="C17" s="56"/>
      <c r="D17" s="57"/>
      <c r="E17" s="57"/>
      <c r="F17" s="57"/>
      <c r="G17" s="57" t="s">
        <v>190</v>
      </c>
      <c r="H17" s="57" t="s">
        <v>207</v>
      </c>
    </row>
    <row r="18" spans="2:8" x14ac:dyDescent="0.25">
      <c r="B18" s="56"/>
      <c r="C18" s="56"/>
      <c r="D18" s="57"/>
      <c r="E18" s="57"/>
      <c r="F18" s="57"/>
      <c r="G18" s="57" t="s">
        <v>191</v>
      </c>
      <c r="H18" s="57" t="s">
        <v>208</v>
      </c>
    </row>
    <row r="24" spans="2:8" x14ac:dyDescent="0.25">
      <c r="C24" t="s">
        <v>156</v>
      </c>
    </row>
    <row r="25" spans="2:8" x14ac:dyDescent="0.25">
      <c r="C25" t="s">
        <v>210</v>
      </c>
    </row>
    <row r="26" spans="2:8" x14ac:dyDescent="0.25">
      <c r="C26" t="s">
        <v>211</v>
      </c>
    </row>
    <row r="27" spans="2:8" x14ac:dyDescent="0.25">
      <c r="C27" t="s">
        <v>212</v>
      </c>
    </row>
    <row r="28" spans="2:8" x14ac:dyDescent="0.25">
      <c r="C28" t="s">
        <v>213</v>
      </c>
    </row>
    <row r="29" spans="2:8" x14ac:dyDescent="0.25">
      <c r="C29" t="s">
        <v>214</v>
      </c>
    </row>
    <row r="30" spans="2:8" x14ac:dyDescent="0.25">
      <c r="C30" t="s">
        <v>156</v>
      </c>
    </row>
    <row r="33" spans="3:11" x14ac:dyDescent="0.25">
      <c r="J33">
        <v>1</v>
      </c>
      <c r="K33">
        <v>2</v>
      </c>
    </row>
    <row r="34" spans="3:11" x14ac:dyDescent="0.25">
      <c r="C34" s="59" t="s">
        <v>219</v>
      </c>
      <c r="D34" s="57" t="s">
        <v>217</v>
      </c>
      <c r="E34" s="57" t="s">
        <v>222</v>
      </c>
      <c r="F34" s="57" t="s">
        <v>220</v>
      </c>
      <c r="G34" s="57" t="s">
        <v>221</v>
      </c>
      <c r="H34" s="57" t="s">
        <v>223</v>
      </c>
      <c r="J34" t="s">
        <v>177</v>
      </c>
      <c r="K34" t="s">
        <v>193</v>
      </c>
    </row>
    <row r="35" spans="3:11" x14ac:dyDescent="0.25">
      <c r="C35" s="56" t="s">
        <v>218</v>
      </c>
      <c r="D35" s="57" t="s">
        <v>157</v>
      </c>
      <c r="E35" s="57" t="s">
        <v>227</v>
      </c>
      <c r="F35" s="57" t="s">
        <v>229</v>
      </c>
      <c r="G35" s="57" t="s">
        <v>231</v>
      </c>
      <c r="H35" s="57"/>
    </row>
    <row r="36" spans="3:11" x14ac:dyDescent="0.25">
      <c r="C36" s="56"/>
      <c r="D36" s="57" t="s">
        <v>224</v>
      </c>
      <c r="E36" s="57" t="s">
        <v>228</v>
      </c>
      <c r="F36" s="57" t="s">
        <v>230</v>
      </c>
      <c r="G36" s="57" t="s">
        <v>232</v>
      </c>
      <c r="H36" s="57"/>
    </row>
    <row r="37" spans="3:11" x14ac:dyDescent="0.25">
      <c r="C37" s="56"/>
      <c r="D37" s="57" t="s">
        <v>225</v>
      </c>
      <c r="E37" s="57"/>
      <c r="F37" s="57"/>
      <c r="G37" s="57" t="s">
        <v>233</v>
      </c>
      <c r="H37" s="57"/>
    </row>
    <row r="38" spans="3:11" x14ac:dyDescent="0.25">
      <c r="C38" s="56"/>
      <c r="D38" s="57" t="s">
        <v>226</v>
      </c>
      <c r="E38" s="57"/>
      <c r="F38" s="57"/>
      <c r="G38" s="57" t="s">
        <v>233</v>
      </c>
      <c r="H38" s="57"/>
    </row>
    <row r="39" spans="3:11" x14ac:dyDescent="0.25">
      <c r="C39" s="56"/>
      <c r="D39" s="57"/>
      <c r="E39" s="57"/>
      <c r="F39" s="57"/>
      <c r="G39" s="57" t="s">
        <v>234</v>
      </c>
      <c r="H39" s="57"/>
    </row>
    <row r="40" spans="3:11" x14ac:dyDescent="0.25">
      <c r="C40" s="56"/>
      <c r="D40" s="57"/>
      <c r="E40" s="57"/>
      <c r="F40" s="57"/>
      <c r="G40" s="57" t="s">
        <v>235</v>
      </c>
      <c r="H40" s="57"/>
    </row>
    <row r="41" spans="3:11" x14ac:dyDescent="0.25">
      <c r="C41" s="56"/>
      <c r="D41" s="57"/>
      <c r="E41" s="57"/>
      <c r="F41" s="57"/>
      <c r="G41" s="57"/>
      <c r="H41" s="57"/>
    </row>
    <row r="43" spans="3:11" x14ac:dyDescent="0.25">
      <c r="C43" t="s">
        <v>236</v>
      </c>
    </row>
    <row r="44" spans="3:11" x14ac:dyDescent="0.25">
      <c r="C44" t="s">
        <v>159</v>
      </c>
      <c r="D44" t="s">
        <v>237</v>
      </c>
    </row>
    <row r="45" spans="3:11" x14ac:dyDescent="0.25">
      <c r="D45" t="s">
        <v>238</v>
      </c>
    </row>
    <row r="46" spans="3:11" x14ac:dyDescent="0.25">
      <c r="D46" t="s">
        <v>239</v>
      </c>
    </row>
    <row r="47" spans="3:11" x14ac:dyDescent="0.25">
      <c r="D47" t="s">
        <v>240</v>
      </c>
    </row>
    <row r="48" spans="3:11" x14ac:dyDescent="0.25">
      <c r="D48" t="s">
        <v>241</v>
      </c>
    </row>
    <row r="49" spans="3:4" x14ac:dyDescent="0.25">
      <c r="C49" t="s">
        <v>162</v>
      </c>
      <c r="D49" t="s">
        <v>242</v>
      </c>
    </row>
    <row r="50" spans="3:4" x14ac:dyDescent="0.25">
      <c r="D50" t="s">
        <v>243</v>
      </c>
    </row>
    <row r="51" spans="3:4" x14ac:dyDescent="0.25">
      <c r="D51" t="s">
        <v>244</v>
      </c>
    </row>
    <row r="52" spans="3:4" x14ac:dyDescent="0.25">
      <c r="D52" t="s">
        <v>247</v>
      </c>
    </row>
    <row r="53" spans="3:4" x14ac:dyDescent="0.25">
      <c r="D53" t="s">
        <v>245</v>
      </c>
    </row>
    <row r="54" spans="3:4" x14ac:dyDescent="0.25">
      <c r="D54" t="s">
        <v>246</v>
      </c>
    </row>
    <row r="55" spans="3:4" x14ac:dyDescent="0.25">
      <c r="D55" t="s">
        <v>248</v>
      </c>
    </row>
    <row r="56" spans="3:4" x14ac:dyDescent="0.25">
      <c r="D56" t="s">
        <v>249</v>
      </c>
    </row>
    <row r="57" spans="3:4" x14ac:dyDescent="0.25">
      <c r="D57" t="s">
        <v>250</v>
      </c>
    </row>
    <row r="58" spans="3:4" x14ac:dyDescent="0.25">
      <c r="D58" t="s">
        <v>252</v>
      </c>
    </row>
    <row r="59" spans="3:4" x14ac:dyDescent="0.25">
      <c r="D59" t="s">
        <v>261</v>
      </c>
    </row>
    <row r="60" spans="3:4" x14ac:dyDescent="0.25">
      <c r="C60" t="s">
        <v>177</v>
      </c>
      <c r="D60" t="s">
        <v>253</v>
      </c>
    </row>
    <row r="61" spans="3:4" x14ac:dyDescent="0.25">
      <c r="D61" t="s">
        <v>251</v>
      </c>
    </row>
    <row r="62" spans="3:4" x14ac:dyDescent="0.25">
      <c r="D62" t="s">
        <v>241</v>
      </c>
    </row>
    <row r="63" spans="3:4" x14ac:dyDescent="0.25">
      <c r="D63" t="s">
        <v>254</v>
      </c>
    </row>
    <row r="64" spans="3:4" x14ac:dyDescent="0.25">
      <c r="D64" t="s">
        <v>255</v>
      </c>
    </row>
    <row r="65" spans="3:4" x14ac:dyDescent="0.25">
      <c r="D65" t="s">
        <v>256</v>
      </c>
    </row>
    <row r="66" spans="3:4" x14ac:dyDescent="0.25">
      <c r="D66" t="s">
        <v>257</v>
      </c>
    </row>
    <row r="67" spans="3:4" x14ac:dyDescent="0.25">
      <c r="C67" t="s">
        <v>172</v>
      </c>
      <c r="D67" t="s">
        <v>258</v>
      </c>
    </row>
    <row r="68" spans="3:4" x14ac:dyDescent="0.25">
      <c r="D68" t="s">
        <v>259</v>
      </c>
    </row>
    <row r="69" spans="3:4" x14ac:dyDescent="0.25">
      <c r="D69" t="s">
        <v>260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8"/>
  <sheetViews>
    <sheetView topLeftCell="A4" workbookViewId="0">
      <selection activeCell="C16" sqref="C16"/>
    </sheetView>
  </sheetViews>
  <sheetFormatPr defaultRowHeight="15" x14ac:dyDescent="0.25"/>
  <cols>
    <col min="2" max="2" width="3" bestFit="1" customWidth="1"/>
    <col min="3" max="3" width="167.140625" customWidth="1"/>
  </cols>
  <sheetData>
    <row r="2" spans="2:3" ht="15" customHeight="1" x14ac:dyDescent="0.25">
      <c r="B2" s="60">
        <v>1</v>
      </c>
      <c r="C2" s="63" t="s">
        <v>267</v>
      </c>
    </row>
    <row r="3" spans="2:3" x14ac:dyDescent="0.25">
      <c r="B3" s="60">
        <v>2</v>
      </c>
      <c r="C3" s="61" t="s">
        <v>268</v>
      </c>
    </row>
    <row r="4" spans="2:3" x14ac:dyDescent="0.25">
      <c r="B4" s="60">
        <v>3</v>
      </c>
      <c r="C4" s="62" t="s">
        <v>269</v>
      </c>
    </row>
    <row r="5" spans="2:3" x14ac:dyDescent="0.25">
      <c r="B5" s="60">
        <v>4</v>
      </c>
      <c r="C5" s="61" t="s">
        <v>270</v>
      </c>
    </row>
    <row r="6" spans="2:3" x14ac:dyDescent="0.25">
      <c r="B6" s="60">
        <v>5</v>
      </c>
      <c r="C6" s="62" t="s">
        <v>271</v>
      </c>
    </row>
    <row r="7" spans="2:3" ht="30" x14ac:dyDescent="0.25">
      <c r="B7" s="60">
        <v>6</v>
      </c>
      <c r="C7" s="61" t="s">
        <v>272</v>
      </c>
    </row>
    <row r="8" spans="2:3" ht="75" x14ac:dyDescent="0.25">
      <c r="B8" s="60">
        <v>7</v>
      </c>
      <c r="C8" s="61" t="s">
        <v>273</v>
      </c>
    </row>
    <row r="9" spans="2:3" x14ac:dyDescent="0.25">
      <c r="B9" s="60">
        <v>8</v>
      </c>
      <c r="C9" s="62" t="s">
        <v>274</v>
      </c>
    </row>
    <row r="10" spans="2:3" x14ac:dyDescent="0.25">
      <c r="B10" s="60">
        <v>9</v>
      </c>
      <c r="C10" s="62" t="s">
        <v>275</v>
      </c>
    </row>
    <row r="11" spans="2:3" x14ac:dyDescent="0.25">
      <c r="B11" s="60">
        <v>10</v>
      </c>
      <c r="C11" s="62" t="s">
        <v>276</v>
      </c>
    </row>
    <row r="12" spans="2:3" x14ac:dyDescent="0.25">
      <c r="B12" s="60">
        <v>11</v>
      </c>
      <c r="C12" s="62" t="s">
        <v>277</v>
      </c>
    </row>
    <row r="13" spans="2:3" x14ac:dyDescent="0.25">
      <c r="B13" s="60">
        <v>12</v>
      </c>
      <c r="C13" s="62" t="s">
        <v>278</v>
      </c>
    </row>
    <row r="14" spans="2:3" x14ac:dyDescent="0.25">
      <c r="B14" s="60">
        <v>13</v>
      </c>
      <c r="C14" s="62" t="s">
        <v>279</v>
      </c>
    </row>
    <row r="15" spans="2:3" x14ac:dyDescent="0.25">
      <c r="B15" s="60">
        <v>14</v>
      </c>
      <c r="C15" s="62" t="s">
        <v>281</v>
      </c>
    </row>
    <row r="16" spans="2:3" x14ac:dyDescent="0.25">
      <c r="B16" s="60">
        <v>15</v>
      </c>
      <c r="C16" s="62" t="s">
        <v>282</v>
      </c>
    </row>
    <row r="17" spans="2:3" x14ac:dyDescent="0.25">
      <c r="B17" s="60">
        <v>16</v>
      </c>
      <c r="C17" s="68" t="s">
        <v>283</v>
      </c>
    </row>
    <row r="18" spans="2:3" x14ac:dyDescent="0.25">
      <c r="B18" s="60">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2025-08-12T08:01:01Z</cp:lastPrinted>
  <dcterms:created xsi:type="dcterms:W3CDTF">2019-07-16T09:29:46Z</dcterms:created>
  <dcterms:modified xsi:type="dcterms:W3CDTF">2025-08-12T08:04:59Z</dcterms:modified>
</cp:coreProperties>
</file>