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51\Downloads\"/>
    </mc:Choice>
  </mc:AlternateContent>
  <bookViews>
    <workbookView xWindow="0" yWindow="0" windowWidth="20490" windowHeight="68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Report!$A$1:$H$535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1" i="1" l="1"/>
  <c r="D372" i="1"/>
  <c r="D62" i="1" l="1"/>
  <c r="C287" i="1" l="1"/>
  <c r="D287" i="1" s="1"/>
  <c r="E287" i="1" s="1"/>
  <c r="C286" i="1"/>
  <c r="D286" i="1" s="1"/>
  <c r="E286" i="1" s="1"/>
  <c r="C275" i="1"/>
  <c r="D275" i="1" s="1"/>
  <c r="E275" i="1" s="1"/>
  <c r="C268" i="1"/>
  <c r="D268" i="1" s="1"/>
  <c r="E268" i="1" s="1"/>
  <c r="C267" i="1"/>
  <c r="D267" i="1" s="1"/>
  <c r="E267" i="1" s="1"/>
  <c r="C260" i="1"/>
  <c r="C259" i="1"/>
  <c r="D259" i="1" s="1"/>
  <c r="E259" i="1" s="1"/>
  <c r="C253" i="1"/>
  <c r="D253" i="1" s="1"/>
  <c r="E253" i="1" s="1"/>
  <c r="C252" i="1"/>
  <c r="D252" i="1" s="1"/>
  <c r="E252" i="1" s="1"/>
  <c r="C248" i="1"/>
  <c r="D248" i="1" s="1"/>
  <c r="E248" i="1" s="1"/>
  <c r="C247" i="1"/>
  <c r="D247" i="1" s="1"/>
  <c r="E247" i="1" s="1"/>
  <c r="C238" i="1"/>
  <c r="D238" i="1" s="1"/>
  <c r="E238" i="1" s="1"/>
  <c r="C237" i="1"/>
  <c r="D237" i="1" s="1"/>
  <c r="E237" i="1" s="1"/>
  <c r="C223" i="1"/>
  <c r="D223" i="1" s="1"/>
  <c r="E223" i="1" s="1"/>
  <c r="C222" i="1"/>
  <c r="D222" i="1" s="1"/>
  <c r="E222" i="1" s="1"/>
  <c r="C211" i="1"/>
  <c r="D211" i="1" s="1"/>
  <c r="E211" i="1" s="1"/>
  <c r="C210" i="1"/>
  <c r="D210" i="1" s="1"/>
  <c r="E210" i="1" s="1"/>
  <c r="C199" i="1"/>
  <c r="C198" i="1"/>
  <c r="D198" i="1" s="1"/>
  <c r="E198" i="1" s="1"/>
  <c r="C187" i="1"/>
  <c r="D187" i="1" s="1"/>
  <c r="E187" i="1" s="1"/>
  <c r="C180" i="1"/>
  <c r="C179" i="1"/>
  <c r="C174" i="1"/>
  <c r="D174" i="1" s="1"/>
  <c r="E174" i="1" s="1"/>
  <c r="C173" i="1"/>
  <c r="D173" i="1" s="1"/>
  <c r="E173" i="1" s="1"/>
  <c r="C165" i="1"/>
  <c r="D165" i="1" s="1"/>
  <c r="E165" i="1" s="1"/>
  <c r="C164" i="1"/>
  <c r="D164" i="1" s="1"/>
  <c r="E164" i="1" s="1"/>
  <c r="C156" i="1"/>
  <c r="D156" i="1" s="1"/>
  <c r="E156" i="1" s="1"/>
  <c r="C155" i="1"/>
  <c r="D155" i="1" s="1"/>
  <c r="E155" i="1" s="1"/>
  <c r="C154" i="1"/>
  <c r="D154" i="1" s="1"/>
  <c r="E154" i="1" s="1"/>
  <c r="C295" i="1"/>
  <c r="D295" i="1" s="1"/>
  <c r="E295" i="1" s="1"/>
  <c r="C294" i="1"/>
  <c r="D294" i="1" s="1"/>
  <c r="E294" i="1" s="1"/>
  <c r="C293" i="1"/>
  <c r="D293" i="1" s="1"/>
  <c r="E293" i="1" s="1"/>
  <c r="C292" i="1"/>
  <c r="D292" i="1" s="1"/>
  <c r="E292" i="1" s="1"/>
  <c r="C291" i="1"/>
  <c r="D291" i="1" s="1"/>
  <c r="E291" i="1" s="1"/>
  <c r="C290" i="1"/>
  <c r="C289" i="1"/>
  <c r="D289" i="1" s="1"/>
  <c r="E289" i="1" s="1"/>
  <c r="C288" i="1"/>
  <c r="C278" i="1"/>
  <c r="D278" i="1" s="1"/>
  <c r="E278" i="1" s="1"/>
  <c r="C279" i="1"/>
  <c r="D279" i="1" s="1"/>
  <c r="E279" i="1" s="1"/>
  <c r="C280" i="1"/>
  <c r="D280" i="1" s="1"/>
  <c r="E280" i="1" s="1"/>
  <c r="C281" i="1"/>
  <c r="D281" i="1" s="1"/>
  <c r="E281" i="1" s="1"/>
  <c r="C282" i="1"/>
  <c r="D282" i="1" s="1"/>
  <c r="E282" i="1" s="1"/>
  <c r="C283" i="1"/>
  <c r="D283" i="1" s="1"/>
  <c r="E283" i="1" s="1"/>
  <c r="C284" i="1"/>
  <c r="D284" i="1" s="1"/>
  <c r="E284" i="1" s="1"/>
  <c r="C285" i="1"/>
  <c r="D285" i="1" s="1"/>
  <c r="E285" i="1" s="1"/>
  <c r="C277" i="1"/>
  <c r="D277" i="1" s="1"/>
  <c r="E277" i="1" s="1"/>
  <c r="C276" i="1"/>
  <c r="D276" i="1" s="1"/>
  <c r="E276" i="1" s="1"/>
  <c r="C270" i="1"/>
  <c r="D270" i="1" s="1"/>
  <c r="E270" i="1" s="1"/>
  <c r="C271" i="1"/>
  <c r="D271" i="1" s="1"/>
  <c r="E271" i="1" s="1"/>
  <c r="C272" i="1"/>
  <c r="D272" i="1" s="1"/>
  <c r="E272" i="1" s="1"/>
  <c r="C273" i="1"/>
  <c r="D273" i="1" s="1"/>
  <c r="E273" i="1" s="1"/>
  <c r="C274" i="1"/>
  <c r="D274" i="1" s="1"/>
  <c r="E274" i="1" s="1"/>
  <c r="C269" i="1"/>
  <c r="D269" i="1" s="1"/>
  <c r="E269" i="1" s="1"/>
  <c r="C262" i="1"/>
  <c r="D262" i="1" s="1"/>
  <c r="E262" i="1" s="1"/>
  <c r="C263" i="1"/>
  <c r="D263" i="1" s="1"/>
  <c r="E263" i="1" s="1"/>
  <c r="C264" i="1"/>
  <c r="D264" i="1" s="1"/>
  <c r="E264" i="1" s="1"/>
  <c r="C265" i="1"/>
  <c r="D265" i="1" s="1"/>
  <c r="E265" i="1" s="1"/>
  <c r="C266" i="1"/>
  <c r="D266" i="1" s="1"/>
  <c r="E266" i="1" s="1"/>
  <c r="C261" i="1"/>
  <c r="D261" i="1" s="1"/>
  <c r="E261" i="1" s="1"/>
  <c r="C258" i="1"/>
  <c r="D258" i="1" s="1"/>
  <c r="E258" i="1" s="1"/>
  <c r="C257" i="1"/>
  <c r="D257" i="1" s="1"/>
  <c r="E257" i="1" s="1"/>
  <c r="C256" i="1"/>
  <c r="D256" i="1" s="1"/>
  <c r="E256" i="1" s="1"/>
  <c r="C255" i="1"/>
  <c r="D255" i="1" s="1"/>
  <c r="E255" i="1" s="1"/>
  <c r="C254" i="1"/>
  <c r="D254" i="1" s="1"/>
  <c r="E254" i="1" s="1"/>
  <c r="C251" i="1"/>
  <c r="D251" i="1" s="1"/>
  <c r="E251" i="1" s="1"/>
  <c r="C250" i="1"/>
  <c r="D250" i="1" s="1"/>
  <c r="E250" i="1" s="1"/>
  <c r="C249" i="1"/>
  <c r="D249" i="1" s="1"/>
  <c r="E249" i="1" s="1"/>
  <c r="C240" i="1"/>
  <c r="D240" i="1" s="1"/>
  <c r="E240" i="1" s="1"/>
  <c r="C241" i="1"/>
  <c r="D241" i="1" s="1"/>
  <c r="E241" i="1" s="1"/>
  <c r="C242" i="1"/>
  <c r="D242" i="1" s="1"/>
  <c r="E242" i="1" s="1"/>
  <c r="C243" i="1"/>
  <c r="D243" i="1" s="1"/>
  <c r="E243" i="1" s="1"/>
  <c r="C244" i="1"/>
  <c r="D244" i="1" s="1"/>
  <c r="E244" i="1" s="1"/>
  <c r="C245" i="1"/>
  <c r="D245" i="1" s="1"/>
  <c r="E245" i="1" s="1"/>
  <c r="C246" i="1"/>
  <c r="C239" i="1"/>
  <c r="D239" i="1" s="1"/>
  <c r="E239" i="1" s="1"/>
  <c r="C225" i="1"/>
  <c r="D225" i="1" s="1"/>
  <c r="E225" i="1" s="1"/>
  <c r="C226" i="1"/>
  <c r="D226" i="1" s="1"/>
  <c r="E226" i="1" s="1"/>
  <c r="C227" i="1"/>
  <c r="D227" i="1" s="1"/>
  <c r="E227" i="1" s="1"/>
  <c r="C228" i="1"/>
  <c r="D228" i="1" s="1"/>
  <c r="E228" i="1" s="1"/>
  <c r="C229" i="1"/>
  <c r="D229" i="1" s="1"/>
  <c r="E229" i="1" s="1"/>
  <c r="C230" i="1"/>
  <c r="D230" i="1" s="1"/>
  <c r="E230" i="1" s="1"/>
  <c r="C231" i="1"/>
  <c r="D231" i="1" s="1"/>
  <c r="E231" i="1" s="1"/>
  <c r="C232" i="1"/>
  <c r="D232" i="1" s="1"/>
  <c r="E232" i="1" s="1"/>
  <c r="C233" i="1"/>
  <c r="D233" i="1" s="1"/>
  <c r="E233" i="1" s="1"/>
  <c r="C234" i="1"/>
  <c r="D234" i="1" s="1"/>
  <c r="E234" i="1" s="1"/>
  <c r="C235" i="1"/>
  <c r="D235" i="1" s="1"/>
  <c r="E235" i="1" s="1"/>
  <c r="C236" i="1"/>
  <c r="D236" i="1" s="1"/>
  <c r="E236" i="1" s="1"/>
  <c r="C224" i="1"/>
  <c r="D224" i="1" s="1"/>
  <c r="E224" i="1" s="1"/>
  <c r="C213" i="1"/>
  <c r="D213" i="1" s="1"/>
  <c r="E213" i="1" s="1"/>
  <c r="C214" i="1"/>
  <c r="D214" i="1" s="1"/>
  <c r="E214" i="1" s="1"/>
  <c r="C215" i="1"/>
  <c r="D215" i="1" s="1"/>
  <c r="E215" i="1" s="1"/>
  <c r="C216" i="1"/>
  <c r="D216" i="1" s="1"/>
  <c r="E216" i="1" s="1"/>
  <c r="C217" i="1"/>
  <c r="D217" i="1" s="1"/>
  <c r="E217" i="1" s="1"/>
  <c r="C218" i="1"/>
  <c r="D218" i="1" s="1"/>
  <c r="E218" i="1" s="1"/>
  <c r="C219" i="1"/>
  <c r="D219" i="1" s="1"/>
  <c r="E219" i="1" s="1"/>
  <c r="C220" i="1"/>
  <c r="D220" i="1" s="1"/>
  <c r="E220" i="1" s="1"/>
  <c r="C221" i="1"/>
  <c r="D221" i="1" s="1"/>
  <c r="E221" i="1" s="1"/>
  <c r="C212" i="1"/>
  <c r="D212" i="1" s="1"/>
  <c r="E212" i="1" s="1"/>
  <c r="C201" i="1"/>
  <c r="D201" i="1" s="1"/>
  <c r="E201" i="1" s="1"/>
  <c r="C202" i="1"/>
  <c r="D202" i="1" s="1"/>
  <c r="E202" i="1" s="1"/>
  <c r="C203" i="1"/>
  <c r="D203" i="1" s="1"/>
  <c r="E203" i="1" s="1"/>
  <c r="C204" i="1"/>
  <c r="D204" i="1" s="1"/>
  <c r="E204" i="1" s="1"/>
  <c r="C205" i="1"/>
  <c r="D205" i="1" s="1"/>
  <c r="E205" i="1" s="1"/>
  <c r="C206" i="1"/>
  <c r="D206" i="1" s="1"/>
  <c r="E206" i="1" s="1"/>
  <c r="C207" i="1"/>
  <c r="D207" i="1" s="1"/>
  <c r="E207" i="1" s="1"/>
  <c r="C208" i="1"/>
  <c r="D208" i="1" s="1"/>
  <c r="E208" i="1" s="1"/>
  <c r="C209" i="1"/>
  <c r="D209" i="1" s="1"/>
  <c r="E209" i="1" s="1"/>
  <c r="C200" i="1"/>
  <c r="D200" i="1" s="1"/>
  <c r="E200" i="1" s="1"/>
  <c r="C189" i="1"/>
  <c r="D189" i="1" s="1"/>
  <c r="E189" i="1" s="1"/>
  <c r="C190" i="1"/>
  <c r="D190" i="1" s="1"/>
  <c r="E190" i="1" s="1"/>
  <c r="C191" i="1"/>
  <c r="D191" i="1" s="1"/>
  <c r="E191" i="1" s="1"/>
  <c r="C192" i="1"/>
  <c r="D192" i="1" s="1"/>
  <c r="E192" i="1" s="1"/>
  <c r="C193" i="1"/>
  <c r="D193" i="1" s="1"/>
  <c r="E193" i="1" s="1"/>
  <c r="C194" i="1"/>
  <c r="D194" i="1" s="1"/>
  <c r="E194" i="1" s="1"/>
  <c r="C195" i="1"/>
  <c r="D195" i="1" s="1"/>
  <c r="E195" i="1" s="1"/>
  <c r="C196" i="1"/>
  <c r="D196" i="1" s="1"/>
  <c r="E196" i="1" s="1"/>
  <c r="C197" i="1"/>
  <c r="D197" i="1" s="1"/>
  <c r="E197" i="1" s="1"/>
  <c r="C188" i="1"/>
  <c r="D188" i="1" s="1"/>
  <c r="E188" i="1" s="1"/>
  <c r="C182" i="1"/>
  <c r="D182" i="1" s="1"/>
  <c r="E182" i="1" s="1"/>
  <c r="C183" i="1"/>
  <c r="D183" i="1" s="1"/>
  <c r="E183" i="1" s="1"/>
  <c r="C184" i="1"/>
  <c r="D184" i="1" s="1"/>
  <c r="E184" i="1" s="1"/>
  <c r="C185" i="1"/>
  <c r="D185" i="1" s="1"/>
  <c r="E185" i="1" s="1"/>
  <c r="C186" i="1"/>
  <c r="D186" i="1" s="1"/>
  <c r="E186" i="1" s="1"/>
  <c r="C181" i="1"/>
  <c r="D181" i="1" s="1"/>
  <c r="E181" i="1" s="1"/>
  <c r="C178" i="1"/>
  <c r="D178" i="1" s="1"/>
  <c r="E178" i="1" s="1"/>
  <c r="C177" i="1"/>
  <c r="D177" i="1" s="1"/>
  <c r="E177" i="1" s="1"/>
  <c r="C176" i="1"/>
  <c r="D176" i="1" s="1"/>
  <c r="E176" i="1" s="1"/>
  <c r="C175" i="1"/>
  <c r="D175" i="1" s="1"/>
  <c r="E175" i="1" s="1"/>
  <c r="C167" i="1"/>
  <c r="D167" i="1" s="1"/>
  <c r="E167" i="1" s="1"/>
  <c r="C168" i="1"/>
  <c r="D168" i="1" s="1"/>
  <c r="E168" i="1" s="1"/>
  <c r="C169" i="1"/>
  <c r="D169" i="1" s="1"/>
  <c r="E169" i="1" s="1"/>
  <c r="C170" i="1"/>
  <c r="D170" i="1" s="1"/>
  <c r="E170" i="1" s="1"/>
  <c r="C171" i="1"/>
  <c r="D171" i="1" s="1"/>
  <c r="E171" i="1" s="1"/>
  <c r="C172" i="1"/>
  <c r="D172" i="1" s="1"/>
  <c r="E172" i="1" s="1"/>
  <c r="C166" i="1"/>
  <c r="D166" i="1" s="1"/>
  <c r="E166" i="1" s="1"/>
  <c r="C158" i="1"/>
  <c r="D158" i="1" s="1"/>
  <c r="E158" i="1" s="1"/>
  <c r="C159" i="1"/>
  <c r="D159" i="1" s="1"/>
  <c r="E159" i="1" s="1"/>
  <c r="C160" i="1"/>
  <c r="D160" i="1" s="1"/>
  <c r="E160" i="1" s="1"/>
  <c r="C161" i="1"/>
  <c r="D161" i="1" s="1"/>
  <c r="E161" i="1" s="1"/>
  <c r="C162" i="1"/>
  <c r="D162" i="1" s="1"/>
  <c r="E162" i="1" s="1"/>
  <c r="C163" i="1"/>
  <c r="D163" i="1" s="1"/>
  <c r="E163" i="1" s="1"/>
  <c r="C157" i="1"/>
  <c r="D157" i="1" s="1"/>
  <c r="E157" i="1" s="1"/>
  <c r="D290" i="1"/>
  <c r="E290" i="1" s="1"/>
  <c r="D288" i="1"/>
  <c r="E288" i="1" s="1"/>
  <c r="D260" i="1"/>
  <c r="E260" i="1" s="1"/>
  <c r="D246" i="1"/>
  <c r="E246" i="1" s="1"/>
  <c r="D199" i="1"/>
  <c r="E199" i="1" s="1"/>
  <c r="D180" i="1"/>
  <c r="E180" i="1" s="1"/>
  <c r="D179" i="1"/>
  <c r="E179" i="1" s="1"/>
  <c r="A155" i="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C133" i="1" l="1"/>
  <c r="I154" i="1"/>
  <c r="J154" i="1" s="1"/>
  <c r="B133" i="1"/>
  <c r="G133" i="1"/>
  <c r="E133" i="1"/>
  <c r="C103" i="1"/>
  <c r="C89" i="1"/>
  <c r="F147" i="1" l="1"/>
  <c r="H147" i="1" s="1"/>
  <c r="E26" i="1" l="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D42" i="7" s="1"/>
  <c r="I42" i="7"/>
  <c r="H42" i="7" s="1"/>
  <c r="L42" i="7"/>
  <c r="K42" i="7" s="1"/>
  <c r="D44" i="7" l="1"/>
  <c r="E44" i="7"/>
  <c r="B309" i="1"/>
  <c r="F148" i="1" l="1"/>
  <c r="H148" i="1" s="1"/>
  <c r="F149" i="1"/>
  <c r="H149" i="1" s="1"/>
  <c r="F150" i="1"/>
  <c r="H150" i="1" s="1"/>
  <c r="G58" i="1" l="1"/>
  <c r="C58" i="1"/>
  <c r="G56" i="1"/>
  <c r="C56" i="1"/>
  <c r="C54" i="1"/>
  <c r="S33" i="1" l="1"/>
  <c r="F11" i="5" l="1"/>
  <c r="G11" i="5" s="1"/>
  <c r="F10" i="5"/>
  <c r="G10" i="5" s="1"/>
  <c r="F9" i="5"/>
  <c r="G9" i="5" s="1"/>
  <c r="F8" i="5"/>
  <c r="G8" i="5" s="1"/>
  <c r="F7" i="5"/>
  <c r="G7" i="5" s="1"/>
  <c r="F6" i="5"/>
  <c r="G6" i="5" s="1"/>
  <c r="F5" i="5"/>
  <c r="G5" i="5" s="1"/>
  <c r="G12" i="5" s="1"/>
  <c r="D334" i="1"/>
  <c r="B310" i="1"/>
  <c r="A148" i="1"/>
  <c r="A149" i="1" s="1"/>
  <c r="A150" i="1" s="1"/>
  <c r="G141" i="1"/>
  <c r="E141" i="1"/>
  <c r="C141" i="1"/>
  <c r="F130" i="1"/>
  <c r="C75" i="1"/>
  <c r="B76" i="1" s="1"/>
  <c r="G51" i="1"/>
  <c r="C51" i="1"/>
  <c r="E44" i="1"/>
  <c r="E45" i="1" s="1"/>
  <c r="E28" i="1"/>
  <c r="C16" i="1"/>
  <c r="I15" i="1"/>
  <c r="Z13" i="1"/>
  <c r="E8" i="1"/>
  <c r="E3" i="1"/>
  <c r="D69" i="1" s="1"/>
  <c r="H76" i="1"/>
  <c r="J75" i="1" l="1"/>
  <c r="J77" i="1" s="1"/>
  <c r="J78" i="1"/>
  <c r="J79" i="1"/>
  <c r="J80" i="1"/>
  <c r="C79" i="1" s="1"/>
  <c r="D83" i="1"/>
  <c r="D85" i="1"/>
  <c r="D84" i="1"/>
  <c r="D88" i="1"/>
  <c r="D82" i="1"/>
  <c r="D87" i="1"/>
  <c r="D81" i="1"/>
  <c r="D86" i="1"/>
  <c r="J81" i="1"/>
  <c r="D79" i="1" l="1"/>
  <c r="J85" i="1"/>
  <c r="J83" i="1"/>
  <c r="J84" i="1"/>
  <c r="J82" i="1"/>
  <c r="J87" i="1" s="1"/>
  <c r="J88" i="1" s="1"/>
  <c r="C80" i="1" s="1"/>
  <c r="J86" i="1"/>
  <c r="B90" i="1" l="1"/>
  <c r="J76" i="1"/>
  <c r="E79" i="1"/>
  <c r="D80" i="1"/>
  <c r="G79" i="1"/>
  <c r="D73" i="1" s="1"/>
  <c r="H90" i="1"/>
  <c r="I76" i="1" l="1"/>
  <c r="I77" i="1" s="1"/>
  <c r="I75" i="1" s="1"/>
  <c r="C77" i="1" s="1"/>
  <c r="J92" i="1"/>
  <c r="D102" i="1"/>
  <c r="D96" i="1"/>
  <c r="J94" i="1"/>
  <c r="C93" i="1" s="1"/>
  <c r="D100" i="1"/>
  <c r="J89" i="1"/>
  <c r="J91" i="1" s="1"/>
  <c r="D97" i="1"/>
  <c r="D101" i="1"/>
  <c r="D95" i="1"/>
  <c r="D99" i="1"/>
  <c r="J93" i="1"/>
  <c r="D98" i="1"/>
  <c r="J95" i="1"/>
  <c r="J96" i="1" s="1"/>
  <c r="J101" i="1" s="1"/>
  <c r="J102" i="1" s="1"/>
  <c r="C94" i="1" s="1"/>
  <c r="J100" i="1"/>
  <c r="J99" i="1"/>
  <c r="J98" i="1"/>
  <c r="J97" i="1"/>
  <c r="F74" i="1"/>
  <c r="D74" i="1"/>
  <c r="B104" i="1" l="1"/>
  <c r="E93" i="1"/>
  <c r="D94" i="1"/>
  <c r="G93" i="1"/>
  <c r="D93" i="1"/>
  <c r="H104" i="1"/>
  <c r="J106" i="1" l="1"/>
  <c r="D115" i="1"/>
  <c r="J108" i="1"/>
  <c r="C107" i="1" s="1"/>
  <c r="D107" i="1" s="1"/>
  <c r="D114" i="1"/>
  <c r="D113" i="1"/>
  <c r="J107" i="1"/>
  <c r="J103" i="1"/>
  <c r="J105" i="1" s="1"/>
  <c r="D111" i="1"/>
  <c r="D116" i="1"/>
  <c r="D110" i="1"/>
  <c r="D109" i="1"/>
  <c r="D112" i="1"/>
  <c r="I90" i="1"/>
  <c r="I91" i="1" s="1"/>
  <c r="J113" i="1"/>
  <c r="J111" i="1"/>
  <c r="J109" i="1"/>
  <c r="J110" i="1" s="1"/>
  <c r="J115" i="1" s="1"/>
  <c r="J116" i="1" s="1"/>
  <c r="C108" i="1" s="1"/>
  <c r="J114" i="1"/>
  <c r="J112" i="1"/>
  <c r="J90" i="1"/>
  <c r="I89" i="1" l="1"/>
  <c r="C91" i="1" s="1"/>
  <c r="E107" i="1"/>
  <c r="D108" i="1"/>
  <c r="I104" i="1" s="1"/>
  <c r="I105" i="1" s="1"/>
  <c r="J104" i="1"/>
  <c r="G107" i="1"/>
  <c r="I103" i="1" l="1"/>
  <c r="C10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3"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<sst xmlns="http://schemas.openxmlformats.org/spreadsheetml/2006/main" count="748" uniqueCount="413">
  <si>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</si>
  <si>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</si>
  <si>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</si>
  <si>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</si>
  <si>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</si>
  <si>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</si>
  <si>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</si>
  <si>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</si>
  <si>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</si>
  <si>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</si>
  <si>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</si>
  <si>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</si>
  <si>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</si>
  <si>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</si>
  <si>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</si>
  <si>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</si>
  <si>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</si>
  <si>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</si>
  <si>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</si>
  <si>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</si>
  <si>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</si>
  <si>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</si>
  <si>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</si>
  <si>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</si>
  <si>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</si>
  <si>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</si>
  <si>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</si>
  <si>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</si>
  <si>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</si>
  <si>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</si>
  <si>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</si>
  <si>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</si>
  <si>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</si>
  <si>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</si>
  <si>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</si>
  <si>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</si>
  <si>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</si>
  <si>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</si>
  <si>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</si>
  <si>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</si>
  <si>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</si>
  <si>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</si>
  <si>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</si>
  <si>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</si>
  <si>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</si>
  <si>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</si>
  <si>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</si>
  <si>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</si>
  <si>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</si>
  <si>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</si>
  <si>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</si>
  <si>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</si>
  <si>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</si>
  <si>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</si>
  <si>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</si>
  <si>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</si>
  <si>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</si>
  <si>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</si>
  <si>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</si>
  <si>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</si>
  <si>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</si>
  <si>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</si>
  <si>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</si>
  <si>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</si>
  <si>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</si>
  <si>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</si>
  <si>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</si>
  <si>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</si>
  <si>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</si>
  <si>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</si>
  <si>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</si>
  <si>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</si>
  <si>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</si>
  <si>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</si>
  <si>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</si>
  <si>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</si>
  <si>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</si>
  <si>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</si>
  <si>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</si>
  <si>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</si>
  <si>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</si>
  <si>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</si>
  <si>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</si>
  <si>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</si>
  <si>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</si>
  <si>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</si>
  <si>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</si>
  <si>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</si>
  <si>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</si>
  <si>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</si>
  <si>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</si>
  <si>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</si>
  <si>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</si>
  <si>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</si>
  <si>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</si>
  <si>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</si>
  <si>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</si>
  <si>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</si>
  <si>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</si>
  <si>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</si>
  <si>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</si>
  <si>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</si>
  <si>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</si>
  <si>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</si>
  <si>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</si>
  <si>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</si>
  <si>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</si>
  <si>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</si>
  <si>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</si>
  <si>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</si>
  <si>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</si>
  <si>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</si>
  <si>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</si>
  <si>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</si>
  <si>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</si>
  <si>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t>Nearby Landmark</t>
  </si>
  <si>
    <t>We considered Carpet area as per Approved Plan.</t>
  </si>
  <si>
    <t>We considered Gross carpet area = Net carpet + Enclose balcony + D.B Area + F.B Area.</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</si>
  <si>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</si>
  <si>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</si>
  <si>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</si>
  <si>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</si>
  <si>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</si>
  <si>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</si>
  <si>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</si>
  <si>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</si>
  <si>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</si>
  <si>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</si>
  <si>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</si>
  <si>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</si>
  <si>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</si>
  <si>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</si>
  <si>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</si>
  <si>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</si>
  <si>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</si>
  <si>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</si>
  <si>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</si>
  <si>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</si>
  <si>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</si>
  <si>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</si>
  <si>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</si>
  <si>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</si>
  <si>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</si>
  <si>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</si>
  <si>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</si>
  <si>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</si>
  <si>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</si>
  <si>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</si>
  <si>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</si>
  <si>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</si>
  <si>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</si>
  <si>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</si>
  <si>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Office Per Sq. Ft.</t>
  </si>
  <si>
    <t>Location Link</t>
  </si>
  <si>
    <t>Locality</t>
  </si>
  <si>
    <t>Construction work is in process at the time of Visit (labour found)
Construction work was not active at the time of Visit. (labour Not found)
All work completed. Wait for OC / OC received.
Work not yet Started.</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</si>
  <si>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</si>
  <si>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</si>
  <si>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</si>
  <si>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</si>
  <si>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</si>
  <si>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</si>
  <si>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Building No.1 (A Wing) = 1B + G + 1st to 20th Floor</t>
  </si>
  <si>
    <t>C Wing = 1B + G + 1st to 20th Floor</t>
  </si>
  <si>
    <t>A Wing = 1B + G + 1st to 20th Floor
B Wing = 1B + G + 1st to 20th Floor
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</si>
  <si>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</si>
  <si>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</si>
  <si>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</si>
  <si>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</si>
  <si>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</si>
  <si>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</si>
  <si>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</si>
  <si>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</si>
  <si>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</si>
  <si>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</si>
  <si>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</si>
  <si>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</si>
  <si>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</si>
  <si>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</si>
  <si>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</si>
  <si>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</si>
  <si>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</si>
  <si>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</si>
  <si>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</si>
  <si>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</si>
  <si>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</si>
  <si>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</si>
  <si>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</si>
  <si>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</si>
  <si>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</si>
  <si>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</si>
  <si>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</si>
  <si>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</si>
  <si>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</si>
  <si>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</si>
  <si>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</si>
  <si>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</si>
  <si>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</si>
  <si>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</si>
  <si>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</si>
  <si>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</si>
  <si>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</si>
  <si>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</si>
  <si>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</si>
  <si>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</si>
  <si>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</si>
  <si>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</si>
  <si>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</si>
  <si>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</si>
  <si>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</si>
  <si>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</si>
  <si>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</si>
  <si>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</si>
  <si>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</si>
  <si>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</si>
  <si>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</si>
  <si>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</si>
  <si>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</si>
  <si>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</si>
  <si>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</si>
  <si>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</si>
  <si>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</si>
  <si>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</si>
  <si>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</si>
  <si>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</si>
  <si>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</si>
  <si>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</si>
  <si>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</si>
  <si>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</si>
  <si>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</si>
  <si>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</si>
  <si>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</si>
  <si>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</si>
  <si>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</si>
  <si>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</si>
  <si>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</si>
  <si>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</si>
  <si>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</si>
  <si>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</si>
  <si>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</si>
  <si>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</si>
  <si>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</si>
  <si>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</si>
  <si>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</si>
  <si>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</si>
  <si>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</si>
  <si>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</si>
  <si>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</si>
  <si>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</si>
  <si>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</si>
  <si>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</si>
  <si>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</si>
  <si>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</si>
  <si>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</si>
  <si>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</si>
  <si>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</si>
  <si>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</si>
  <si>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</si>
  <si>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</si>
  <si>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</si>
  <si>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</si>
  <si>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</si>
  <si>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</si>
  <si>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</si>
  <si>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</si>
  <si>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</si>
  <si>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</si>
  <si>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</si>
  <si>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</si>
  <si>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</si>
  <si>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</si>
  <si>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</si>
  <si>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</si>
  <si>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</si>
  <si>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</si>
  <si>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</si>
  <si>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</si>
  <si>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</si>
  <si>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</si>
  <si>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</si>
  <si>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</si>
  <si>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</si>
  <si>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</si>
  <si>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</si>
  <si>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</si>
  <si>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</si>
  <si>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</si>
  <si>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</si>
  <si>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</si>
  <si>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</si>
  <si>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</si>
  <si>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</si>
  <si>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</si>
  <si>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</si>
  <si>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</si>
  <si>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</si>
  <si>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</si>
  <si>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</si>
  <si>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</si>
  <si>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</si>
  <si>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</si>
  <si>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</si>
  <si>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</si>
  <si>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</si>
  <si>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</si>
  <si>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</si>
  <si>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</si>
  <si>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</si>
  <si>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</si>
  <si>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</si>
  <si>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</si>
  <si>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</si>
  <si>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</si>
  <si>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</si>
  <si>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</si>
  <si>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</si>
  <si>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</si>
  <si>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</si>
  <si>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</si>
  <si>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</si>
  <si>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</si>
  <si>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</si>
  <si>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</si>
  <si>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</si>
  <si>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</si>
  <si>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</si>
  <si>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</si>
  <si>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</si>
  <si>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</si>
  <si>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</si>
  <si>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</si>
  <si>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</si>
  <si>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</si>
  <si>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</si>
  <si>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</si>
  <si>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</si>
  <si>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</si>
  <si>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</si>
  <si>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</si>
  <si>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</si>
  <si>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</si>
  <si>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</si>
  <si>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</si>
  <si>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</si>
  <si>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</si>
  <si>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</si>
  <si>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</si>
  <si>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Nitesh patil</t>
  </si>
  <si>
    <t>Sankalp Meadows</t>
  </si>
  <si>
    <t>Mr. Vishal Jadhav 9503540944</t>
  </si>
  <si>
    <t>Nadhal</t>
  </si>
  <si>
    <t>Lodhivali</t>
  </si>
  <si>
    <t>Old Mumbai Pune Highway</t>
  </si>
  <si>
    <t>The Riyasat Sankalp</t>
  </si>
  <si>
    <t>17.3 KM from Panvel Railway Station</t>
  </si>
  <si>
    <t>150/3, 147, 145</t>
  </si>
  <si>
    <t>Open Plot</t>
  </si>
  <si>
    <t>ADJ Survey No. 146, 152</t>
  </si>
  <si>
    <t>ADJ Survey No. 144</t>
  </si>
  <si>
    <t>ADJ Survey No. 150/4, 150/2</t>
  </si>
  <si>
    <t>Proposed 30M Wide Rd</t>
  </si>
  <si>
    <t>https://maps.app.goo.gl/YoRfmNoyHoHrmWA1A</t>
  </si>
  <si>
    <t>18.898705, 73.220193</t>
  </si>
  <si>
    <t xml:space="preserve">Pro Rate Factor for FSI </t>
  </si>
  <si>
    <t>142 Plots</t>
  </si>
  <si>
    <t>P52000077315</t>
  </si>
  <si>
    <t xml:space="preserve">MSRDC/SPA/BP-583/Layout
Approval/2024/1288
</t>
  </si>
  <si>
    <t xml:space="preserve">NA Certificate No.
Valid Up to: </t>
  </si>
  <si>
    <t>MS/JMNBB/KT.1/Nadhal/Lokesh Shekhavat/5092/2024/2226</t>
  </si>
  <si>
    <t>Survey No. 145, 147, 150/3</t>
  </si>
  <si>
    <t xml:space="preserve">Plots = 142 </t>
  </si>
  <si>
    <t>As per RERA - 30/06/2025</t>
  </si>
  <si>
    <r>
      <t xml:space="preserve">Proposed Amenities :                                                                                                                                                                                                                         </t>
    </r>
    <r>
      <rPr>
        <b/>
        <sz val="12"/>
        <color theme="1"/>
        <rFont val="Times New Roman"/>
        <family val="1"/>
      </rPr>
      <t xml:space="preserve">                                               </t>
    </r>
  </si>
  <si>
    <t>1. AMENITY-1
Gazebo, Pet Park, Bird Feeding Area, Solur Plant For Common Area, Convenience Shopping, Flower Bed Zone
2. AMENITY-2
Senior Citizen Arca, Gazebo, Common Parking Area.
3. RG
Landscape Garden With Fountain, Box Cricket, Kindergarten, Multipurpose Club House, Swimming Pool, Yoga Centre, Multipurpose Court, Pergola, OHSR And CWR</t>
  </si>
  <si>
    <t>Building &amp;
Wing</t>
  </si>
  <si>
    <t>Total Plot Area
in Sq.M.</t>
  </si>
  <si>
    <t>Total Built Up Area
In Sq.Ft.</t>
  </si>
  <si>
    <t xml:space="preserve">Total Plot Area
in Sq.Ft.
</t>
  </si>
  <si>
    <t>Plots</t>
  </si>
  <si>
    <t xml:space="preserve">Details of Plots </t>
  </si>
  <si>
    <r>
      <t xml:space="preserve">Plot No.
</t>
    </r>
    <r>
      <rPr>
        <b/>
        <sz val="11"/>
        <color rgb="FF000000"/>
        <rFont val="Times New Roman"/>
        <family val="1"/>
      </rPr>
      <t>(Approved Plan)</t>
    </r>
  </si>
  <si>
    <t>Plot No. (Sale Plan)</t>
  </si>
  <si>
    <t>Plot Area in Sq.M.</t>
  </si>
  <si>
    <t>Plot Area In Sq.Ft.</t>
  </si>
  <si>
    <t>Built Up Area on pro-rata basis in Sq.Ft.</t>
  </si>
  <si>
    <t>Demarkation Status</t>
  </si>
  <si>
    <t>-</t>
  </si>
  <si>
    <t>We considered Carpet area/Plot area as per Approved Plan.</t>
  </si>
  <si>
    <t>Demarkation/Plot marking has completed.</t>
  </si>
  <si>
    <t>NA order is mentioned for Survey No. 150/3, 147, 145.</t>
  </si>
  <si>
    <t>Approved Plans, NA Certificate</t>
  </si>
  <si>
    <t>Please check for the approved subject to the conditions mentioned in this office letter No.MSRDC/SPA/BP-583/Layout Approval/2024/1288 dtd.18/07/2024. As mentioned in the approved plans, which are attached below.</t>
  </si>
  <si>
    <t>Plotable Area</t>
  </si>
  <si>
    <t>Approved Plotable Area (Sq.Mt)</t>
  </si>
  <si>
    <t>Survey No</t>
  </si>
  <si>
    <t>Visit Date</t>
  </si>
  <si>
    <t>Plot No.</t>
  </si>
  <si>
    <t>Site Inspection</t>
  </si>
  <si>
    <t xml:space="preserve"> Demarkation/Plot marking has completed.</t>
  </si>
  <si>
    <t>not sure about demarcation of plot the reyasat sankalp  &amp; Sankalp meadows ajubaju la aahet builder kadhi ekach plot la vegvegali numbering sangun dakhavtoy demarcation As per PNB Report</t>
  </si>
  <si>
    <t>5500 to 6000 on 06/03/2025 by smith</t>
  </si>
  <si>
    <t>6000 to 6500 on 22/04/2025 by smith</t>
  </si>
  <si>
    <t>Recommended rate of the Land Per Sq. Ft. (Plot No. 1, 2 &amp; 3)</t>
  </si>
  <si>
    <t>Recommended rate of the Land Per Sq. Ft. (Plot No. 4 to 142)</t>
  </si>
  <si>
    <t>Remark No. 05 :</t>
  </si>
  <si>
    <t>Recommended Rates/Other Charges of the Property have been revised on 06/03/2025, 22/04/2025 &amp; 30/05/2025. Photographs are attached below.</t>
  </si>
  <si>
    <t>27 to 106</t>
  </si>
  <si>
    <t>Swashya 9226525779</t>
  </si>
  <si>
    <t>Gaurav Panchal</t>
  </si>
  <si>
    <t>Residential</t>
  </si>
  <si>
    <t>New Path Developers LLP</t>
  </si>
  <si>
    <t>As per RERA, completion period of project is expired on 30/06/2025 but still project is under construction.</t>
  </si>
  <si>
    <t>60% to 70% of plot demarcation/plot marking is completed, and the remaining plot demarcation work is in process.
(Demarkation/plot marking has been completed for plot No. 4 &amp; 86 to 89).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</si>
</sst>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2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8" xfId="0" applyFont="1" applyBorder="1" applyProtection="1">
      <protection hidden="1"/>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7" xfId="1" applyFont="1" applyBorder="1"/>
    <xf numFmtId="0" fontId="18" fillId="0" borderId="7" xfId="0" applyFont="1" applyBorder="1" applyProtection="1">
      <protection hidden="1"/>
    </xf>
    <xf numFmtId="1" fontId="0" fillId="0" borderId="7" xfId="0" applyNumberFormat="1" applyBorder="1"/>
    <xf numFmtId="1" fontId="0" fillId="0" borderId="7" xfId="0" applyNumberFormat="1" applyBorder="1" applyAlignment="1">
      <alignment horizontal="right"/>
    </xf>
    <xf numFmtId="1" fontId="0" fillId="0" borderId="9"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6" fillId="0" borderId="20" xfId="0" applyFont="1" applyBorder="1"/>
    <xf numFmtId="0" fontId="26" fillId="0" borderId="4"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0" fontId="0" fillId="0" borderId="18" xfId="0" applyFill="1" applyBorder="1"/>
    <xf numFmtId="0" fontId="0" fillId="0" borderId="5"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5" xfId="0" applyFill="1" applyBorder="1"/>
    <xf numFmtId="0" fontId="12" fillId="0" borderId="1" xfId="1" applyFont="1" applyBorder="1"/>
    <xf numFmtId="0" fontId="7" fillId="0" borderId="1" xfId="1" applyFont="1" applyBorder="1"/>
    <xf numFmtId="0" fontId="0" fillId="0" borderId="5" xfId="0" applyBorder="1" applyAlignment="1">
      <alignment vertical="top"/>
    </xf>
    <xf numFmtId="0" fontId="0" fillId="0" borderId="18" xfId="0" applyFill="1" applyBorder="1" applyAlignment="1">
      <alignment horizontal="center" vertical="top"/>
    </xf>
    <xf numFmtId="0" fontId="0" fillId="0" borderId="5" xfId="0" applyFill="1" applyBorder="1" applyAlignment="1">
      <alignment horizontal="left" vertical="top"/>
    </xf>
    <xf numFmtId="0" fontId="7"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wrapText="1"/>
      <protection locked="0"/>
    </xf>
    <xf numFmtId="0" fontId="25" fillId="2" borderId="10" xfId="0" applyFont="1" applyFill="1" applyBorder="1"/>
    <xf numFmtId="0" fontId="26" fillId="0" borderId="6" xfId="0" applyFont="1" applyBorder="1"/>
    <xf numFmtId="1" fontId="13"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14" fontId="13" fillId="0" borderId="1" xfId="0" applyNumberFormat="1" applyFont="1" applyBorder="1" applyAlignment="1" applyProtection="1">
      <alignment horizontal="center" vertical="center" wrapText="1"/>
      <protection locked="0"/>
    </xf>
    <xf numFmtId="2" fontId="7" fillId="0" borderId="0" xfId="1" applyNumberFormat="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0" fontId="15" fillId="0" borderId="0" xfId="0" applyFont="1" applyAlignment="1">
      <alignment horizontal="center" vertical="center"/>
    </xf>
    <xf numFmtId="1" fontId="8"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17" fillId="0" borderId="1" xfId="1" applyNumberFormat="1" applyFont="1" applyBorder="1" applyAlignment="1" applyProtection="1">
      <alignment horizontal="center" vertical="top" wrapText="1"/>
      <protection locked="0"/>
    </xf>
    <xf numFmtId="9" fontId="17" fillId="0" borderId="1" xfId="8" applyFont="1" applyFill="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1" fontId="13" fillId="0" borderId="1" xfId="1"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1" fontId="17" fillId="0" borderId="5" xfId="0" applyNumberFormat="1" applyFont="1" applyBorder="1" applyAlignment="1" applyProtection="1">
      <alignment vertical="top" wrapText="1"/>
      <protection locked="0"/>
    </xf>
    <xf numFmtId="1" fontId="17" fillId="0" borderId="16" xfId="0" applyNumberFormat="1" applyFont="1" applyBorder="1" applyAlignment="1" applyProtection="1">
      <alignment vertical="top" wrapText="1"/>
      <protection locked="0"/>
    </xf>
    <xf numFmtId="1" fontId="17" fillId="0" borderId="6" xfId="0" applyNumberFormat="1" applyFont="1" applyBorder="1" applyAlignment="1" applyProtection="1">
      <alignment vertical="top" wrapText="1"/>
      <protection locked="0"/>
    </xf>
    <xf numFmtId="1" fontId="8" fillId="0" borderId="5" xfId="0" applyNumberFormat="1" applyFont="1" applyBorder="1" applyAlignment="1" applyProtection="1">
      <alignment vertical="top" wrapText="1"/>
      <protection locked="0"/>
    </xf>
    <xf numFmtId="1" fontId="8" fillId="0" borderId="16" xfId="0" applyNumberFormat="1" applyFont="1" applyBorder="1" applyAlignment="1" applyProtection="1">
      <alignment vertical="top" wrapText="1"/>
      <protection locked="0"/>
    </xf>
    <xf numFmtId="1" fontId="8" fillId="0" borderId="6" xfId="0" applyNumberFormat="1" applyFont="1" applyBorder="1" applyAlignment="1" applyProtection="1">
      <alignment vertical="top" wrapText="1"/>
      <protection locked="0"/>
    </xf>
    <xf numFmtId="1" fontId="6" fillId="0" borderId="5" xfId="1" applyNumberFormat="1" applyFont="1" applyBorder="1" applyAlignment="1" applyProtection="1">
      <alignment horizontal="center" vertical="center" wrapText="1"/>
      <protection locked="0"/>
    </xf>
    <xf numFmtId="1" fontId="6" fillId="0" borderId="6" xfId="1" applyNumberFormat="1" applyFont="1" applyBorder="1" applyAlignment="1" applyProtection="1">
      <alignment horizontal="center" vertical="center" wrapText="1"/>
      <protection locked="0"/>
    </xf>
    <xf numFmtId="14" fontId="6" fillId="0" borderId="5" xfId="1" applyNumberFormat="1" applyFont="1" applyBorder="1" applyAlignment="1" applyProtection="1">
      <alignment horizontal="center" vertical="center" wrapText="1"/>
      <protection locked="0"/>
    </xf>
    <xf numFmtId="14" fontId="6" fillId="0" borderId="6"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13" fillId="0" borderId="5" xfId="0" applyNumberFormat="1" applyFont="1" applyBorder="1" applyAlignment="1" applyProtection="1">
      <alignment horizontal="center" vertical="center" wrapText="1"/>
      <protection locked="0"/>
    </xf>
    <xf numFmtId="1" fontId="13" fillId="0" borderId="6" xfId="0" applyNumberFormat="1" applyFont="1" applyBorder="1" applyAlignment="1" applyProtection="1">
      <alignment horizontal="center" vertical="center" wrapText="1"/>
      <protection locked="0"/>
    </xf>
    <xf numFmtId="1" fontId="13" fillId="0" borderId="16" xfId="0"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9" fontId="7" fillId="0" borderId="1" xfId="8" applyFont="1" applyFill="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1" fontId="13" fillId="0" borderId="5" xfId="1" applyNumberFormat="1" applyFont="1" applyBorder="1" applyAlignment="1" applyProtection="1">
      <alignment horizontal="center" vertical="center" wrapText="1"/>
      <protection locked="0"/>
    </xf>
    <xf numFmtId="1" fontId="13" fillId="0" borderId="16" xfId="1" applyNumberFormat="1" applyFont="1" applyBorder="1" applyAlignment="1" applyProtection="1">
      <alignment horizontal="center" vertical="center" wrapText="1"/>
      <protection locked="0"/>
    </xf>
    <xf numFmtId="1" fontId="13" fillId="0" borderId="6"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0" fontId="6" fillId="0" borderId="5" xfId="1" applyFont="1" applyBorder="1" applyAlignment="1" applyProtection="1">
      <alignment vertical="top" wrapText="1"/>
      <protection locked="0"/>
    </xf>
    <xf numFmtId="0" fontId="6" fillId="0" borderId="16" xfId="1" applyFont="1" applyBorder="1" applyAlignment="1" applyProtection="1">
      <alignment vertical="top" wrapText="1"/>
      <protection locked="0"/>
    </xf>
    <xf numFmtId="0" fontId="6" fillId="0" borderId="6" xfId="1" applyFont="1" applyBorder="1" applyAlignment="1" applyProtection="1">
      <alignmen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6" fillId="0" borderId="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15" fillId="0" borderId="3" xfId="1" applyFont="1" applyBorder="1" applyAlignment="1" applyProtection="1">
      <alignment horizontal="left" vertical="top" wrapText="1"/>
      <protection locked="0"/>
    </xf>
    <xf numFmtId="0" fontId="15" fillId="0" borderId="3" xfId="1" applyFont="1" applyBorder="1" applyAlignment="1" applyProtection="1">
      <alignment horizontal="left" vertical="top"/>
      <protection locked="0"/>
    </xf>
    <xf numFmtId="0" fontId="12" fillId="0" borderId="12"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7" fillId="0" borderId="5" xfId="1" applyFont="1" applyBorder="1" applyAlignment="1" applyProtection="1">
      <alignment horizontal="left" vertical="top" wrapText="1"/>
      <protection locked="0"/>
    </xf>
    <xf numFmtId="0" fontId="7" fillId="0" borderId="6"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1" fontId="8" fillId="0" borderId="1" xfId="1" applyNumberFormat="1" applyFont="1" applyBorder="1" applyAlignment="1" applyProtection="1">
      <alignment horizontal="center" vertical="center" wrapText="1"/>
      <protection locked="0"/>
    </xf>
    <xf numFmtId="167" fontId="12" fillId="0" borderId="1" xfId="9" applyNumberFormat="1" applyFont="1" applyFill="1" applyBorder="1" applyAlignment="1" applyProtection="1">
      <alignment horizontal="left" vertical="top"/>
      <protection locked="0"/>
    </xf>
    <xf numFmtId="1" fontId="17" fillId="0" borderId="1"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6" fillId="0" borderId="11"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14" fontId="7" fillId="0" borderId="5" xfId="1" applyNumberFormat="1" applyFont="1" applyBorder="1" applyAlignment="1" applyProtection="1">
      <alignment horizontal="left" vertical="top" wrapText="1"/>
      <protection locked="0"/>
    </xf>
    <xf numFmtId="0" fontId="15" fillId="0" borderId="12" xfId="1" applyFont="1" applyBorder="1" applyAlignment="1" applyProtection="1">
      <alignment horizontal="left" vertical="top" wrapText="1"/>
      <protection locked="0"/>
    </xf>
    <xf numFmtId="0" fontId="15" fillId="0" borderId="13" xfId="1" applyFont="1" applyBorder="1" applyAlignment="1" applyProtection="1">
      <alignment horizontal="left" vertical="top" wrapText="1"/>
      <protection locked="0"/>
    </xf>
    <xf numFmtId="0" fontId="15" fillId="0" borderId="14" xfId="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14" fontId="7" fillId="0" borderId="6" xfId="1" applyNumberFormat="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10" fillId="0" borderId="5" xfId="1" applyFont="1" applyBorder="1" applyAlignment="1" applyProtection="1">
      <alignment horizontal="left" vertical="top"/>
      <protection locked="0"/>
    </xf>
    <xf numFmtId="0" fontId="10" fillId="0" borderId="16" xfId="1" applyFont="1" applyBorder="1" applyAlignment="1" applyProtection="1">
      <alignment horizontal="left" vertical="top"/>
      <protection locked="0"/>
    </xf>
    <xf numFmtId="0" fontId="10" fillId="0" borderId="6"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5" fillId="0" borderId="12" xfId="1" applyFont="1" applyBorder="1" applyAlignment="1" applyProtection="1">
      <alignment horizontal="left" vertical="top"/>
      <protection locked="0"/>
    </xf>
    <xf numFmtId="0" fontId="15" fillId="0" borderId="17" xfId="1" applyFont="1" applyBorder="1" applyAlignment="1" applyProtection="1">
      <alignment horizontal="left" vertical="top"/>
      <protection locked="0"/>
    </xf>
    <xf numFmtId="0" fontId="15" fillId="0" borderId="13" xfId="1" applyFont="1" applyBorder="1" applyAlignment="1" applyProtection="1">
      <alignment horizontal="left" vertical="top"/>
      <protection locked="0"/>
    </xf>
    <xf numFmtId="0" fontId="15" fillId="0" borderId="18"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19"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5" fillId="0" borderId="14"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15" xfId="1" applyFont="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7"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67" fontId="15" fillId="0" borderId="1" xfId="9" applyNumberFormat="1" applyFont="1" applyFill="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8" fillId="0" borderId="5" xfId="1" applyFont="1" applyBorder="1" applyAlignment="1" applyProtection="1">
      <alignment horizontal="center" vertical="top"/>
      <protection locked="0"/>
    </xf>
    <xf numFmtId="0" fontId="8" fillId="0" borderId="16" xfId="1" applyFont="1" applyBorder="1" applyAlignment="1" applyProtection="1">
      <alignment horizontal="center" vertical="top"/>
      <protection locked="0"/>
    </xf>
    <xf numFmtId="0" fontId="8" fillId="0" borderId="6"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vertical="top"/>
      <protection locked="0"/>
    </xf>
    <xf numFmtId="1" fontId="13" fillId="0" borderId="5" xfId="0" applyNumberFormat="1" applyFont="1" applyBorder="1" applyAlignment="1" applyProtection="1">
      <alignment vertical="top" wrapText="1"/>
      <protection locked="0"/>
    </xf>
    <xf numFmtId="1" fontId="13" fillId="0" borderId="16" xfId="0" applyNumberFormat="1" applyFont="1" applyBorder="1" applyAlignment="1" applyProtection="1">
      <alignment vertical="top" wrapText="1"/>
      <protection locked="0"/>
    </xf>
    <xf numFmtId="1" fontId="13" fillId="0" borderId="6"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7" fillId="0" borderId="18" xfId="1" applyFont="1" applyBorder="1" applyAlignment="1">
      <alignment horizontal="center"/>
    </xf>
    <xf numFmtId="0" fontId="7" fillId="0" borderId="0" xfId="1" applyFont="1" applyAlignment="1">
      <alignment horizontal="center"/>
    </xf>
    <xf numFmtId="0" fontId="17" fillId="0" borderId="1" xfId="1" applyFont="1" applyBorder="1" applyAlignment="1" applyProtection="1">
      <alignment horizontal="center" vertical="top"/>
      <protection locked="0"/>
    </xf>
    <xf numFmtId="0" fontId="8" fillId="0" borderId="5" xfId="1" applyFont="1" applyBorder="1" applyAlignment="1" applyProtection="1">
      <alignment horizontal="left" vertical="top" wrapText="1"/>
      <protection locked="0"/>
    </xf>
    <xf numFmtId="0" fontId="8" fillId="0" borderId="6"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14" fontId="8" fillId="0" borderId="5" xfId="1" applyNumberFormat="1" applyFont="1" applyBorder="1" applyAlignment="1" applyProtection="1">
      <alignment horizontal="left" vertical="top"/>
      <protection locked="0"/>
    </xf>
    <xf numFmtId="14" fontId="8" fillId="0" borderId="6" xfId="1" applyNumberFormat="1" applyFont="1" applyBorder="1" applyAlignment="1" applyProtection="1">
      <alignment horizontal="left" vertical="top"/>
      <protection locked="0"/>
    </xf>
    <xf numFmtId="168"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0" fillId="0" borderId="1" xfId="0" applyFont="1" applyBorder="1" applyAlignment="1" applyProtection="1">
      <alignment horizontal="center" vertical="center"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image" Target="../media/image37.png"/></Relationships>
</file>

<file path=xl/drawings/drawing1.xml><?xml version="1.0" encoding="utf-8"?>
<xdr:wsDr xmlns:xdr="http://schemas.openxmlformats.org/drawingml/2006/spreadsheetDrawing" xmlns:a="http://schemas.openxmlformats.org/drawingml/2006/main">
  <xdr:twoCellAnchor editAs="oneCell">
    <xdr:from>
      <xdr:col>12</xdr:col>
      <xdr:colOff>142875</xdr:colOff>
      <xdr:row>61</xdr:row>
      <xdr:rowOff>28575</xdr:rowOff>
    </xdr:from>
    <xdr:to>
      <xdr:col>15</xdr:col>
      <xdr:colOff>350799</xdr:colOff>
      <xdr:row>142</xdr:row>
      <xdr:rowOff>0</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0010775" y="11934825"/>
          <a:ext cx="2646324" cy="5419725"/>
        </a:xfrm>
        <a:prstGeom prst="rect">
          <a:avLst/>
        </a:prstGeom>
      </xdr:spPr>
    </xdr:pic>
    <xdr:clientData/>
  </xdr:twoCellAnchor>
  <xdr:twoCellAnchor>
    <xdr:from>
      <xdr:col>0</xdr:col>
      <xdr:colOff>342900</xdr:colOff>
      <xdr:row>453</xdr:row>
      <xdr:rowOff>28575</xdr:rowOff>
    </xdr:from>
    <xdr:to>
      <xdr:col>7</xdr:col>
      <xdr:colOff>286250</xdr:colOff>
      <xdr:row>493</xdr:row>
      <xdr:rowOff>68175</xdr:rowOff>
    </xdr:to>
    <xdr:grpSp>
      <xdr:nvGrpSpPr>
        <xdr:cNvPr id="5" name="Group 4">
          <a:extLst>
            <a:ext uri="{FF2B5EF4-FFF2-40B4-BE49-F238E27FC236}">
              <a16:creationId xmlns:a16="http://schemas.microsoft.com/office/drawing/2014/main" xmlns="" id="{00000000-0008-0000-0000-000005000000}"/>
            </a:ext>
          </a:extLst>
        </xdr:cNvPr>
        <xdr:cNvGrpSpPr/>
      </xdr:nvGrpSpPr>
      <xdr:grpSpPr>
        <a:xfrm>
          <a:off x="342900" y="76266675"/>
          <a:ext cx="5525000" cy="8040600"/>
          <a:chOff x="152400" y="60112275"/>
          <a:chExt cx="5525000" cy="8040600"/>
        </a:xfrm>
      </xdr:grpSpPr>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52400" y="60112275"/>
            <a:ext cx="5525000" cy="4680000"/>
          </a:xfrm>
          <a:prstGeom prst="rect">
            <a:avLst/>
          </a:prstGeom>
          <a:ln>
            <a:solidFill>
              <a:schemeClr val="tx1"/>
            </a:solidFill>
          </a:ln>
        </xdr:spPr>
      </xdr:pic>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304800" y="64912875"/>
            <a:ext cx="5139311" cy="3240000"/>
          </a:xfrm>
          <a:prstGeom prst="rect">
            <a:avLst/>
          </a:prstGeom>
          <a:ln>
            <a:solidFill>
              <a:schemeClr val="tx1"/>
            </a:solidFill>
          </a:ln>
        </xdr:spPr>
      </xdr:pic>
    </xdr:grpSp>
    <xdr:clientData/>
  </xdr:twoCellAnchor>
  <xdr:twoCellAnchor>
    <xdr:from>
      <xdr:col>0</xdr:col>
      <xdr:colOff>247650</xdr:colOff>
      <xdr:row>497</xdr:row>
      <xdr:rowOff>19050</xdr:rowOff>
    </xdr:from>
    <xdr:to>
      <xdr:col>7</xdr:col>
      <xdr:colOff>419793</xdr:colOff>
      <xdr:row>530</xdr:row>
      <xdr:rowOff>78081</xdr:rowOff>
    </xdr:to>
    <xdr:grpSp>
      <xdr:nvGrpSpPr>
        <xdr:cNvPr id="10" name="Group 9">
          <a:extLst>
            <a:ext uri="{FF2B5EF4-FFF2-40B4-BE49-F238E27FC236}">
              <a16:creationId xmlns:a16="http://schemas.microsoft.com/office/drawing/2014/main" xmlns="" id="{00000000-0008-0000-0000-00000A000000}"/>
            </a:ext>
          </a:extLst>
        </xdr:cNvPr>
        <xdr:cNvGrpSpPr/>
      </xdr:nvGrpSpPr>
      <xdr:grpSpPr>
        <a:xfrm>
          <a:off x="247650" y="85058250"/>
          <a:ext cx="5753793" cy="6659856"/>
          <a:chOff x="247650" y="68903850"/>
          <a:chExt cx="5753793" cy="6659856"/>
        </a:xfrm>
      </xdr:grpSpPr>
      <xdr:pic>
        <xdr:nvPicPr>
          <xdr:cNvPr id="8" name="Picture 7">
            <a:extLst>
              <a:ext uri="{FF2B5EF4-FFF2-40B4-BE49-F238E27FC236}">
                <a16:creationId xmlns:a16="http://schemas.microsoft.com/office/drawing/2014/main" xmlns="" id="{00000000-0008-0000-0000-000008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247650" y="68903850"/>
            <a:ext cx="5753793" cy="3240000"/>
          </a:xfrm>
          <a:prstGeom prst="rect">
            <a:avLst/>
          </a:prstGeom>
          <a:ln>
            <a:solidFill>
              <a:schemeClr val="tx1"/>
            </a:solidFill>
          </a:ln>
        </xdr:spPr>
      </xdr:pic>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502866" y="72323706"/>
            <a:ext cx="5243359" cy="3240000"/>
          </a:xfrm>
          <a:prstGeom prst="rect">
            <a:avLst/>
          </a:prstGeom>
          <a:ln>
            <a:solidFill>
              <a:schemeClr val="tx1"/>
            </a:solidFill>
          </a:ln>
        </xdr:spPr>
      </xdr:pic>
    </xdr:grpSp>
    <xdr:clientData/>
  </xdr:twoCellAnchor>
  <xdr:twoCellAnchor>
    <xdr:from>
      <xdr:col>8</xdr:col>
      <xdr:colOff>133350</xdr:colOff>
      <xdr:row>334</xdr:row>
      <xdr:rowOff>161925</xdr:rowOff>
    </xdr:from>
    <xdr:to>
      <xdr:col>15</xdr:col>
      <xdr:colOff>35600</xdr:colOff>
      <xdr:row>368</xdr:row>
      <xdr:rowOff>84120</xdr:rowOff>
    </xdr:to>
    <xdr:grpSp>
      <xdr:nvGrpSpPr>
        <xdr:cNvPr id="17" name="Group 16">
          <a:extLst>
            <a:ext uri="{FF2B5EF4-FFF2-40B4-BE49-F238E27FC236}">
              <a16:creationId xmlns:a16="http://schemas.microsoft.com/office/drawing/2014/main" xmlns="" id="{00000000-0008-0000-0000-000011000000}"/>
            </a:ext>
          </a:extLst>
        </xdr:cNvPr>
        <xdr:cNvGrpSpPr/>
      </xdr:nvGrpSpPr>
      <xdr:grpSpPr>
        <a:xfrm>
          <a:off x="6448425" y="52616100"/>
          <a:ext cx="5893475" cy="6713520"/>
          <a:chOff x="209550" y="51311175"/>
          <a:chExt cx="5893475" cy="6713520"/>
        </a:xfrm>
      </xdr:grpSpPr>
      <xdr:pic>
        <xdr:nvPicPr>
          <xdr:cNvPr id="11" name="Picture 10" descr="insp-199306-1525.jpg (719×960)">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3227026" y="55864695"/>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11" descr="insp-199306-843.jpg (719×540)">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225320" y="51311175"/>
            <a:ext cx="287599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12" descr="insp-199306-844.jpg (719×960)">
            <a:extLst>
              <a:ext uri="{FF2B5EF4-FFF2-40B4-BE49-F238E27FC236}">
                <a16:creationId xmlns:a16="http://schemas.microsoft.com/office/drawing/2014/main" xmlns="" id="{00000000-0008-0000-0000-00000D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467799" y="55864695"/>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descr="insp-199306-849.jpg (719×540)">
            <a:extLst>
              <a:ext uri="{FF2B5EF4-FFF2-40B4-BE49-F238E27FC236}">
                <a16:creationId xmlns:a16="http://schemas.microsoft.com/office/drawing/2014/main" xmlns="" id="{00000000-0008-0000-0000-00000E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3227026" y="51311175"/>
            <a:ext cx="287599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14" descr="insp-199306-862.jpg (719×540)">
            <a:extLst>
              <a:ext uri="{FF2B5EF4-FFF2-40B4-BE49-F238E27FC236}">
                <a16:creationId xmlns:a16="http://schemas.microsoft.com/office/drawing/2014/main" xmlns="" id="{00000000-0008-0000-0000-00000F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209550" y="53587935"/>
            <a:ext cx="287599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descr="insp-199306-860.jpg (719×540)">
            <a:extLst>
              <a:ext uri="{FF2B5EF4-FFF2-40B4-BE49-F238E27FC236}">
                <a16:creationId xmlns:a16="http://schemas.microsoft.com/office/drawing/2014/main" xmlns="" id="{00000000-0008-0000-0000-000010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3227026" y="53587935"/>
            <a:ext cx="287599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8</xdr:col>
      <xdr:colOff>847725</xdr:colOff>
      <xdr:row>366</xdr:row>
      <xdr:rowOff>152400</xdr:rowOff>
    </xdr:from>
    <xdr:to>
      <xdr:col>15</xdr:col>
      <xdr:colOff>280228</xdr:colOff>
      <xdr:row>384</xdr:row>
      <xdr:rowOff>161475</xdr:rowOff>
    </xdr:to>
    <xdr:pic>
      <xdr:nvPicPr>
        <xdr:cNvPr id="22" name="Picture 21">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7162800" y="57445275"/>
          <a:ext cx="5423728" cy="3600000"/>
        </a:xfrm>
        <a:prstGeom prst="rect">
          <a:avLst/>
        </a:prstGeom>
        <a:ln>
          <a:solidFill>
            <a:schemeClr val="tx1"/>
          </a:solidFill>
        </a:ln>
      </xdr:spPr>
    </xdr:pic>
    <xdr:clientData/>
  </xdr:twoCellAnchor>
  <xdr:twoCellAnchor>
    <xdr:from>
      <xdr:col>8</xdr:col>
      <xdr:colOff>133350</xdr:colOff>
      <xdr:row>372</xdr:row>
      <xdr:rowOff>161925</xdr:rowOff>
    </xdr:from>
    <xdr:to>
      <xdr:col>15</xdr:col>
      <xdr:colOff>35600</xdr:colOff>
      <xdr:row>406</xdr:row>
      <xdr:rowOff>84120</xdr:rowOff>
    </xdr:to>
    <xdr:grpSp>
      <xdr:nvGrpSpPr>
        <xdr:cNvPr id="18" name="Group 17">
          <a:extLst>
            <a:ext uri="{FF2B5EF4-FFF2-40B4-BE49-F238E27FC236}">
              <a16:creationId xmlns:a16="http://schemas.microsoft.com/office/drawing/2014/main" xmlns="" id="{00000000-0008-0000-0000-000012000000}"/>
            </a:ext>
          </a:extLst>
        </xdr:cNvPr>
        <xdr:cNvGrpSpPr/>
      </xdr:nvGrpSpPr>
      <xdr:grpSpPr>
        <a:xfrm>
          <a:off x="6448425" y="60207525"/>
          <a:ext cx="5893475" cy="6713520"/>
          <a:chOff x="209550" y="51311175"/>
          <a:chExt cx="5893475" cy="6713520"/>
        </a:xfrm>
      </xdr:grpSpPr>
      <xdr:pic>
        <xdr:nvPicPr>
          <xdr:cNvPr id="19" name="Picture 18" descr="insp-199306-1525.jpg (719×960)">
            <a:extLst>
              <a:ext uri="{FF2B5EF4-FFF2-40B4-BE49-F238E27FC236}">
                <a16:creationId xmlns:a16="http://schemas.microsoft.com/office/drawing/2014/main" xmlns="" id="{00000000-0008-0000-0000-000013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3227026" y="55864695"/>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insp-199306-843.jpg (719×540)">
            <a:extLst>
              <a:ext uri="{FF2B5EF4-FFF2-40B4-BE49-F238E27FC236}">
                <a16:creationId xmlns:a16="http://schemas.microsoft.com/office/drawing/2014/main" xmlns="" id="{00000000-0008-0000-0000-000014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225320" y="51311175"/>
            <a:ext cx="287599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insp-199306-844.jpg (719×960)">
            <a:extLst>
              <a:ext uri="{FF2B5EF4-FFF2-40B4-BE49-F238E27FC236}">
                <a16:creationId xmlns:a16="http://schemas.microsoft.com/office/drawing/2014/main" xmlns="" id="{00000000-0008-0000-0000-000015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467799" y="55864695"/>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insp-199306-849.jpg (719×540)">
            <a:extLst>
              <a:ext uri="{FF2B5EF4-FFF2-40B4-BE49-F238E27FC236}">
                <a16:creationId xmlns:a16="http://schemas.microsoft.com/office/drawing/2014/main" xmlns="" id="{00000000-0008-0000-0000-000017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3227026" y="51311175"/>
            <a:ext cx="287599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insp-199306-862.jpg (719×540)">
            <a:extLst>
              <a:ext uri="{FF2B5EF4-FFF2-40B4-BE49-F238E27FC236}">
                <a16:creationId xmlns:a16="http://schemas.microsoft.com/office/drawing/2014/main" xmlns="" id="{00000000-0008-0000-0000-000018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209550" y="53587935"/>
            <a:ext cx="287599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insp-199306-860.jpg (719×540)">
            <a:extLst>
              <a:ext uri="{FF2B5EF4-FFF2-40B4-BE49-F238E27FC236}">
                <a16:creationId xmlns:a16="http://schemas.microsoft.com/office/drawing/2014/main" xmlns="" id="{00000000-0008-0000-0000-000019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3227026" y="53587935"/>
            <a:ext cx="287599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104775</xdr:colOff>
      <xdr:row>411</xdr:row>
      <xdr:rowOff>190500</xdr:rowOff>
    </xdr:from>
    <xdr:to>
      <xdr:col>7</xdr:col>
      <xdr:colOff>672772</xdr:colOff>
      <xdr:row>433</xdr:row>
      <xdr:rowOff>109950</xdr:rowOff>
    </xdr:to>
    <xdr:pic>
      <xdr:nvPicPr>
        <xdr:cNvPr id="41" name="Picture 40">
          <a:extLst>
            <a:ext uri="{FF2B5EF4-FFF2-40B4-BE49-F238E27FC236}">
              <a16:creationId xmlns:a16="http://schemas.microsoft.com/office/drawing/2014/main" xmlns="" id="{00000000-0008-0000-0000-000029000000}"/>
            </a:ext>
          </a:extLst>
        </xdr:cNvPr>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a:xfrm>
          <a:off x="104775" y="66875025"/>
          <a:ext cx="6149647" cy="4320000"/>
        </a:xfrm>
        <a:prstGeom prst="rect">
          <a:avLst/>
        </a:prstGeom>
        <a:ln>
          <a:solidFill>
            <a:schemeClr val="tx1"/>
          </a:solidFill>
        </a:ln>
      </xdr:spPr>
    </xdr:pic>
    <xdr:clientData/>
  </xdr:twoCellAnchor>
  <xdr:twoCellAnchor>
    <xdr:from>
      <xdr:col>8</xdr:col>
      <xdr:colOff>381000</xdr:colOff>
      <xdr:row>335</xdr:row>
      <xdr:rowOff>136525</xdr:rowOff>
    </xdr:from>
    <xdr:to>
      <xdr:col>15</xdr:col>
      <xdr:colOff>161231</xdr:colOff>
      <xdr:row>365</xdr:row>
      <xdr:rowOff>184875</xdr:rowOff>
    </xdr:to>
    <xdr:grpSp>
      <xdr:nvGrpSpPr>
        <xdr:cNvPr id="64" name="Group 63">
          <a:extLst>
            <a:ext uri="{FF2B5EF4-FFF2-40B4-BE49-F238E27FC236}">
              <a16:creationId xmlns:a16="http://schemas.microsoft.com/office/drawing/2014/main" xmlns="" id="{00000000-0008-0000-0000-000040000000}"/>
            </a:ext>
          </a:extLst>
        </xdr:cNvPr>
        <xdr:cNvGrpSpPr/>
      </xdr:nvGrpSpPr>
      <xdr:grpSpPr>
        <a:xfrm>
          <a:off x="6696075" y="52790725"/>
          <a:ext cx="5771456" cy="6039575"/>
          <a:chOff x="254000" y="50647600"/>
          <a:chExt cx="6044506" cy="5947500"/>
        </a:xfrm>
      </xdr:grpSpPr>
      <xdr:pic>
        <xdr:nvPicPr>
          <xdr:cNvPr id="39" name="Picture 38">
            <a:extLst>
              <a:ext uri="{FF2B5EF4-FFF2-40B4-BE49-F238E27FC236}">
                <a16:creationId xmlns:a16="http://schemas.microsoft.com/office/drawing/2014/main" xmlns="" id="{00000000-0008-0000-0000-000027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356881" y="50647600"/>
            <a:ext cx="2876000" cy="2160000"/>
          </a:xfrm>
          <a:prstGeom prst="rect">
            <a:avLst/>
          </a:prstGeom>
          <a:ln>
            <a:solidFill>
              <a:schemeClr val="tx1"/>
            </a:solidFill>
          </a:ln>
        </xdr:spPr>
      </xdr:pic>
      <xdr:pic>
        <xdr:nvPicPr>
          <xdr:cNvPr id="43" name="Picture 42">
            <a:extLst>
              <a:ext uri="{FF2B5EF4-FFF2-40B4-BE49-F238E27FC236}">
                <a16:creationId xmlns:a16="http://schemas.microsoft.com/office/drawing/2014/main" xmlns="" id="{00000000-0008-0000-0000-00002B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319010" y="55155100"/>
            <a:ext cx="1917333" cy="1440000"/>
          </a:xfrm>
          <a:prstGeom prst="rect">
            <a:avLst/>
          </a:prstGeom>
          <a:ln>
            <a:solidFill>
              <a:schemeClr val="tx1"/>
            </a:solidFill>
          </a:ln>
        </xdr:spPr>
      </xdr:pic>
      <xdr:pic>
        <xdr:nvPicPr>
          <xdr:cNvPr id="44" name="Picture 43">
            <a:extLst>
              <a:ext uri="{FF2B5EF4-FFF2-40B4-BE49-F238E27FC236}">
                <a16:creationId xmlns:a16="http://schemas.microsoft.com/office/drawing/2014/main" xmlns="" id="{00000000-0008-0000-0000-00002C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4381173" y="55155100"/>
            <a:ext cx="1917333" cy="1440000"/>
          </a:xfrm>
          <a:prstGeom prst="rect">
            <a:avLst/>
          </a:prstGeom>
          <a:ln>
            <a:solidFill>
              <a:schemeClr val="tx1"/>
            </a:solidFill>
          </a:ln>
        </xdr:spPr>
      </xdr:pic>
      <xdr:pic>
        <xdr:nvPicPr>
          <xdr:cNvPr id="46" name="Picture 45">
            <a:extLst>
              <a:ext uri="{FF2B5EF4-FFF2-40B4-BE49-F238E27FC236}">
                <a16:creationId xmlns:a16="http://schemas.microsoft.com/office/drawing/2014/main" xmlns="" id="{00000000-0008-0000-0000-00002E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254000" y="55155100"/>
            <a:ext cx="1917333" cy="1440000"/>
          </a:xfrm>
          <a:prstGeom prst="rect">
            <a:avLst/>
          </a:prstGeom>
          <a:ln>
            <a:solidFill>
              <a:schemeClr val="tx1"/>
            </a:solidFill>
          </a:ln>
        </xdr:spPr>
      </xdr:pic>
      <xdr:pic>
        <xdr:nvPicPr>
          <xdr:cNvPr id="47" name="Picture 46">
            <a:extLst>
              <a:ext uri="{FF2B5EF4-FFF2-40B4-BE49-F238E27FC236}">
                <a16:creationId xmlns:a16="http://schemas.microsoft.com/office/drawing/2014/main" xmlns="" id="{00000000-0008-0000-0000-00002F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3346306" y="50647600"/>
            <a:ext cx="2876000" cy="2160000"/>
          </a:xfrm>
          <a:prstGeom prst="rect">
            <a:avLst/>
          </a:prstGeom>
          <a:ln>
            <a:solidFill>
              <a:schemeClr val="tx1"/>
            </a:solidFill>
          </a:ln>
        </xdr:spPr>
      </xdr:pic>
      <xdr:pic>
        <xdr:nvPicPr>
          <xdr:cNvPr id="48" name="Picture 47">
            <a:extLst>
              <a:ext uri="{FF2B5EF4-FFF2-40B4-BE49-F238E27FC236}">
                <a16:creationId xmlns:a16="http://schemas.microsoft.com/office/drawing/2014/main" xmlns="" id="{00000000-0008-0000-0000-000030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356881" y="52901350"/>
            <a:ext cx="2876000" cy="2160000"/>
          </a:xfrm>
          <a:prstGeom prst="rect">
            <a:avLst/>
          </a:prstGeom>
          <a:ln>
            <a:solidFill>
              <a:schemeClr val="tx1"/>
            </a:solidFill>
          </a:ln>
        </xdr:spPr>
      </xdr:pic>
      <xdr:pic>
        <xdr:nvPicPr>
          <xdr:cNvPr id="49" name="Picture 48">
            <a:extLst>
              <a:ext uri="{FF2B5EF4-FFF2-40B4-BE49-F238E27FC236}">
                <a16:creationId xmlns:a16="http://schemas.microsoft.com/office/drawing/2014/main" xmlns="" id="{00000000-0008-0000-0000-000031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346306" y="52901350"/>
            <a:ext cx="2876000" cy="2160000"/>
          </a:xfrm>
          <a:prstGeom prst="rect">
            <a:avLst/>
          </a:prstGeom>
          <a:ln>
            <a:solidFill>
              <a:schemeClr val="tx1"/>
            </a:solidFill>
          </a:ln>
        </xdr:spPr>
      </xdr:pic>
    </xdr:grpSp>
    <xdr:clientData/>
  </xdr:twoCellAnchor>
  <xdr:twoCellAnchor>
    <xdr:from>
      <xdr:col>8</xdr:col>
      <xdr:colOff>638175</xdr:colOff>
      <xdr:row>371</xdr:row>
      <xdr:rowOff>136525</xdr:rowOff>
    </xdr:from>
    <xdr:to>
      <xdr:col>15</xdr:col>
      <xdr:colOff>256829</xdr:colOff>
      <xdr:row>405</xdr:row>
      <xdr:rowOff>146800</xdr:rowOff>
    </xdr:to>
    <xdr:grpSp>
      <xdr:nvGrpSpPr>
        <xdr:cNvPr id="7" name="Group 6">
          <a:extLst>
            <a:ext uri="{FF2B5EF4-FFF2-40B4-BE49-F238E27FC236}">
              <a16:creationId xmlns:a16="http://schemas.microsoft.com/office/drawing/2014/main" xmlns="" id="{00000000-0008-0000-0000-000007000000}"/>
            </a:ext>
          </a:extLst>
        </xdr:cNvPr>
        <xdr:cNvGrpSpPr/>
      </xdr:nvGrpSpPr>
      <xdr:grpSpPr>
        <a:xfrm>
          <a:off x="6953250" y="59982100"/>
          <a:ext cx="5609879" cy="6801600"/>
          <a:chOff x="342900" y="58216800"/>
          <a:chExt cx="5882929" cy="6696825"/>
        </a:xfrm>
      </xdr:grpSpPr>
      <xdr:pic>
        <xdr:nvPicPr>
          <xdr:cNvPr id="58" name="Picture 57">
            <a:extLst>
              <a:ext uri="{FF2B5EF4-FFF2-40B4-BE49-F238E27FC236}">
                <a16:creationId xmlns:a16="http://schemas.microsoft.com/office/drawing/2014/main" xmlns="" id="{00000000-0008-0000-0000-00003A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3349829" y="62753625"/>
            <a:ext cx="1617750" cy="2160000"/>
          </a:xfrm>
          <a:prstGeom prst="rect">
            <a:avLst/>
          </a:prstGeom>
          <a:ln>
            <a:solidFill>
              <a:schemeClr val="tx1"/>
            </a:solidFill>
          </a:ln>
        </xdr:spPr>
      </xdr:pic>
      <xdr:pic>
        <xdr:nvPicPr>
          <xdr:cNvPr id="59" name="Picture 58">
            <a:extLst>
              <a:ext uri="{FF2B5EF4-FFF2-40B4-BE49-F238E27FC236}">
                <a16:creationId xmlns:a16="http://schemas.microsoft.com/office/drawing/2014/main" xmlns="" id="{00000000-0008-0000-0000-00003B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1601150" y="62753625"/>
            <a:ext cx="1617750" cy="2160000"/>
          </a:xfrm>
          <a:prstGeom prst="rect">
            <a:avLst/>
          </a:prstGeom>
          <a:ln>
            <a:solidFill>
              <a:schemeClr val="tx1"/>
            </a:solidFill>
          </a:ln>
        </xdr:spPr>
      </xdr:pic>
      <xdr:pic>
        <xdr:nvPicPr>
          <xdr:cNvPr id="60" name="Picture 59">
            <a:extLst>
              <a:ext uri="{FF2B5EF4-FFF2-40B4-BE49-F238E27FC236}">
                <a16:creationId xmlns:a16="http://schemas.microsoft.com/office/drawing/2014/main" xmlns="" id="{00000000-0008-0000-0000-00003C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3349829" y="60487175"/>
            <a:ext cx="2876000" cy="2160000"/>
          </a:xfrm>
          <a:prstGeom prst="rect">
            <a:avLst/>
          </a:prstGeom>
          <a:ln>
            <a:solidFill>
              <a:schemeClr val="tx1"/>
            </a:solidFill>
          </a:ln>
        </xdr:spPr>
      </xdr:pic>
      <xdr:pic>
        <xdr:nvPicPr>
          <xdr:cNvPr id="61" name="Picture 60">
            <a:extLst>
              <a:ext uri="{FF2B5EF4-FFF2-40B4-BE49-F238E27FC236}">
                <a16:creationId xmlns:a16="http://schemas.microsoft.com/office/drawing/2014/main" xmlns="" id="{00000000-0008-0000-0000-00003D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342900" y="58220725"/>
            <a:ext cx="2876000" cy="2160000"/>
          </a:xfrm>
          <a:prstGeom prst="rect">
            <a:avLst/>
          </a:prstGeom>
          <a:ln>
            <a:solidFill>
              <a:schemeClr val="tx1"/>
            </a:solidFill>
          </a:ln>
        </xdr:spPr>
      </xdr:pic>
      <xdr:pic>
        <xdr:nvPicPr>
          <xdr:cNvPr id="62" name="Picture 61">
            <a:extLst>
              <a:ext uri="{FF2B5EF4-FFF2-40B4-BE49-F238E27FC236}">
                <a16:creationId xmlns:a16="http://schemas.microsoft.com/office/drawing/2014/main" xmlns="" id="{00000000-0008-0000-0000-00003E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3349829" y="58216800"/>
            <a:ext cx="2876000" cy="2160000"/>
          </a:xfrm>
          <a:prstGeom prst="rect">
            <a:avLst/>
          </a:prstGeom>
          <a:ln>
            <a:solidFill>
              <a:schemeClr val="tx1"/>
            </a:solidFill>
          </a:ln>
        </xdr:spPr>
      </xdr:pic>
      <xdr:pic>
        <xdr:nvPicPr>
          <xdr:cNvPr id="63" name="Picture 62">
            <a:extLst>
              <a:ext uri="{FF2B5EF4-FFF2-40B4-BE49-F238E27FC236}">
                <a16:creationId xmlns:a16="http://schemas.microsoft.com/office/drawing/2014/main" xmlns="" id="{00000000-0008-0000-0000-00003F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342900" y="60487175"/>
            <a:ext cx="2876000" cy="2160000"/>
          </a:xfrm>
          <a:prstGeom prst="rect">
            <a:avLst/>
          </a:prstGeom>
          <a:ln>
            <a:solidFill>
              <a:schemeClr val="tx1"/>
            </a:solidFill>
          </a:ln>
        </xdr:spPr>
      </xdr:pic>
    </xdr:grpSp>
    <xdr:clientData/>
  </xdr:twoCellAnchor>
  <xdr:twoCellAnchor>
    <xdr:from>
      <xdr:col>0</xdr:col>
      <xdr:colOff>161925</xdr:colOff>
      <xdr:row>334</xdr:row>
      <xdr:rowOff>76200</xdr:rowOff>
    </xdr:from>
    <xdr:to>
      <xdr:col>7</xdr:col>
      <xdr:colOff>600075</xdr:colOff>
      <xdr:row>369</xdr:row>
      <xdr:rowOff>98936</xdr:rowOff>
    </xdr:to>
    <xdr:grpSp>
      <xdr:nvGrpSpPr>
        <xdr:cNvPr id="68" name="Group 67">
          <a:extLst>
            <a:ext uri="{FF2B5EF4-FFF2-40B4-BE49-F238E27FC236}">
              <a16:creationId xmlns:a16="http://schemas.microsoft.com/office/drawing/2014/main" xmlns="" id="{F45017DE-CA71-42D6-B7DE-F9250FFAD64F}"/>
            </a:ext>
          </a:extLst>
        </xdr:cNvPr>
        <xdr:cNvGrpSpPr/>
      </xdr:nvGrpSpPr>
      <xdr:grpSpPr>
        <a:xfrm>
          <a:off x="161925" y="52530375"/>
          <a:ext cx="6019800" cy="7014086"/>
          <a:chOff x="419100" y="1069244"/>
          <a:chExt cx="6019800" cy="7014086"/>
        </a:xfrm>
      </xdr:grpSpPr>
      <xdr:pic>
        <xdr:nvPicPr>
          <xdr:cNvPr id="69" name="Picture 68">
            <a:extLst>
              <a:ext uri="{FF2B5EF4-FFF2-40B4-BE49-F238E27FC236}">
                <a16:creationId xmlns:a16="http://schemas.microsoft.com/office/drawing/2014/main" xmlns="" id="{FEEEC364-2323-48C1-AF9E-7F62562AD7C5}"/>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419100" y="1069244"/>
            <a:ext cx="2940276" cy="2246618"/>
          </a:xfrm>
          <a:prstGeom prst="rect">
            <a:avLst/>
          </a:prstGeom>
          <a:ln>
            <a:solidFill>
              <a:schemeClr val="tx1"/>
            </a:solidFill>
          </a:ln>
        </xdr:spPr>
      </xdr:pic>
      <xdr:pic>
        <xdr:nvPicPr>
          <xdr:cNvPr id="70" name="Picture 69">
            <a:extLst>
              <a:ext uri="{FF2B5EF4-FFF2-40B4-BE49-F238E27FC236}">
                <a16:creationId xmlns:a16="http://schemas.microsoft.com/office/drawing/2014/main" xmlns="" id="{B3F6C2CA-2444-4A08-A35B-A4D6669137F8}"/>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3498624" y="1069244"/>
            <a:ext cx="2940276" cy="2246618"/>
          </a:xfrm>
          <a:prstGeom prst="rect">
            <a:avLst/>
          </a:prstGeom>
          <a:ln>
            <a:solidFill>
              <a:schemeClr val="tx1"/>
            </a:solidFill>
          </a:ln>
        </xdr:spPr>
      </xdr:pic>
      <xdr:pic>
        <xdr:nvPicPr>
          <xdr:cNvPr id="71" name="Picture 70">
            <a:extLst>
              <a:ext uri="{FF2B5EF4-FFF2-40B4-BE49-F238E27FC236}">
                <a16:creationId xmlns:a16="http://schemas.microsoft.com/office/drawing/2014/main" xmlns="" id="{C5CE326A-157D-4812-9934-2B3DFA94BB34}"/>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465904" y="3447465"/>
            <a:ext cx="2893472" cy="2247844"/>
          </a:xfrm>
          <a:prstGeom prst="rect">
            <a:avLst/>
          </a:prstGeom>
          <a:ln>
            <a:solidFill>
              <a:schemeClr val="tx1"/>
            </a:solidFill>
          </a:ln>
        </xdr:spPr>
      </xdr:pic>
      <xdr:pic>
        <xdr:nvPicPr>
          <xdr:cNvPr id="72" name="Picture 71">
            <a:extLst>
              <a:ext uri="{FF2B5EF4-FFF2-40B4-BE49-F238E27FC236}">
                <a16:creationId xmlns:a16="http://schemas.microsoft.com/office/drawing/2014/main" xmlns="" id="{E4F407D5-C0B4-4DEB-A9C3-2CBA5F35EDBC}"/>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3498624" y="3451752"/>
            <a:ext cx="2893472" cy="2247844"/>
          </a:xfrm>
          <a:prstGeom prst="rect">
            <a:avLst/>
          </a:prstGeom>
          <a:ln>
            <a:solidFill>
              <a:schemeClr val="tx1"/>
            </a:solidFill>
          </a:ln>
        </xdr:spPr>
      </xdr:pic>
      <xdr:pic>
        <xdr:nvPicPr>
          <xdr:cNvPr id="73" name="Picture 72">
            <a:extLst>
              <a:ext uri="{FF2B5EF4-FFF2-40B4-BE49-F238E27FC236}">
                <a16:creationId xmlns:a16="http://schemas.microsoft.com/office/drawing/2014/main" xmlns="" id="{E0C292B8-EF9D-4F06-8E06-6E4969461F37}"/>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1985815" y="5835486"/>
            <a:ext cx="2893472" cy="2247844"/>
          </a:xfrm>
          <a:prstGeom prst="rect">
            <a:avLst/>
          </a:prstGeom>
          <a:ln>
            <a:solidFill>
              <a:schemeClr val="tx1"/>
            </a:solidFill>
          </a:ln>
        </xdr:spPr>
      </xdr:pic>
    </xdr:grpSp>
    <xdr:clientData/>
  </xdr:twoCellAnchor>
  <xdr:twoCellAnchor>
    <xdr:from>
      <xdr:col>0</xdr:col>
      <xdr:colOff>161925</xdr:colOff>
      <xdr:row>372</xdr:row>
      <xdr:rowOff>133350</xdr:rowOff>
    </xdr:from>
    <xdr:to>
      <xdr:col>7</xdr:col>
      <xdr:colOff>458826</xdr:colOff>
      <xdr:row>394</xdr:row>
      <xdr:rowOff>7830</xdr:rowOff>
    </xdr:to>
    <xdr:grpSp>
      <xdr:nvGrpSpPr>
        <xdr:cNvPr id="74" name="Group 73">
          <a:extLst>
            <a:ext uri="{FF2B5EF4-FFF2-40B4-BE49-F238E27FC236}">
              <a16:creationId xmlns:a16="http://schemas.microsoft.com/office/drawing/2014/main" xmlns="" id="{1BE8397C-E088-4581-A0C9-822748FAFB6C}"/>
            </a:ext>
          </a:extLst>
        </xdr:cNvPr>
        <xdr:cNvGrpSpPr/>
      </xdr:nvGrpSpPr>
      <xdr:grpSpPr>
        <a:xfrm>
          <a:off x="161925" y="60178950"/>
          <a:ext cx="5878551" cy="4265505"/>
          <a:chOff x="426449" y="984360"/>
          <a:chExt cx="5878551" cy="4265505"/>
        </a:xfrm>
      </xdr:grpSpPr>
      <xdr:pic>
        <xdr:nvPicPr>
          <xdr:cNvPr id="75" name="Picture 74">
            <a:extLst>
              <a:ext uri="{FF2B5EF4-FFF2-40B4-BE49-F238E27FC236}">
                <a16:creationId xmlns:a16="http://schemas.microsoft.com/office/drawing/2014/main" xmlns="" id="{F25FE572-5AD6-4303-888A-7E220E831F2D}"/>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3208956" y="3269865"/>
            <a:ext cx="1458535" cy="1980000"/>
          </a:xfrm>
          <a:prstGeom prst="rect">
            <a:avLst/>
          </a:prstGeom>
          <a:ln>
            <a:solidFill>
              <a:schemeClr val="tx1"/>
            </a:solidFill>
          </a:ln>
        </xdr:spPr>
      </xdr:pic>
      <xdr:pic>
        <xdr:nvPicPr>
          <xdr:cNvPr id="76" name="Picture 75">
            <a:extLst>
              <a:ext uri="{FF2B5EF4-FFF2-40B4-BE49-F238E27FC236}">
                <a16:creationId xmlns:a16="http://schemas.microsoft.com/office/drawing/2014/main" xmlns="" id="{E5744D29-5D6A-4F04-8ACC-38213A82C98B}"/>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4822793" y="3269865"/>
            <a:ext cx="1458535" cy="1980000"/>
          </a:xfrm>
          <a:prstGeom prst="rect">
            <a:avLst/>
          </a:prstGeom>
          <a:ln>
            <a:solidFill>
              <a:schemeClr val="tx1"/>
            </a:solidFill>
          </a:ln>
        </xdr:spPr>
      </xdr:pic>
      <xdr:pic>
        <xdr:nvPicPr>
          <xdr:cNvPr id="77" name="Picture 76">
            <a:extLst>
              <a:ext uri="{FF2B5EF4-FFF2-40B4-BE49-F238E27FC236}">
                <a16:creationId xmlns:a16="http://schemas.microsoft.com/office/drawing/2014/main" xmlns="" id="{34AAF014-60B0-4A80-80F1-6801C1D655BE}"/>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426449" y="984360"/>
            <a:ext cx="2876000" cy="2160000"/>
          </a:xfrm>
          <a:prstGeom prst="rect">
            <a:avLst/>
          </a:prstGeom>
          <a:ln>
            <a:solidFill>
              <a:schemeClr val="tx1"/>
            </a:solidFill>
          </a:ln>
        </xdr:spPr>
      </xdr:pic>
      <xdr:pic>
        <xdr:nvPicPr>
          <xdr:cNvPr id="78" name="Picture 77">
            <a:extLst>
              <a:ext uri="{FF2B5EF4-FFF2-40B4-BE49-F238E27FC236}">
                <a16:creationId xmlns:a16="http://schemas.microsoft.com/office/drawing/2014/main" xmlns="" id="{ED9C83EB-79E4-4208-A88B-241263CF74B0}"/>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3429000" y="984360"/>
            <a:ext cx="2876000" cy="2160000"/>
          </a:xfrm>
          <a:prstGeom prst="rect">
            <a:avLst/>
          </a:prstGeom>
          <a:ln>
            <a:solidFill>
              <a:schemeClr val="tx1"/>
            </a:solidFill>
          </a:ln>
        </xdr:spPr>
      </xdr:pic>
      <xdr:pic>
        <xdr:nvPicPr>
          <xdr:cNvPr id="79" name="Picture 78">
            <a:extLst>
              <a:ext uri="{FF2B5EF4-FFF2-40B4-BE49-F238E27FC236}">
                <a16:creationId xmlns:a16="http://schemas.microsoft.com/office/drawing/2014/main" xmlns="" id="{2F35CB9D-DEA4-4C99-8A75-7DEDDD78C47D}"/>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504956" y="3269865"/>
            <a:ext cx="2548698" cy="198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YoRfmNoyHoHrmWA1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IJ496"/>
  <sheetViews>
    <sheetView tabSelected="1" view="pageBreakPreview" topLeftCell="A142" zoomScaleNormal="100" zoomScaleSheetLayoutView="100" zoomScalePageLayoutView="85" workbookViewId="0">
      <selection activeCell="I3" sqref="I3"/>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92" t="s">
        <v>157</v>
      </c>
      <c r="B1" s="192"/>
      <c r="C1" s="192"/>
      <c r="D1" s="192"/>
      <c r="E1" s="192"/>
      <c r="F1" s="192"/>
      <c r="G1" s="192"/>
      <c r="H1" s="192"/>
    </row>
    <row r="2" spans="1:26" ht="16.5" customHeight="1" x14ac:dyDescent="0.25">
      <c r="A2" s="193" t="s">
        <v>0</v>
      </c>
      <c r="B2" s="193"/>
      <c r="C2" s="193"/>
      <c r="D2" s="193"/>
      <c r="E2" s="193"/>
      <c r="F2" s="193"/>
      <c r="G2" s="193"/>
      <c r="H2" s="193"/>
    </row>
    <row r="3" spans="1:26" x14ac:dyDescent="0.25">
      <c r="A3" s="99" t="s">
        <v>1</v>
      </c>
      <c r="B3" s="99"/>
      <c r="C3" s="99"/>
      <c r="D3" s="99"/>
      <c r="E3" s="99" t="str">
        <f ca="1">TEXT(TODAY(),"DD/MM/YYYY")</f>
        <v>14/08/2025</v>
      </c>
      <c r="F3" s="99"/>
      <c r="G3" s="99"/>
      <c r="H3" s="99"/>
      <c r="K3" s="49" t="s">
        <v>232</v>
      </c>
      <c r="L3" s="47" t="s">
        <v>230</v>
      </c>
      <c r="M3" s="47" t="s">
        <v>235</v>
      </c>
      <c r="N3" s="47" t="s">
        <v>233</v>
      </c>
      <c r="O3" s="47" t="s">
        <v>339</v>
      </c>
      <c r="P3" s="47" t="s">
        <v>236</v>
      </c>
    </row>
    <row r="4" spans="1:26" ht="15" customHeight="1" x14ac:dyDescent="0.25">
      <c r="A4" s="137" t="s">
        <v>229</v>
      </c>
      <c r="B4" s="137"/>
      <c r="C4" s="137"/>
      <c r="D4" s="137"/>
      <c r="E4" s="137" t="s">
        <v>230</v>
      </c>
      <c r="F4" s="137"/>
      <c r="G4" s="137"/>
      <c r="H4" s="137"/>
      <c r="K4" s="46" t="s">
        <v>231</v>
      </c>
      <c r="L4" s="47" t="s">
        <v>166</v>
      </c>
      <c r="M4" s="47" t="s">
        <v>240</v>
      </c>
      <c r="N4" s="47" t="s">
        <v>242</v>
      </c>
      <c r="O4" s="47" t="s">
        <v>340</v>
      </c>
      <c r="P4" s="47"/>
    </row>
    <row r="5" spans="1:26" ht="15" customHeight="1" x14ac:dyDescent="0.25">
      <c r="A5" s="137" t="s">
        <v>2</v>
      </c>
      <c r="B5" s="137"/>
      <c r="C5" s="137"/>
      <c r="D5" s="137"/>
      <c r="E5" s="137" t="s">
        <v>238</v>
      </c>
      <c r="F5" s="137"/>
      <c r="G5" s="137"/>
      <c r="H5" s="137"/>
      <c r="K5" s="46"/>
      <c r="L5" s="47" t="s">
        <v>237</v>
      </c>
      <c r="M5" s="47" t="s">
        <v>241</v>
      </c>
      <c r="N5" s="47" t="s">
        <v>243</v>
      </c>
      <c r="O5" s="47" t="s">
        <v>341</v>
      </c>
      <c r="P5" s="47"/>
    </row>
    <row r="6" spans="1:26" x14ac:dyDescent="0.25">
      <c r="A6" s="99" t="s">
        <v>3</v>
      </c>
      <c r="B6" s="99"/>
      <c r="C6" s="99"/>
      <c r="D6" s="99"/>
      <c r="E6" s="194">
        <v>45878</v>
      </c>
      <c r="F6" s="99"/>
      <c r="G6" s="99"/>
      <c r="H6" s="99"/>
      <c r="K6" s="46"/>
      <c r="L6" s="47" t="s">
        <v>238</v>
      </c>
      <c r="M6" s="47"/>
      <c r="N6" s="47"/>
      <c r="O6" s="47" t="s">
        <v>342</v>
      </c>
      <c r="P6" s="47"/>
    </row>
    <row r="7" spans="1:26" ht="16.5" customHeight="1" x14ac:dyDescent="0.25">
      <c r="A7" s="99" t="s">
        <v>4</v>
      </c>
      <c r="B7" s="99"/>
      <c r="C7" s="99"/>
      <c r="D7" s="99"/>
      <c r="E7" s="99" t="s">
        <v>410</v>
      </c>
      <c r="F7" s="99"/>
      <c r="G7" s="99"/>
      <c r="H7" s="99"/>
      <c r="K7" s="46"/>
      <c r="L7" s="47" t="s">
        <v>239</v>
      </c>
      <c r="M7" s="47"/>
      <c r="N7" s="47"/>
      <c r="O7" s="47" t="s">
        <v>342</v>
      </c>
      <c r="P7" s="47"/>
    </row>
    <row r="8" spans="1:26" ht="15" customHeight="1" x14ac:dyDescent="0.25">
      <c r="A8" s="99" t="s">
        <v>5</v>
      </c>
      <c r="B8" s="99"/>
      <c r="C8" s="99"/>
      <c r="D8" s="99"/>
      <c r="E8" s="99" t="str">
        <f>E7</f>
        <v>New Path Developers LLP</v>
      </c>
      <c r="F8" s="99"/>
      <c r="G8" s="99"/>
      <c r="H8" s="99"/>
      <c r="K8" s="46"/>
      <c r="L8" s="47"/>
      <c r="M8" s="47"/>
      <c r="N8" s="47"/>
      <c r="O8" s="47" t="s">
        <v>343</v>
      </c>
      <c r="P8" s="47"/>
    </row>
    <row r="9" spans="1:26" x14ac:dyDescent="0.25">
      <c r="A9" s="99" t="s">
        <v>6</v>
      </c>
      <c r="B9" s="99"/>
      <c r="C9" s="99"/>
      <c r="D9" s="99"/>
      <c r="E9" s="116" t="s">
        <v>348</v>
      </c>
      <c r="F9" s="116"/>
      <c r="G9" s="116"/>
      <c r="H9" s="116"/>
      <c r="K9" s="46"/>
      <c r="L9" s="47"/>
      <c r="M9" s="47"/>
      <c r="N9" s="47"/>
      <c r="O9" s="47" t="s">
        <v>344</v>
      </c>
      <c r="P9" s="47"/>
    </row>
    <row r="10" spans="1:26" x14ac:dyDescent="0.25">
      <c r="A10" s="99" t="s">
        <v>160</v>
      </c>
      <c r="B10" s="99"/>
      <c r="C10" s="99"/>
      <c r="D10" s="99"/>
      <c r="E10" s="99" t="s">
        <v>349</v>
      </c>
      <c r="F10" s="99"/>
      <c r="G10" s="99"/>
      <c r="H10" s="99"/>
      <c r="K10" s="46"/>
      <c r="L10" s="47"/>
      <c r="M10" s="47"/>
      <c r="N10" s="47"/>
      <c r="O10" s="47" t="s">
        <v>345</v>
      </c>
      <c r="P10" s="47"/>
    </row>
    <row r="11" spans="1:26" x14ac:dyDescent="0.25">
      <c r="A11" s="99" t="s">
        <v>161</v>
      </c>
      <c r="B11" s="99"/>
      <c r="C11" s="99"/>
      <c r="D11" s="99"/>
      <c r="E11" s="99" t="s">
        <v>407</v>
      </c>
      <c r="F11" s="99"/>
      <c r="G11" s="99"/>
      <c r="H11" s="99"/>
      <c r="I11" s="99">
        <v>7741969794</v>
      </c>
      <c r="J11" s="99"/>
      <c r="K11" s="99"/>
      <c r="L11" s="99"/>
      <c r="O11" s="47" t="s">
        <v>346</v>
      </c>
    </row>
    <row r="12" spans="1:26" x14ac:dyDescent="0.25">
      <c r="A12" s="99" t="s">
        <v>7</v>
      </c>
      <c r="B12" s="99"/>
      <c r="C12" s="99"/>
      <c r="D12" s="99"/>
      <c r="E12" s="99" t="s">
        <v>364</v>
      </c>
      <c r="F12" s="99"/>
      <c r="G12" s="99"/>
      <c r="H12" s="99"/>
    </row>
    <row r="13" spans="1:26" x14ac:dyDescent="0.25">
      <c r="A13" s="99" t="s">
        <v>167</v>
      </c>
      <c r="B13" s="99"/>
      <c r="C13" s="99"/>
      <c r="D13" s="99"/>
      <c r="E13" s="99" t="s">
        <v>28</v>
      </c>
      <c r="F13" s="99"/>
      <c r="G13" s="99"/>
      <c r="H13" s="99"/>
      <c r="S13" s="47" t="s">
        <v>175</v>
      </c>
      <c r="T13" s="47" t="s">
        <v>184</v>
      </c>
      <c r="U13" s="47" t="s">
        <v>168</v>
      </c>
      <c r="V13" s="47" t="s">
        <v>189</v>
      </c>
      <c r="W13" s="47" t="s">
        <v>207</v>
      </c>
      <c r="X13"/>
      <c r="Y13" t="s">
        <v>189</v>
      </c>
      <c r="Z13" t="e">
        <f ca="1">OFFSET($S$13,1,MATCH($G20,$S$13:$W$13,0)-1,15,1)</f>
        <v>#VALUE!</v>
      </c>
    </row>
    <row r="14" spans="1:26" x14ac:dyDescent="0.25">
      <c r="A14" s="124" t="s">
        <v>275</v>
      </c>
      <c r="B14" s="124"/>
      <c r="C14" s="124"/>
      <c r="D14" s="124"/>
      <c r="E14" s="184" t="s">
        <v>390</v>
      </c>
      <c r="F14" s="184"/>
      <c r="G14" s="184"/>
      <c r="H14" s="184"/>
      <c r="S14" s="47" t="s">
        <v>175</v>
      </c>
      <c r="T14" s="47" t="s">
        <v>182</v>
      </c>
      <c r="U14" s="47" t="s">
        <v>204</v>
      </c>
      <c r="V14" s="47" t="s">
        <v>190</v>
      </c>
      <c r="W14" s="47" t="s">
        <v>208</v>
      </c>
      <c r="X14"/>
      <c r="Y14"/>
      <c r="Z14"/>
    </row>
    <row r="15" spans="1:26" x14ac:dyDescent="0.25">
      <c r="A15" s="137" t="s">
        <v>8</v>
      </c>
      <c r="B15" s="137"/>
      <c r="C15" s="137"/>
      <c r="D15" s="137"/>
      <c r="E15" s="184" t="s">
        <v>365</v>
      </c>
      <c r="F15" s="137"/>
      <c r="G15" s="137"/>
      <c r="H15" s="137"/>
      <c r="I15" s="211" t="e">
        <f ca="1">OFFSET($D$5,1,MATCH($J13,$D$5:$H$5,0)-1,15,1)</f>
        <v>#N/A</v>
      </c>
      <c r="J15" s="212"/>
      <c r="K15" s="212"/>
      <c r="L15" s="212"/>
      <c r="M15" s="212"/>
      <c r="N15" s="212"/>
      <c r="O15" s="212"/>
      <c r="P15" s="212"/>
      <c r="S15" s="47" t="s">
        <v>176</v>
      </c>
      <c r="T15" s="47" t="s">
        <v>183</v>
      </c>
      <c r="U15" s="47" t="s">
        <v>205</v>
      </c>
      <c r="V15" s="47" t="s">
        <v>191</v>
      </c>
      <c r="W15" s="47" t="s">
        <v>221</v>
      </c>
      <c r="X15"/>
      <c r="Y15"/>
      <c r="Z15"/>
    </row>
    <row r="16" spans="1:26" ht="36.75" customHeight="1" x14ac:dyDescent="0.25">
      <c r="A16" s="183" t="s">
        <v>9</v>
      </c>
      <c r="B16" s="183"/>
      <c r="C16" s="183" t="str">
        <f>CONCATENATE((IF(OR(E9="",E9="NA"),"",E9)),", ",(IF(OR(A17="",A17="NA"),"",A17)),".",(IF(OR(C17="",C17="NA"),"",C17)),", near ",(IF(OR(C22="",C22="NA"),"",C22)),", ",(IF(OR(C19="",C19="NA"),"",C19)),", ",(IF(OR(C18="",C18="NA"),"",C18)),", ",(IF(OR(G19="",G19="NA"),"",G19)),", ",(IF(OR(C20="",C20="NA"),"",C20)),", ",(IF(OR(C21="",C21="NA"),"",C21)),", ",(IF(OR(G20="",G20="NA"),"",G20))," - ",(IF(OR(G21="",G21="NA"),"",G21)),".")</f>
        <v>Sankalp Meadows, Survey No.150/3, 147, 145, near The Riyasat Sankalp, Old Mumbai Pune Highway, Lodhivali, Nadhal, Panvel, Khalapur, Raigad - 410222.</v>
      </c>
      <c r="D16" s="183"/>
      <c r="E16" s="183"/>
      <c r="F16" s="183"/>
      <c r="G16" s="183"/>
      <c r="H16" s="183"/>
      <c r="S16" s="47" t="s">
        <v>177</v>
      </c>
      <c r="T16" s="47" t="s">
        <v>185</v>
      </c>
      <c r="U16" s="47" t="s">
        <v>206</v>
      </c>
      <c r="V16" s="47" t="s">
        <v>192</v>
      </c>
      <c r="W16" s="47" t="s">
        <v>209</v>
      </c>
      <c r="X16"/>
      <c r="Y16"/>
      <c r="Z16"/>
    </row>
    <row r="17" spans="1:26" x14ac:dyDescent="0.25">
      <c r="A17" s="184" t="s">
        <v>394</v>
      </c>
      <c r="B17" s="184"/>
      <c r="C17" s="184" t="s">
        <v>355</v>
      </c>
      <c r="D17" s="184"/>
      <c r="E17" s="184"/>
      <c r="F17" s="184"/>
      <c r="G17" s="184"/>
      <c r="H17" s="184"/>
      <c r="S17" s="47" t="s">
        <v>178</v>
      </c>
      <c r="T17" s="47" t="s">
        <v>186</v>
      </c>
      <c r="U17" s="47" t="s">
        <v>168</v>
      </c>
      <c r="V17" s="47" t="s">
        <v>193</v>
      </c>
      <c r="W17" s="47" t="s">
        <v>210</v>
      </c>
      <c r="X17"/>
      <c r="Y17"/>
      <c r="Z17"/>
    </row>
    <row r="18" spans="1:26" ht="15.75" customHeight="1" x14ac:dyDescent="0.25">
      <c r="A18" s="184" t="s">
        <v>154</v>
      </c>
      <c r="B18" s="184"/>
      <c r="C18" s="184" t="s">
        <v>351</v>
      </c>
      <c r="D18" s="184"/>
      <c r="E18" s="184"/>
      <c r="F18" s="184"/>
      <c r="G18" s="184"/>
      <c r="H18" s="184"/>
      <c r="S18" s="47" t="s">
        <v>179</v>
      </c>
      <c r="T18" s="47" t="s">
        <v>184</v>
      </c>
      <c r="U18" s="47"/>
      <c r="V18" s="47" t="s">
        <v>194</v>
      </c>
      <c r="W18" s="47" t="s">
        <v>211</v>
      </c>
      <c r="X18"/>
      <c r="Y18"/>
      <c r="Z18"/>
    </row>
    <row r="19" spans="1:26" ht="15.75" customHeight="1" x14ac:dyDescent="0.25">
      <c r="A19" s="183" t="s">
        <v>10</v>
      </c>
      <c r="B19" s="183"/>
      <c r="C19" s="137" t="s">
        <v>352</v>
      </c>
      <c r="D19" s="137"/>
      <c r="E19" s="184" t="s">
        <v>68</v>
      </c>
      <c r="F19" s="184"/>
      <c r="G19" s="184" t="s">
        <v>350</v>
      </c>
      <c r="H19" s="184"/>
      <c r="S19" s="47" t="s">
        <v>180</v>
      </c>
      <c r="T19" s="47" t="s">
        <v>187</v>
      </c>
      <c r="U19" s="47"/>
      <c r="V19" s="47" t="s">
        <v>195</v>
      </c>
      <c r="W19" s="47" t="s">
        <v>212</v>
      </c>
      <c r="X19"/>
      <c r="Y19"/>
      <c r="Z19"/>
    </row>
    <row r="20" spans="1:26" x14ac:dyDescent="0.25">
      <c r="A20" s="124" t="s">
        <v>12</v>
      </c>
      <c r="B20" s="124"/>
      <c r="C20" s="184" t="s">
        <v>191</v>
      </c>
      <c r="D20" s="184"/>
      <c r="E20" s="184" t="s">
        <v>11</v>
      </c>
      <c r="F20" s="184"/>
      <c r="G20" s="191" t="s">
        <v>189</v>
      </c>
      <c r="H20" s="191"/>
      <c r="S20" s="47" t="s">
        <v>181</v>
      </c>
      <c r="T20" s="47" t="s">
        <v>188</v>
      </c>
      <c r="U20" s="47"/>
      <c r="V20" s="47" t="s">
        <v>196</v>
      </c>
      <c r="W20" s="47" t="s">
        <v>213</v>
      </c>
      <c r="X20"/>
      <c r="Y20"/>
      <c r="Z20"/>
    </row>
    <row r="21" spans="1:26" x14ac:dyDescent="0.25">
      <c r="A21" s="124" t="s">
        <v>69</v>
      </c>
      <c r="B21" s="124"/>
      <c r="C21" s="184" t="s">
        <v>194</v>
      </c>
      <c r="D21" s="184"/>
      <c r="E21" s="184" t="s">
        <v>13</v>
      </c>
      <c r="F21" s="184"/>
      <c r="G21" s="184">
        <v>410222</v>
      </c>
      <c r="H21" s="184"/>
      <c r="S21" s="47"/>
      <c r="T21" s="47"/>
      <c r="U21" s="47"/>
      <c r="V21" s="47" t="s">
        <v>197</v>
      </c>
      <c r="W21" s="47" t="s">
        <v>214</v>
      </c>
      <c r="X21"/>
      <c r="Y21"/>
      <c r="Z21"/>
    </row>
    <row r="22" spans="1:26" ht="32.25" customHeight="1" x14ac:dyDescent="0.25">
      <c r="A22" s="124" t="s">
        <v>115</v>
      </c>
      <c r="B22" s="124"/>
      <c r="C22" s="127" t="s">
        <v>353</v>
      </c>
      <c r="D22" s="127"/>
      <c r="E22" s="183" t="s">
        <v>14</v>
      </c>
      <c r="F22" s="183"/>
      <c r="G22" s="184" t="s">
        <v>354</v>
      </c>
      <c r="H22" s="184"/>
      <c r="S22" s="47"/>
      <c r="T22" s="47"/>
      <c r="U22" s="47"/>
      <c r="V22" s="47" t="s">
        <v>198</v>
      </c>
      <c r="W22" s="47" t="s">
        <v>215</v>
      </c>
      <c r="X22"/>
      <c r="Y22"/>
      <c r="Z22"/>
    </row>
    <row r="23" spans="1:26" ht="15" customHeight="1" x14ac:dyDescent="0.25">
      <c r="A23" s="183" t="s">
        <v>71</v>
      </c>
      <c r="B23" s="183"/>
      <c r="C23" s="183"/>
      <c r="D23" s="183"/>
      <c r="E23" s="99" t="s">
        <v>15</v>
      </c>
      <c r="F23" s="99"/>
      <c r="G23" s="99"/>
      <c r="H23" s="99"/>
      <c r="S23" s="47"/>
      <c r="T23" s="47"/>
      <c r="U23" s="47"/>
      <c r="V23" s="47" t="s">
        <v>199</v>
      </c>
      <c r="W23" s="47" t="s">
        <v>216</v>
      </c>
      <c r="X23"/>
      <c r="Y23"/>
      <c r="Z23"/>
    </row>
    <row r="24" spans="1:26" ht="18.75" customHeight="1" x14ac:dyDescent="0.25">
      <c r="A24" s="183"/>
      <c r="B24" s="183"/>
      <c r="C24" s="183"/>
      <c r="D24" s="183"/>
      <c r="E24" s="99"/>
      <c r="F24" s="99"/>
      <c r="G24" s="99"/>
      <c r="H24" s="99"/>
      <c r="S24" s="47"/>
      <c r="T24" s="47"/>
      <c r="U24" s="47"/>
      <c r="V24" s="47" t="s">
        <v>200</v>
      </c>
      <c r="W24" s="47" t="s">
        <v>217</v>
      </c>
      <c r="X24"/>
      <c r="Y24"/>
      <c r="Z24"/>
    </row>
    <row r="25" spans="1:26" ht="15" customHeight="1" x14ac:dyDescent="0.25">
      <c r="A25" s="183" t="s">
        <v>16</v>
      </c>
      <c r="B25" s="183"/>
      <c r="C25" s="183"/>
      <c r="D25" s="183"/>
      <c r="E25" s="127" t="s">
        <v>17</v>
      </c>
      <c r="F25" s="127"/>
      <c r="G25" s="127"/>
      <c r="H25" s="127"/>
      <c r="S25" s="47"/>
      <c r="T25" s="47"/>
      <c r="U25" s="47"/>
      <c r="V25" s="47" t="s">
        <v>201</v>
      </c>
      <c r="W25" s="47" t="s">
        <v>218</v>
      </c>
      <c r="X25"/>
      <c r="Y25"/>
      <c r="Z25"/>
    </row>
    <row r="26" spans="1:26" ht="15" customHeight="1" x14ac:dyDescent="0.25">
      <c r="A26" s="124" t="s">
        <v>18</v>
      </c>
      <c r="B26" s="124"/>
      <c r="C26" s="124"/>
      <c r="D26" s="124"/>
      <c r="E26" s="127" t="str">
        <f>IF(AND(G20="Mumbai"),"Upper Class","Middle Class")</f>
        <v>Middle Class</v>
      </c>
      <c r="F26" s="127"/>
      <c r="G26" s="127"/>
      <c r="H26" s="127"/>
      <c r="S26" s="47"/>
      <c r="T26" s="47"/>
      <c r="U26" s="47"/>
      <c r="V26" s="47" t="s">
        <v>202</v>
      </c>
      <c r="W26" s="47" t="s">
        <v>219</v>
      </c>
      <c r="X26"/>
      <c r="Y26"/>
      <c r="Z26"/>
    </row>
    <row r="27" spans="1:26" x14ac:dyDescent="0.25">
      <c r="A27" s="124" t="s">
        <v>19</v>
      </c>
      <c r="B27" s="124"/>
      <c r="C27" s="124"/>
      <c r="D27" s="124"/>
      <c r="E27" s="127" t="s">
        <v>20</v>
      </c>
      <c r="F27" s="127"/>
      <c r="G27" s="127"/>
      <c r="H27" s="127"/>
      <c r="S27" s="47"/>
      <c r="T27" s="47"/>
      <c r="U27" s="47"/>
      <c r="V27" s="47" t="s">
        <v>203</v>
      </c>
      <c r="W27" s="47" t="s">
        <v>220</v>
      </c>
      <c r="X27"/>
      <c r="Y27"/>
      <c r="Z27"/>
    </row>
    <row r="28" spans="1:26" ht="15.75" customHeight="1" x14ac:dyDescent="0.25">
      <c r="A28" s="124" t="s">
        <v>21</v>
      </c>
      <c r="B28" s="124"/>
      <c r="C28" s="124"/>
      <c r="D28" s="124"/>
      <c r="E28" s="127" t="str">
        <f>IF(AND(G20="Mumbai"),"Developed","Developing")</f>
        <v>Developing</v>
      </c>
      <c r="F28" s="127"/>
      <c r="G28" s="127"/>
      <c r="H28" s="127"/>
    </row>
    <row r="29" spans="1:26" x14ac:dyDescent="0.25">
      <c r="A29" s="124" t="s">
        <v>22</v>
      </c>
      <c r="B29" s="124"/>
      <c r="C29" s="124"/>
      <c r="D29" s="124"/>
      <c r="E29" s="127" t="s">
        <v>23</v>
      </c>
      <c r="F29" s="127"/>
      <c r="G29" s="127"/>
      <c r="H29" s="127"/>
    </row>
    <row r="30" spans="1:26" ht="15.75" customHeight="1" x14ac:dyDescent="0.25">
      <c r="A30" s="124" t="s">
        <v>76</v>
      </c>
      <c r="B30" s="124"/>
      <c r="C30" s="124"/>
      <c r="D30" s="124"/>
      <c r="E30" s="127" t="s">
        <v>77</v>
      </c>
      <c r="F30" s="127"/>
      <c r="G30" s="127"/>
      <c r="H30" s="127"/>
    </row>
    <row r="31" spans="1:26" ht="15" customHeight="1" x14ac:dyDescent="0.25">
      <c r="A31" s="124" t="s">
        <v>30</v>
      </c>
      <c r="B31" s="124"/>
      <c r="C31" s="124"/>
      <c r="D31" s="124"/>
      <c r="E31" s="127" t="s">
        <v>409</v>
      </c>
      <c r="F31" s="127"/>
      <c r="G31" s="127"/>
      <c r="H31" s="127"/>
      <c r="I31" s="18" t="b">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0</v>
      </c>
    </row>
    <row r="32" spans="1:26" ht="15.75" customHeight="1" x14ac:dyDescent="0.25">
      <c r="A32" s="124" t="s">
        <v>86</v>
      </c>
      <c r="B32" s="124"/>
      <c r="C32" s="124"/>
      <c r="D32" s="124"/>
      <c r="E32" s="127" t="s">
        <v>31</v>
      </c>
      <c r="F32" s="127"/>
      <c r="G32" s="127"/>
      <c r="H32" s="127"/>
    </row>
    <row r="33" spans="1:19" s="19" customFormat="1" x14ac:dyDescent="0.25">
      <c r="A33" s="190" t="s">
        <v>87</v>
      </c>
      <c r="B33" s="190"/>
      <c r="C33" s="189" t="s">
        <v>169</v>
      </c>
      <c r="D33" s="189"/>
      <c r="E33" s="189"/>
      <c r="F33" s="189" t="s">
        <v>29</v>
      </c>
      <c r="G33" s="189"/>
      <c r="H33" s="189"/>
      <c r="S33" s="19" t="e">
        <f ca="1">OFFSET($S$13,1,MATCH($G20,$S$13:$W$13,0)-1,15,1)</f>
        <v>#VALUE!</v>
      </c>
    </row>
    <row r="34" spans="1:19" s="19" customFormat="1" x14ac:dyDescent="0.25">
      <c r="A34" s="153" t="s">
        <v>24</v>
      </c>
      <c r="B34" s="153" t="s">
        <v>28</v>
      </c>
      <c r="C34" s="154" t="s">
        <v>358</v>
      </c>
      <c r="D34" s="154"/>
      <c r="E34" s="154"/>
      <c r="F34" s="154" t="s">
        <v>356</v>
      </c>
      <c r="G34" s="154"/>
      <c r="H34" s="154"/>
    </row>
    <row r="35" spans="1:19" x14ac:dyDescent="0.25">
      <c r="A35" s="153" t="s">
        <v>25</v>
      </c>
      <c r="B35" s="153" t="s">
        <v>28</v>
      </c>
      <c r="C35" s="154" t="s">
        <v>359</v>
      </c>
      <c r="D35" s="154"/>
      <c r="E35" s="154"/>
      <c r="F35" s="154" t="s">
        <v>356</v>
      </c>
      <c r="G35" s="154"/>
      <c r="H35" s="154"/>
    </row>
    <row r="36" spans="1:19" s="19" customFormat="1" x14ac:dyDescent="0.25">
      <c r="A36" s="153" t="s">
        <v>27</v>
      </c>
      <c r="B36" s="153" t="s">
        <v>28</v>
      </c>
      <c r="C36" s="154" t="s">
        <v>357</v>
      </c>
      <c r="D36" s="154"/>
      <c r="E36" s="154"/>
      <c r="F36" s="154" t="s">
        <v>353</v>
      </c>
      <c r="G36" s="154"/>
      <c r="H36" s="154"/>
    </row>
    <row r="37" spans="1:19" x14ac:dyDescent="0.25">
      <c r="A37" s="153" t="s">
        <v>26</v>
      </c>
      <c r="B37" s="153" t="s">
        <v>28</v>
      </c>
      <c r="C37" s="154" t="s">
        <v>360</v>
      </c>
      <c r="D37" s="154"/>
      <c r="E37" s="154"/>
      <c r="F37" s="154" t="s">
        <v>356</v>
      </c>
      <c r="G37" s="154"/>
      <c r="H37" s="154"/>
    </row>
    <row r="38" spans="1:19" x14ac:dyDescent="0.25">
      <c r="A38" s="124" t="s">
        <v>276</v>
      </c>
      <c r="B38" s="124"/>
      <c r="C38" s="124"/>
      <c r="D38" s="124"/>
      <c r="E38" s="124"/>
      <c r="F38" s="124"/>
      <c r="G38" s="124"/>
      <c r="H38" s="124"/>
    </row>
    <row r="39" spans="1:19" ht="15.75" customHeight="1" x14ac:dyDescent="0.25">
      <c r="A39" s="124" t="s">
        <v>158</v>
      </c>
      <c r="B39" s="124"/>
      <c r="C39" s="156" t="s">
        <v>362</v>
      </c>
      <c r="D39" s="156"/>
      <c r="E39" s="156"/>
      <c r="F39" s="156"/>
      <c r="G39" s="156"/>
      <c r="H39" s="156"/>
    </row>
    <row r="40" spans="1:19" x14ac:dyDescent="0.25">
      <c r="A40" s="124" t="s">
        <v>153</v>
      </c>
      <c r="B40" s="124"/>
      <c r="C40" s="126" t="s">
        <v>361</v>
      </c>
      <c r="D40" s="127"/>
      <c r="E40" s="127"/>
      <c r="F40" s="127"/>
      <c r="G40" s="127"/>
      <c r="H40" s="127"/>
    </row>
    <row r="41" spans="1:19" x14ac:dyDescent="0.25">
      <c r="A41" s="156" t="s">
        <v>32</v>
      </c>
      <c r="B41" s="156"/>
      <c r="C41" s="156"/>
      <c r="D41" s="156"/>
      <c r="E41" s="156"/>
      <c r="F41" s="156"/>
      <c r="G41" s="156"/>
      <c r="H41" s="156"/>
    </row>
    <row r="42" spans="1:19" x14ac:dyDescent="0.25">
      <c r="A42" s="124" t="s">
        <v>33</v>
      </c>
      <c r="B42" s="124"/>
      <c r="C42" s="124"/>
      <c r="D42" s="124"/>
      <c r="E42" s="155">
        <v>40352.35</v>
      </c>
      <c r="F42" s="155"/>
      <c r="G42" s="155"/>
      <c r="H42" s="155"/>
    </row>
    <row r="43" spans="1:19" x14ac:dyDescent="0.25">
      <c r="A43" s="124" t="s">
        <v>363</v>
      </c>
      <c r="B43" s="124"/>
      <c r="C43" s="124"/>
      <c r="D43" s="124"/>
      <c r="E43" s="219">
        <v>1.4990000000000001</v>
      </c>
      <c r="F43" s="219"/>
      <c r="G43" s="219"/>
      <c r="H43" s="219"/>
    </row>
    <row r="44" spans="1:19" hidden="1" x14ac:dyDescent="0.25">
      <c r="A44" s="124" t="s">
        <v>34</v>
      </c>
      <c r="B44" s="124"/>
      <c r="C44" s="124"/>
      <c r="D44" s="124"/>
      <c r="E44" s="135">
        <f>E46/E42-E43</f>
        <v>-0.83189362329579319</v>
      </c>
      <c r="F44" s="135"/>
      <c r="G44" s="135"/>
      <c r="H44" s="135"/>
    </row>
    <row r="45" spans="1:19" hidden="1" x14ac:dyDescent="0.25">
      <c r="A45" s="124" t="s">
        <v>35</v>
      </c>
      <c r="B45" s="124"/>
      <c r="C45" s="124"/>
      <c r="D45" s="124"/>
      <c r="E45" s="135">
        <f>E43+E44</f>
        <v>0.66710637670420692</v>
      </c>
      <c r="F45" s="135"/>
      <c r="G45" s="135"/>
      <c r="H45" s="135"/>
    </row>
    <row r="46" spans="1:19" x14ac:dyDescent="0.25">
      <c r="A46" s="124" t="s">
        <v>392</v>
      </c>
      <c r="B46" s="124"/>
      <c r="C46" s="124"/>
      <c r="D46" s="124"/>
      <c r="E46" s="136">
        <v>26919.31</v>
      </c>
      <c r="F46" s="136"/>
      <c r="G46" s="136"/>
      <c r="H46" s="136"/>
    </row>
    <row r="47" spans="1:19" x14ac:dyDescent="0.25">
      <c r="A47" s="137" t="s">
        <v>36</v>
      </c>
      <c r="B47" s="137"/>
      <c r="C47" s="137"/>
      <c r="D47" s="137"/>
      <c r="E47" s="137" t="s">
        <v>364</v>
      </c>
      <c r="F47" s="137"/>
      <c r="G47" s="137"/>
      <c r="H47" s="137"/>
    </row>
    <row r="48" spans="1:19" x14ac:dyDescent="0.25">
      <c r="A48" s="141" t="s">
        <v>37</v>
      </c>
      <c r="B48" s="141"/>
      <c r="C48" s="141"/>
      <c r="D48" s="141"/>
      <c r="E48" s="141"/>
      <c r="F48" s="141"/>
      <c r="G48" s="141"/>
      <c r="H48" s="141"/>
    </row>
    <row r="49" spans="1:24" ht="33.75" customHeight="1" x14ac:dyDescent="0.25">
      <c r="A49" s="147" t="s">
        <v>145</v>
      </c>
      <c r="B49" s="148"/>
      <c r="C49" s="169" t="s">
        <v>254</v>
      </c>
      <c r="D49" s="170"/>
      <c r="E49" s="170"/>
      <c r="F49" s="170"/>
      <c r="G49" s="170"/>
      <c r="H49" s="171"/>
      <c r="R49" t="s">
        <v>249</v>
      </c>
      <c r="S49" s="50" t="s">
        <v>168</v>
      </c>
      <c r="T49" s="50" t="s">
        <v>175</v>
      </c>
      <c r="U49" s="50" t="s">
        <v>189</v>
      </c>
      <c r="V49" s="50" t="s">
        <v>184</v>
      </c>
    </row>
    <row r="50" spans="1:24" ht="32.25" customHeight="1" x14ac:dyDescent="0.25">
      <c r="A50" s="147" t="s">
        <v>38</v>
      </c>
      <c r="B50" s="148"/>
      <c r="C50" s="147" t="s">
        <v>366</v>
      </c>
      <c r="D50" s="158"/>
      <c r="E50" s="148"/>
      <c r="F50" s="79" t="s">
        <v>39</v>
      </c>
      <c r="G50" s="159">
        <v>45491</v>
      </c>
      <c r="H50" s="148"/>
      <c r="R50"/>
      <c r="S50" s="50" t="s">
        <v>250</v>
      </c>
      <c r="T50" s="50" t="s">
        <v>255</v>
      </c>
      <c r="U50" s="50" t="s">
        <v>266</v>
      </c>
      <c r="V50" s="50" t="s">
        <v>271</v>
      </c>
    </row>
    <row r="51" spans="1:24" ht="32.25" hidden="1" customHeight="1" x14ac:dyDescent="0.25">
      <c r="A51" s="147" t="s">
        <v>40</v>
      </c>
      <c r="B51" s="148"/>
      <c r="C51" s="147" t="str">
        <f>C50</f>
        <v xml:space="preserve">MSRDC/SPA/BP-583/Layout
Approval/2024/1288
</v>
      </c>
      <c r="D51" s="158"/>
      <c r="E51" s="148"/>
      <c r="F51" s="79" t="s">
        <v>39</v>
      </c>
      <c r="G51" s="159">
        <f>G50</f>
        <v>45491</v>
      </c>
      <c r="H51" s="164"/>
      <c r="R51"/>
      <c r="S51" s="50" t="s">
        <v>251</v>
      </c>
      <c r="T51" s="50" t="s">
        <v>256</v>
      </c>
      <c r="U51" s="50" t="s">
        <v>264</v>
      </c>
      <c r="V51" s="50" t="s">
        <v>272</v>
      </c>
    </row>
    <row r="52" spans="1:24" s="20" customFormat="1" ht="32.25" customHeight="1" x14ac:dyDescent="0.25">
      <c r="A52" s="165" t="s">
        <v>367</v>
      </c>
      <c r="B52" s="166"/>
      <c r="C52" s="147" t="s">
        <v>368</v>
      </c>
      <c r="D52" s="158"/>
      <c r="E52" s="148"/>
      <c r="F52" s="79" t="s">
        <v>39</v>
      </c>
      <c r="G52" s="159">
        <v>45449</v>
      </c>
      <c r="H52" s="164"/>
      <c r="R52"/>
      <c r="S52" s="50" t="s">
        <v>252</v>
      </c>
      <c r="T52" s="50" t="s">
        <v>257</v>
      </c>
      <c r="U52" s="50" t="s">
        <v>254</v>
      </c>
      <c r="V52" s="50" t="s">
        <v>273</v>
      </c>
    </row>
    <row r="53" spans="1:24" s="20" customFormat="1" x14ac:dyDescent="0.25">
      <c r="A53" s="167"/>
      <c r="B53" s="168"/>
      <c r="C53" s="147" t="s">
        <v>369</v>
      </c>
      <c r="D53" s="158"/>
      <c r="E53" s="158"/>
      <c r="F53" s="158"/>
      <c r="G53" s="158"/>
      <c r="H53" s="148"/>
      <c r="R53"/>
      <c r="S53" s="50" t="s">
        <v>253</v>
      </c>
      <c r="T53" s="50" t="s">
        <v>260</v>
      </c>
      <c r="U53" s="50" t="s">
        <v>267</v>
      </c>
      <c r="V53" s="70"/>
    </row>
    <row r="54" spans="1:24" s="20" customFormat="1" hidden="1" x14ac:dyDescent="0.25">
      <c r="A54" s="160" t="s">
        <v>277</v>
      </c>
      <c r="B54" s="161"/>
      <c r="C54" s="138" t="str">
        <f>C53</f>
        <v>Survey No. 145, 147, 150/3</v>
      </c>
      <c r="D54" s="139"/>
      <c r="E54" s="140"/>
      <c r="F54" s="16" t="s">
        <v>39</v>
      </c>
      <c r="G54" s="138"/>
      <c r="H54" s="140"/>
      <c r="R54"/>
      <c r="S54" s="50" t="s">
        <v>252</v>
      </c>
      <c r="T54" s="50" t="s">
        <v>257</v>
      </c>
      <c r="U54" s="50" t="s">
        <v>254</v>
      </c>
      <c r="V54" s="50" t="s">
        <v>273</v>
      </c>
    </row>
    <row r="55" spans="1:24" s="20" customFormat="1" ht="32.25" hidden="1" customHeight="1" x14ac:dyDescent="0.25">
      <c r="A55" s="162"/>
      <c r="B55" s="163"/>
      <c r="C55" s="131"/>
      <c r="D55" s="132"/>
      <c r="E55" s="132"/>
      <c r="F55" s="132"/>
      <c r="G55" s="132"/>
      <c r="H55" s="133"/>
      <c r="R55"/>
      <c r="S55" s="50" t="s">
        <v>254</v>
      </c>
      <c r="T55" s="50" t="s">
        <v>258</v>
      </c>
      <c r="U55" s="50" t="s">
        <v>268</v>
      </c>
      <c r="V55" s="71"/>
      <c r="W55" s="18"/>
      <c r="X55" s="18"/>
    </row>
    <row r="56" spans="1:24" s="20" customFormat="1" ht="34.5" hidden="1" customHeight="1" x14ac:dyDescent="0.25">
      <c r="A56" s="160" t="s">
        <v>278</v>
      </c>
      <c r="B56" s="161"/>
      <c r="C56" s="138">
        <f>C55</f>
        <v>0</v>
      </c>
      <c r="D56" s="139"/>
      <c r="E56" s="140"/>
      <c r="F56" s="16" t="s">
        <v>39</v>
      </c>
      <c r="G56" s="138">
        <f>G55</f>
        <v>0</v>
      </c>
      <c r="H56" s="140"/>
      <c r="R56"/>
      <c r="S56" s="71"/>
      <c r="T56" s="50" t="s">
        <v>259</v>
      </c>
      <c r="U56" s="50" t="s">
        <v>269</v>
      </c>
      <c r="V56" s="71"/>
      <c r="W56" s="18"/>
      <c r="X56" s="18"/>
    </row>
    <row r="57" spans="1:24" s="20" customFormat="1" ht="41.25" hidden="1" customHeight="1" x14ac:dyDescent="0.25">
      <c r="A57" s="162"/>
      <c r="B57" s="163"/>
      <c r="C57" s="138"/>
      <c r="D57" s="139"/>
      <c r="E57" s="139"/>
      <c r="F57" s="139"/>
      <c r="G57" s="139"/>
      <c r="H57" s="140"/>
      <c r="R57"/>
      <c r="S57" s="71"/>
      <c r="T57" s="50" t="s">
        <v>261</v>
      </c>
      <c r="U57" s="50" t="s">
        <v>270</v>
      </c>
      <c r="V57" s="71"/>
      <c r="W57" s="18"/>
      <c r="X57" s="18"/>
    </row>
    <row r="58" spans="1:24" s="20" customFormat="1" ht="15.75" hidden="1" customHeight="1" x14ac:dyDescent="0.25">
      <c r="A58" s="160" t="s">
        <v>279</v>
      </c>
      <c r="B58" s="161"/>
      <c r="C58" s="138">
        <f>C57</f>
        <v>0</v>
      </c>
      <c r="D58" s="139"/>
      <c r="E58" s="140"/>
      <c r="F58" s="16" t="s">
        <v>39</v>
      </c>
      <c r="G58" s="138">
        <f>G57</f>
        <v>0</v>
      </c>
      <c r="H58" s="140"/>
      <c r="R58"/>
      <c r="S58" s="71"/>
      <c r="T58" s="50" t="s">
        <v>262</v>
      </c>
      <c r="U58" s="71" t="s">
        <v>293</v>
      </c>
      <c r="V58" s="71"/>
      <c r="W58" s="18"/>
      <c r="X58" s="18"/>
    </row>
    <row r="59" spans="1:24" s="20" customFormat="1" ht="33.75" hidden="1" customHeight="1" x14ac:dyDescent="0.25">
      <c r="A59" s="162"/>
      <c r="B59" s="163"/>
      <c r="C59" s="138"/>
      <c r="D59" s="139"/>
      <c r="E59" s="139"/>
      <c r="F59" s="139"/>
      <c r="G59" s="139"/>
      <c r="H59" s="140"/>
      <c r="R59"/>
      <c r="S59" s="71"/>
      <c r="T59" s="50" t="s">
        <v>263</v>
      </c>
      <c r="U59" s="71"/>
      <c r="V59" s="71"/>
      <c r="W59" s="18"/>
      <c r="X59" s="18"/>
    </row>
    <row r="60" spans="1:24" x14ac:dyDescent="0.25">
      <c r="A60" s="214" t="s">
        <v>41</v>
      </c>
      <c r="B60" s="215"/>
      <c r="C60" s="214" t="s">
        <v>99</v>
      </c>
      <c r="D60" s="216"/>
      <c r="E60" s="215"/>
      <c r="F60" s="39" t="s">
        <v>39</v>
      </c>
      <c r="G60" s="217" t="s">
        <v>28</v>
      </c>
      <c r="H60" s="218"/>
      <c r="R60"/>
      <c r="S60" s="71"/>
      <c r="T60" s="50" t="s">
        <v>265</v>
      </c>
      <c r="U60" s="71"/>
      <c r="V60" s="71"/>
    </row>
    <row r="61" spans="1:24" x14ac:dyDescent="0.25">
      <c r="A61" s="182" t="s">
        <v>43</v>
      </c>
      <c r="B61" s="182"/>
      <c r="C61" s="182"/>
      <c r="D61" s="182"/>
      <c r="E61" s="182"/>
      <c r="F61" s="182"/>
      <c r="G61" s="182"/>
      <c r="H61" s="182"/>
      <c r="S61" s="71"/>
      <c r="T61" s="50" t="s">
        <v>274</v>
      </c>
      <c r="U61" s="71"/>
      <c r="V61" s="71"/>
    </row>
    <row r="62" spans="1:24" x14ac:dyDescent="0.25">
      <c r="A62" s="183" t="s">
        <v>393</v>
      </c>
      <c r="B62" s="183"/>
      <c r="C62" s="183"/>
      <c r="D62" s="136">
        <f>E46</f>
        <v>26919.31</v>
      </c>
      <c r="E62" s="124"/>
      <c r="F62" s="124"/>
      <c r="G62" s="124"/>
      <c r="H62" s="124"/>
      <c r="R62"/>
    </row>
    <row r="63" spans="1:24" x14ac:dyDescent="0.25">
      <c r="A63" s="127" t="s">
        <v>44</v>
      </c>
      <c r="B63" s="99"/>
      <c r="C63" s="99"/>
      <c r="D63" s="137" t="s">
        <v>370</v>
      </c>
      <c r="E63" s="137"/>
      <c r="F63" s="137"/>
      <c r="G63" s="137"/>
      <c r="H63" s="137"/>
      <c r="I63" s="21"/>
      <c r="R63"/>
    </row>
    <row r="64" spans="1:24" ht="48.75" hidden="1" customHeight="1" x14ac:dyDescent="0.25">
      <c r="A64" s="144" t="s">
        <v>45</v>
      </c>
      <c r="B64" s="145"/>
      <c r="C64" s="146"/>
      <c r="D64" s="142" t="s">
        <v>164</v>
      </c>
      <c r="E64" s="143"/>
      <c r="F64" s="143"/>
      <c r="G64" s="143"/>
      <c r="H64" s="143"/>
      <c r="R64"/>
    </row>
    <row r="65" spans="1:19" ht="15.75" hidden="1" customHeight="1" x14ac:dyDescent="0.25">
      <c r="A65" s="144" t="s">
        <v>84</v>
      </c>
      <c r="B65" s="145"/>
      <c r="C65" s="145"/>
      <c r="D65" s="176" t="s">
        <v>162</v>
      </c>
      <c r="E65" s="177"/>
      <c r="F65" s="177"/>
      <c r="G65" s="177"/>
      <c r="H65" s="178"/>
      <c r="R65"/>
    </row>
    <row r="66" spans="1:19" ht="15.75" hidden="1" customHeight="1" x14ac:dyDescent="0.25">
      <c r="A66" s="172"/>
      <c r="B66" s="173"/>
      <c r="C66" s="173"/>
      <c r="D66" s="179" t="s">
        <v>294</v>
      </c>
      <c r="E66" s="180"/>
      <c r="F66" s="180"/>
      <c r="G66" s="180"/>
      <c r="H66" s="181"/>
      <c r="R66"/>
    </row>
    <row r="67" spans="1:19" ht="15.75" hidden="1" customHeight="1" x14ac:dyDescent="0.25">
      <c r="A67" s="174"/>
      <c r="B67" s="175"/>
      <c r="C67" s="175"/>
      <c r="D67" s="186" t="s">
        <v>163</v>
      </c>
      <c r="E67" s="187"/>
      <c r="F67" s="187"/>
      <c r="G67" s="187"/>
      <c r="H67" s="188"/>
      <c r="S67"/>
    </row>
    <row r="68" spans="1:19" ht="15.75" customHeight="1" x14ac:dyDescent="0.25">
      <c r="A68" s="124" t="s">
        <v>42</v>
      </c>
      <c r="B68" s="124"/>
      <c r="C68" s="124"/>
      <c r="D68" s="157" t="s">
        <v>371</v>
      </c>
      <c r="E68" s="157"/>
      <c r="F68" s="157"/>
      <c r="G68" s="157"/>
      <c r="H68" s="157"/>
      <c r="J68" s="22"/>
      <c r="K68" s="21"/>
      <c r="N68" s="21"/>
      <c r="S68"/>
    </row>
    <row r="69" spans="1:19" ht="15.75" customHeight="1" x14ac:dyDescent="0.25">
      <c r="A69" s="124" t="s">
        <v>82</v>
      </c>
      <c r="B69" s="124"/>
      <c r="C69" s="124"/>
      <c r="D69" s="134" t="str">
        <f>(IF(G60="NA","60 Years After Completion",IF(G60&lt;&gt;"NA",""&amp;60-ROUNDDOWN((E3-G60)/360,0)&amp;" Years"," ")))</f>
        <v>60 Years After Completion</v>
      </c>
      <c r="E69" s="134"/>
      <c r="F69" s="134"/>
      <c r="G69" s="134"/>
      <c r="H69" s="134"/>
      <c r="N69" s="21"/>
      <c r="S69"/>
    </row>
    <row r="70" spans="1:19" ht="15.75" customHeight="1" x14ac:dyDescent="0.25">
      <c r="A70" s="124" t="s">
        <v>83</v>
      </c>
      <c r="B70" s="124"/>
      <c r="C70" s="124"/>
      <c r="D70" s="183" t="s">
        <v>23</v>
      </c>
      <c r="E70" s="183"/>
      <c r="F70" s="183"/>
      <c r="G70" s="183"/>
      <c r="H70" s="183"/>
      <c r="J70" s="23"/>
      <c r="K70" s="23"/>
      <c r="S70"/>
    </row>
    <row r="71" spans="1:19" ht="143.25" customHeight="1" x14ac:dyDescent="0.25">
      <c r="A71" s="137" t="s">
        <v>372</v>
      </c>
      <c r="B71" s="137"/>
      <c r="C71" s="137"/>
      <c r="D71" s="184" t="s">
        <v>373</v>
      </c>
      <c r="E71" s="184"/>
      <c r="F71" s="184"/>
      <c r="G71" s="184"/>
      <c r="H71" s="184"/>
      <c r="S71"/>
    </row>
    <row r="72" spans="1:19" x14ac:dyDescent="0.25">
      <c r="A72" s="183" t="s">
        <v>142</v>
      </c>
      <c r="B72" s="183"/>
      <c r="C72" s="183"/>
      <c r="D72" s="183" t="s">
        <v>28</v>
      </c>
      <c r="E72" s="183"/>
      <c r="F72" s="183"/>
      <c r="G72" s="183"/>
      <c r="H72" s="183"/>
      <c r="I72" s="24"/>
      <c r="J72" s="24"/>
      <c r="K72" s="24"/>
      <c r="L72" s="24"/>
      <c r="M72" s="24"/>
      <c r="N72" s="24"/>
    </row>
    <row r="73" spans="1:19" ht="15.75" customHeight="1" x14ac:dyDescent="0.25">
      <c r="A73" s="185" t="s">
        <v>81</v>
      </c>
      <c r="B73" s="185"/>
      <c r="C73" s="185"/>
      <c r="D73" s="220" t="str">
        <f ca="1">(IF(G79&gt;95%,"Nothing",IF(G79&gt;0%,"Cement, Aggregate, Steel, etc",IF(G79=0%,"Work not yet Started"))))</f>
        <v>Cement, Aggregate, Steel, etc</v>
      </c>
      <c r="E73" s="220"/>
      <c r="F73" s="220"/>
      <c r="G73" s="220"/>
      <c r="H73" s="220"/>
      <c r="J73" s="23"/>
      <c r="S73"/>
    </row>
    <row r="74" spans="1:19" ht="33.75" customHeight="1" x14ac:dyDescent="0.25">
      <c r="A74" s="183" t="s">
        <v>112</v>
      </c>
      <c r="B74" s="183"/>
      <c r="C74" s="183"/>
      <c r="D74" s="127" t="str">
        <f ca="1">(IF(D73="Nothing","Yes",IF(D73="Cement, Aggregate, Steel, etc","Under Construction",IF(D73="Work not yet Started","Work not yet Started"))))</f>
        <v>Under Construction</v>
      </c>
      <c r="E74" s="127"/>
      <c r="F74" s="127" t="str">
        <f ca="1">(IF(D73="Nothing","Yes",IF(D73="Cement, Aggregate, Steel, etc","Under Construction",IF(D73="Work not yet Started","Work not yet Started"))))</f>
        <v>Under Construction</v>
      </c>
      <c r="G74" s="127"/>
      <c r="H74" s="127"/>
      <c r="S74"/>
    </row>
    <row r="75" spans="1:19" ht="15.75" hidden="1" customHeight="1" x14ac:dyDescent="0.25">
      <c r="A75" s="149" t="s">
        <v>134</v>
      </c>
      <c r="B75" s="149"/>
      <c r="C75" s="149" t="str">
        <f>D65</f>
        <v>Building No.1 (A Wing) = 1B + G + 1st to 20th Floor</v>
      </c>
      <c r="D75" s="149"/>
      <c r="E75" s="149"/>
      <c r="F75" s="149"/>
      <c r="G75" s="149"/>
      <c r="H75" s="149"/>
      <c r="I75" s="80" t="str">
        <f ca="1">IF(D88=100%,"All work Completed. Possession granted to the Building.",IF(D87=100%,"All work Completed, Waiting for OC",I76&amp;""&amp;I77&amp;""&amp;J76&amp;""&amp;J75&amp;" "&amp;J77))</f>
        <v xml:space="preserve">Excavation, Plinth Completed </v>
      </c>
      <c r="J75" s="42"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hidden="1" x14ac:dyDescent="0.25">
      <c r="A76" s="44" t="s">
        <v>136</v>
      </c>
      <c r="B76" s="44">
        <f>IF(AND(ISNUMBER(SEARCH("1B",C75))),1,IF(AND(ISNUMBER(SEARCH("2B",C75))),2,IF(AND(ISNUMBER(SEARCH("3B",C75))),3,IF(AND(ISNUMBER(SEARCH("4B",C75))),4,IF(ISNUMBER(SEARCH("5B",C75)),5,0)))))</f>
        <v>1</v>
      </c>
      <c r="C76" s="44" t="s">
        <v>67</v>
      </c>
      <c r="D76" s="44">
        <v>1</v>
      </c>
      <c r="E76" s="44" t="s">
        <v>66</v>
      </c>
      <c r="F76" s="14">
        <v>0</v>
      </c>
      <c r="G76" s="41" t="s">
        <v>75</v>
      </c>
      <c r="H76" s="44">
        <f ca="1">--TRIM(RIGHT(SUBSTITUTE(LEFT(C75,_xlfn.AGGREGATE(16,6,FIND({0,1,2,3,4,5,6,7,8,9},C75,ROW(INDIRECT("1:"&amp;LEN(C75)))),1))," ",REPT(" ",LEN(C75))),LEN(C75)))</f>
        <v>20</v>
      </c>
      <c r="I76" s="81" t="str">
        <f ca="1">IF(D79=100%,"Excavation","")&amp;IF(D80=100%,", Plinth","")&amp;IF(D81=100%,", RCC Slab","")&amp;IF(D82=100%,", Brickwork","")&amp;IF(D83=100%,", Internal Plaster","")&amp;IF(D84=100%,", External Plaster","")&amp;IF(D85=100%,", Flooring","")&amp;IF(D86=100%,", Painting","")&amp;IF(D87=100%,", Building common Amenities","")</f>
        <v>Excavation, Plinth</v>
      </c>
      <c r="J76" s="43"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6.75" hidden="1" customHeight="1" x14ac:dyDescent="0.25">
      <c r="A77" s="116" t="s">
        <v>85</v>
      </c>
      <c r="B77" s="116"/>
      <c r="C77" s="125" t="str">
        <f ca="1">I75</f>
        <v xml:space="preserve">Excavation, Plinth Completed </v>
      </c>
      <c r="D77" s="125"/>
      <c r="E77" s="125"/>
      <c r="F77" s="125"/>
      <c r="G77" s="125"/>
      <c r="H77" s="125"/>
      <c r="I77" s="81" t="str">
        <f ca="1">IF(I76&lt;&gt;""," Completed","")</f>
        <v xml:space="preserve"> Completed</v>
      </c>
      <c r="J77" s="43" t="str">
        <f ca="1">IF(J75&lt;&gt;"","Completed","")</f>
        <v/>
      </c>
      <c r="S77"/>
    </row>
    <row r="78" spans="1:19" ht="15.75" hidden="1" customHeight="1" x14ac:dyDescent="0.25">
      <c r="A78" s="114" t="s">
        <v>46</v>
      </c>
      <c r="B78" s="114"/>
      <c r="C78" s="75" t="s">
        <v>133</v>
      </c>
      <c r="D78" s="75" t="s">
        <v>78</v>
      </c>
      <c r="E78" s="114" t="s">
        <v>80</v>
      </c>
      <c r="F78" s="114"/>
      <c r="G78" s="114" t="s">
        <v>79</v>
      </c>
      <c r="H78" s="114"/>
      <c r="I78" s="13" t="s">
        <v>135</v>
      </c>
      <c r="J78" s="25">
        <f ca="1">H76*25%</f>
        <v>5</v>
      </c>
      <c r="S78"/>
    </row>
    <row r="79" spans="1:19" hidden="1" x14ac:dyDescent="0.25">
      <c r="A79" s="114" t="s">
        <v>122</v>
      </c>
      <c r="B79" s="114"/>
      <c r="C79" s="54">
        <f ca="1">J80</f>
        <v>20</v>
      </c>
      <c r="D79" s="17">
        <f ca="1">((100/H76)*C79)/100</f>
        <v>1</v>
      </c>
      <c r="E79" s="117">
        <f ca="1">(((C80/H76*10)+(40/(D76+F76+H76)*C81)+(7.5/(H76)*C82)+(7.5/(H76)*C83)+(10/H76*C84)+(10/H76*C85)+(5/H76*C86)+(5/H76*C87)+(5/H76*C88))/100)</f>
        <v>0.1</v>
      </c>
      <c r="F79" s="117"/>
      <c r="G79" s="117">
        <f ca="1">((((C79/H76)*20)+((C80/H76)*25)+(30/(H76+F76+D76)*C81)+(5/H76*C82)+(5/H76*C83)+(5/H76*C84)+(5/H76*C85)+(0/H76*C86)+(0/H76*C87)+(5/H76*C88))/100)</f>
        <v>0.45</v>
      </c>
      <c r="H79" s="117"/>
      <c r="I79" s="13" t="s">
        <v>94</v>
      </c>
      <c r="J79" s="26">
        <f ca="1">H76*50%</f>
        <v>10</v>
      </c>
    </row>
    <row r="80" spans="1:19" hidden="1" x14ac:dyDescent="0.25">
      <c r="A80" s="114" t="s">
        <v>47</v>
      </c>
      <c r="B80" s="114"/>
      <c r="C80" s="75">
        <f ca="1">J88</f>
        <v>20</v>
      </c>
      <c r="D80" s="17">
        <f ca="1">((100/H76)*C80)/100</f>
        <v>1</v>
      </c>
      <c r="E80" s="117"/>
      <c r="F80" s="117"/>
      <c r="G80" s="117"/>
      <c r="H80" s="117"/>
      <c r="I80" s="13" t="s">
        <v>95</v>
      </c>
      <c r="J80" s="26">
        <f ca="1">H76</f>
        <v>20</v>
      </c>
      <c r="S80"/>
    </row>
    <row r="81" spans="1:19" ht="15.75" hidden="1" customHeight="1" x14ac:dyDescent="0.25">
      <c r="A81" s="114" t="s">
        <v>123</v>
      </c>
      <c r="B81" s="114"/>
      <c r="C81" s="75">
        <v>0</v>
      </c>
      <c r="D81" s="17">
        <f ca="1">((100/(D76+F76+H76))*C81)/100</f>
        <v>0</v>
      </c>
      <c r="E81" s="117"/>
      <c r="F81" s="117"/>
      <c r="G81" s="117"/>
      <c r="H81" s="117"/>
      <c r="I81" s="13" t="s">
        <v>96</v>
      </c>
      <c r="J81" s="27">
        <f ca="1">(IF(B76&gt;1,(H76/(B76+2)),H76/4))</f>
        <v>5</v>
      </c>
      <c r="S81"/>
    </row>
    <row r="82" spans="1:19" ht="15.75" hidden="1" customHeight="1" x14ac:dyDescent="0.25">
      <c r="A82" s="114" t="s">
        <v>130</v>
      </c>
      <c r="B82" s="114" t="s">
        <v>124</v>
      </c>
      <c r="C82" s="75">
        <v>0</v>
      </c>
      <c r="D82" s="17">
        <f ca="1">((100/H76)*C82)/100</f>
        <v>0</v>
      </c>
      <c r="E82" s="117"/>
      <c r="F82" s="117"/>
      <c r="G82" s="117"/>
      <c r="H82" s="117"/>
      <c r="I82" s="13" t="s">
        <v>97</v>
      </c>
      <c r="J82" s="27">
        <f ca="1">(IF(B76&gt;1,(H76/(B76+2)+J81),H76/4+J81))</f>
        <v>10</v>
      </c>
    </row>
    <row r="83" spans="1:19" ht="15.75" hidden="1" customHeight="1" x14ac:dyDescent="0.25">
      <c r="A83" s="114" t="s">
        <v>131</v>
      </c>
      <c r="B83" s="114" t="s">
        <v>124</v>
      </c>
      <c r="C83" s="75">
        <v>0</v>
      </c>
      <c r="D83" s="17">
        <f ca="1">((100/H76)*C83)/100</f>
        <v>0</v>
      </c>
      <c r="E83" s="117"/>
      <c r="F83" s="117"/>
      <c r="G83" s="117"/>
      <c r="H83" s="117"/>
      <c r="I83" s="13" t="s">
        <v>140</v>
      </c>
      <c r="J83" s="27">
        <f>(IF(B76&gt;1,(H76/(B76+2)+J82),0))</f>
        <v>0</v>
      </c>
    </row>
    <row r="84" spans="1:19" ht="15" hidden="1" customHeight="1" x14ac:dyDescent="0.25">
      <c r="A84" s="114" t="s">
        <v>129</v>
      </c>
      <c r="B84" s="114" t="s">
        <v>126</v>
      </c>
      <c r="C84" s="75">
        <v>0</v>
      </c>
      <c r="D84" s="17">
        <f ca="1">((100/(H76))*C84)/100</f>
        <v>0</v>
      </c>
      <c r="E84" s="117"/>
      <c r="F84" s="117"/>
      <c r="G84" s="117"/>
      <c r="H84" s="117"/>
      <c r="I84" s="13" t="s">
        <v>137</v>
      </c>
      <c r="J84" s="27">
        <f>(IF(B76&gt;2,(H76/(B76+2)+J83),0))</f>
        <v>0</v>
      </c>
    </row>
    <row r="85" spans="1:19" ht="15.75" hidden="1" customHeight="1" x14ac:dyDescent="0.25">
      <c r="A85" s="114" t="s">
        <v>125</v>
      </c>
      <c r="B85" s="114" t="s">
        <v>125</v>
      </c>
      <c r="C85" s="75">
        <v>0</v>
      </c>
      <c r="D85" s="17">
        <f ca="1">((100/H76)*C85)/100</f>
        <v>0</v>
      </c>
      <c r="E85" s="117"/>
      <c r="F85" s="117"/>
      <c r="G85" s="117"/>
      <c r="H85" s="117"/>
      <c r="I85" s="13" t="s">
        <v>138</v>
      </c>
      <c r="J85" s="28">
        <f>(IF(B76&gt;3,(H76/(B76+2)+J84),0))</f>
        <v>0</v>
      </c>
    </row>
    <row r="86" spans="1:19" ht="15.75" hidden="1" customHeight="1" x14ac:dyDescent="0.25">
      <c r="A86" s="114" t="s">
        <v>132</v>
      </c>
      <c r="B86" s="114"/>
      <c r="C86" s="75">
        <v>0</v>
      </c>
      <c r="D86" s="17">
        <f ca="1">((100/H76)*C86)/100</f>
        <v>0</v>
      </c>
      <c r="E86" s="117"/>
      <c r="F86" s="117"/>
      <c r="G86" s="117"/>
      <c r="H86" s="117"/>
      <c r="I86" s="13" t="s">
        <v>139</v>
      </c>
      <c r="J86" s="27">
        <f>(IF(B76&gt;4,(H76/(B76+2)+J85),0))</f>
        <v>0</v>
      </c>
    </row>
    <row r="87" spans="1:19" ht="15.75" hidden="1" customHeight="1" x14ac:dyDescent="0.25">
      <c r="A87" s="114" t="s">
        <v>127</v>
      </c>
      <c r="B87" s="114" t="s">
        <v>127</v>
      </c>
      <c r="C87" s="75">
        <v>0</v>
      </c>
      <c r="D87" s="17">
        <f ca="1">((100/(H76))*C87)/100</f>
        <v>0</v>
      </c>
      <c r="E87" s="117"/>
      <c r="F87" s="117"/>
      <c r="G87" s="117"/>
      <c r="H87" s="117"/>
      <c r="I87" s="13" t="s">
        <v>141</v>
      </c>
      <c r="J87" s="27">
        <f ca="1">(IF(B76=1,(H76/(B76+3)+J82),IF(B76=0,(H76/4+J82),IF(B76&gt;1,0))))</f>
        <v>15</v>
      </c>
    </row>
    <row r="88" spans="1:19" ht="16.5" hidden="1" thickBot="1" x14ac:dyDescent="0.3">
      <c r="A88" s="114" t="s">
        <v>128</v>
      </c>
      <c r="B88" s="114"/>
      <c r="C88" s="75">
        <v>0</v>
      </c>
      <c r="D88" s="17">
        <f ca="1">((100/(H76))*C88)/100</f>
        <v>0</v>
      </c>
      <c r="E88" s="117"/>
      <c r="F88" s="117"/>
      <c r="G88" s="117"/>
      <c r="H88" s="117"/>
      <c r="I88" s="15" t="s">
        <v>98</v>
      </c>
      <c r="J88" s="29">
        <f ca="1">(IF(B76&gt;1.5,(H76/(B76+2)+J82+MAX(0,J83-J82)+MAX(0,J84-J83)+MAX(0,J85-J84)+MAX(0,J86-J85)+MAX(0,J87-J86)),IF(B76=1,(H76/(B76+3)+J87),IF(B76=0,H76/4+J87))))</f>
        <v>20</v>
      </c>
    </row>
    <row r="89" spans="1:19" ht="15.75" hidden="1" customHeight="1" x14ac:dyDescent="0.25">
      <c r="A89" s="149" t="s">
        <v>134</v>
      </c>
      <c r="B89" s="149"/>
      <c r="C89" s="149" t="str">
        <f>D66</f>
        <v>B Wing = 1B + G + 1st to 19th Floor</v>
      </c>
      <c r="D89" s="149"/>
      <c r="E89" s="149"/>
      <c r="F89" s="149"/>
      <c r="G89" s="149"/>
      <c r="H89" s="149"/>
      <c r="I89" s="80" t="str">
        <f ca="1">IF(D102=100%,"All work Completed. Possession granted to the Building.",IF(D101=100%,"All work Completed, Waiting for OC",I90&amp;""&amp;I91&amp;""&amp;J90&amp;""&amp;J89&amp;" "&amp;J91))</f>
        <v xml:space="preserve">Excavation, Plinth Completed </v>
      </c>
      <c r="J89" s="42"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hidden="1" x14ac:dyDescent="0.25">
      <c r="A90" s="44" t="s">
        <v>136</v>
      </c>
      <c r="B90" s="44">
        <f>IF(AND(ISNUMBER(SEARCH("1B",C89))),1,IF(AND(ISNUMBER(SEARCH("2B",C89))),2,IF(AND(ISNUMBER(SEARCH("3B",C89))),3,IF(AND(ISNUMBER(SEARCH("4B",C89))),4,IF(ISNUMBER(SEARCH("5B",C89)),5,0)))))</f>
        <v>1</v>
      </c>
      <c r="C90" s="44" t="s">
        <v>67</v>
      </c>
      <c r="D90" s="44">
        <v>1</v>
      </c>
      <c r="E90" s="44" t="s">
        <v>66</v>
      </c>
      <c r="F90" s="14">
        <v>0</v>
      </c>
      <c r="G90" s="41" t="s">
        <v>75</v>
      </c>
      <c r="H90" s="44">
        <f ca="1">--TRIM(RIGHT(SUBSTITUTE(LEFT(C89,_xlfn.AGGREGATE(16,6,FIND({0,1,2,3,4,5,6,7,8,9},C89,ROW(INDIRECT("1:"&amp;LEN(C89)))),1))," ",REPT(" ",LEN(C89))),LEN(C89)))</f>
        <v>19</v>
      </c>
      <c r="I90" s="81" t="str">
        <f ca="1">IF(D93=100%,"Excavation","")&amp;IF(D94=100%,", Plinth","")&amp;IF(D95=100%,", RCC Slab","")&amp;IF(D96=100%,", Brickwork","")&amp;IF(D97=100%,", Internal Plaster","")&amp;IF(D98=100%,", External Plaster","")&amp;IF(D99=100%,", Flooring","")&amp;IF(D100=100%,", Painting","")&amp;IF(D101=100%,", Building common Amenities","")</f>
        <v>Excavation, Plinth</v>
      </c>
      <c r="J90" s="43"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6.75" hidden="1" customHeight="1" x14ac:dyDescent="0.25">
      <c r="A91" s="116" t="s">
        <v>85</v>
      </c>
      <c r="B91" s="116"/>
      <c r="C91" s="125" t="str">
        <f ca="1">I89</f>
        <v xml:space="preserve">Excavation, Plinth Completed </v>
      </c>
      <c r="D91" s="125"/>
      <c r="E91" s="125"/>
      <c r="F91" s="125"/>
      <c r="G91" s="125"/>
      <c r="H91" s="125"/>
      <c r="I91" s="81" t="str">
        <f ca="1">IF(I90&lt;&gt;""," Completed","")</f>
        <v xml:space="preserve"> Completed</v>
      </c>
      <c r="J91" s="43" t="str">
        <f ca="1">IF(J89&lt;&gt;"","Completed","")</f>
        <v/>
      </c>
      <c r="S91"/>
    </row>
    <row r="92" spans="1:19" ht="15.75" hidden="1" customHeight="1" x14ac:dyDescent="0.25">
      <c r="A92" s="114" t="s">
        <v>46</v>
      </c>
      <c r="B92" s="114"/>
      <c r="C92" s="75" t="s">
        <v>133</v>
      </c>
      <c r="D92" s="75" t="s">
        <v>78</v>
      </c>
      <c r="E92" s="114" t="s">
        <v>80</v>
      </c>
      <c r="F92" s="114"/>
      <c r="G92" s="114" t="s">
        <v>79</v>
      </c>
      <c r="H92" s="114"/>
      <c r="I92" s="13" t="s">
        <v>135</v>
      </c>
      <c r="J92" s="25">
        <f ca="1">H90*25%</f>
        <v>4.75</v>
      </c>
      <c r="S92"/>
    </row>
    <row r="93" spans="1:19" hidden="1" x14ac:dyDescent="0.25">
      <c r="A93" s="114" t="s">
        <v>122</v>
      </c>
      <c r="B93" s="114"/>
      <c r="C93" s="54">
        <f ca="1">J94</f>
        <v>19</v>
      </c>
      <c r="D93" s="17">
        <f ca="1">((100/H90)*C93)/100</f>
        <v>1</v>
      </c>
      <c r="E93" s="117">
        <f ca="1">(((C94/H90*10)+(40/(D90+F90+H90)*C95)+(7.5/(H90)*C96)+(7.5/(H90)*C97)+(10/H90*C98)+(10/H90*C99)+(5/H90*C100)+(5/H90*C101)+(5/H90*C102))/100)</f>
        <v>0.1</v>
      </c>
      <c r="F93" s="117"/>
      <c r="G93" s="117">
        <f ca="1">((((C93/H90)*20)+((C94/H90)*25)+(30/(H90+F90+D90)*C95)+(5/H90*C96)+(5/H90*C97)+(5/H90*C98)+(5/H90*C99)+(0/H90*C100)+(0/H90*C101)+(5/H90*C102))/100)</f>
        <v>0.45</v>
      </c>
      <c r="H93" s="117"/>
      <c r="I93" s="13" t="s">
        <v>94</v>
      </c>
      <c r="J93" s="26">
        <f ca="1">H90*50%</f>
        <v>9.5</v>
      </c>
    </row>
    <row r="94" spans="1:19" hidden="1" x14ac:dyDescent="0.25">
      <c r="A94" s="114" t="s">
        <v>47</v>
      </c>
      <c r="B94" s="114"/>
      <c r="C94" s="75">
        <f ca="1">J102</f>
        <v>19</v>
      </c>
      <c r="D94" s="17">
        <f ca="1">((100/H90)*C94)/100</f>
        <v>1</v>
      </c>
      <c r="E94" s="117"/>
      <c r="F94" s="117"/>
      <c r="G94" s="117"/>
      <c r="H94" s="117"/>
      <c r="I94" s="13" t="s">
        <v>95</v>
      </c>
      <c r="J94" s="26">
        <f ca="1">H90</f>
        <v>19</v>
      </c>
      <c r="S94"/>
    </row>
    <row r="95" spans="1:19" ht="15.75" hidden="1" customHeight="1" x14ac:dyDescent="0.25">
      <c r="A95" s="114" t="s">
        <v>123</v>
      </c>
      <c r="B95" s="114"/>
      <c r="C95" s="75">
        <v>0</v>
      </c>
      <c r="D95" s="17">
        <f ca="1">((100/(D90+F90+H90))*C95)/100</f>
        <v>0</v>
      </c>
      <c r="E95" s="117"/>
      <c r="F95" s="117"/>
      <c r="G95" s="117"/>
      <c r="H95" s="117"/>
      <c r="I95" s="13" t="s">
        <v>96</v>
      </c>
      <c r="J95" s="27">
        <f ca="1">(IF(B90&gt;1,(H90/(B90+2)),H90/4))</f>
        <v>4.75</v>
      </c>
      <c r="S95"/>
    </row>
    <row r="96" spans="1:19" ht="15.75" hidden="1" customHeight="1" x14ac:dyDescent="0.25">
      <c r="A96" s="114" t="s">
        <v>130</v>
      </c>
      <c r="B96" s="114" t="s">
        <v>124</v>
      </c>
      <c r="C96" s="75">
        <v>0</v>
      </c>
      <c r="D96" s="17">
        <f ca="1">((100/H90)*C96)/100</f>
        <v>0</v>
      </c>
      <c r="E96" s="117"/>
      <c r="F96" s="117"/>
      <c r="G96" s="117"/>
      <c r="H96" s="117"/>
      <c r="I96" s="13" t="s">
        <v>97</v>
      </c>
      <c r="J96" s="27">
        <f ca="1">(IF(B90&gt;1,(H90/(B90+2)+J95),H90/4+J95))</f>
        <v>9.5</v>
      </c>
    </row>
    <row r="97" spans="1:19" ht="15.75" hidden="1" customHeight="1" x14ac:dyDescent="0.25">
      <c r="A97" s="114" t="s">
        <v>131</v>
      </c>
      <c r="B97" s="114" t="s">
        <v>124</v>
      </c>
      <c r="C97" s="75">
        <v>0</v>
      </c>
      <c r="D97" s="17">
        <f ca="1">((100/H90)*C97)/100</f>
        <v>0</v>
      </c>
      <c r="E97" s="117"/>
      <c r="F97" s="117"/>
      <c r="G97" s="117"/>
      <c r="H97" s="117"/>
      <c r="I97" s="13" t="s">
        <v>140</v>
      </c>
      <c r="J97" s="27">
        <f>(IF(B90&gt;1,(H90/(B90+2)+J96),0))</f>
        <v>0</v>
      </c>
    </row>
    <row r="98" spans="1:19" ht="15" hidden="1" customHeight="1" x14ac:dyDescent="0.25">
      <c r="A98" s="114" t="s">
        <v>129</v>
      </c>
      <c r="B98" s="114" t="s">
        <v>126</v>
      </c>
      <c r="C98" s="75">
        <v>0</v>
      </c>
      <c r="D98" s="17">
        <f ca="1">((100/(H90))*C98)/100</f>
        <v>0</v>
      </c>
      <c r="E98" s="117"/>
      <c r="F98" s="117"/>
      <c r="G98" s="117"/>
      <c r="H98" s="117"/>
      <c r="I98" s="13" t="s">
        <v>137</v>
      </c>
      <c r="J98" s="27">
        <f>(IF(B90&gt;2,(H90/(B90+2)+J97),0))</f>
        <v>0</v>
      </c>
    </row>
    <row r="99" spans="1:19" ht="15.75" hidden="1" customHeight="1" x14ac:dyDescent="0.25">
      <c r="A99" s="114" t="s">
        <v>125</v>
      </c>
      <c r="B99" s="114" t="s">
        <v>125</v>
      </c>
      <c r="C99" s="75">
        <v>0</v>
      </c>
      <c r="D99" s="17">
        <f ca="1">((100/H90)*C99)/100</f>
        <v>0</v>
      </c>
      <c r="E99" s="117"/>
      <c r="F99" s="117"/>
      <c r="G99" s="117"/>
      <c r="H99" s="117"/>
      <c r="I99" s="13" t="s">
        <v>138</v>
      </c>
      <c r="J99" s="28">
        <f>(IF(B90&gt;3,(H90/(B90+2)+J98),0))</f>
        <v>0</v>
      </c>
    </row>
    <row r="100" spans="1:19" ht="15.75" hidden="1" customHeight="1" x14ac:dyDescent="0.25">
      <c r="A100" s="114" t="s">
        <v>132</v>
      </c>
      <c r="B100" s="114"/>
      <c r="C100" s="75">
        <v>0</v>
      </c>
      <c r="D100" s="17">
        <f ca="1">((100/H90)*C100)/100</f>
        <v>0</v>
      </c>
      <c r="E100" s="117"/>
      <c r="F100" s="117"/>
      <c r="G100" s="117"/>
      <c r="H100" s="117"/>
      <c r="I100" s="13" t="s">
        <v>139</v>
      </c>
      <c r="J100" s="27">
        <f>(IF(B90&gt;4,(H90/(B90+2)+J99),0))</f>
        <v>0</v>
      </c>
    </row>
    <row r="101" spans="1:19" ht="15.75" hidden="1" customHeight="1" x14ac:dyDescent="0.25">
      <c r="A101" s="114" t="s">
        <v>127</v>
      </c>
      <c r="B101" s="114" t="s">
        <v>127</v>
      </c>
      <c r="C101" s="75">
        <v>0</v>
      </c>
      <c r="D101" s="17">
        <f ca="1">((100/(H90))*C101)/100</f>
        <v>0</v>
      </c>
      <c r="E101" s="117"/>
      <c r="F101" s="117"/>
      <c r="G101" s="117"/>
      <c r="H101" s="117"/>
      <c r="I101" s="13" t="s">
        <v>141</v>
      </c>
      <c r="J101" s="27">
        <f ca="1">(IF(B90=1,(H90/(B90+3)+J96),IF(B90=0,(H90/4+J96),IF(B90&gt;1,0))))</f>
        <v>14.25</v>
      </c>
    </row>
    <row r="102" spans="1:19" ht="16.5" hidden="1" thickBot="1" x14ac:dyDescent="0.3">
      <c r="A102" s="114" t="s">
        <v>128</v>
      </c>
      <c r="B102" s="114"/>
      <c r="C102" s="75">
        <v>0</v>
      </c>
      <c r="D102" s="17">
        <f ca="1">((100/(H90))*C102)/100</f>
        <v>0</v>
      </c>
      <c r="E102" s="117"/>
      <c r="F102" s="117"/>
      <c r="G102" s="117"/>
      <c r="H102" s="117"/>
      <c r="I102" s="15" t="s">
        <v>98</v>
      </c>
      <c r="J102" s="29">
        <f ca="1">(IF(B90&gt;1.5,(H90/(B90+2)+J96+MAX(0,J97-J96)+MAX(0,J98-J97)+MAX(0,J99-J98)+MAX(0,J100-J99)+MAX(0,J101-J100)),IF(B90=1,(H90/(B90+3)+J101),IF(B90=0,H90/4+J101))))</f>
        <v>19</v>
      </c>
    </row>
    <row r="103" spans="1:19" ht="15.75" hidden="1" customHeight="1" x14ac:dyDescent="0.25">
      <c r="A103" s="149" t="s">
        <v>134</v>
      </c>
      <c r="B103" s="149"/>
      <c r="C103" s="149" t="str">
        <f>D67</f>
        <v>C Wing = 1B + G + 1st to 20th Floor</v>
      </c>
      <c r="D103" s="149"/>
      <c r="E103" s="149"/>
      <c r="F103" s="149"/>
      <c r="G103" s="149"/>
      <c r="H103" s="149"/>
      <c r="I103" s="80" t="str">
        <f ca="1">IF(D116=100%,"All work Completed. Possession granted to the Building.",IF(D115=100%,"All work Completed, Waiting for OC",I104&amp;""&amp;I105&amp;""&amp;J104&amp;""&amp;J103&amp;" "&amp;J105))</f>
        <v xml:space="preserve">Excavation, Plinth Completed </v>
      </c>
      <c r="J103" s="42"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hidden="1" x14ac:dyDescent="0.25">
      <c r="A104" s="44" t="s">
        <v>136</v>
      </c>
      <c r="B104" s="44">
        <f>IF(AND(ISNUMBER(SEARCH("1B",C103))),1,IF(AND(ISNUMBER(SEARCH("2B",C103))),2,IF(AND(ISNUMBER(SEARCH("3B",C103))),3,IF(AND(ISNUMBER(SEARCH("4B",C103))),4,IF(ISNUMBER(SEARCH("5B",C103)),5,0)))))</f>
        <v>1</v>
      </c>
      <c r="C104" s="44" t="s">
        <v>67</v>
      </c>
      <c r="D104" s="44">
        <v>1</v>
      </c>
      <c r="E104" s="44" t="s">
        <v>66</v>
      </c>
      <c r="F104" s="14">
        <v>0</v>
      </c>
      <c r="G104" s="41" t="s">
        <v>75</v>
      </c>
      <c r="H104" s="44">
        <f ca="1">--TRIM(RIGHT(SUBSTITUTE(LEFT(C103,_xlfn.AGGREGATE(16,6,FIND({0,1,2,3,4,5,6,7,8,9},C103,ROW(INDIRECT("1:"&amp;LEN(C103)))),1))," ",REPT(" ",LEN(C103))),LEN(C103)))</f>
        <v>20</v>
      </c>
      <c r="I104" s="81" t="str">
        <f ca="1">IF(D107=100%,"Excavation","")&amp;IF(D108=100%,", Plinth","")&amp;IF(D109=100%,", RCC Slab","")&amp;IF(D110=100%,", Brickwork","")&amp;IF(D111=100%,", Internal Plaster","")&amp;IF(D112=100%,", External Plaster","")&amp;IF(D113=100%,", Flooring","")&amp;IF(D114=100%,", Painting","")&amp;IF(D115=100%,", Building common Amenities","")</f>
        <v>Excavation, Plinth</v>
      </c>
      <c r="J104" s="43"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t="36.75" hidden="1" customHeight="1" x14ac:dyDescent="0.25">
      <c r="A105" s="116" t="s">
        <v>85</v>
      </c>
      <c r="B105" s="116"/>
      <c r="C105" s="125" t="str">
        <f ca="1">I103</f>
        <v xml:space="preserve">Excavation, Plinth Completed </v>
      </c>
      <c r="D105" s="125"/>
      <c r="E105" s="125"/>
      <c r="F105" s="125"/>
      <c r="G105" s="125"/>
      <c r="H105" s="125"/>
      <c r="I105" s="81" t="str">
        <f ca="1">IF(I104&lt;&gt;""," Completed","")</f>
        <v xml:space="preserve"> Completed</v>
      </c>
      <c r="J105" s="43" t="str">
        <f ca="1">IF(J103&lt;&gt;"","Completed","")</f>
        <v/>
      </c>
      <c r="S105"/>
    </row>
    <row r="106" spans="1:19" ht="15.75" hidden="1" customHeight="1" x14ac:dyDescent="0.25">
      <c r="A106" s="114" t="s">
        <v>46</v>
      </c>
      <c r="B106" s="114"/>
      <c r="C106" s="75" t="s">
        <v>133</v>
      </c>
      <c r="D106" s="75" t="s">
        <v>78</v>
      </c>
      <c r="E106" s="114" t="s">
        <v>80</v>
      </c>
      <c r="F106" s="114"/>
      <c r="G106" s="114" t="s">
        <v>79</v>
      </c>
      <c r="H106" s="114"/>
      <c r="I106" s="13" t="s">
        <v>135</v>
      </c>
      <c r="J106" s="25">
        <f ca="1">H104*25%</f>
        <v>5</v>
      </c>
      <c r="S106"/>
    </row>
    <row r="107" spans="1:19" hidden="1" x14ac:dyDescent="0.25">
      <c r="A107" s="114" t="s">
        <v>122</v>
      </c>
      <c r="B107" s="114"/>
      <c r="C107" s="54">
        <f ca="1">J108</f>
        <v>20</v>
      </c>
      <c r="D107" s="17">
        <f ca="1">((100/H104)*C107)/100</f>
        <v>1</v>
      </c>
      <c r="E107" s="117">
        <f ca="1">(((C108/H104*10)+(40/(D104+F104+H104)*C109)+(7.5/(H104)*C110)+(7.5/(H104)*C111)+(10/H104*C112)+(10/H104*C113)+(5/H104*C114)+(5/H104*C115)+(5/H104*C116))/100)</f>
        <v>0.1</v>
      </c>
      <c r="F107" s="117"/>
      <c r="G107" s="117">
        <f ca="1">((((C107/H104)*20)+((C108/H104)*25)+(30/(H104+F104+D104)*C109)+(5/H104*C110)+(5/H104*C111)+(5/H104*C112)+(5/H104*C113)+(0/H104*C114)+(0/H104*C115)+(5/H104*C116))/100)</f>
        <v>0.45</v>
      </c>
      <c r="H107" s="117"/>
      <c r="I107" s="13" t="s">
        <v>94</v>
      </c>
      <c r="J107" s="26">
        <f ca="1">H104*50%</f>
        <v>10</v>
      </c>
    </row>
    <row r="108" spans="1:19" hidden="1" x14ac:dyDescent="0.25">
      <c r="A108" s="114" t="s">
        <v>47</v>
      </c>
      <c r="B108" s="114"/>
      <c r="C108" s="75">
        <f ca="1">J116</f>
        <v>20</v>
      </c>
      <c r="D108" s="17">
        <f ca="1">((100/H104)*C108)/100</f>
        <v>1</v>
      </c>
      <c r="E108" s="117"/>
      <c r="F108" s="117"/>
      <c r="G108" s="117"/>
      <c r="H108" s="117"/>
      <c r="I108" s="13" t="s">
        <v>95</v>
      </c>
      <c r="J108" s="26">
        <f ca="1">H104</f>
        <v>20</v>
      </c>
      <c r="S108"/>
    </row>
    <row r="109" spans="1:19" ht="15.75" hidden="1" customHeight="1" x14ac:dyDescent="0.25">
      <c r="A109" s="114" t="s">
        <v>123</v>
      </c>
      <c r="B109" s="114"/>
      <c r="C109" s="75">
        <v>0</v>
      </c>
      <c r="D109" s="17">
        <f ca="1">((100/(D104+F104+H104))*C109)/100</f>
        <v>0</v>
      </c>
      <c r="E109" s="117"/>
      <c r="F109" s="117"/>
      <c r="G109" s="117"/>
      <c r="H109" s="117"/>
      <c r="I109" s="13" t="s">
        <v>96</v>
      </c>
      <c r="J109" s="27">
        <f ca="1">(IF(B104&gt;1,(H104/(B104+2)),H104/4))</f>
        <v>5</v>
      </c>
      <c r="S109"/>
    </row>
    <row r="110" spans="1:19" ht="15.75" hidden="1" customHeight="1" x14ac:dyDescent="0.25">
      <c r="A110" s="114" t="s">
        <v>130</v>
      </c>
      <c r="B110" s="114" t="s">
        <v>124</v>
      </c>
      <c r="C110" s="75">
        <v>0</v>
      </c>
      <c r="D110" s="17">
        <f ca="1">((100/H104)*C110)/100</f>
        <v>0</v>
      </c>
      <c r="E110" s="117"/>
      <c r="F110" s="117"/>
      <c r="G110" s="117"/>
      <c r="H110" s="117"/>
      <c r="I110" s="13" t="s">
        <v>97</v>
      </c>
      <c r="J110" s="27">
        <f ca="1">(IF(B104&gt;1,(H104/(B104+2)+J109),H104/4+J109))</f>
        <v>10</v>
      </c>
    </row>
    <row r="111" spans="1:19" ht="15.75" hidden="1" customHeight="1" x14ac:dyDescent="0.25">
      <c r="A111" s="114" t="s">
        <v>131</v>
      </c>
      <c r="B111" s="114" t="s">
        <v>124</v>
      </c>
      <c r="C111" s="75">
        <v>0</v>
      </c>
      <c r="D111" s="17">
        <f ca="1">((100/H104)*C111)/100</f>
        <v>0</v>
      </c>
      <c r="E111" s="117"/>
      <c r="F111" s="117"/>
      <c r="G111" s="117"/>
      <c r="H111" s="117"/>
      <c r="I111" s="13" t="s">
        <v>140</v>
      </c>
      <c r="J111" s="27">
        <f>(IF(B104&gt;1,(H104/(B104+2)+J110),0))</f>
        <v>0</v>
      </c>
    </row>
    <row r="112" spans="1:19" ht="15" hidden="1" customHeight="1" x14ac:dyDescent="0.25">
      <c r="A112" s="114" t="s">
        <v>129</v>
      </c>
      <c r="B112" s="114" t="s">
        <v>126</v>
      </c>
      <c r="C112" s="75">
        <v>0</v>
      </c>
      <c r="D112" s="17">
        <f ca="1">((100/(H104))*C112)/100</f>
        <v>0</v>
      </c>
      <c r="E112" s="117"/>
      <c r="F112" s="117"/>
      <c r="G112" s="117"/>
      <c r="H112" s="117"/>
      <c r="I112" s="13" t="s">
        <v>137</v>
      </c>
      <c r="J112" s="27">
        <f>(IF(B104&gt;2,(H104/(B104+2)+J111),0))</f>
        <v>0</v>
      </c>
    </row>
    <row r="113" spans="1:22" ht="15.75" hidden="1" customHeight="1" x14ac:dyDescent="0.25">
      <c r="A113" s="114" t="s">
        <v>125</v>
      </c>
      <c r="B113" s="114" t="s">
        <v>125</v>
      </c>
      <c r="C113" s="75">
        <v>0</v>
      </c>
      <c r="D113" s="17">
        <f ca="1">((100/H104)*C113)/100</f>
        <v>0</v>
      </c>
      <c r="E113" s="117"/>
      <c r="F113" s="117"/>
      <c r="G113" s="117"/>
      <c r="H113" s="117"/>
      <c r="I113" s="13" t="s">
        <v>138</v>
      </c>
      <c r="J113" s="28">
        <f>(IF(B104&gt;3,(H104/(B104+2)+J112),0))</f>
        <v>0</v>
      </c>
    </row>
    <row r="114" spans="1:22" ht="15.75" hidden="1" customHeight="1" x14ac:dyDescent="0.25">
      <c r="A114" s="114" t="s">
        <v>132</v>
      </c>
      <c r="B114" s="114"/>
      <c r="C114" s="75">
        <v>0</v>
      </c>
      <c r="D114" s="17">
        <f ca="1">((100/H104)*C114)/100</f>
        <v>0</v>
      </c>
      <c r="E114" s="117"/>
      <c r="F114" s="117"/>
      <c r="G114" s="117"/>
      <c r="H114" s="117"/>
      <c r="I114" s="13" t="s">
        <v>139</v>
      </c>
      <c r="J114" s="27">
        <f>(IF(B104&gt;4,(H104/(B104+2)+J113),0))</f>
        <v>0</v>
      </c>
    </row>
    <row r="115" spans="1:22" ht="15.75" hidden="1" customHeight="1" x14ac:dyDescent="0.25">
      <c r="A115" s="114" t="s">
        <v>127</v>
      </c>
      <c r="B115" s="114" t="s">
        <v>127</v>
      </c>
      <c r="C115" s="75">
        <v>0</v>
      </c>
      <c r="D115" s="17">
        <f ca="1">((100/(H104))*C115)/100</f>
        <v>0</v>
      </c>
      <c r="E115" s="117"/>
      <c r="F115" s="117"/>
      <c r="G115" s="117"/>
      <c r="H115" s="117"/>
      <c r="I115" s="13" t="s">
        <v>141</v>
      </c>
      <c r="J115" s="27">
        <f ca="1">(IF(B104=1,(H104/(B104+3)+J110),IF(B104=0,(H104/4+J110),IF(B104&gt;1,0))))</f>
        <v>15</v>
      </c>
    </row>
    <row r="116" spans="1:22" ht="16.5" hidden="1" thickBot="1" x14ac:dyDescent="0.3">
      <c r="A116" s="114" t="s">
        <v>128</v>
      </c>
      <c r="B116" s="114"/>
      <c r="C116" s="75">
        <v>0</v>
      </c>
      <c r="D116" s="17">
        <f ca="1">((100/(H104))*C116)/100</f>
        <v>0</v>
      </c>
      <c r="E116" s="117"/>
      <c r="F116" s="117"/>
      <c r="G116" s="117"/>
      <c r="H116" s="117"/>
      <c r="I116" s="15" t="s">
        <v>98</v>
      </c>
      <c r="J116" s="29">
        <f ca="1">(IF(B104&gt;1.5,(H104/(B104+2)+J110+MAX(0,J111-J110)+MAX(0,J112-J111)+MAX(0,J113-J112)+MAX(0,J114-J113)+MAX(0,J115-J114)),IF(B104=1,(H104/(B104+3)+J115),IF(B104=0,H104/4+J115))))</f>
        <v>20</v>
      </c>
    </row>
    <row r="117" spans="1:22" x14ac:dyDescent="0.25">
      <c r="A117" s="200" t="s">
        <v>150</v>
      </c>
      <c r="B117" s="201"/>
      <c r="C117" s="201"/>
      <c r="D117" s="201"/>
      <c r="E117" s="201"/>
      <c r="F117" s="201"/>
      <c r="G117" s="201"/>
      <c r="H117" s="202"/>
      <c r="I117" s="18" t="s">
        <v>400</v>
      </c>
      <c r="R117" t="s">
        <v>249</v>
      </c>
      <c r="S117" t="s">
        <v>168</v>
      </c>
      <c r="T117" t="s">
        <v>175</v>
      </c>
      <c r="U117" t="s">
        <v>189</v>
      </c>
      <c r="V117" t="s">
        <v>184</v>
      </c>
    </row>
    <row r="118" spans="1:22" x14ac:dyDescent="0.25">
      <c r="A118" s="124" t="s">
        <v>402</v>
      </c>
      <c r="B118" s="124"/>
      <c r="C118" s="124"/>
      <c r="D118" s="124"/>
      <c r="E118" s="124"/>
      <c r="F118" s="151">
        <v>7200</v>
      </c>
      <c r="G118" s="151"/>
      <c r="H118" s="151"/>
      <c r="I118" s="18" t="s">
        <v>401</v>
      </c>
      <c r="R118"/>
      <c r="S118">
        <v>800000</v>
      </c>
      <c r="T118">
        <v>150000</v>
      </c>
      <c r="U118">
        <v>100000</v>
      </c>
      <c r="V118">
        <v>100000</v>
      </c>
    </row>
    <row r="119" spans="1:22" x14ac:dyDescent="0.25">
      <c r="A119" s="124" t="s">
        <v>403</v>
      </c>
      <c r="B119" s="124"/>
      <c r="C119" s="124"/>
      <c r="D119" s="124"/>
      <c r="E119" s="124"/>
      <c r="F119" s="151">
        <v>6500</v>
      </c>
      <c r="G119" s="151"/>
      <c r="H119" s="151"/>
      <c r="I119" s="18" t="s">
        <v>401</v>
      </c>
      <c r="R119"/>
      <c r="S119">
        <v>800000</v>
      </c>
      <c r="T119">
        <v>150000</v>
      </c>
      <c r="U119">
        <v>100000</v>
      </c>
      <c r="V119">
        <v>100000</v>
      </c>
    </row>
    <row r="120" spans="1:22" hidden="1" x14ac:dyDescent="0.25">
      <c r="A120" s="124" t="s">
        <v>151</v>
      </c>
      <c r="B120" s="124"/>
      <c r="C120" s="124"/>
      <c r="D120" s="124"/>
      <c r="E120" s="124"/>
      <c r="F120" s="151"/>
      <c r="G120" s="151"/>
      <c r="H120" s="151"/>
      <c r="R120"/>
      <c r="S120">
        <v>900000</v>
      </c>
      <c r="T120">
        <v>200000</v>
      </c>
      <c r="U120">
        <v>150000</v>
      </c>
      <c r="V120">
        <v>150000</v>
      </c>
    </row>
    <row r="121" spans="1:22" hidden="1" x14ac:dyDescent="0.25">
      <c r="A121" s="124" t="s">
        <v>152</v>
      </c>
      <c r="B121" s="124"/>
      <c r="C121" s="124"/>
      <c r="D121" s="124"/>
      <c r="E121" s="124"/>
      <c r="F121" s="151"/>
      <c r="G121" s="151"/>
      <c r="H121" s="151"/>
      <c r="R121"/>
      <c r="S121">
        <v>1000000</v>
      </c>
      <c r="T121">
        <v>250000</v>
      </c>
      <c r="U121">
        <v>200000</v>
      </c>
      <c r="V121">
        <v>200000</v>
      </c>
    </row>
    <row r="122" spans="1:22" s="30" customFormat="1" hidden="1" x14ac:dyDescent="0.25">
      <c r="A122" s="124" t="s">
        <v>171</v>
      </c>
      <c r="B122" s="124"/>
      <c r="C122" s="124"/>
      <c r="D122" s="124"/>
      <c r="E122" s="124"/>
      <c r="F122" s="151"/>
      <c r="G122" s="151"/>
      <c r="H122" s="151"/>
      <c r="R122"/>
      <c r="S122">
        <v>1100000</v>
      </c>
      <c r="T122">
        <v>300000</v>
      </c>
      <c r="U122">
        <v>250000</v>
      </c>
      <c r="V122" s="20">
        <v>250000</v>
      </c>
    </row>
    <row r="123" spans="1:22" s="30" customFormat="1" hidden="1" x14ac:dyDescent="0.25">
      <c r="A123" s="124" t="s">
        <v>88</v>
      </c>
      <c r="B123" s="124"/>
      <c r="C123" s="124"/>
      <c r="D123" s="124"/>
      <c r="E123" s="124"/>
      <c r="F123" s="151"/>
      <c r="G123" s="151"/>
      <c r="H123" s="151"/>
      <c r="R123"/>
      <c r="S123">
        <v>1200000</v>
      </c>
      <c r="T123">
        <v>350000</v>
      </c>
      <c r="U123">
        <v>300000</v>
      </c>
      <c r="V123">
        <v>300000</v>
      </c>
    </row>
    <row r="124" spans="1:22" s="30" customFormat="1" hidden="1" x14ac:dyDescent="0.25">
      <c r="A124" s="124" t="s">
        <v>89</v>
      </c>
      <c r="B124" s="124"/>
      <c r="C124" s="124"/>
      <c r="D124" s="124"/>
      <c r="E124" s="124"/>
      <c r="F124" s="151"/>
      <c r="G124" s="151"/>
      <c r="H124" s="151"/>
      <c r="R124"/>
      <c r="S124">
        <v>1300000</v>
      </c>
      <c r="T124">
        <v>400000</v>
      </c>
      <c r="U124">
        <v>350000</v>
      </c>
      <c r="V124" s="20">
        <v>400000</v>
      </c>
    </row>
    <row r="125" spans="1:22" s="30" customFormat="1" hidden="1" x14ac:dyDescent="0.25">
      <c r="A125" s="124" t="s">
        <v>90</v>
      </c>
      <c r="B125" s="124"/>
      <c r="C125" s="124"/>
      <c r="D125" s="124"/>
      <c r="E125" s="124"/>
      <c r="F125" s="151"/>
      <c r="G125" s="151"/>
      <c r="H125" s="151"/>
      <c r="R125"/>
      <c r="S125">
        <v>1400000</v>
      </c>
      <c r="T125">
        <v>500000</v>
      </c>
      <c r="U125">
        <v>400000</v>
      </c>
      <c r="V125"/>
    </row>
    <row r="126" spans="1:22" s="30" customFormat="1" hidden="1" x14ac:dyDescent="0.25">
      <c r="A126" s="124" t="s">
        <v>91</v>
      </c>
      <c r="B126" s="124"/>
      <c r="C126" s="124"/>
      <c r="D126" s="124"/>
      <c r="E126" s="124"/>
      <c r="F126" s="151"/>
      <c r="G126" s="151"/>
      <c r="H126" s="151"/>
      <c r="R126"/>
      <c r="S126">
        <v>1500000</v>
      </c>
      <c r="T126">
        <v>600000</v>
      </c>
      <c r="U126">
        <v>500000</v>
      </c>
      <c r="V126" s="20"/>
    </row>
    <row r="127" spans="1:22" s="30" customFormat="1" hidden="1" x14ac:dyDescent="0.25">
      <c r="A127" s="124" t="s">
        <v>92</v>
      </c>
      <c r="B127" s="124"/>
      <c r="C127" s="124"/>
      <c r="D127" s="124"/>
      <c r="E127" s="124"/>
      <c r="F127" s="151"/>
      <c r="G127" s="151"/>
      <c r="H127" s="151"/>
      <c r="R127"/>
      <c r="S127">
        <v>1600000</v>
      </c>
      <c r="T127">
        <v>700000</v>
      </c>
      <c r="U127">
        <v>600000</v>
      </c>
      <c r="V127"/>
    </row>
    <row r="128" spans="1:22" s="30" customFormat="1" hidden="1" x14ac:dyDescent="0.25">
      <c r="A128" s="124" t="s">
        <v>93</v>
      </c>
      <c r="B128" s="124"/>
      <c r="C128" s="124"/>
      <c r="D128" s="124"/>
      <c r="E128" s="124"/>
      <c r="F128" s="151"/>
      <c r="G128" s="151"/>
      <c r="H128" s="151"/>
      <c r="R128"/>
      <c r="S128">
        <v>1700000</v>
      </c>
      <c r="T128">
        <v>800000</v>
      </c>
      <c r="U128"/>
      <c r="V128" s="20"/>
    </row>
    <row r="129" spans="1:22" hidden="1" x14ac:dyDescent="0.25">
      <c r="A129" s="124" t="s">
        <v>48</v>
      </c>
      <c r="B129" s="124"/>
      <c r="C129" s="124"/>
      <c r="D129" s="124"/>
      <c r="E129" s="124"/>
      <c r="F129" s="197">
        <v>600000</v>
      </c>
      <c r="G129" s="197"/>
      <c r="H129" s="197"/>
      <c r="R129"/>
      <c r="S129">
        <v>1800000</v>
      </c>
      <c r="T129">
        <v>900000</v>
      </c>
      <c r="U129"/>
    </row>
    <row r="130" spans="1:22" s="31" customFormat="1" x14ac:dyDescent="0.25">
      <c r="A130" s="156" t="s">
        <v>49</v>
      </c>
      <c r="B130" s="156"/>
      <c r="C130" s="156"/>
      <c r="D130" s="156"/>
      <c r="E130" s="156"/>
      <c r="F130" s="151">
        <f>F119*0.8</f>
        <v>5200</v>
      </c>
      <c r="G130" s="151"/>
      <c r="H130" s="151"/>
      <c r="R130" s="18"/>
      <c r="S130" s="18"/>
      <c r="T130">
        <v>1000000</v>
      </c>
      <c r="U130"/>
      <c r="V130" s="18"/>
    </row>
    <row r="131" spans="1:22" s="32" customFormat="1" ht="15.75" customHeight="1" x14ac:dyDescent="0.25">
      <c r="A131" s="118" t="s">
        <v>70</v>
      </c>
      <c r="B131" s="118"/>
      <c r="C131" s="118"/>
      <c r="D131" s="118"/>
      <c r="E131" s="118"/>
      <c r="F131" s="118"/>
      <c r="G131" s="118"/>
      <c r="H131" s="118"/>
      <c r="I131" s="32">
        <v>7200</v>
      </c>
      <c r="R131"/>
      <c r="S131" s="18"/>
      <c r="T131"/>
      <c r="U131"/>
      <c r="V131" s="18"/>
    </row>
    <row r="132" spans="1:22" s="32" customFormat="1" ht="31.5" customHeight="1" x14ac:dyDescent="0.25">
      <c r="A132" s="92" t="s">
        <v>374</v>
      </c>
      <c r="B132" s="92" t="s">
        <v>73</v>
      </c>
      <c r="C132" s="221" t="s">
        <v>375</v>
      </c>
      <c r="D132" s="221"/>
      <c r="E132" s="119" t="s">
        <v>377</v>
      </c>
      <c r="F132" s="119"/>
      <c r="G132" s="130" t="s">
        <v>376</v>
      </c>
      <c r="H132" s="130"/>
      <c r="R132"/>
      <c r="S132" s="18"/>
      <c r="T132"/>
      <c r="U132" s="18"/>
      <c r="V132" s="18"/>
    </row>
    <row r="133" spans="1:22" s="32" customFormat="1" x14ac:dyDescent="0.25">
      <c r="A133" s="93" t="s">
        <v>378</v>
      </c>
      <c r="B133" s="93">
        <f>COUNT(A154:B295)</f>
        <v>142</v>
      </c>
      <c r="C133" s="128">
        <f>SUM(C154:C295)</f>
        <v>26919.300000000003</v>
      </c>
      <c r="D133" s="129"/>
      <c r="E133" s="128">
        <f>SUM(D154:D295)</f>
        <v>289759.3452000001</v>
      </c>
      <c r="F133" s="129"/>
      <c r="G133" s="203">
        <f>SUM(E154:E295)</f>
        <v>434349.25845480012</v>
      </c>
      <c r="H133" s="203"/>
      <c r="R133"/>
      <c r="S133" s="18"/>
      <c r="T133"/>
      <c r="U133" s="18"/>
      <c r="V133" s="18"/>
    </row>
    <row r="134" spans="1:22" s="32" customFormat="1" hidden="1" x14ac:dyDescent="0.25">
      <c r="A134" s="198"/>
      <c r="B134" s="198"/>
      <c r="C134" s="129"/>
      <c r="D134" s="129"/>
      <c r="E134" s="204"/>
      <c r="F134" s="204"/>
      <c r="G134" s="203"/>
      <c r="H134" s="203"/>
      <c r="R134"/>
      <c r="S134" s="18"/>
      <c r="T134"/>
      <c r="U134" s="18"/>
      <c r="V134" s="18"/>
    </row>
    <row r="135" spans="1:22" s="32" customFormat="1" hidden="1" x14ac:dyDescent="0.25">
      <c r="A135" s="118" t="s">
        <v>144</v>
      </c>
      <c r="B135" s="118"/>
      <c r="C135" s="205"/>
      <c r="D135" s="205"/>
      <c r="E135" s="119"/>
      <c r="F135" s="119"/>
      <c r="G135" s="130"/>
      <c r="H135" s="130"/>
      <c r="R135"/>
      <c r="S135" s="18"/>
      <c r="T135"/>
      <c r="U135" s="18"/>
      <c r="V135" s="18"/>
    </row>
    <row r="136" spans="1:22" s="32" customFormat="1" hidden="1" x14ac:dyDescent="0.25">
      <c r="A136" s="118" t="s">
        <v>65</v>
      </c>
      <c r="B136" s="118"/>
      <c r="C136" s="118"/>
      <c r="D136" s="118"/>
      <c r="E136" s="118"/>
      <c r="F136" s="118"/>
      <c r="G136" s="118"/>
      <c r="H136" s="118"/>
      <c r="T136"/>
    </row>
    <row r="137" spans="1:22" s="32" customFormat="1" ht="15.75" hidden="1" customHeight="1" x14ac:dyDescent="0.25">
      <c r="A137" s="130" t="s">
        <v>50</v>
      </c>
      <c r="B137" s="130"/>
      <c r="C137" s="205" t="s">
        <v>73</v>
      </c>
      <c r="D137" s="205"/>
      <c r="E137" s="119" t="s">
        <v>51</v>
      </c>
      <c r="F137" s="119"/>
      <c r="G137" s="130" t="s">
        <v>52</v>
      </c>
      <c r="H137" s="130"/>
      <c r="T137"/>
    </row>
    <row r="138" spans="1:22" s="32" customFormat="1" hidden="1" x14ac:dyDescent="0.25">
      <c r="A138" s="198"/>
      <c r="B138" s="198"/>
      <c r="C138" s="129"/>
      <c r="D138" s="129"/>
      <c r="E138" s="204"/>
      <c r="F138" s="204"/>
      <c r="G138" s="203"/>
      <c r="H138" s="203"/>
      <c r="T138"/>
    </row>
    <row r="139" spans="1:22" s="32" customFormat="1" hidden="1" x14ac:dyDescent="0.25">
      <c r="A139" s="198"/>
      <c r="B139" s="198"/>
      <c r="C139" s="129"/>
      <c r="D139" s="129"/>
      <c r="E139" s="204"/>
      <c r="F139" s="204"/>
      <c r="G139" s="203"/>
      <c r="H139" s="203"/>
      <c r="T139"/>
    </row>
    <row r="140" spans="1:22" s="32" customFormat="1" hidden="1" x14ac:dyDescent="0.25">
      <c r="A140" s="118" t="s">
        <v>144</v>
      </c>
      <c r="B140" s="118"/>
      <c r="C140" s="205"/>
      <c r="D140" s="205"/>
      <c r="E140" s="119"/>
      <c r="F140" s="119"/>
      <c r="G140" s="130"/>
      <c r="H140" s="130"/>
      <c r="T140"/>
    </row>
    <row r="141" spans="1:22" s="32" customFormat="1" hidden="1" x14ac:dyDescent="0.25">
      <c r="A141" s="118" t="s">
        <v>159</v>
      </c>
      <c r="B141" s="118"/>
      <c r="C141" s="205">
        <f>C135+C140</f>
        <v>0</v>
      </c>
      <c r="D141" s="205"/>
      <c r="E141" s="119">
        <f>E135+E140</f>
        <v>0</v>
      </c>
      <c r="F141" s="119"/>
      <c r="G141" s="130">
        <f>G135+G140</f>
        <v>0</v>
      </c>
      <c r="H141" s="130"/>
      <c r="T141"/>
    </row>
    <row r="142" spans="1:22" s="31" customFormat="1" x14ac:dyDescent="0.25">
      <c r="A142" s="193" t="s">
        <v>379</v>
      </c>
      <c r="B142" s="193"/>
      <c r="C142" s="193"/>
      <c r="D142" s="193"/>
      <c r="E142" s="193"/>
      <c r="F142" s="193"/>
      <c r="G142" s="193"/>
      <c r="H142" s="193"/>
      <c r="T142" s="32"/>
    </row>
    <row r="143" spans="1:22" hidden="1" x14ac:dyDescent="0.25">
      <c r="A143" s="213" t="s">
        <v>170</v>
      </c>
      <c r="B143" s="213"/>
      <c r="C143" s="213"/>
      <c r="D143" s="213"/>
      <c r="E143" s="213"/>
      <c r="F143" s="213"/>
      <c r="G143" s="213"/>
      <c r="H143" s="213"/>
      <c r="T143" s="32"/>
    </row>
    <row r="144" spans="1:22" ht="47.25" hidden="1" customHeight="1" x14ac:dyDescent="0.25">
      <c r="A144" s="115" t="s">
        <v>114</v>
      </c>
      <c r="B144" s="115" t="s">
        <v>172</v>
      </c>
      <c r="C144" s="115" t="s">
        <v>53</v>
      </c>
      <c r="D144" s="152" t="s">
        <v>227</v>
      </c>
      <c r="E144" s="120" t="s">
        <v>149</v>
      </c>
      <c r="F144" s="115" t="s">
        <v>54</v>
      </c>
      <c r="G144" s="120" t="s">
        <v>55</v>
      </c>
      <c r="H144" s="95" t="s">
        <v>143</v>
      </c>
      <c r="T144" s="32"/>
    </row>
    <row r="145" spans="1:20" s="34" customFormat="1" hidden="1" x14ac:dyDescent="0.25">
      <c r="A145" s="115"/>
      <c r="B145" s="115"/>
      <c r="C145" s="115"/>
      <c r="D145" s="152"/>
      <c r="E145" s="120"/>
      <c r="F145" s="115"/>
      <c r="G145" s="120"/>
      <c r="H145" s="96">
        <v>0.45</v>
      </c>
      <c r="T145" s="32"/>
    </row>
    <row r="146" spans="1:20" s="34" customFormat="1" hidden="1" x14ac:dyDescent="0.25">
      <c r="A146" s="150" t="s">
        <v>113</v>
      </c>
      <c r="B146" s="150"/>
      <c r="C146" s="150"/>
      <c r="D146" s="150"/>
      <c r="E146" s="150"/>
      <c r="F146" s="150"/>
      <c r="G146" s="150"/>
      <c r="H146" s="150"/>
      <c r="J146" s="33"/>
      <c r="T146" s="32"/>
    </row>
    <row r="147" spans="1:20" s="34" customFormat="1" ht="15.75" hidden="1" customHeight="1" x14ac:dyDescent="0.25">
      <c r="A147" s="199">
        <v>1</v>
      </c>
      <c r="B147" s="199"/>
      <c r="C147" s="78"/>
      <c r="D147" s="78">
        <v>0</v>
      </c>
      <c r="E147" s="78">
        <v>0</v>
      </c>
      <c r="F147" s="78">
        <f>D147+(IF(E147&lt;201,E147,IF(E147&lt;301,E147/2,E147/3)))</f>
        <v>0</v>
      </c>
      <c r="G147" s="55">
        <v>0</v>
      </c>
      <c r="H147" s="78">
        <f>(F147+(IF(G147&lt;101,G147,IF(G147&lt;201,G147/2,IF(G147&lt;=301,G147/3,G147/4)))))*(($H$145)+1)</f>
        <v>0</v>
      </c>
      <c r="I147" s="33"/>
      <c r="L147" s="110"/>
      <c r="M147" s="110"/>
      <c r="N147" s="33"/>
      <c r="T147" s="32"/>
    </row>
    <row r="148" spans="1:20" s="34" customFormat="1" ht="15.75" hidden="1" customHeight="1" x14ac:dyDescent="0.25">
      <c r="A148" s="199">
        <f>A147+1</f>
        <v>2</v>
      </c>
      <c r="B148" s="199"/>
      <c r="C148" s="78"/>
      <c r="D148" s="78"/>
      <c r="E148" s="78">
        <v>0</v>
      </c>
      <c r="F148" s="78">
        <f t="shared" ref="F148:F150" si="0">D148+(IF(E148&lt;201,E148,IF(E148&lt;301,E148/2,E148/3)))</f>
        <v>0</v>
      </c>
      <c r="G148" s="78">
        <v>0</v>
      </c>
      <c r="H148" s="78">
        <f t="shared" ref="H148:H150" si="1">(F148+(IF(G148&lt;101,G148,IF(G148&lt;201,G148/2,IF(G148&lt;=301,G148/3,G148/4)))))*(($H$145)+1)</f>
        <v>0</v>
      </c>
      <c r="I148" s="33"/>
      <c r="L148" s="110"/>
      <c r="M148" s="110"/>
      <c r="N148" s="33"/>
      <c r="T148" s="31"/>
    </row>
    <row r="149" spans="1:20" s="34" customFormat="1" ht="15.75" hidden="1" customHeight="1" x14ac:dyDescent="0.25">
      <c r="A149" s="199">
        <f>A148+1</f>
        <v>3</v>
      </c>
      <c r="B149" s="199"/>
      <c r="C149" s="78"/>
      <c r="D149" s="78"/>
      <c r="E149" s="78">
        <v>0</v>
      </c>
      <c r="F149" s="78">
        <f t="shared" si="0"/>
        <v>0</v>
      </c>
      <c r="G149" s="78">
        <v>0</v>
      </c>
      <c r="H149" s="78">
        <f t="shared" si="1"/>
        <v>0</v>
      </c>
      <c r="I149" s="33"/>
      <c r="L149" s="110"/>
      <c r="M149" s="110"/>
      <c r="N149" s="33"/>
      <c r="T149" s="18"/>
    </row>
    <row r="150" spans="1:20" s="34" customFormat="1" ht="15.75" hidden="1" customHeight="1" x14ac:dyDescent="0.25">
      <c r="A150" s="199">
        <f>A149+1</f>
        <v>4</v>
      </c>
      <c r="B150" s="199"/>
      <c r="C150" s="78"/>
      <c r="D150" s="78"/>
      <c r="E150" s="78">
        <v>0</v>
      </c>
      <c r="F150" s="78">
        <f t="shared" si="0"/>
        <v>0</v>
      </c>
      <c r="G150" s="78">
        <v>0</v>
      </c>
      <c r="H150" s="78">
        <f t="shared" si="1"/>
        <v>0</v>
      </c>
      <c r="I150" s="33"/>
      <c r="L150" s="110"/>
      <c r="M150" s="110"/>
      <c r="N150" s="33"/>
      <c r="T150" s="18"/>
    </row>
    <row r="151" spans="1:20" s="34" customFormat="1" hidden="1" x14ac:dyDescent="0.25">
      <c r="A151" s="199"/>
      <c r="B151" s="199"/>
      <c r="C151" s="199"/>
      <c r="D151" s="199"/>
      <c r="E151" s="199"/>
      <c r="F151" s="199"/>
      <c r="G151" s="199"/>
      <c r="H151" s="199"/>
      <c r="I151" s="33"/>
      <c r="N151" s="33"/>
    </row>
    <row r="152" spans="1:20" ht="84.75" customHeight="1" x14ac:dyDescent="0.25">
      <c r="A152" s="97" t="s">
        <v>380</v>
      </c>
      <c r="B152" s="97" t="s">
        <v>381</v>
      </c>
      <c r="C152" s="97" t="s">
        <v>382</v>
      </c>
      <c r="D152" s="98" t="s">
        <v>383</v>
      </c>
      <c r="E152" s="97" t="s">
        <v>384</v>
      </c>
      <c r="F152" s="97" t="s">
        <v>54</v>
      </c>
      <c r="G152" s="120" t="s">
        <v>385</v>
      </c>
      <c r="H152" s="120"/>
      <c r="I152" s="33"/>
      <c r="T152" s="77"/>
    </row>
    <row r="153" spans="1:20" s="77" customFormat="1" hidden="1" x14ac:dyDescent="0.25">
      <c r="A153" s="121" t="s">
        <v>113</v>
      </c>
      <c r="B153" s="122"/>
      <c r="C153" s="122"/>
      <c r="D153" s="122"/>
      <c r="E153" s="122"/>
      <c r="F153" s="122"/>
      <c r="G153" s="122"/>
      <c r="H153" s="123"/>
      <c r="J153" s="33"/>
    </row>
    <row r="154" spans="1:20" s="77" customFormat="1" ht="15.75" customHeight="1" x14ac:dyDescent="0.25">
      <c r="A154" s="106">
        <v>1</v>
      </c>
      <c r="B154" s="107"/>
      <c r="C154" s="78">
        <f>1355.39</f>
        <v>1355.39</v>
      </c>
      <c r="D154" s="78">
        <f>C154*10.764</f>
        <v>14589.417960000001</v>
      </c>
      <c r="E154" s="78">
        <f>D154*1.499</f>
        <v>21869.537522040002</v>
      </c>
      <c r="F154" s="78">
        <v>0</v>
      </c>
      <c r="G154" s="106" t="s">
        <v>386</v>
      </c>
      <c r="H154" s="107"/>
      <c r="I154" s="85">
        <f>C154*1.499</f>
        <v>2031.7296100000003</v>
      </c>
      <c r="J154" s="77">
        <f>I154*1.1</f>
        <v>2234.9025710000005</v>
      </c>
      <c r="L154" s="110"/>
      <c r="M154" s="110"/>
      <c r="N154" s="33"/>
    </row>
    <row r="155" spans="1:20" s="77" customFormat="1" ht="15.75" customHeight="1" x14ac:dyDescent="0.25">
      <c r="A155" s="106">
        <f>A154+1</f>
        <v>2</v>
      </c>
      <c r="B155" s="107"/>
      <c r="C155" s="78">
        <f>991.64</f>
        <v>991.64</v>
      </c>
      <c r="D155" s="78">
        <f t="shared" ref="D155:D159" si="2">C155*10.764</f>
        <v>10674.01296</v>
      </c>
      <c r="E155" s="78">
        <f t="shared" ref="E155:E218" si="3">D155*1.499</f>
        <v>16000.345427040002</v>
      </c>
      <c r="F155" s="78">
        <v>0</v>
      </c>
      <c r="G155" s="106" t="s">
        <v>386</v>
      </c>
      <c r="H155" s="107"/>
      <c r="I155" s="33"/>
      <c r="L155" s="110"/>
      <c r="M155" s="110"/>
      <c r="N155" s="33"/>
    </row>
    <row r="156" spans="1:20" s="77" customFormat="1" ht="15.75" customHeight="1" x14ac:dyDescent="0.25">
      <c r="A156" s="106">
        <f t="shared" ref="A156:A159" si="4">A155+1</f>
        <v>3</v>
      </c>
      <c r="B156" s="107"/>
      <c r="C156" s="78">
        <f>142.87</f>
        <v>142.87</v>
      </c>
      <c r="D156" s="78">
        <f>C156*10.764</f>
        <v>1537.85268</v>
      </c>
      <c r="E156" s="78">
        <f t="shared" si="3"/>
        <v>2305.2411673199999</v>
      </c>
      <c r="F156" s="78">
        <v>0</v>
      </c>
      <c r="G156" s="106" t="s">
        <v>386</v>
      </c>
      <c r="H156" s="107"/>
      <c r="I156" s="33"/>
      <c r="L156" s="110"/>
      <c r="M156" s="110"/>
      <c r="N156" s="33"/>
    </row>
    <row r="157" spans="1:20" s="77" customFormat="1" ht="15.75" customHeight="1" x14ac:dyDescent="0.25">
      <c r="A157" s="106">
        <f t="shared" si="4"/>
        <v>4</v>
      </c>
      <c r="B157" s="107"/>
      <c r="C157" s="78">
        <f>104</f>
        <v>104</v>
      </c>
      <c r="D157" s="78">
        <f t="shared" si="2"/>
        <v>1119.4559999999999</v>
      </c>
      <c r="E157" s="78">
        <f t="shared" si="3"/>
        <v>1678.0645440000001</v>
      </c>
      <c r="F157" s="78">
        <v>0</v>
      </c>
      <c r="G157" s="108" t="s">
        <v>386</v>
      </c>
      <c r="H157" s="109"/>
      <c r="I157" s="33"/>
      <c r="L157" s="110"/>
      <c r="M157" s="110"/>
      <c r="N157" s="33"/>
      <c r="T157" s="18"/>
    </row>
    <row r="158" spans="1:20" s="77" customFormat="1" ht="15.75" customHeight="1" x14ac:dyDescent="0.25">
      <c r="A158" s="106">
        <f t="shared" si="4"/>
        <v>5</v>
      </c>
      <c r="B158" s="107"/>
      <c r="C158" s="78">
        <f>104</f>
        <v>104</v>
      </c>
      <c r="D158" s="78">
        <f t="shared" si="2"/>
        <v>1119.4559999999999</v>
      </c>
      <c r="E158" s="78">
        <f t="shared" si="3"/>
        <v>1678.0645440000001</v>
      </c>
      <c r="F158" s="78">
        <v>0</v>
      </c>
      <c r="G158" s="108" t="s">
        <v>386</v>
      </c>
      <c r="H158" s="109"/>
      <c r="I158" s="33"/>
      <c r="N158" s="33"/>
      <c r="T158" s="18"/>
    </row>
    <row r="159" spans="1:20" s="77" customFormat="1" ht="15.75" customHeight="1" x14ac:dyDescent="0.25">
      <c r="A159" s="106">
        <f t="shared" si="4"/>
        <v>6</v>
      </c>
      <c r="B159" s="107"/>
      <c r="C159" s="78">
        <f>104</f>
        <v>104</v>
      </c>
      <c r="D159" s="78">
        <f t="shared" si="2"/>
        <v>1119.4559999999999</v>
      </c>
      <c r="E159" s="78">
        <f t="shared" si="3"/>
        <v>1678.0645440000001</v>
      </c>
      <c r="F159" s="78">
        <v>0</v>
      </c>
      <c r="G159" s="108" t="s">
        <v>386</v>
      </c>
      <c r="H159" s="109"/>
      <c r="I159" s="33"/>
      <c r="N159" s="33"/>
      <c r="T159" s="18"/>
    </row>
    <row r="160" spans="1:20" s="77" customFormat="1" ht="15.75" customHeight="1" x14ac:dyDescent="0.25">
      <c r="A160" s="106">
        <f t="shared" ref="A160:A165" si="5">A159+1</f>
        <v>7</v>
      </c>
      <c r="B160" s="107"/>
      <c r="C160" s="78">
        <f>104</f>
        <v>104</v>
      </c>
      <c r="D160" s="78">
        <f t="shared" ref="D160:D165" si="6">C160*10.764</f>
        <v>1119.4559999999999</v>
      </c>
      <c r="E160" s="78">
        <f t="shared" si="3"/>
        <v>1678.0645440000001</v>
      </c>
      <c r="F160" s="78">
        <v>0</v>
      </c>
      <c r="G160" s="106" t="s">
        <v>386</v>
      </c>
      <c r="H160" s="107"/>
      <c r="I160" s="33"/>
      <c r="N160" s="33"/>
      <c r="T160" s="18"/>
    </row>
    <row r="161" spans="1:20" s="77" customFormat="1" ht="15.75" customHeight="1" x14ac:dyDescent="0.25">
      <c r="A161" s="106">
        <f t="shared" si="5"/>
        <v>8</v>
      </c>
      <c r="B161" s="107"/>
      <c r="C161" s="78">
        <f>104</f>
        <v>104</v>
      </c>
      <c r="D161" s="78">
        <f t="shared" si="6"/>
        <v>1119.4559999999999</v>
      </c>
      <c r="E161" s="78">
        <f t="shared" si="3"/>
        <v>1678.0645440000001</v>
      </c>
      <c r="F161" s="78">
        <v>0</v>
      </c>
      <c r="G161" s="108" t="s">
        <v>386</v>
      </c>
      <c r="H161" s="109"/>
      <c r="I161" s="33"/>
      <c r="N161" s="33"/>
      <c r="T161" s="18"/>
    </row>
    <row r="162" spans="1:20" s="77" customFormat="1" ht="15.75" customHeight="1" x14ac:dyDescent="0.25">
      <c r="A162" s="106">
        <f t="shared" si="5"/>
        <v>9</v>
      </c>
      <c r="B162" s="107"/>
      <c r="C162" s="78">
        <f>104</f>
        <v>104</v>
      </c>
      <c r="D162" s="78">
        <f t="shared" si="6"/>
        <v>1119.4559999999999</v>
      </c>
      <c r="E162" s="78">
        <f t="shared" si="3"/>
        <v>1678.0645440000001</v>
      </c>
      <c r="F162" s="78">
        <v>0</v>
      </c>
      <c r="G162" s="108" t="s">
        <v>386</v>
      </c>
      <c r="H162" s="109"/>
      <c r="I162" s="33"/>
      <c r="N162" s="33"/>
      <c r="T162" s="18"/>
    </row>
    <row r="163" spans="1:20" s="77" customFormat="1" ht="15.75" customHeight="1" x14ac:dyDescent="0.25">
      <c r="A163" s="106">
        <f t="shared" si="5"/>
        <v>10</v>
      </c>
      <c r="B163" s="107"/>
      <c r="C163" s="78">
        <f>104</f>
        <v>104</v>
      </c>
      <c r="D163" s="78">
        <f t="shared" si="6"/>
        <v>1119.4559999999999</v>
      </c>
      <c r="E163" s="78">
        <f t="shared" si="3"/>
        <v>1678.0645440000001</v>
      </c>
      <c r="F163" s="78">
        <v>0</v>
      </c>
      <c r="G163" s="106" t="s">
        <v>386</v>
      </c>
      <c r="H163" s="107"/>
      <c r="I163" s="33"/>
      <c r="N163" s="33"/>
      <c r="T163" s="18"/>
    </row>
    <row r="164" spans="1:20" s="77" customFormat="1" ht="15.75" customHeight="1" x14ac:dyDescent="0.25">
      <c r="A164" s="106">
        <f t="shared" si="5"/>
        <v>11</v>
      </c>
      <c r="B164" s="107"/>
      <c r="C164" s="78">
        <f>165.43</f>
        <v>165.43</v>
      </c>
      <c r="D164" s="78">
        <f t="shared" si="6"/>
        <v>1780.6885199999999</v>
      </c>
      <c r="E164" s="78">
        <f t="shared" si="3"/>
        <v>2669.2520914800002</v>
      </c>
      <c r="F164" s="78">
        <v>0</v>
      </c>
      <c r="G164" s="108" t="s">
        <v>386</v>
      </c>
      <c r="H164" s="109"/>
      <c r="I164" s="33"/>
      <c r="N164" s="33"/>
      <c r="T164" s="18"/>
    </row>
    <row r="165" spans="1:20" s="77" customFormat="1" ht="15.75" customHeight="1" x14ac:dyDescent="0.25">
      <c r="A165" s="106">
        <f t="shared" si="5"/>
        <v>12</v>
      </c>
      <c r="B165" s="107"/>
      <c r="C165" s="78">
        <f>165.43</f>
        <v>165.43</v>
      </c>
      <c r="D165" s="78">
        <f t="shared" si="6"/>
        <v>1780.6885199999999</v>
      </c>
      <c r="E165" s="78">
        <f t="shared" si="3"/>
        <v>2669.2520914800002</v>
      </c>
      <c r="F165" s="78">
        <v>0</v>
      </c>
      <c r="G165" s="108" t="s">
        <v>386</v>
      </c>
      <c r="H165" s="109"/>
      <c r="I165" s="33"/>
      <c r="N165" s="33"/>
      <c r="T165" s="18"/>
    </row>
    <row r="166" spans="1:20" s="77" customFormat="1" ht="15.75" customHeight="1" x14ac:dyDescent="0.25">
      <c r="A166" s="106">
        <f t="shared" ref="A166:A177" si="7">A165+1</f>
        <v>13</v>
      </c>
      <c r="B166" s="107"/>
      <c r="C166" s="78">
        <f>104</f>
        <v>104</v>
      </c>
      <c r="D166" s="78">
        <f t="shared" ref="D166:D177" si="8">C166*10.764</f>
        <v>1119.4559999999999</v>
      </c>
      <c r="E166" s="78">
        <f t="shared" si="3"/>
        <v>1678.0645440000001</v>
      </c>
      <c r="F166" s="78">
        <v>0</v>
      </c>
      <c r="G166" s="106" t="s">
        <v>386</v>
      </c>
      <c r="H166" s="107"/>
      <c r="I166" s="33"/>
      <c r="N166" s="33"/>
      <c r="T166" s="18"/>
    </row>
    <row r="167" spans="1:20" s="77" customFormat="1" ht="15.75" customHeight="1" x14ac:dyDescent="0.25">
      <c r="A167" s="106">
        <f t="shared" si="7"/>
        <v>14</v>
      </c>
      <c r="B167" s="107"/>
      <c r="C167" s="78">
        <f>104</f>
        <v>104</v>
      </c>
      <c r="D167" s="78">
        <f t="shared" si="8"/>
        <v>1119.4559999999999</v>
      </c>
      <c r="E167" s="78">
        <f t="shared" si="3"/>
        <v>1678.0645440000001</v>
      </c>
      <c r="F167" s="78">
        <v>0</v>
      </c>
      <c r="G167" s="108" t="s">
        <v>386</v>
      </c>
      <c r="H167" s="109"/>
      <c r="I167" s="33"/>
      <c r="N167" s="33"/>
      <c r="T167" s="18"/>
    </row>
    <row r="168" spans="1:20" s="77" customFormat="1" ht="15.75" customHeight="1" x14ac:dyDescent="0.25">
      <c r="A168" s="106">
        <f t="shared" si="7"/>
        <v>15</v>
      </c>
      <c r="B168" s="107"/>
      <c r="C168" s="78">
        <f>104</f>
        <v>104</v>
      </c>
      <c r="D168" s="78">
        <f t="shared" si="8"/>
        <v>1119.4559999999999</v>
      </c>
      <c r="E168" s="78">
        <f t="shared" si="3"/>
        <v>1678.0645440000001</v>
      </c>
      <c r="F168" s="78">
        <v>0</v>
      </c>
      <c r="G168" s="108" t="s">
        <v>386</v>
      </c>
      <c r="H168" s="109"/>
      <c r="I168" s="33"/>
      <c r="N168" s="33"/>
      <c r="T168" s="18"/>
    </row>
    <row r="169" spans="1:20" s="77" customFormat="1" ht="15.75" customHeight="1" x14ac:dyDescent="0.25">
      <c r="A169" s="106">
        <f t="shared" si="7"/>
        <v>16</v>
      </c>
      <c r="B169" s="107"/>
      <c r="C169" s="78">
        <f>104</f>
        <v>104</v>
      </c>
      <c r="D169" s="78">
        <f t="shared" si="8"/>
        <v>1119.4559999999999</v>
      </c>
      <c r="E169" s="78">
        <f t="shared" si="3"/>
        <v>1678.0645440000001</v>
      </c>
      <c r="F169" s="78">
        <v>0</v>
      </c>
      <c r="G169" s="106" t="s">
        <v>386</v>
      </c>
      <c r="H169" s="107"/>
      <c r="I169" s="33"/>
      <c r="L169" s="110"/>
      <c r="M169" s="110"/>
      <c r="N169" s="33"/>
      <c r="T169" s="18"/>
    </row>
    <row r="170" spans="1:20" s="77" customFormat="1" ht="15.75" customHeight="1" x14ac:dyDescent="0.25">
      <c r="A170" s="106">
        <f t="shared" si="7"/>
        <v>17</v>
      </c>
      <c r="B170" s="107"/>
      <c r="C170" s="78">
        <f>104</f>
        <v>104</v>
      </c>
      <c r="D170" s="78">
        <f t="shared" si="8"/>
        <v>1119.4559999999999</v>
      </c>
      <c r="E170" s="78">
        <f t="shared" si="3"/>
        <v>1678.0645440000001</v>
      </c>
      <c r="F170" s="78">
        <v>0</v>
      </c>
      <c r="G170" s="108" t="s">
        <v>386</v>
      </c>
      <c r="H170" s="109"/>
      <c r="I170" s="33"/>
      <c r="N170" s="33"/>
      <c r="T170" s="18"/>
    </row>
    <row r="171" spans="1:20" s="77" customFormat="1" ht="15.75" customHeight="1" x14ac:dyDescent="0.25">
      <c r="A171" s="106">
        <f t="shared" si="7"/>
        <v>18</v>
      </c>
      <c r="B171" s="107"/>
      <c r="C171" s="78">
        <f>104</f>
        <v>104</v>
      </c>
      <c r="D171" s="78">
        <f t="shared" si="8"/>
        <v>1119.4559999999999</v>
      </c>
      <c r="E171" s="78">
        <f t="shared" si="3"/>
        <v>1678.0645440000001</v>
      </c>
      <c r="F171" s="78">
        <v>0</v>
      </c>
      <c r="G171" s="108" t="s">
        <v>386</v>
      </c>
      <c r="H171" s="109"/>
      <c r="I171" s="33"/>
      <c r="N171" s="33"/>
      <c r="T171" s="18"/>
    </row>
    <row r="172" spans="1:20" s="77" customFormat="1" ht="15.75" customHeight="1" x14ac:dyDescent="0.25">
      <c r="A172" s="106">
        <f t="shared" si="7"/>
        <v>19</v>
      </c>
      <c r="B172" s="107"/>
      <c r="C172" s="78">
        <f>104</f>
        <v>104</v>
      </c>
      <c r="D172" s="78">
        <f t="shared" si="8"/>
        <v>1119.4559999999999</v>
      </c>
      <c r="E172" s="78">
        <f t="shared" si="3"/>
        <v>1678.0645440000001</v>
      </c>
      <c r="F172" s="78">
        <v>0</v>
      </c>
      <c r="G172" s="106" t="s">
        <v>386</v>
      </c>
      <c r="H172" s="107"/>
      <c r="I172" s="33"/>
      <c r="N172" s="33"/>
      <c r="T172" s="18"/>
    </row>
    <row r="173" spans="1:20" s="77" customFormat="1" ht="15.75" customHeight="1" x14ac:dyDescent="0.25">
      <c r="A173" s="106">
        <f t="shared" si="7"/>
        <v>20</v>
      </c>
      <c r="B173" s="107"/>
      <c r="C173" s="78">
        <f>142.87</f>
        <v>142.87</v>
      </c>
      <c r="D173" s="78">
        <f t="shared" si="8"/>
        <v>1537.85268</v>
      </c>
      <c r="E173" s="78">
        <f t="shared" si="3"/>
        <v>2305.2411673199999</v>
      </c>
      <c r="F173" s="78">
        <v>0</v>
      </c>
      <c r="G173" s="108" t="s">
        <v>386</v>
      </c>
      <c r="H173" s="109"/>
      <c r="I173" s="33"/>
      <c r="N173" s="33"/>
      <c r="T173" s="18"/>
    </row>
    <row r="174" spans="1:20" s="77" customFormat="1" ht="15.75" customHeight="1" x14ac:dyDescent="0.25">
      <c r="A174" s="106">
        <f t="shared" si="7"/>
        <v>21</v>
      </c>
      <c r="B174" s="107"/>
      <c r="C174" s="78">
        <f>173.2</f>
        <v>173.2</v>
      </c>
      <c r="D174" s="78">
        <f t="shared" si="8"/>
        <v>1864.3247999999999</v>
      </c>
      <c r="E174" s="78">
        <f t="shared" si="3"/>
        <v>2794.6228752000002</v>
      </c>
      <c r="F174" s="78">
        <v>0</v>
      </c>
      <c r="G174" s="108" t="s">
        <v>386</v>
      </c>
      <c r="H174" s="109"/>
      <c r="I174" s="33"/>
      <c r="N174" s="33"/>
      <c r="T174" s="18"/>
    </row>
    <row r="175" spans="1:20" s="77" customFormat="1" ht="15.75" customHeight="1" x14ac:dyDescent="0.25">
      <c r="A175" s="106">
        <f t="shared" si="7"/>
        <v>22</v>
      </c>
      <c r="B175" s="107"/>
      <c r="C175" s="78">
        <f>109.91</f>
        <v>109.91</v>
      </c>
      <c r="D175" s="78">
        <f t="shared" si="8"/>
        <v>1183.07124</v>
      </c>
      <c r="E175" s="78">
        <f t="shared" si="3"/>
        <v>1773.4237887600002</v>
      </c>
      <c r="F175" s="78">
        <v>0</v>
      </c>
      <c r="G175" s="106" t="s">
        <v>386</v>
      </c>
      <c r="H175" s="107"/>
      <c r="I175" s="33"/>
      <c r="N175" s="33"/>
      <c r="T175" s="18"/>
    </row>
    <row r="176" spans="1:20" s="77" customFormat="1" ht="15.75" customHeight="1" x14ac:dyDescent="0.25">
      <c r="A176" s="106">
        <f t="shared" si="7"/>
        <v>23</v>
      </c>
      <c r="B176" s="107"/>
      <c r="C176" s="78">
        <f>124.4</f>
        <v>124.4</v>
      </c>
      <c r="D176" s="78">
        <f t="shared" si="8"/>
        <v>1339.0416</v>
      </c>
      <c r="E176" s="78">
        <f t="shared" si="3"/>
        <v>2007.2233584000003</v>
      </c>
      <c r="F176" s="78">
        <v>0</v>
      </c>
      <c r="G176" s="108" t="s">
        <v>386</v>
      </c>
      <c r="H176" s="109"/>
      <c r="I176" s="33"/>
      <c r="N176" s="33"/>
      <c r="T176" s="18"/>
    </row>
    <row r="177" spans="1:20" s="77" customFormat="1" ht="15.75" customHeight="1" x14ac:dyDescent="0.25">
      <c r="A177" s="106">
        <f t="shared" si="7"/>
        <v>24</v>
      </c>
      <c r="B177" s="107"/>
      <c r="C177" s="78">
        <f>138.89</f>
        <v>138.88999999999999</v>
      </c>
      <c r="D177" s="78">
        <f t="shared" si="8"/>
        <v>1495.0119599999998</v>
      </c>
      <c r="E177" s="78">
        <f t="shared" si="3"/>
        <v>2241.0229280399999</v>
      </c>
      <c r="F177" s="78">
        <v>0</v>
      </c>
      <c r="G177" s="108" t="s">
        <v>386</v>
      </c>
      <c r="H177" s="109"/>
      <c r="I177" s="33"/>
      <c r="N177" s="33"/>
      <c r="T177" s="18"/>
    </row>
    <row r="178" spans="1:20" s="77" customFormat="1" ht="15.75" customHeight="1" x14ac:dyDescent="0.25">
      <c r="A178" s="106">
        <f t="shared" ref="A178:A201" si="9">A177+1</f>
        <v>25</v>
      </c>
      <c r="B178" s="107"/>
      <c r="C178" s="78">
        <f>153.38</f>
        <v>153.38</v>
      </c>
      <c r="D178" s="78">
        <f t="shared" ref="D178:D201" si="10">C178*10.764</f>
        <v>1650.9823199999998</v>
      </c>
      <c r="E178" s="78">
        <f t="shared" si="3"/>
        <v>2474.8224976799997</v>
      </c>
      <c r="F178" s="78">
        <v>0</v>
      </c>
      <c r="G178" s="106" t="s">
        <v>386</v>
      </c>
      <c r="H178" s="107"/>
      <c r="I178" s="33"/>
      <c r="N178" s="33"/>
      <c r="T178" s="18"/>
    </row>
    <row r="179" spans="1:20" s="77" customFormat="1" ht="15.75" customHeight="1" x14ac:dyDescent="0.25">
      <c r="A179" s="106">
        <f t="shared" si="9"/>
        <v>26</v>
      </c>
      <c r="B179" s="107"/>
      <c r="C179" s="78">
        <f>183.02</f>
        <v>183.02</v>
      </c>
      <c r="D179" s="78">
        <f t="shared" si="10"/>
        <v>1970.02728</v>
      </c>
      <c r="E179" s="78">
        <f t="shared" si="3"/>
        <v>2953.0708927200003</v>
      </c>
      <c r="F179" s="78">
        <v>0</v>
      </c>
      <c r="G179" s="108" t="s">
        <v>386</v>
      </c>
      <c r="H179" s="109"/>
      <c r="I179" s="33"/>
      <c r="N179" s="33"/>
      <c r="T179" s="18"/>
    </row>
    <row r="180" spans="1:20" s="77" customFormat="1" ht="15.75" customHeight="1" x14ac:dyDescent="0.25">
      <c r="A180" s="106">
        <f t="shared" si="9"/>
        <v>27</v>
      </c>
      <c r="B180" s="107"/>
      <c r="C180" s="78">
        <f>182.45</f>
        <v>182.45</v>
      </c>
      <c r="D180" s="78">
        <f t="shared" si="10"/>
        <v>1963.8917999999996</v>
      </c>
      <c r="E180" s="78">
        <f t="shared" si="3"/>
        <v>2943.8738081999995</v>
      </c>
      <c r="F180" s="78">
        <v>0</v>
      </c>
      <c r="G180" s="108">
        <v>45808</v>
      </c>
      <c r="H180" s="109"/>
      <c r="I180" s="33"/>
      <c r="N180" s="33"/>
      <c r="T180" s="18"/>
    </row>
    <row r="181" spans="1:20" s="77" customFormat="1" ht="15.75" customHeight="1" x14ac:dyDescent="0.25">
      <c r="A181" s="106">
        <f t="shared" si="9"/>
        <v>28</v>
      </c>
      <c r="B181" s="107"/>
      <c r="C181" s="78">
        <f>200</f>
        <v>200</v>
      </c>
      <c r="D181" s="78">
        <f t="shared" si="10"/>
        <v>2152.7999999999997</v>
      </c>
      <c r="E181" s="78">
        <f t="shared" si="3"/>
        <v>3227.0472</v>
      </c>
      <c r="F181" s="78">
        <v>0</v>
      </c>
      <c r="G181" s="108">
        <v>45808</v>
      </c>
      <c r="H181" s="109"/>
      <c r="I181" s="33"/>
      <c r="L181" s="110"/>
      <c r="M181" s="110"/>
      <c r="N181" s="33"/>
      <c r="T181" s="18"/>
    </row>
    <row r="182" spans="1:20" s="77" customFormat="1" ht="15.75" customHeight="1" x14ac:dyDescent="0.25">
      <c r="A182" s="106">
        <f t="shared" si="9"/>
        <v>29</v>
      </c>
      <c r="B182" s="107"/>
      <c r="C182" s="78">
        <f>200</f>
        <v>200</v>
      </c>
      <c r="D182" s="78">
        <f t="shared" si="10"/>
        <v>2152.7999999999997</v>
      </c>
      <c r="E182" s="78">
        <f t="shared" si="3"/>
        <v>3227.0472</v>
      </c>
      <c r="F182" s="78">
        <v>0</v>
      </c>
      <c r="G182" s="108">
        <v>45808</v>
      </c>
      <c r="H182" s="109"/>
      <c r="I182" s="33"/>
      <c r="N182" s="33"/>
      <c r="T182" s="18"/>
    </row>
    <row r="183" spans="1:20" s="77" customFormat="1" ht="15.75" customHeight="1" x14ac:dyDescent="0.25">
      <c r="A183" s="106">
        <f t="shared" si="9"/>
        <v>30</v>
      </c>
      <c r="B183" s="107"/>
      <c r="C183" s="78">
        <f>200</f>
        <v>200</v>
      </c>
      <c r="D183" s="78">
        <f t="shared" si="10"/>
        <v>2152.7999999999997</v>
      </c>
      <c r="E183" s="78">
        <f t="shared" si="3"/>
        <v>3227.0472</v>
      </c>
      <c r="F183" s="78">
        <v>0</v>
      </c>
      <c r="G183" s="108">
        <v>45808</v>
      </c>
      <c r="H183" s="109"/>
      <c r="I183" s="33"/>
      <c r="N183" s="33"/>
      <c r="T183" s="18"/>
    </row>
    <row r="184" spans="1:20" s="77" customFormat="1" ht="15.75" customHeight="1" x14ac:dyDescent="0.25">
      <c r="A184" s="106">
        <f t="shared" si="9"/>
        <v>31</v>
      </c>
      <c r="B184" s="107"/>
      <c r="C184" s="78">
        <f>200</f>
        <v>200</v>
      </c>
      <c r="D184" s="78">
        <f t="shared" si="10"/>
        <v>2152.7999999999997</v>
      </c>
      <c r="E184" s="78">
        <f t="shared" si="3"/>
        <v>3227.0472</v>
      </c>
      <c r="F184" s="78">
        <v>0</v>
      </c>
      <c r="G184" s="108">
        <v>45808</v>
      </c>
      <c r="H184" s="109"/>
      <c r="I184" s="33"/>
      <c r="N184" s="33"/>
      <c r="T184" s="18"/>
    </row>
    <row r="185" spans="1:20" s="77" customFormat="1" ht="15.75" customHeight="1" x14ac:dyDescent="0.25">
      <c r="A185" s="106">
        <f t="shared" si="9"/>
        <v>32</v>
      </c>
      <c r="B185" s="107"/>
      <c r="C185" s="78">
        <f>200</f>
        <v>200</v>
      </c>
      <c r="D185" s="78">
        <f t="shared" si="10"/>
        <v>2152.7999999999997</v>
      </c>
      <c r="E185" s="78">
        <f t="shared" si="3"/>
        <v>3227.0472</v>
      </c>
      <c r="F185" s="78">
        <v>0</v>
      </c>
      <c r="G185" s="108">
        <v>45808</v>
      </c>
      <c r="H185" s="109"/>
      <c r="I185" s="33"/>
      <c r="N185" s="33"/>
      <c r="T185" s="18"/>
    </row>
    <row r="186" spans="1:20" s="77" customFormat="1" ht="15.75" customHeight="1" x14ac:dyDescent="0.25">
      <c r="A186" s="106">
        <f t="shared" si="9"/>
        <v>33</v>
      </c>
      <c r="B186" s="107"/>
      <c r="C186" s="78">
        <f>200</f>
        <v>200</v>
      </c>
      <c r="D186" s="78">
        <f t="shared" si="10"/>
        <v>2152.7999999999997</v>
      </c>
      <c r="E186" s="78">
        <f t="shared" si="3"/>
        <v>3227.0472</v>
      </c>
      <c r="F186" s="78">
        <v>0</v>
      </c>
      <c r="G186" s="108">
        <v>45808</v>
      </c>
      <c r="H186" s="109"/>
      <c r="I186" s="33"/>
      <c r="N186" s="33"/>
      <c r="T186" s="18"/>
    </row>
    <row r="187" spans="1:20" s="77" customFormat="1" ht="15.75" customHeight="1" x14ac:dyDescent="0.25">
      <c r="A187" s="106">
        <f t="shared" si="9"/>
        <v>34</v>
      </c>
      <c r="B187" s="107"/>
      <c r="C187" s="78">
        <f>202.21</f>
        <v>202.21</v>
      </c>
      <c r="D187" s="78">
        <f t="shared" si="10"/>
        <v>2176.58844</v>
      </c>
      <c r="E187" s="78">
        <f t="shared" si="3"/>
        <v>3262.7060715600001</v>
      </c>
      <c r="F187" s="78">
        <v>0</v>
      </c>
      <c r="G187" s="108">
        <v>45808</v>
      </c>
      <c r="H187" s="109"/>
      <c r="I187" s="33"/>
      <c r="N187" s="33"/>
      <c r="T187" s="18"/>
    </row>
    <row r="188" spans="1:20" s="77" customFormat="1" ht="15.75" customHeight="1" x14ac:dyDescent="0.25">
      <c r="A188" s="106">
        <f t="shared" si="9"/>
        <v>35</v>
      </c>
      <c r="B188" s="107"/>
      <c r="C188" s="78">
        <f>120</f>
        <v>120</v>
      </c>
      <c r="D188" s="78">
        <f t="shared" si="10"/>
        <v>1291.6799999999998</v>
      </c>
      <c r="E188" s="78">
        <f t="shared" si="3"/>
        <v>1936.2283199999999</v>
      </c>
      <c r="F188" s="78">
        <v>0</v>
      </c>
      <c r="G188" s="108">
        <v>45808</v>
      </c>
      <c r="H188" s="109"/>
      <c r="I188" s="33"/>
      <c r="N188" s="33"/>
      <c r="T188" s="18"/>
    </row>
    <row r="189" spans="1:20" s="77" customFormat="1" ht="15.75" customHeight="1" x14ac:dyDescent="0.25">
      <c r="A189" s="106">
        <f t="shared" si="9"/>
        <v>36</v>
      </c>
      <c r="B189" s="107"/>
      <c r="C189" s="78">
        <f>120</f>
        <v>120</v>
      </c>
      <c r="D189" s="78">
        <f t="shared" si="10"/>
        <v>1291.6799999999998</v>
      </c>
      <c r="E189" s="78">
        <f t="shared" si="3"/>
        <v>1936.2283199999999</v>
      </c>
      <c r="F189" s="78">
        <v>0</v>
      </c>
      <c r="G189" s="108">
        <v>45808</v>
      </c>
      <c r="H189" s="109"/>
      <c r="I189" s="33"/>
      <c r="N189" s="33"/>
      <c r="T189" s="18"/>
    </row>
    <row r="190" spans="1:20" s="77" customFormat="1" ht="15.75" customHeight="1" x14ac:dyDescent="0.25">
      <c r="A190" s="106">
        <f t="shared" si="9"/>
        <v>37</v>
      </c>
      <c r="B190" s="107"/>
      <c r="C190" s="78">
        <f>120</f>
        <v>120</v>
      </c>
      <c r="D190" s="78">
        <f t="shared" si="10"/>
        <v>1291.6799999999998</v>
      </c>
      <c r="E190" s="78">
        <f t="shared" si="3"/>
        <v>1936.2283199999999</v>
      </c>
      <c r="F190" s="78">
        <v>0</v>
      </c>
      <c r="G190" s="108">
        <v>45808</v>
      </c>
      <c r="H190" s="109"/>
      <c r="I190" s="33"/>
      <c r="N190" s="33"/>
      <c r="T190" s="18"/>
    </row>
    <row r="191" spans="1:20" s="77" customFormat="1" ht="15.75" customHeight="1" x14ac:dyDescent="0.25">
      <c r="A191" s="106">
        <f t="shared" si="9"/>
        <v>38</v>
      </c>
      <c r="B191" s="107"/>
      <c r="C191" s="78">
        <f>120</f>
        <v>120</v>
      </c>
      <c r="D191" s="78">
        <f t="shared" si="10"/>
        <v>1291.6799999999998</v>
      </c>
      <c r="E191" s="78">
        <f t="shared" si="3"/>
        <v>1936.2283199999999</v>
      </c>
      <c r="F191" s="78">
        <v>0</v>
      </c>
      <c r="G191" s="108">
        <v>45808</v>
      </c>
      <c r="H191" s="109"/>
      <c r="I191" s="33"/>
      <c r="N191" s="33"/>
      <c r="T191" s="18"/>
    </row>
    <row r="192" spans="1:20" s="77" customFormat="1" ht="15.75" customHeight="1" x14ac:dyDescent="0.25">
      <c r="A192" s="106">
        <f t="shared" si="9"/>
        <v>39</v>
      </c>
      <c r="B192" s="107"/>
      <c r="C192" s="78">
        <f>120</f>
        <v>120</v>
      </c>
      <c r="D192" s="78">
        <f t="shared" si="10"/>
        <v>1291.6799999999998</v>
      </c>
      <c r="E192" s="78">
        <f t="shared" si="3"/>
        <v>1936.2283199999999</v>
      </c>
      <c r="F192" s="78">
        <v>0</v>
      </c>
      <c r="G192" s="108">
        <v>45808</v>
      </c>
      <c r="H192" s="109"/>
      <c r="I192" s="33"/>
      <c r="N192" s="33"/>
      <c r="T192" s="18"/>
    </row>
    <row r="193" spans="1:20" s="77" customFormat="1" ht="15.75" customHeight="1" x14ac:dyDescent="0.25">
      <c r="A193" s="106">
        <f t="shared" si="9"/>
        <v>40</v>
      </c>
      <c r="B193" s="107"/>
      <c r="C193" s="78">
        <f>120</f>
        <v>120</v>
      </c>
      <c r="D193" s="78">
        <f t="shared" si="10"/>
        <v>1291.6799999999998</v>
      </c>
      <c r="E193" s="78">
        <f t="shared" si="3"/>
        <v>1936.2283199999999</v>
      </c>
      <c r="F193" s="78">
        <v>0</v>
      </c>
      <c r="G193" s="108">
        <v>45808</v>
      </c>
      <c r="H193" s="109"/>
      <c r="I193" s="33"/>
      <c r="L193" s="110"/>
      <c r="M193" s="110"/>
      <c r="N193" s="33"/>
      <c r="T193" s="18"/>
    </row>
    <row r="194" spans="1:20" s="77" customFormat="1" ht="15.75" customHeight="1" x14ac:dyDescent="0.25">
      <c r="A194" s="106">
        <f t="shared" si="9"/>
        <v>41</v>
      </c>
      <c r="B194" s="107"/>
      <c r="C194" s="78">
        <f>120</f>
        <v>120</v>
      </c>
      <c r="D194" s="78">
        <f t="shared" si="10"/>
        <v>1291.6799999999998</v>
      </c>
      <c r="E194" s="78">
        <f t="shared" si="3"/>
        <v>1936.2283199999999</v>
      </c>
      <c r="F194" s="78">
        <v>0</v>
      </c>
      <c r="G194" s="108">
        <v>45808</v>
      </c>
      <c r="H194" s="109"/>
      <c r="I194" s="33"/>
      <c r="N194" s="33"/>
      <c r="T194" s="18"/>
    </row>
    <row r="195" spans="1:20" s="77" customFormat="1" ht="15.75" customHeight="1" x14ac:dyDescent="0.25">
      <c r="A195" s="106">
        <f t="shared" si="9"/>
        <v>42</v>
      </c>
      <c r="B195" s="107"/>
      <c r="C195" s="78">
        <f>120</f>
        <v>120</v>
      </c>
      <c r="D195" s="78">
        <f t="shared" si="10"/>
        <v>1291.6799999999998</v>
      </c>
      <c r="E195" s="78">
        <f t="shared" si="3"/>
        <v>1936.2283199999999</v>
      </c>
      <c r="F195" s="78">
        <v>0</v>
      </c>
      <c r="G195" s="108">
        <v>45808</v>
      </c>
      <c r="H195" s="109"/>
      <c r="I195" s="33"/>
      <c r="N195" s="33"/>
      <c r="T195" s="18"/>
    </row>
    <row r="196" spans="1:20" s="77" customFormat="1" ht="15.75" customHeight="1" x14ac:dyDescent="0.25">
      <c r="A196" s="106">
        <f t="shared" si="9"/>
        <v>43</v>
      </c>
      <c r="B196" s="107"/>
      <c r="C196" s="78">
        <f>120</f>
        <v>120</v>
      </c>
      <c r="D196" s="78">
        <f t="shared" si="10"/>
        <v>1291.6799999999998</v>
      </c>
      <c r="E196" s="78">
        <f t="shared" si="3"/>
        <v>1936.2283199999999</v>
      </c>
      <c r="F196" s="78">
        <v>0</v>
      </c>
      <c r="G196" s="108">
        <v>45808</v>
      </c>
      <c r="H196" s="109"/>
      <c r="I196" s="33"/>
      <c r="N196" s="33"/>
      <c r="T196" s="18"/>
    </row>
    <row r="197" spans="1:20" s="77" customFormat="1" ht="15.75" customHeight="1" x14ac:dyDescent="0.25">
      <c r="A197" s="106">
        <f t="shared" si="9"/>
        <v>44</v>
      </c>
      <c r="B197" s="107"/>
      <c r="C197" s="78">
        <f>120</f>
        <v>120</v>
      </c>
      <c r="D197" s="78">
        <f t="shared" si="10"/>
        <v>1291.6799999999998</v>
      </c>
      <c r="E197" s="78">
        <f t="shared" si="3"/>
        <v>1936.2283199999999</v>
      </c>
      <c r="F197" s="78">
        <v>0</v>
      </c>
      <c r="G197" s="108">
        <v>45808</v>
      </c>
      <c r="H197" s="109"/>
      <c r="I197" s="33"/>
      <c r="N197" s="33"/>
      <c r="T197" s="18"/>
    </row>
    <row r="198" spans="1:20" s="77" customFormat="1" ht="15.75" customHeight="1" x14ac:dyDescent="0.25">
      <c r="A198" s="106">
        <f t="shared" si="9"/>
        <v>45</v>
      </c>
      <c r="B198" s="107"/>
      <c r="C198" s="78">
        <f>252.89</f>
        <v>252.89</v>
      </c>
      <c r="D198" s="78">
        <f t="shared" si="10"/>
        <v>2722.1079599999998</v>
      </c>
      <c r="E198" s="78">
        <f t="shared" si="3"/>
        <v>4080.4398320400001</v>
      </c>
      <c r="F198" s="78">
        <v>0</v>
      </c>
      <c r="G198" s="108">
        <v>45808</v>
      </c>
      <c r="H198" s="109"/>
      <c r="I198" s="33"/>
      <c r="N198" s="33"/>
      <c r="T198" s="18"/>
    </row>
    <row r="199" spans="1:20" s="77" customFormat="1" ht="15.75" customHeight="1" x14ac:dyDescent="0.25">
      <c r="A199" s="106">
        <f t="shared" si="9"/>
        <v>46</v>
      </c>
      <c r="B199" s="107"/>
      <c r="C199" s="78">
        <f>293.65</f>
        <v>293.64999999999998</v>
      </c>
      <c r="D199" s="78">
        <f t="shared" si="10"/>
        <v>3160.8485999999994</v>
      </c>
      <c r="E199" s="78">
        <f t="shared" si="3"/>
        <v>4738.1120513999995</v>
      </c>
      <c r="F199" s="78">
        <v>0</v>
      </c>
      <c r="G199" s="108">
        <v>45808</v>
      </c>
      <c r="H199" s="109"/>
      <c r="I199" s="33"/>
      <c r="N199" s="33"/>
      <c r="T199" s="18"/>
    </row>
    <row r="200" spans="1:20" s="77" customFormat="1" ht="15.75" customHeight="1" x14ac:dyDescent="0.25">
      <c r="A200" s="106">
        <f t="shared" si="9"/>
        <v>47</v>
      </c>
      <c r="B200" s="107"/>
      <c r="C200" s="78">
        <f>150</f>
        <v>150</v>
      </c>
      <c r="D200" s="78">
        <f t="shared" si="10"/>
        <v>1614.6</v>
      </c>
      <c r="E200" s="78">
        <f t="shared" si="3"/>
        <v>2420.2854000000002</v>
      </c>
      <c r="F200" s="78">
        <v>0</v>
      </c>
      <c r="G200" s="108">
        <v>45808</v>
      </c>
      <c r="H200" s="109"/>
      <c r="I200" s="33"/>
      <c r="N200" s="33"/>
      <c r="T200" s="18"/>
    </row>
    <row r="201" spans="1:20" s="77" customFormat="1" ht="15.75" customHeight="1" x14ac:dyDescent="0.25">
      <c r="A201" s="106">
        <f t="shared" si="9"/>
        <v>48</v>
      </c>
      <c r="B201" s="107"/>
      <c r="C201" s="78">
        <f>150</f>
        <v>150</v>
      </c>
      <c r="D201" s="78">
        <f t="shared" si="10"/>
        <v>1614.6</v>
      </c>
      <c r="E201" s="78">
        <f t="shared" si="3"/>
        <v>2420.2854000000002</v>
      </c>
      <c r="F201" s="78">
        <v>0</v>
      </c>
      <c r="G201" s="108">
        <v>45808</v>
      </c>
      <c r="H201" s="109"/>
      <c r="I201" s="33"/>
      <c r="N201" s="33"/>
      <c r="T201" s="18"/>
    </row>
    <row r="202" spans="1:20" s="77" customFormat="1" ht="15.75" customHeight="1" x14ac:dyDescent="0.25">
      <c r="A202" s="106">
        <f t="shared" ref="A202:A249" si="11">A201+1</f>
        <v>49</v>
      </c>
      <c r="B202" s="107"/>
      <c r="C202" s="78">
        <f>150</f>
        <v>150</v>
      </c>
      <c r="D202" s="78">
        <f t="shared" ref="D202:D249" si="12">C202*10.764</f>
        <v>1614.6</v>
      </c>
      <c r="E202" s="78">
        <f t="shared" si="3"/>
        <v>2420.2854000000002</v>
      </c>
      <c r="F202" s="78">
        <v>0</v>
      </c>
      <c r="G202" s="108">
        <v>45808</v>
      </c>
      <c r="H202" s="109"/>
      <c r="I202" s="33"/>
      <c r="N202" s="33"/>
      <c r="T202" s="18"/>
    </row>
    <row r="203" spans="1:20" s="77" customFormat="1" ht="15.75" customHeight="1" x14ac:dyDescent="0.25">
      <c r="A203" s="106">
        <f t="shared" si="11"/>
        <v>50</v>
      </c>
      <c r="B203" s="107"/>
      <c r="C203" s="78">
        <f>150</f>
        <v>150</v>
      </c>
      <c r="D203" s="78">
        <f t="shared" si="12"/>
        <v>1614.6</v>
      </c>
      <c r="E203" s="78">
        <f t="shared" si="3"/>
        <v>2420.2854000000002</v>
      </c>
      <c r="F203" s="78">
        <v>0</v>
      </c>
      <c r="G203" s="108">
        <v>45808</v>
      </c>
      <c r="H203" s="109"/>
      <c r="I203" s="33"/>
      <c r="N203" s="33"/>
      <c r="T203" s="18"/>
    </row>
    <row r="204" spans="1:20" s="77" customFormat="1" ht="15.75" customHeight="1" x14ac:dyDescent="0.25">
      <c r="A204" s="106">
        <f t="shared" si="11"/>
        <v>51</v>
      </c>
      <c r="B204" s="107"/>
      <c r="C204" s="78">
        <f>150</f>
        <v>150</v>
      </c>
      <c r="D204" s="78">
        <f t="shared" si="12"/>
        <v>1614.6</v>
      </c>
      <c r="E204" s="78">
        <f t="shared" si="3"/>
        <v>2420.2854000000002</v>
      </c>
      <c r="F204" s="78">
        <v>0</v>
      </c>
      <c r="G204" s="108">
        <v>45808</v>
      </c>
      <c r="H204" s="109"/>
      <c r="I204" s="33"/>
      <c r="N204" s="33"/>
      <c r="T204" s="18"/>
    </row>
    <row r="205" spans="1:20" s="77" customFormat="1" ht="15.75" customHeight="1" x14ac:dyDescent="0.25">
      <c r="A205" s="106">
        <f t="shared" si="11"/>
        <v>52</v>
      </c>
      <c r="B205" s="107"/>
      <c r="C205" s="78">
        <f>150</f>
        <v>150</v>
      </c>
      <c r="D205" s="78">
        <f t="shared" si="12"/>
        <v>1614.6</v>
      </c>
      <c r="E205" s="78">
        <f t="shared" si="3"/>
        <v>2420.2854000000002</v>
      </c>
      <c r="F205" s="78">
        <v>0</v>
      </c>
      <c r="G205" s="108">
        <v>45808</v>
      </c>
      <c r="H205" s="109"/>
      <c r="I205" s="33"/>
      <c r="L205" s="110"/>
      <c r="M205" s="110"/>
      <c r="N205" s="33"/>
      <c r="T205" s="18"/>
    </row>
    <row r="206" spans="1:20" s="77" customFormat="1" ht="15.75" customHeight="1" x14ac:dyDescent="0.25">
      <c r="A206" s="106">
        <f t="shared" si="11"/>
        <v>53</v>
      </c>
      <c r="B206" s="107"/>
      <c r="C206" s="78">
        <f>150</f>
        <v>150</v>
      </c>
      <c r="D206" s="78">
        <f t="shared" si="12"/>
        <v>1614.6</v>
      </c>
      <c r="E206" s="78">
        <f t="shared" si="3"/>
        <v>2420.2854000000002</v>
      </c>
      <c r="F206" s="78">
        <v>0</v>
      </c>
      <c r="G206" s="108">
        <v>45808</v>
      </c>
      <c r="H206" s="109"/>
      <c r="I206" s="33"/>
      <c r="N206" s="33"/>
      <c r="T206" s="18"/>
    </row>
    <row r="207" spans="1:20" s="77" customFormat="1" ht="15.75" customHeight="1" x14ac:dyDescent="0.25">
      <c r="A207" s="106">
        <f t="shared" si="11"/>
        <v>54</v>
      </c>
      <c r="B207" s="107"/>
      <c r="C207" s="78">
        <f>150</f>
        <v>150</v>
      </c>
      <c r="D207" s="78">
        <f t="shared" si="12"/>
        <v>1614.6</v>
      </c>
      <c r="E207" s="78">
        <f t="shared" si="3"/>
        <v>2420.2854000000002</v>
      </c>
      <c r="F207" s="78">
        <v>0</v>
      </c>
      <c r="G207" s="108">
        <v>45808</v>
      </c>
      <c r="H207" s="109"/>
      <c r="I207" s="33"/>
      <c r="N207" s="33"/>
      <c r="T207" s="18"/>
    </row>
    <row r="208" spans="1:20" s="77" customFormat="1" ht="15.75" customHeight="1" x14ac:dyDescent="0.25">
      <c r="A208" s="106">
        <f t="shared" si="11"/>
        <v>55</v>
      </c>
      <c r="B208" s="107"/>
      <c r="C208" s="78">
        <f>150</f>
        <v>150</v>
      </c>
      <c r="D208" s="78">
        <f t="shared" si="12"/>
        <v>1614.6</v>
      </c>
      <c r="E208" s="78">
        <f t="shared" si="3"/>
        <v>2420.2854000000002</v>
      </c>
      <c r="F208" s="78">
        <v>0</v>
      </c>
      <c r="G208" s="108">
        <v>45808</v>
      </c>
      <c r="H208" s="109"/>
      <c r="I208" s="33"/>
      <c r="N208" s="33"/>
      <c r="T208" s="18"/>
    </row>
    <row r="209" spans="1:20" s="77" customFormat="1" ht="15.75" customHeight="1" x14ac:dyDescent="0.25">
      <c r="A209" s="106">
        <f t="shared" si="11"/>
        <v>56</v>
      </c>
      <c r="B209" s="107"/>
      <c r="C209" s="78">
        <f>150</f>
        <v>150</v>
      </c>
      <c r="D209" s="78">
        <f t="shared" si="12"/>
        <v>1614.6</v>
      </c>
      <c r="E209" s="78">
        <f t="shared" si="3"/>
        <v>2420.2854000000002</v>
      </c>
      <c r="F209" s="78">
        <v>0</v>
      </c>
      <c r="G209" s="108">
        <v>45808</v>
      </c>
      <c r="H209" s="109"/>
      <c r="I209" s="33"/>
      <c r="N209" s="33"/>
      <c r="T209" s="18"/>
    </row>
    <row r="210" spans="1:20" s="77" customFormat="1" ht="15.75" customHeight="1" x14ac:dyDescent="0.25">
      <c r="A210" s="106">
        <f t="shared" si="11"/>
        <v>57</v>
      </c>
      <c r="B210" s="107"/>
      <c r="C210" s="78">
        <f>187.81</f>
        <v>187.81</v>
      </c>
      <c r="D210" s="78">
        <f t="shared" si="12"/>
        <v>2021.5868399999999</v>
      </c>
      <c r="E210" s="78">
        <f t="shared" si="3"/>
        <v>3030.3586731600003</v>
      </c>
      <c r="F210" s="78">
        <v>0</v>
      </c>
      <c r="G210" s="108">
        <v>45808</v>
      </c>
      <c r="H210" s="109"/>
      <c r="I210" s="33"/>
      <c r="N210" s="33"/>
      <c r="T210" s="18"/>
    </row>
    <row r="211" spans="1:20" s="77" customFormat="1" ht="15.75" customHeight="1" x14ac:dyDescent="0.25">
      <c r="A211" s="106">
        <f t="shared" si="11"/>
        <v>58</v>
      </c>
      <c r="B211" s="107"/>
      <c r="C211" s="78">
        <f>187.81</f>
        <v>187.81</v>
      </c>
      <c r="D211" s="78">
        <f t="shared" si="12"/>
        <v>2021.5868399999999</v>
      </c>
      <c r="E211" s="78">
        <f t="shared" si="3"/>
        <v>3030.3586731600003</v>
      </c>
      <c r="F211" s="78">
        <v>0</v>
      </c>
      <c r="G211" s="108">
        <v>45808</v>
      </c>
      <c r="H211" s="109"/>
      <c r="I211" s="33"/>
      <c r="N211" s="33"/>
      <c r="T211" s="18"/>
    </row>
    <row r="212" spans="1:20" s="77" customFormat="1" ht="15.75" customHeight="1" x14ac:dyDescent="0.25">
      <c r="A212" s="106">
        <f t="shared" si="11"/>
        <v>59</v>
      </c>
      <c r="B212" s="107"/>
      <c r="C212" s="78">
        <f>150</f>
        <v>150</v>
      </c>
      <c r="D212" s="78">
        <f t="shared" si="12"/>
        <v>1614.6</v>
      </c>
      <c r="E212" s="78">
        <f t="shared" si="3"/>
        <v>2420.2854000000002</v>
      </c>
      <c r="F212" s="78">
        <v>0</v>
      </c>
      <c r="G212" s="108">
        <v>45808</v>
      </c>
      <c r="H212" s="109"/>
      <c r="I212" s="33"/>
      <c r="N212" s="33"/>
      <c r="T212" s="18"/>
    </row>
    <row r="213" spans="1:20" s="77" customFormat="1" ht="15.75" customHeight="1" x14ac:dyDescent="0.25">
      <c r="A213" s="106">
        <f t="shared" si="11"/>
        <v>60</v>
      </c>
      <c r="B213" s="107"/>
      <c r="C213" s="78">
        <f>150</f>
        <v>150</v>
      </c>
      <c r="D213" s="78">
        <f t="shared" si="12"/>
        <v>1614.6</v>
      </c>
      <c r="E213" s="78">
        <f t="shared" si="3"/>
        <v>2420.2854000000002</v>
      </c>
      <c r="F213" s="78">
        <v>0</v>
      </c>
      <c r="G213" s="108">
        <v>45808</v>
      </c>
      <c r="H213" s="109"/>
      <c r="I213" s="33"/>
      <c r="N213" s="33"/>
      <c r="T213" s="18"/>
    </row>
    <row r="214" spans="1:20" s="77" customFormat="1" ht="15.75" customHeight="1" x14ac:dyDescent="0.25">
      <c r="A214" s="106">
        <f t="shared" si="11"/>
        <v>61</v>
      </c>
      <c r="B214" s="107"/>
      <c r="C214" s="78">
        <f>150</f>
        <v>150</v>
      </c>
      <c r="D214" s="78">
        <f t="shared" si="12"/>
        <v>1614.6</v>
      </c>
      <c r="E214" s="78">
        <f t="shared" si="3"/>
        <v>2420.2854000000002</v>
      </c>
      <c r="F214" s="78">
        <v>0</v>
      </c>
      <c r="G214" s="108">
        <v>45808</v>
      </c>
      <c r="H214" s="109"/>
      <c r="I214" s="33"/>
      <c r="N214" s="33"/>
      <c r="T214" s="18"/>
    </row>
    <row r="215" spans="1:20" s="77" customFormat="1" ht="15.75" customHeight="1" x14ac:dyDescent="0.25">
      <c r="A215" s="106">
        <f t="shared" si="11"/>
        <v>62</v>
      </c>
      <c r="B215" s="107"/>
      <c r="C215" s="78">
        <f>150</f>
        <v>150</v>
      </c>
      <c r="D215" s="78">
        <f t="shared" si="12"/>
        <v>1614.6</v>
      </c>
      <c r="E215" s="78">
        <f t="shared" si="3"/>
        <v>2420.2854000000002</v>
      </c>
      <c r="F215" s="78">
        <v>0</v>
      </c>
      <c r="G215" s="108">
        <v>45808</v>
      </c>
      <c r="H215" s="109"/>
      <c r="I215" s="33"/>
      <c r="N215" s="33"/>
      <c r="T215" s="18"/>
    </row>
    <row r="216" spans="1:20" s="77" customFormat="1" ht="15.75" customHeight="1" x14ac:dyDescent="0.25">
      <c r="A216" s="106">
        <f t="shared" si="11"/>
        <v>63</v>
      </c>
      <c r="B216" s="107"/>
      <c r="C216" s="78">
        <f>150</f>
        <v>150</v>
      </c>
      <c r="D216" s="78">
        <f t="shared" si="12"/>
        <v>1614.6</v>
      </c>
      <c r="E216" s="78">
        <f t="shared" si="3"/>
        <v>2420.2854000000002</v>
      </c>
      <c r="F216" s="78">
        <v>0</v>
      </c>
      <c r="G216" s="108">
        <v>45808</v>
      </c>
      <c r="H216" s="109"/>
      <c r="I216" s="33"/>
      <c r="N216" s="33"/>
      <c r="T216" s="18"/>
    </row>
    <row r="217" spans="1:20" s="77" customFormat="1" ht="15.75" customHeight="1" x14ac:dyDescent="0.25">
      <c r="A217" s="106">
        <f t="shared" si="11"/>
        <v>64</v>
      </c>
      <c r="B217" s="107"/>
      <c r="C217" s="78">
        <f>150</f>
        <v>150</v>
      </c>
      <c r="D217" s="78">
        <f t="shared" si="12"/>
        <v>1614.6</v>
      </c>
      <c r="E217" s="78">
        <f t="shared" si="3"/>
        <v>2420.2854000000002</v>
      </c>
      <c r="F217" s="78">
        <v>0</v>
      </c>
      <c r="G217" s="108">
        <v>45808</v>
      </c>
      <c r="H217" s="109"/>
      <c r="I217" s="33"/>
      <c r="L217" s="110"/>
      <c r="M217" s="110"/>
      <c r="N217" s="33"/>
      <c r="T217" s="18"/>
    </row>
    <row r="218" spans="1:20" s="77" customFormat="1" ht="15.75" customHeight="1" x14ac:dyDescent="0.25">
      <c r="A218" s="106">
        <f t="shared" si="11"/>
        <v>65</v>
      </c>
      <c r="B218" s="107"/>
      <c r="C218" s="78">
        <f>150</f>
        <v>150</v>
      </c>
      <c r="D218" s="78">
        <f t="shared" si="12"/>
        <v>1614.6</v>
      </c>
      <c r="E218" s="78">
        <f t="shared" si="3"/>
        <v>2420.2854000000002</v>
      </c>
      <c r="F218" s="78">
        <v>0</v>
      </c>
      <c r="G218" s="108">
        <v>45808</v>
      </c>
      <c r="H218" s="109"/>
      <c r="I218" s="33"/>
      <c r="N218" s="33"/>
      <c r="T218" s="18"/>
    </row>
    <row r="219" spans="1:20" s="77" customFormat="1" ht="15.75" customHeight="1" x14ac:dyDescent="0.25">
      <c r="A219" s="106">
        <f t="shared" si="11"/>
        <v>66</v>
      </c>
      <c r="B219" s="107"/>
      <c r="C219" s="78">
        <f>150</f>
        <v>150</v>
      </c>
      <c r="D219" s="78">
        <f t="shared" si="12"/>
        <v>1614.6</v>
      </c>
      <c r="E219" s="78">
        <f t="shared" ref="E219:E282" si="13">D219*1.499</f>
        <v>2420.2854000000002</v>
      </c>
      <c r="F219" s="78">
        <v>0</v>
      </c>
      <c r="G219" s="108">
        <v>45808</v>
      </c>
      <c r="H219" s="109"/>
      <c r="I219" s="33"/>
      <c r="N219" s="33"/>
      <c r="T219" s="18"/>
    </row>
    <row r="220" spans="1:20" s="77" customFormat="1" ht="15.75" customHeight="1" x14ac:dyDescent="0.25">
      <c r="A220" s="106">
        <f t="shared" si="11"/>
        <v>67</v>
      </c>
      <c r="B220" s="107"/>
      <c r="C220" s="78">
        <f>150</f>
        <v>150</v>
      </c>
      <c r="D220" s="78">
        <f t="shared" si="12"/>
        <v>1614.6</v>
      </c>
      <c r="E220" s="78">
        <f t="shared" si="13"/>
        <v>2420.2854000000002</v>
      </c>
      <c r="F220" s="78">
        <v>0</v>
      </c>
      <c r="G220" s="108">
        <v>45808</v>
      </c>
      <c r="H220" s="109"/>
      <c r="I220" s="33"/>
      <c r="N220" s="33"/>
      <c r="T220" s="18"/>
    </row>
    <row r="221" spans="1:20" s="77" customFormat="1" ht="15.75" customHeight="1" x14ac:dyDescent="0.25">
      <c r="A221" s="106">
        <f t="shared" si="11"/>
        <v>68</v>
      </c>
      <c r="B221" s="107"/>
      <c r="C221" s="78">
        <f>150</f>
        <v>150</v>
      </c>
      <c r="D221" s="78">
        <f t="shared" si="12"/>
        <v>1614.6</v>
      </c>
      <c r="E221" s="78">
        <f t="shared" si="13"/>
        <v>2420.2854000000002</v>
      </c>
      <c r="F221" s="78">
        <v>0</v>
      </c>
      <c r="G221" s="108">
        <v>45808</v>
      </c>
      <c r="H221" s="109"/>
      <c r="I221" s="33"/>
      <c r="N221" s="33"/>
      <c r="T221" s="18"/>
    </row>
    <row r="222" spans="1:20" s="77" customFormat="1" ht="15.75" customHeight="1" x14ac:dyDescent="0.25">
      <c r="A222" s="106">
        <f t="shared" si="11"/>
        <v>69</v>
      </c>
      <c r="B222" s="107"/>
      <c r="C222" s="78">
        <f>317.03</f>
        <v>317.02999999999997</v>
      </c>
      <c r="D222" s="78">
        <f t="shared" si="12"/>
        <v>3412.5109199999997</v>
      </c>
      <c r="E222" s="78">
        <f t="shared" si="13"/>
        <v>5115.3538690799996</v>
      </c>
      <c r="F222" s="78">
        <v>0</v>
      </c>
      <c r="G222" s="108">
        <v>45808</v>
      </c>
      <c r="H222" s="109"/>
      <c r="I222" s="33"/>
      <c r="N222" s="33"/>
      <c r="T222" s="18"/>
    </row>
    <row r="223" spans="1:20" s="77" customFormat="1" ht="15.75" customHeight="1" x14ac:dyDescent="0.25">
      <c r="A223" s="106">
        <f t="shared" si="11"/>
        <v>70</v>
      </c>
      <c r="B223" s="107"/>
      <c r="C223" s="78">
        <f>238.43</f>
        <v>238.43</v>
      </c>
      <c r="D223" s="78">
        <f t="shared" si="12"/>
        <v>2566.4605200000001</v>
      </c>
      <c r="E223" s="78">
        <f t="shared" si="13"/>
        <v>3847.1243194800004</v>
      </c>
      <c r="F223" s="78">
        <v>0</v>
      </c>
      <c r="G223" s="108">
        <v>45808</v>
      </c>
      <c r="H223" s="109"/>
      <c r="I223" s="33"/>
      <c r="N223" s="33"/>
      <c r="T223" s="18"/>
    </row>
    <row r="224" spans="1:20" s="77" customFormat="1" ht="15.75" customHeight="1" x14ac:dyDescent="0.25">
      <c r="A224" s="106">
        <f t="shared" si="11"/>
        <v>71</v>
      </c>
      <c r="B224" s="107"/>
      <c r="C224" s="78">
        <f>104</f>
        <v>104</v>
      </c>
      <c r="D224" s="78">
        <f t="shared" si="12"/>
        <v>1119.4559999999999</v>
      </c>
      <c r="E224" s="78">
        <f t="shared" si="13"/>
        <v>1678.0645440000001</v>
      </c>
      <c r="F224" s="78">
        <v>0</v>
      </c>
      <c r="G224" s="108">
        <v>45808</v>
      </c>
      <c r="H224" s="109"/>
      <c r="I224" s="33"/>
      <c r="N224" s="33"/>
      <c r="T224" s="18"/>
    </row>
    <row r="225" spans="1:20" s="77" customFormat="1" ht="15.75" customHeight="1" x14ac:dyDescent="0.25">
      <c r="A225" s="106">
        <f t="shared" si="11"/>
        <v>72</v>
      </c>
      <c r="B225" s="107"/>
      <c r="C225" s="78">
        <f>104</f>
        <v>104</v>
      </c>
      <c r="D225" s="78">
        <f t="shared" si="12"/>
        <v>1119.4559999999999</v>
      </c>
      <c r="E225" s="78">
        <f t="shared" si="13"/>
        <v>1678.0645440000001</v>
      </c>
      <c r="F225" s="78">
        <v>0</v>
      </c>
      <c r="G225" s="108">
        <v>45808</v>
      </c>
      <c r="H225" s="109"/>
      <c r="I225" s="33"/>
      <c r="N225" s="33"/>
      <c r="T225" s="18"/>
    </row>
    <row r="226" spans="1:20" s="77" customFormat="1" ht="15.75" customHeight="1" x14ac:dyDescent="0.25">
      <c r="A226" s="106">
        <f t="shared" si="11"/>
        <v>73</v>
      </c>
      <c r="B226" s="107"/>
      <c r="C226" s="78">
        <f>104</f>
        <v>104</v>
      </c>
      <c r="D226" s="78">
        <f t="shared" si="12"/>
        <v>1119.4559999999999</v>
      </c>
      <c r="E226" s="78">
        <f t="shared" si="13"/>
        <v>1678.0645440000001</v>
      </c>
      <c r="F226" s="78">
        <v>0</v>
      </c>
      <c r="G226" s="108">
        <v>45808</v>
      </c>
      <c r="H226" s="109"/>
      <c r="I226" s="33"/>
      <c r="N226" s="33"/>
      <c r="T226" s="18"/>
    </row>
    <row r="227" spans="1:20" s="77" customFormat="1" ht="15.75" customHeight="1" x14ac:dyDescent="0.25">
      <c r="A227" s="106">
        <f t="shared" si="11"/>
        <v>74</v>
      </c>
      <c r="B227" s="107"/>
      <c r="C227" s="78">
        <f>104</f>
        <v>104</v>
      </c>
      <c r="D227" s="78">
        <f t="shared" si="12"/>
        <v>1119.4559999999999</v>
      </c>
      <c r="E227" s="78">
        <f t="shared" si="13"/>
        <v>1678.0645440000001</v>
      </c>
      <c r="F227" s="78">
        <v>0</v>
      </c>
      <c r="G227" s="108">
        <v>45808</v>
      </c>
      <c r="H227" s="109"/>
      <c r="I227" s="33"/>
      <c r="N227" s="33"/>
      <c r="T227" s="18"/>
    </row>
    <row r="228" spans="1:20" s="77" customFormat="1" ht="15.75" customHeight="1" x14ac:dyDescent="0.25">
      <c r="A228" s="106">
        <f t="shared" si="11"/>
        <v>75</v>
      </c>
      <c r="B228" s="107"/>
      <c r="C228" s="78">
        <f>104</f>
        <v>104</v>
      </c>
      <c r="D228" s="78">
        <f t="shared" si="12"/>
        <v>1119.4559999999999</v>
      </c>
      <c r="E228" s="78">
        <f t="shared" si="13"/>
        <v>1678.0645440000001</v>
      </c>
      <c r="F228" s="78">
        <v>0</v>
      </c>
      <c r="G228" s="108">
        <v>45808</v>
      </c>
      <c r="H228" s="109"/>
      <c r="I228" s="33"/>
      <c r="N228" s="33"/>
      <c r="T228" s="18"/>
    </row>
    <row r="229" spans="1:20" s="77" customFormat="1" ht="15.75" customHeight="1" x14ac:dyDescent="0.25">
      <c r="A229" s="106">
        <f t="shared" si="11"/>
        <v>76</v>
      </c>
      <c r="B229" s="107"/>
      <c r="C229" s="78">
        <f>104</f>
        <v>104</v>
      </c>
      <c r="D229" s="78">
        <f t="shared" si="12"/>
        <v>1119.4559999999999</v>
      </c>
      <c r="E229" s="78">
        <f t="shared" si="13"/>
        <v>1678.0645440000001</v>
      </c>
      <c r="F229" s="78">
        <v>0</v>
      </c>
      <c r="G229" s="108">
        <v>45808</v>
      </c>
      <c r="H229" s="109"/>
      <c r="I229" s="33"/>
      <c r="L229" s="110"/>
      <c r="M229" s="110"/>
      <c r="N229" s="33"/>
      <c r="T229" s="18"/>
    </row>
    <row r="230" spans="1:20" s="77" customFormat="1" ht="15.75" customHeight="1" x14ac:dyDescent="0.25">
      <c r="A230" s="106">
        <f t="shared" si="11"/>
        <v>77</v>
      </c>
      <c r="B230" s="107"/>
      <c r="C230" s="78">
        <f>104</f>
        <v>104</v>
      </c>
      <c r="D230" s="78">
        <f t="shared" si="12"/>
        <v>1119.4559999999999</v>
      </c>
      <c r="E230" s="78">
        <f t="shared" si="13"/>
        <v>1678.0645440000001</v>
      </c>
      <c r="F230" s="78">
        <v>0</v>
      </c>
      <c r="G230" s="108">
        <v>45808</v>
      </c>
      <c r="H230" s="109"/>
      <c r="I230" s="33"/>
      <c r="N230" s="33"/>
      <c r="T230" s="18"/>
    </row>
    <row r="231" spans="1:20" s="77" customFormat="1" ht="15.75" customHeight="1" x14ac:dyDescent="0.25">
      <c r="A231" s="106">
        <f t="shared" si="11"/>
        <v>78</v>
      </c>
      <c r="B231" s="107"/>
      <c r="C231" s="78">
        <f>104</f>
        <v>104</v>
      </c>
      <c r="D231" s="78">
        <f t="shared" si="12"/>
        <v>1119.4559999999999</v>
      </c>
      <c r="E231" s="78">
        <f t="shared" si="13"/>
        <v>1678.0645440000001</v>
      </c>
      <c r="F231" s="78">
        <v>0</v>
      </c>
      <c r="G231" s="108">
        <v>45808</v>
      </c>
      <c r="H231" s="109"/>
      <c r="I231" s="33"/>
      <c r="N231" s="33"/>
      <c r="T231" s="18"/>
    </row>
    <row r="232" spans="1:20" s="77" customFormat="1" ht="15.75" customHeight="1" x14ac:dyDescent="0.25">
      <c r="A232" s="106">
        <f t="shared" si="11"/>
        <v>79</v>
      </c>
      <c r="B232" s="107"/>
      <c r="C232" s="78">
        <f>104</f>
        <v>104</v>
      </c>
      <c r="D232" s="78">
        <f t="shared" si="12"/>
        <v>1119.4559999999999</v>
      </c>
      <c r="E232" s="78">
        <f t="shared" si="13"/>
        <v>1678.0645440000001</v>
      </c>
      <c r="F232" s="78">
        <v>0</v>
      </c>
      <c r="G232" s="108">
        <v>45808</v>
      </c>
      <c r="H232" s="109"/>
      <c r="I232" s="33"/>
      <c r="N232" s="33"/>
      <c r="T232" s="18"/>
    </row>
    <row r="233" spans="1:20" s="77" customFormat="1" ht="15.75" customHeight="1" x14ac:dyDescent="0.25">
      <c r="A233" s="106">
        <f t="shared" si="11"/>
        <v>80</v>
      </c>
      <c r="B233" s="107"/>
      <c r="C233" s="78">
        <f>104</f>
        <v>104</v>
      </c>
      <c r="D233" s="78">
        <f t="shared" si="12"/>
        <v>1119.4559999999999</v>
      </c>
      <c r="E233" s="78">
        <f t="shared" si="13"/>
        <v>1678.0645440000001</v>
      </c>
      <c r="F233" s="78">
        <v>0</v>
      </c>
      <c r="G233" s="108">
        <v>45808</v>
      </c>
      <c r="H233" s="109"/>
      <c r="I233" s="33"/>
      <c r="N233" s="33"/>
      <c r="T233" s="18"/>
    </row>
    <row r="234" spans="1:20" s="77" customFormat="1" ht="15.75" customHeight="1" x14ac:dyDescent="0.25">
      <c r="A234" s="106">
        <f t="shared" si="11"/>
        <v>81</v>
      </c>
      <c r="B234" s="107"/>
      <c r="C234" s="78">
        <f>104</f>
        <v>104</v>
      </c>
      <c r="D234" s="78">
        <f t="shared" si="12"/>
        <v>1119.4559999999999</v>
      </c>
      <c r="E234" s="78">
        <f t="shared" si="13"/>
        <v>1678.0645440000001</v>
      </c>
      <c r="F234" s="78">
        <v>0</v>
      </c>
      <c r="G234" s="108">
        <v>45808</v>
      </c>
      <c r="H234" s="109"/>
      <c r="I234" s="33"/>
      <c r="N234" s="33"/>
      <c r="T234" s="18"/>
    </row>
    <row r="235" spans="1:20" s="77" customFormat="1" ht="15.75" customHeight="1" x14ac:dyDescent="0.25">
      <c r="A235" s="106">
        <f t="shared" si="11"/>
        <v>82</v>
      </c>
      <c r="B235" s="107"/>
      <c r="C235" s="78">
        <f>104</f>
        <v>104</v>
      </c>
      <c r="D235" s="78">
        <f t="shared" si="12"/>
        <v>1119.4559999999999</v>
      </c>
      <c r="E235" s="78">
        <f t="shared" si="13"/>
        <v>1678.0645440000001</v>
      </c>
      <c r="F235" s="78">
        <v>0</v>
      </c>
      <c r="G235" s="108">
        <v>45808</v>
      </c>
      <c r="H235" s="109"/>
      <c r="I235" s="33"/>
      <c r="N235" s="33"/>
      <c r="T235" s="18"/>
    </row>
    <row r="236" spans="1:20" s="77" customFormat="1" ht="15.75" customHeight="1" x14ac:dyDescent="0.25">
      <c r="A236" s="106">
        <f t="shared" si="11"/>
        <v>83</v>
      </c>
      <c r="B236" s="107"/>
      <c r="C236" s="78">
        <f>104</f>
        <v>104</v>
      </c>
      <c r="D236" s="78">
        <f t="shared" si="12"/>
        <v>1119.4559999999999</v>
      </c>
      <c r="E236" s="78">
        <f t="shared" si="13"/>
        <v>1678.0645440000001</v>
      </c>
      <c r="F236" s="78">
        <v>0</v>
      </c>
      <c r="G236" s="108">
        <v>45808</v>
      </c>
      <c r="H236" s="109"/>
      <c r="I236" s="33"/>
      <c r="N236" s="33"/>
      <c r="T236" s="18"/>
    </row>
    <row r="237" spans="1:20" s="77" customFormat="1" ht="15.75" customHeight="1" x14ac:dyDescent="0.25">
      <c r="A237" s="106">
        <f t="shared" si="11"/>
        <v>84</v>
      </c>
      <c r="B237" s="107"/>
      <c r="C237" s="78">
        <f>152.13</f>
        <v>152.13</v>
      </c>
      <c r="D237" s="78">
        <f t="shared" si="12"/>
        <v>1637.5273199999999</v>
      </c>
      <c r="E237" s="78">
        <f t="shared" si="13"/>
        <v>2454.6534526800001</v>
      </c>
      <c r="F237" s="78">
        <v>0</v>
      </c>
      <c r="G237" s="108">
        <v>45808</v>
      </c>
      <c r="H237" s="109"/>
      <c r="I237" s="33"/>
      <c r="N237" s="33"/>
      <c r="T237" s="18"/>
    </row>
    <row r="238" spans="1:20" s="77" customFormat="1" ht="15.75" customHeight="1" x14ac:dyDescent="0.25">
      <c r="A238" s="106">
        <f t="shared" si="11"/>
        <v>85</v>
      </c>
      <c r="B238" s="107"/>
      <c r="C238" s="78">
        <f>259.68</f>
        <v>259.68</v>
      </c>
      <c r="D238" s="78">
        <f t="shared" si="12"/>
        <v>2795.1955199999998</v>
      </c>
      <c r="E238" s="78">
        <f t="shared" si="13"/>
        <v>4189.9980844800002</v>
      </c>
      <c r="F238" s="78">
        <v>0</v>
      </c>
      <c r="G238" s="108">
        <v>45808</v>
      </c>
      <c r="H238" s="109"/>
      <c r="I238" s="33"/>
      <c r="N238" s="33"/>
      <c r="T238" s="18"/>
    </row>
    <row r="239" spans="1:20" s="77" customFormat="1" ht="15.75" customHeight="1" x14ac:dyDescent="0.25">
      <c r="A239" s="106">
        <f t="shared" si="11"/>
        <v>86</v>
      </c>
      <c r="B239" s="107"/>
      <c r="C239" s="78">
        <f>200</f>
        <v>200</v>
      </c>
      <c r="D239" s="78">
        <f t="shared" si="12"/>
        <v>2152.7999999999997</v>
      </c>
      <c r="E239" s="78">
        <f t="shared" si="13"/>
        <v>3227.0472</v>
      </c>
      <c r="F239" s="78">
        <v>0</v>
      </c>
      <c r="G239" s="108">
        <v>45808</v>
      </c>
      <c r="H239" s="109"/>
      <c r="I239" s="33"/>
      <c r="N239" s="33"/>
      <c r="T239" s="18"/>
    </row>
    <row r="240" spans="1:20" s="77" customFormat="1" ht="15.75" customHeight="1" x14ac:dyDescent="0.25">
      <c r="A240" s="106">
        <f t="shared" si="11"/>
        <v>87</v>
      </c>
      <c r="B240" s="107"/>
      <c r="C240" s="78">
        <f>200</f>
        <v>200</v>
      </c>
      <c r="D240" s="78">
        <f t="shared" si="12"/>
        <v>2152.7999999999997</v>
      </c>
      <c r="E240" s="78">
        <f t="shared" si="13"/>
        <v>3227.0472</v>
      </c>
      <c r="F240" s="78">
        <v>0</v>
      </c>
      <c r="G240" s="108">
        <v>45808</v>
      </c>
      <c r="H240" s="109"/>
      <c r="I240" s="33"/>
      <c r="N240" s="33"/>
      <c r="T240" s="18"/>
    </row>
    <row r="241" spans="1:20" s="77" customFormat="1" ht="15.75" customHeight="1" x14ac:dyDescent="0.25">
      <c r="A241" s="106">
        <f t="shared" si="11"/>
        <v>88</v>
      </c>
      <c r="B241" s="107"/>
      <c r="C241" s="78">
        <f>200</f>
        <v>200</v>
      </c>
      <c r="D241" s="78">
        <f t="shared" si="12"/>
        <v>2152.7999999999997</v>
      </c>
      <c r="E241" s="78">
        <f t="shared" si="13"/>
        <v>3227.0472</v>
      </c>
      <c r="F241" s="78">
        <v>0</v>
      </c>
      <c r="G241" s="108">
        <v>45808</v>
      </c>
      <c r="H241" s="109"/>
      <c r="I241" s="33"/>
      <c r="L241" s="110"/>
      <c r="M241" s="110"/>
      <c r="N241" s="33"/>
      <c r="T241" s="18"/>
    </row>
    <row r="242" spans="1:20" s="77" customFormat="1" ht="15.75" customHeight="1" x14ac:dyDescent="0.25">
      <c r="A242" s="106">
        <f t="shared" si="11"/>
        <v>89</v>
      </c>
      <c r="B242" s="107"/>
      <c r="C242" s="78">
        <f>200</f>
        <v>200</v>
      </c>
      <c r="D242" s="78">
        <f t="shared" si="12"/>
        <v>2152.7999999999997</v>
      </c>
      <c r="E242" s="78">
        <f t="shared" si="13"/>
        <v>3227.0472</v>
      </c>
      <c r="F242" s="78">
        <v>0</v>
      </c>
      <c r="G242" s="108">
        <v>45808</v>
      </c>
      <c r="H242" s="109"/>
      <c r="I242" s="33"/>
      <c r="N242" s="33"/>
      <c r="T242" s="18"/>
    </row>
    <row r="243" spans="1:20" s="77" customFormat="1" ht="15.75" customHeight="1" x14ac:dyDescent="0.25">
      <c r="A243" s="106">
        <f t="shared" si="11"/>
        <v>90</v>
      </c>
      <c r="B243" s="107"/>
      <c r="C243" s="78">
        <f>200</f>
        <v>200</v>
      </c>
      <c r="D243" s="78">
        <f t="shared" si="12"/>
        <v>2152.7999999999997</v>
      </c>
      <c r="E243" s="78">
        <f t="shared" si="13"/>
        <v>3227.0472</v>
      </c>
      <c r="F243" s="78">
        <v>0</v>
      </c>
      <c r="G243" s="108">
        <v>45808</v>
      </c>
      <c r="H243" s="109"/>
      <c r="I243" s="33"/>
      <c r="N243" s="33"/>
      <c r="T243" s="18"/>
    </row>
    <row r="244" spans="1:20" s="77" customFormat="1" ht="15.75" customHeight="1" x14ac:dyDescent="0.25">
      <c r="A244" s="106">
        <f t="shared" si="11"/>
        <v>91</v>
      </c>
      <c r="B244" s="107"/>
      <c r="C244" s="78">
        <f>200</f>
        <v>200</v>
      </c>
      <c r="D244" s="78">
        <f t="shared" si="12"/>
        <v>2152.7999999999997</v>
      </c>
      <c r="E244" s="78">
        <f t="shared" si="13"/>
        <v>3227.0472</v>
      </c>
      <c r="F244" s="78">
        <v>0</v>
      </c>
      <c r="G244" s="108">
        <v>45808</v>
      </c>
      <c r="H244" s="109"/>
      <c r="I244" s="33"/>
      <c r="N244" s="33"/>
      <c r="T244" s="18"/>
    </row>
    <row r="245" spans="1:20" s="77" customFormat="1" ht="15.75" customHeight="1" x14ac:dyDescent="0.25">
      <c r="A245" s="106">
        <f t="shared" si="11"/>
        <v>92</v>
      </c>
      <c r="B245" s="107"/>
      <c r="C245" s="78">
        <f>200</f>
        <v>200</v>
      </c>
      <c r="D245" s="78">
        <f t="shared" si="12"/>
        <v>2152.7999999999997</v>
      </c>
      <c r="E245" s="78">
        <f t="shared" si="13"/>
        <v>3227.0472</v>
      </c>
      <c r="F245" s="78">
        <v>0</v>
      </c>
      <c r="G245" s="108">
        <v>45808</v>
      </c>
      <c r="H245" s="109"/>
      <c r="I245" s="33"/>
      <c r="N245" s="33"/>
      <c r="T245" s="18"/>
    </row>
    <row r="246" spans="1:20" s="77" customFormat="1" ht="15.75" customHeight="1" x14ac:dyDescent="0.25">
      <c r="A246" s="106">
        <f t="shared" si="11"/>
        <v>93</v>
      </c>
      <c r="B246" s="107"/>
      <c r="C246" s="78">
        <f>200</f>
        <v>200</v>
      </c>
      <c r="D246" s="78">
        <f t="shared" si="12"/>
        <v>2152.7999999999997</v>
      </c>
      <c r="E246" s="78">
        <f t="shared" si="13"/>
        <v>3227.0472</v>
      </c>
      <c r="F246" s="78">
        <v>0</v>
      </c>
      <c r="G246" s="108">
        <v>45808</v>
      </c>
      <c r="H246" s="109"/>
      <c r="I246" s="33"/>
      <c r="N246" s="33"/>
      <c r="T246" s="18"/>
    </row>
    <row r="247" spans="1:20" s="77" customFormat="1" ht="15.75" customHeight="1" x14ac:dyDescent="0.25">
      <c r="A247" s="106">
        <f t="shared" si="11"/>
        <v>94</v>
      </c>
      <c r="B247" s="107"/>
      <c r="C247" s="78">
        <f>343.66</f>
        <v>343.66</v>
      </c>
      <c r="D247" s="78">
        <f t="shared" si="12"/>
        <v>3699.1562400000003</v>
      </c>
      <c r="E247" s="78">
        <f t="shared" si="13"/>
        <v>5545.0352037600005</v>
      </c>
      <c r="F247" s="78">
        <v>0</v>
      </c>
      <c r="G247" s="108">
        <v>45808</v>
      </c>
      <c r="H247" s="109"/>
      <c r="I247" s="33"/>
      <c r="N247" s="33"/>
      <c r="T247" s="18"/>
    </row>
    <row r="248" spans="1:20" s="77" customFormat="1" ht="15.75" customHeight="1" x14ac:dyDescent="0.25">
      <c r="A248" s="106">
        <f t="shared" si="11"/>
        <v>95</v>
      </c>
      <c r="B248" s="107"/>
      <c r="C248" s="78">
        <f>331.75</f>
        <v>331.75</v>
      </c>
      <c r="D248" s="78">
        <f t="shared" si="12"/>
        <v>3570.9569999999999</v>
      </c>
      <c r="E248" s="78">
        <f t="shared" si="13"/>
        <v>5352.8645430000006</v>
      </c>
      <c r="F248" s="78">
        <v>0</v>
      </c>
      <c r="G248" s="108">
        <v>45808</v>
      </c>
      <c r="H248" s="109"/>
      <c r="I248" s="33"/>
      <c r="N248" s="33"/>
      <c r="T248" s="18"/>
    </row>
    <row r="249" spans="1:20" s="77" customFormat="1" ht="15.75" customHeight="1" x14ac:dyDescent="0.25">
      <c r="A249" s="106">
        <f t="shared" si="11"/>
        <v>96</v>
      </c>
      <c r="B249" s="107"/>
      <c r="C249" s="78">
        <f>200</f>
        <v>200</v>
      </c>
      <c r="D249" s="78">
        <f t="shared" si="12"/>
        <v>2152.7999999999997</v>
      </c>
      <c r="E249" s="78">
        <f t="shared" si="13"/>
        <v>3227.0472</v>
      </c>
      <c r="F249" s="78">
        <v>0</v>
      </c>
      <c r="G249" s="108">
        <v>45808</v>
      </c>
      <c r="H249" s="109"/>
      <c r="I249" s="33"/>
      <c r="N249" s="33"/>
      <c r="T249" s="18"/>
    </row>
    <row r="250" spans="1:20" s="77" customFormat="1" ht="15.75" customHeight="1" x14ac:dyDescent="0.25">
      <c r="A250" s="106">
        <f t="shared" ref="A250:A277" si="14">A249+1</f>
        <v>97</v>
      </c>
      <c r="B250" s="107"/>
      <c r="C250" s="78">
        <f>200</f>
        <v>200</v>
      </c>
      <c r="D250" s="78">
        <f t="shared" ref="D250:D277" si="15">C250*10.764</f>
        <v>2152.7999999999997</v>
      </c>
      <c r="E250" s="78">
        <f t="shared" si="13"/>
        <v>3227.0472</v>
      </c>
      <c r="F250" s="78">
        <v>0</v>
      </c>
      <c r="G250" s="108">
        <v>45808</v>
      </c>
      <c r="H250" s="109"/>
      <c r="I250" s="33"/>
      <c r="N250" s="33"/>
      <c r="T250" s="18"/>
    </row>
    <row r="251" spans="1:20" s="77" customFormat="1" ht="15.75" customHeight="1" x14ac:dyDescent="0.25">
      <c r="A251" s="106">
        <f t="shared" si="14"/>
        <v>98</v>
      </c>
      <c r="B251" s="107"/>
      <c r="C251" s="78">
        <f>200</f>
        <v>200</v>
      </c>
      <c r="D251" s="78">
        <f t="shared" si="15"/>
        <v>2152.7999999999997</v>
      </c>
      <c r="E251" s="78">
        <f t="shared" si="13"/>
        <v>3227.0472</v>
      </c>
      <c r="F251" s="78">
        <v>0</v>
      </c>
      <c r="G251" s="108">
        <v>45808</v>
      </c>
      <c r="H251" s="109"/>
      <c r="I251" s="33"/>
      <c r="N251" s="33"/>
      <c r="T251" s="18"/>
    </row>
    <row r="252" spans="1:20" s="77" customFormat="1" ht="15.75" customHeight="1" x14ac:dyDescent="0.25">
      <c r="A252" s="106">
        <f t="shared" si="14"/>
        <v>99</v>
      </c>
      <c r="B252" s="107"/>
      <c r="C252" s="78">
        <f>272.27</f>
        <v>272.27</v>
      </c>
      <c r="D252" s="78">
        <f t="shared" si="15"/>
        <v>2930.7142799999997</v>
      </c>
      <c r="E252" s="78">
        <f t="shared" si="13"/>
        <v>4393.1407057199995</v>
      </c>
      <c r="F252" s="78">
        <v>0</v>
      </c>
      <c r="G252" s="108">
        <v>45808</v>
      </c>
      <c r="H252" s="109"/>
      <c r="I252" s="33"/>
      <c r="N252" s="33"/>
      <c r="T252" s="18"/>
    </row>
    <row r="253" spans="1:20" s="77" customFormat="1" ht="15.75" customHeight="1" x14ac:dyDescent="0.25">
      <c r="A253" s="106">
        <f t="shared" si="14"/>
        <v>100</v>
      </c>
      <c r="B253" s="107"/>
      <c r="C253" s="78">
        <f>189.26</f>
        <v>189.26</v>
      </c>
      <c r="D253" s="78">
        <f t="shared" si="15"/>
        <v>2037.1946399999997</v>
      </c>
      <c r="E253" s="78">
        <f t="shared" si="13"/>
        <v>3053.75476536</v>
      </c>
      <c r="F253" s="78">
        <v>0</v>
      </c>
      <c r="G253" s="108">
        <v>45808</v>
      </c>
      <c r="H253" s="109"/>
      <c r="I253" s="33"/>
      <c r="N253" s="33"/>
      <c r="T253" s="18"/>
    </row>
    <row r="254" spans="1:20" s="77" customFormat="1" ht="15.75" customHeight="1" x14ac:dyDescent="0.25">
      <c r="A254" s="106">
        <f t="shared" si="14"/>
        <v>101</v>
      </c>
      <c r="B254" s="107"/>
      <c r="C254" s="78">
        <f>150</f>
        <v>150</v>
      </c>
      <c r="D254" s="78">
        <f t="shared" si="15"/>
        <v>1614.6</v>
      </c>
      <c r="E254" s="78">
        <f t="shared" si="13"/>
        <v>2420.2854000000002</v>
      </c>
      <c r="F254" s="78">
        <v>0</v>
      </c>
      <c r="G254" s="108">
        <v>45808</v>
      </c>
      <c r="H254" s="109"/>
      <c r="I254" s="33"/>
      <c r="N254" s="33"/>
      <c r="T254" s="18"/>
    </row>
    <row r="255" spans="1:20" s="77" customFormat="1" ht="15.75" customHeight="1" x14ac:dyDescent="0.25">
      <c r="A255" s="106">
        <f t="shared" si="14"/>
        <v>102</v>
      </c>
      <c r="B255" s="107"/>
      <c r="C255" s="78">
        <f>150</f>
        <v>150</v>
      </c>
      <c r="D255" s="78">
        <f t="shared" si="15"/>
        <v>1614.6</v>
      </c>
      <c r="E255" s="78">
        <f t="shared" si="13"/>
        <v>2420.2854000000002</v>
      </c>
      <c r="F255" s="78">
        <v>0</v>
      </c>
      <c r="G255" s="108">
        <v>45808</v>
      </c>
      <c r="H255" s="109"/>
      <c r="I255" s="33"/>
      <c r="N255" s="33"/>
      <c r="T255" s="18"/>
    </row>
    <row r="256" spans="1:20" s="77" customFormat="1" ht="15.75" customHeight="1" x14ac:dyDescent="0.25">
      <c r="A256" s="106">
        <f t="shared" si="14"/>
        <v>103</v>
      </c>
      <c r="B256" s="107"/>
      <c r="C256" s="78">
        <f>150</f>
        <v>150</v>
      </c>
      <c r="D256" s="78">
        <f t="shared" si="15"/>
        <v>1614.6</v>
      </c>
      <c r="E256" s="78">
        <f t="shared" si="13"/>
        <v>2420.2854000000002</v>
      </c>
      <c r="F256" s="78">
        <v>0</v>
      </c>
      <c r="G256" s="108">
        <v>45808</v>
      </c>
      <c r="H256" s="109"/>
      <c r="I256" s="33"/>
      <c r="N256" s="33"/>
      <c r="T256" s="18"/>
    </row>
    <row r="257" spans="1:20" s="77" customFormat="1" ht="15.75" customHeight="1" x14ac:dyDescent="0.25">
      <c r="A257" s="106">
        <f t="shared" si="14"/>
        <v>104</v>
      </c>
      <c r="B257" s="107"/>
      <c r="C257" s="78">
        <f>150</f>
        <v>150</v>
      </c>
      <c r="D257" s="78">
        <f t="shared" si="15"/>
        <v>1614.6</v>
      </c>
      <c r="E257" s="78">
        <f t="shared" si="13"/>
        <v>2420.2854000000002</v>
      </c>
      <c r="F257" s="78">
        <v>0</v>
      </c>
      <c r="G257" s="108">
        <v>45808</v>
      </c>
      <c r="H257" s="109"/>
      <c r="I257" s="33"/>
      <c r="L257" s="110"/>
      <c r="M257" s="110"/>
      <c r="N257" s="33"/>
      <c r="T257" s="18"/>
    </row>
    <row r="258" spans="1:20" s="77" customFormat="1" ht="15.75" customHeight="1" x14ac:dyDescent="0.25">
      <c r="A258" s="106">
        <f t="shared" si="14"/>
        <v>105</v>
      </c>
      <c r="B258" s="107"/>
      <c r="C258" s="78">
        <f>150</f>
        <v>150</v>
      </c>
      <c r="D258" s="78">
        <f t="shared" si="15"/>
        <v>1614.6</v>
      </c>
      <c r="E258" s="78">
        <f t="shared" si="13"/>
        <v>2420.2854000000002</v>
      </c>
      <c r="F258" s="78">
        <v>0</v>
      </c>
      <c r="G258" s="108">
        <v>45808</v>
      </c>
      <c r="H258" s="109"/>
      <c r="I258" s="33"/>
      <c r="N258" s="33"/>
      <c r="T258" s="18"/>
    </row>
    <row r="259" spans="1:20" s="77" customFormat="1" ht="15.75" customHeight="1" x14ac:dyDescent="0.25">
      <c r="A259" s="106">
        <f t="shared" si="14"/>
        <v>106</v>
      </c>
      <c r="B259" s="107"/>
      <c r="C259" s="78">
        <f>195.31</f>
        <v>195.31</v>
      </c>
      <c r="D259" s="78">
        <f t="shared" si="15"/>
        <v>2102.31684</v>
      </c>
      <c r="E259" s="78">
        <f t="shared" si="13"/>
        <v>3151.37294316</v>
      </c>
      <c r="F259" s="78">
        <v>0</v>
      </c>
      <c r="G259" s="108">
        <v>45808</v>
      </c>
      <c r="H259" s="109"/>
      <c r="I259" s="33"/>
      <c r="N259" s="33"/>
      <c r="T259" s="18"/>
    </row>
    <row r="260" spans="1:20" s="77" customFormat="1" ht="15.75" customHeight="1" x14ac:dyDescent="0.25">
      <c r="A260" s="106">
        <f t="shared" si="14"/>
        <v>107</v>
      </c>
      <c r="B260" s="107"/>
      <c r="C260" s="78">
        <f>160.24</f>
        <v>160.24</v>
      </c>
      <c r="D260" s="78">
        <f t="shared" si="15"/>
        <v>1724.8233600000001</v>
      </c>
      <c r="E260" s="78">
        <f t="shared" si="13"/>
        <v>2585.5102166400002</v>
      </c>
      <c r="F260" s="78">
        <v>0</v>
      </c>
      <c r="G260" s="106" t="s">
        <v>386</v>
      </c>
      <c r="H260" s="107"/>
      <c r="I260" s="33"/>
      <c r="N260" s="33"/>
      <c r="T260" s="18"/>
    </row>
    <row r="261" spans="1:20" s="77" customFormat="1" ht="15.75" customHeight="1" x14ac:dyDescent="0.25">
      <c r="A261" s="106">
        <f t="shared" si="14"/>
        <v>108</v>
      </c>
      <c r="B261" s="107"/>
      <c r="C261" s="78">
        <f>104</f>
        <v>104</v>
      </c>
      <c r="D261" s="78">
        <f t="shared" si="15"/>
        <v>1119.4559999999999</v>
      </c>
      <c r="E261" s="78">
        <f t="shared" si="13"/>
        <v>1678.0645440000001</v>
      </c>
      <c r="F261" s="78">
        <v>0</v>
      </c>
      <c r="G261" s="108" t="s">
        <v>386</v>
      </c>
      <c r="H261" s="109"/>
      <c r="I261" s="33"/>
      <c r="N261" s="33"/>
      <c r="T261" s="18"/>
    </row>
    <row r="262" spans="1:20" s="77" customFormat="1" ht="15.75" customHeight="1" x14ac:dyDescent="0.25">
      <c r="A262" s="106">
        <f t="shared" si="14"/>
        <v>109</v>
      </c>
      <c r="B262" s="107"/>
      <c r="C262" s="78">
        <f>104</f>
        <v>104</v>
      </c>
      <c r="D262" s="78">
        <f t="shared" si="15"/>
        <v>1119.4559999999999</v>
      </c>
      <c r="E262" s="78">
        <f t="shared" si="13"/>
        <v>1678.0645440000001</v>
      </c>
      <c r="F262" s="78">
        <v>0</v>
      </c>
      <c r="G262" s="108" t="s">
        <v>386</v>
      </c>
      <c r="H262" s="109"/>
      <c r="I262" s="33"/>
      <c r="N262" s="33"/>
      <c r="T262" s="18"/>
    </row>
    <row r="263" spans="1:20" s="77" customFormat="1" ht="15.75" customHeight="1" x14ac:dyDescent="0.25">
      <c r="A263" s="106">
        <f t="shared" si="14"/>
        <v>110</v>
      </c>
      <c r="B263" s="107"/>
      <c r="C263" s="78">
        <f>104</f>
        <v>104</v>
      </c>
      <c r="D263" s="78">
        <f t="shared" si="15"/>
        <v>1119.4559999999999</v>
      </c>
      <c r="E263" s="78">
        <f t="shared" si="13"/>
        <v>1678.0645440000001</v>
      </c>
      <c r="F263" s="78">
        <v>0</v>
      </c>
      <c r="G263" s="106" t="s">
        <v>386</v>
      </c>
      <c r="H263" s="107"/>
      <c r="I263" s="33"/>
      <c r="N263" s="33"/>
      <c r="T263" s="18"/>
    </row>
    <row r="264" spans="1:20" s="77" customFormat="1" ht="15.75" customHeight="1" x14ac:dyDescent="0.25">
      <c r="A264" s="106">
        <f t="shared" si="14"/>
        <v>111</v>
      </c>
      <c r="B264" s="107"/>
      <c r="C264" s="78">
        <f>104</f>
        <v>104</v>
      </c>
      <c r="D264" s="78">
        <f t="shared" si="15"/>
        <v>1119.4559999999999</v>
      </c>
      <c r="E264" s="78">
        <f t="shared" si="13"/>
        <v>1678.0645440000001</v>
      </c>
      <c r="F264" s="78">
        <v>0</v>
      </c>
      <c r="G264" s="108" t="s">
        <v>386</v>
      </c>
      <c r="H264" s="109"/>
      <c r="I264" s="33"/>
      <c r="N264" s="33"/>
      <c r="T264" s="18"/>
    </row>
    <row r="265" spans="1:20" s="77" customFormat="1" ht="15.75" customHeight="1" x14ac:dyDescent="0.25">
      <c r="A265" s="106">
        <f t="shared" si="14"/>
        <v>112</v>
      </c>
      <c r="B265" s="107"/>
      <c r="C265" s="78">
        <f>104</f>
        <v>104</v>
      </c>
      <c r="D265" s="78">
        <f t="shared" si="15"/>
        <v>1119.4559999999999</v>
      </c>
      <c r="E265" s="78">
        <f t="shared" si="13"/>
        <v>1678.0645440000001</v>
      </c>
      <c r="F265" s="78">
        <v>0</v>
      </c>
      <c r="G265" s="108" t="s">
        <v>386</v>
      </c>
      <c r="H265" s="109"/>
      <c r="I265" s="33"/>
      <c r="N265" s="33"/>
      <c r="T265" s="18"/>
    </row>
    <row r="266" spans="1:20" s="77" customFormat="1" ht="15.75" customHeight="1" x14ac:dyDescent="0.25">
      <c r="A266" s="106">
        <f t="shared" si="14"/>
        <v>113</v>
      </c>
      <c r="B266" s="107"/>
      <c r="C266" s="78">
        <f>104</f>
        <v>104</v>
      </c>
      <c r="D266" s="78">
        <f t="shared" si="15"/>
        <v>1119.4559999999999</v>
      </c>
      <c r="E266" s="78">
        <f t="shared" si="13"/>
        <v>1678.0645440000001</v>
      </c>
      <c r="F266" s="78">
        <v>0</v>
      </c>
      <c r="G266" s="106" t="s">
        <v>386</v>
      </c>
      <c r="H266" s="107"/>
      <c r="I266" s="33"/>
      <c r="N266" s="33"/>
      <c r="T266" s="18"/>
    </row>
    <row r="267" spans="1:20" s="77" customFormat="1" ht="15.75" customHeight="1" x14ac:dyDescent="0.25">
      <c r="A267" s="106">
        <f t="shared" si="14"/>
        <v>114</v>
      </c>
      <c r="B267" s="107"/>
      <c r="C267" s="78">
        <f>182.64</f>
        <v>182.64</v>
      </c>
      <c r="D267" s="78">
        <f t="shared" si="15"/>
        <v>1965.9369599999998</v>
      </c>
      <c r="E267" s="78">
        <f t="shared" si="13"/>
        <v>2946.9395030400001</v>
      </c>
      <c r="F267" s="78">
        <v>0</v>
      </c>
      <c r="G267" s="108" t="s">
        <v>386</v>
      </c>
      <c r="H267" s="109"/>
      <c r="I267" s="33"/>
      <c r="N267" s="33"/>
      <c r="T267" s="18"/>
    </row>
    <row r="268" spans="1:20" s="77" customFormat="1" ht="15.75" customHeight="1" x14ac:dyDescent="0.25">
      <c r="A268" s="106">
        <f t="shared" si="14"/>
        <v>115</v>
      </c>
      <c r="B268" s="107"/>
      <c r="C268" s="78">
        <f>182.64</f>
        <v>182.64</v>
      </c>
      <c r="D268" s="78">
        <f t="shared" si="15"/>
        <v>1965.9369599999998</v>
      </c>
      <c r="E268" s="78">
        <f t="shared" si="13"/>
        <v>2946.9395030400001</v>
      </c>
      <c r="F268" s="78">
        <v>0</v>
      </c>
      <c r="G268" s="108" t="s">
        <v>386</v>
      </c>
      <c r="H268" s="109"/>
      <c r="I268" s="33"/>
      <c r="N268" s="33"/>
      <c r="T268" s="18"/>
    </row>
    <row r="269" spans="1:20" s="77" customFormat="1" ht="15.75" customHeight="1" x14ac:dyDescent="0.25">
      <c r="A269" s="106">
        <f t="shared" si="14"/>
        <v>116</v>
      </c>
      <c r="B269" s="107"/>
      <c r="C269" s="78">
        <f>104</f>
        <v>104</v>
      </c>
      <c r="D269" s="78">
        <f t="shared" si="15"/>
        <v>1119.4559999999999</v>
      </c>
      <c r="E269" s="78">
        <f t="shared" si="13"/>
        <v>1678.0645440000001</v>
      </c>
      <c r="F269" s="78">
        <v>0</v>
      </c>
      <c r="G269" s="106" t="s">
        <v>386</v>
      </c>
      <c r="H269" s="107"/>
      <c r="I269" s="33"/>
      <c r="L269" s="110"/>
      <c r="M269" s="110"/>
      <c r="N269" s="33"/>
      <c r="T269" s="18"/>
    </row>
    <row r="270" spans="1:20" s="77" customFormat="1" ht="15.75" customHeight="1" x14ac:dyDescent="0.25">
      <c r="A270" s="106">
        <f t="shared" si="14"/>
        <v>117</v>
      </c>
      <c r="B270" s="107"/>
      <c r="C270" s="78">
        <f>104</f>
        <v>104</v>
      </c>
      <c r="D270" s="78">
        <f t="shared" si="15"/>
        <v>1119.4559999999999</v>
      </c>
      <c r="E270" s="78">
        <f t="shared" si="13"/>
        <v>1678.0645440000001</v>
      </c>
      <c r="F270" s="78">
        <v>0</v>
      </c>
      <c r="G270" s="108" t="s">
        <v>386</v>
      </c>
      <c r="H270" s="109"/>
      <c r="I270" s="33"/>
      <c r="N270" s="33"/>
      <c r="T270" s="18"/>
    </row>
    <row r="271" spans="1:20" s="77" customFormat="1" ht="15.75" customHeight="1" x14ac:dyDescent="0.25">
      <c r="A271" s="106">
        <f t="shared" si="14"/>
        <v>118</v>
      </c>
      <c r="B271" s="107"/>
      <c r="C271" s="78">
        <f>104</f>
        <v>104</v>
      </c>
      <c r="D271" s="78">
        <f t="shared" si="15"/>
        <v>1119.4559999999999</v>
      </c>
      <c r="E271" s="78">
        <f t="shared" si="13"/>
        <v>1678.0645440000001</v>
      </c>
      <c r="F271" s="78">
        <v>0</v>
      </c>
      <c r="G271" s="108" t="s">
        <v>386</v>
      </c>
      <c r="H271" s="109"/>
      <c r="I271" s="33"/>
      <c r="N271" s="33"/>
      <c r="T271" s="18"/>
    </row>
    <row r="272" spans="1:20" s="77" customFormat="1" ht="15.75" customHeight="1" x14ac:dyDescent="0.25">
      <c r="A272" s="106">
        <f t="shared" si="14"/>
        <v>119</v>
      </c>
      <c r="B272" s="107"/>
      <c r="C272" s="78">
        <f>104</f>
        <v>104</v>
      </c>
      <c r="D272" s="78">
        <f t="shared" si="15"/>
        <v>1119.4559999999999</v>
      </c>
      <c r="E272" s="78">
        <f t="shared" si="13"/>
        <v>1678.0645440000001</v>
      </c>
      <c r="F272" s="78">
        <v>0</v>
      </c>
      <c r="G272" s="106" t="s">
        <v>386</v>
      </c>
      <c r="H272" s="107"/>
      <c r="I272" s="33"/>
      <c r="N272" s="33"/>
      <c r="T272" s="18"/>
    </row>
    <row r="273" spans="1:20" s="77" customFormat="1" ht="15.75" customHeight="1" x14ac:dyDescent="0.25">
      <c r="A273" s="106">
        <f t="shared" si="14"/>
        <v>120</v>
      </c>
      <c r="B273" s="107"/>
      <c r="C273" s="78">
        <f>104</f>
        <v>104</v>
      </c>
      <c r="D273" s="78">
        <f t="shared" si="15"/>
        <v>1119.4559999999999</v>
      </c>
      <c r="E273" s="78">
        <f t="shared" si="13"/>
        <v>1678.0645440000001</v>
      </c>
      <c r="F273" s="78">
        <v>0</v>
      </c>
      <c r="G273" s="108" t="s">
        <v>386</v>
      </c>
      <c r="H273" s="109"/>
      <c r="I273" s="33"/>
      <c r="N273" s="33"/>
      <c r="T273" s="18"/>
    </row>
    <row r="274" spans="1:20" s="77" customFormat="1" ht="15.75" customHeight="1" x14ac:dyDescent="0.25">
      <c r="A274" s="106">
        <f t="shared" si="14"/>
        <v>121</v>
      </c>
      <c r="B274" s="107"/>
      <c r="C274" s="78">
        <f>104</f>
        <v>104</v>
      </c>
      <c r="D274" s="78">
        <f t="shared" si="15"/>
        <v>1119.4559999999999</v>
      </c>
      <c r="E274" s="78">
        <f t="shared" si="13"/>
        <v>1678.0645440000001</v>
      </c>
      <c r="F274" s="78">
        <v>0</v>
      </c>
      <c r="G274" s="108" t="s">
        <v>386</v>
      </c>
      <c r="H274" s="109"/>
      <c r="I274" s="33"/>
      <c r="N274" s="33"/>
      <c r="T274" s="18"/>
    </row>
    <row r="275" spans="1:20" s="77" customFormat="1" ht="15.75" customHeight="1" x14ac:dyDescent="0.25">
      <c r="A275" s="106">
        <f t="shared" si="14"/>
        <v>122</v>
      </c>
      <c r="B275" s="107"/>
      <c r="C275" s="78">
        <f>160.24</f>
        <v>160.24</v>
      </c>
      <c r="D275" s="78">
        <f t="shared" si="15"/>
        <v>1724.8233600000001</v>
      </c>
      <c r="E275" s="78">
        <f t="shared" si="13"/>
        <v>2585.5102166400002</v>
      </c>
      <c r="F275" s="78">
        <v>0</v>
      </c>
      <c r="G275" s="106" t="s">
        <v>386</v>
      </c>
      <c r="H275" s="107"/>
      <c r="I275" s="33"/>
      <c r="N275" s="33"/>
      <c r="T275" s="18"/>
    </row>
    <row r="276" spans="1:20" s="77" customFormat="1" ht="15.75" customHeight="1" x14ac:dyDescent="0.25">
      <c r="A276" s="106">
        <f t="shared" si="14"/>
        <v>123</v>
      </c>
      <c r="B276" s="107"/>
      <c r="C276" s="78">
        <f>123.24</f>
        <v>123.24</v>
      </c>
      <c r="D276" s="78">
        <f t="shared" si="15"/>
        <v>1326.5553599999998</v>
      </c>
      <c r="E276" s="78">
        <f t="shared" si="13"/>
        <v>1988.5064846399998</v>
      </c>
      <c r="F276" s="78">
        <v>0</v>
      </c>
      <c r="G276" s="108" t="s">
        <v>386</v>
      </c>
      <c r="H276" s="109"/>
      <c r="I276" s="33"/>
      <c r="N276" s="33"/>
      <c r="T276" s="18"/>
    </row>
    <row r="277" spans="1:20" s="77" customFormat="1" ht="15.75" customHeight="1" x14ac:dyDescent="0.25">
      <c r="A277" s="106">
        <f t="shared" si="14"/>
        <v>124</v>
      </c>
      <c r="B277" s="107"/>
      <c r="C277" s="78">
        <f>105</f>
        <v>105</v>
      </c>
      <c r="D277" s="78">
        <f t="shared" si="15"/>
        <v>1130.22</v>
      </c>
      <c r="E277" s="78">
        <f t="shared" si="13"/>
        <v>1694.1997800000001</v>
      </c>
      <c r="F277" s="78">
        <v>0</v>
      </c>
      <c r="G277" s="108" t="s">
        <v>386</v>
      </c>
      <c r="H277" s="109"/>
      <c r="I277" s="33"/>
      <c r="N277" s="33"/>
      <c r="T277" s="18"/>
    </row>
    <row r="278" spans="1:20" s="77" customFormat="1" ht="15.75" customHeight="1" x14ac:dyDescent="0.25">
      <c r="A278" s="106">
        <f t="shared" ref="A278:A291" si="16">A277+1</f>
        <v>125</v>
      </c>
      <c r="B278" s="107"/>
      <c r="C278" s="78">
        <f>105</f>
        <v>105</v>
      </c>
      <c r="D278" s="78">
        <f t="shared" ref="D278:D291" si="17">C278*10.764</f>
        <v>1130.22</v>
      </c>
      <c r="E278" s="78">
        <f t="shared" si="13"/>
        <v>1694.1997800000001</v>
      </c>
      <c r="F278" s="78">
        <v>0</v>
      </c>
      <c r="G278" s="106" t="s">
        <v>386</v>
      </c>
      <c r="H278" s="107"/>
      <c r="I278" s="33"/>
      <c r="N278" s="33"/>
      <c r="T278" s="18"/>
    </row>
    <row r="279" spans="1:20" s="77" customFormat="1" ht="15.75" customHeight="1" x14ac:dyDescent="0.25">
      <c r="A279" s="106">
        <f t="shared" si="16"/>
        <v>126</v>
      </c>
      <c r="B279" s="107"/>
      <c r="C279" s="78">
        <f>105</f>
        <v>105</v>
      </c>
      <c r="D279" s="78">
        <f t="shared" si="17"/>
        <v>1130.22</v>
      </c>
      <c r="E279" s="78">
        <f t="shared" si="13"/>
        <v>1694.1997800000001</v>
      </c>
      <c r="F279" s="78">
        <v>0</v>
      </c>
      <c r="G279" s="108" t="s">
        <v>386</v>
      </c>
      <c r="H279" s="109"/>
      <c r="I279" s="33"/>
      <c r="N279" s="33"/>
      <c r="T279" s="18"/>
    </row>
    <row r="280" spans="1:20" s="77" customFormat="1" ht="15.75" customHeight="1" x14ac:dyDescent="0.25">
      <c r="A280" s="106">
        <f t="shared" si="16"/>
        <v>127</v>
      </c>
      <c r="B280" s="107"/>
      <c r="C280" s="78">
        <f>105</f>
        <v>105</v>
      </c>
      <c r="D280" s="78">
        <f t="shared" si="17"/>
        <v>1130.22</v>
      </c>
      <c r="E280" s="78">
        <f t="shared" si="13"/>
        <v>1694.1997800000001</v>
      </c>
      <c r="F280" s="78">
        <v>0</v>
      </c>
      <c r="G280" s="108" t="s">
        <v>386</v>
      </c>
      <c r="H280" s="109"/>
      <c r="I280" s="33"/>
      <c r="N280" s="33"/>
      <c r="T280" s="18"/>
    </row>
    <row r="281" spans="1:20" s="77" customFormat="1" ht="15.75" customHeight="1" x14ac:dyDescent="0.25">
      <c r="A281" s="106">
        <f t="shared" si="16"/>
        <v>128</v>
      </c>
      <c r="B281" s="107"/>
      <c r="C281" s="78">
        <f>105</f>
        <v>105</v>
      </c>
      <c r="D281" s="78">
        <f t="shared" si="17"/>
        <v>1130.22</v>
      </c>
      <c r="E281" s="78">
        <f t="shared" si="13"/>
        <v>1694.1997800000001</v>
      </c>
      <c r="F281" s="78">
        <v>0</v>
      </c>
      <c r="G281" s="108" t="s">
        <v>386</v>
      </c>
      <c r="H281" s="109"/>
      <c r="I281" s="33"/>
      <c r="N281" s="33"/>
      <c r="T281" s="18"/>
    </row>
    <row r="282" spans="1:20" s="77" customFormat="1" ht="15.75" customHeight="1" x14ac:dyDescent="0.25">
      <c r="A282" s="106">
        <f t="shared" si="16"/>
        <v>129</v>
      </c>
      <c r="B282" s="107"/>
      <c r="C282" s="78">
        <f>105</f>
        <v>105</v>
      </c>
      <c r="D282" s="78">
        <f t="shared" si="17"/>
        <v>1130.22</v>
      </c>
      <c r="E282" s="78">
        <f t="shared" si="13"/>
        <v>1694.1997800000001</v>
      </c>
      <c r="F282" s="78">
        <v>0</v>
      </c>
      <c r="G282" s="108" t="s">
        <v>386</v>
      </c>
      <c r="H282" s="109"/>
      <c r="I282" s="33"/>
      <c r="N282" s="33"/>
      <c r="T282" s="18"/>
    </row>
    <row r="283" spans="1:20" s="77" customFormat="1" ht="15.75" customHeight="1" x14ac:dyDescent="0.25">
      <c r="A283" s="106">
        <f t="shared" si="16"/>
        <v>130</v>
      </c>
      <c r="B283" s="107"/>
      <c r="C283" s="78">
        <f>105</f>
        <v>105</v>
      </c>
      <c r="D283" s="78">
        <f t="shared" si="17"/>
        <v>1130.22</v>
      </c>
      <c r="E283" s="78">
        <f t="shared" ref="E283:E295" si="18">D283*1.499</f>
        <v>1694.1997800000001</v>
      </c>
      <c r="F283" s="78">
        <v>0</v>
      </c>
      <c r="G283" s="106" t="s">
        <v>386</v>
      </c>
      <c r="H283" s="107"/>
      <c r="I283" s="33"/>
      <c r="L283" s="110"/>
      <c r="M283" s="110"/>
      <c r="N283" s="33"/>
      <c r="T283" s="18"/>
    </row>
    <row r="284" spans="1:20" s="77" customFormat="1" ht="15.75" customHeight="1" x14ac:dyDescent="0.25">
      <c r="A284" s="106">
        <f t="shared" si="16"/>
        <v>131</v>
      </c>
      <c r="B284" s="107"/>
      <c r="C284" s="78">
        <f>105</f>
        <v>105</v>
      </c>
      <c r="D284" s="78">
        <f t="shared" si="17"/>
        <v>1130.22</v>
      </c>
      <c r="E284" s="78">
        <f t="shared" si="18"/>
        <v>1694.1997800000001</v>
      </c>
      <c r="F284" s="78">
        <v>0</v>
      </c>
      <c r="G284" s="108" t="s">
        <v>386</v>
      </c>
      <c r="H284" s="109"/>
      <c r="I284" s="33"/>
      <c r="N284" s="33"/>
      <c r="T284" s="18"/>
    </row>
    <row r="285" spans="1:20" s="77" customFormat="1" ht="15.75" customHeight="1" x14ac:dyDescent="0.25">
      <c r="A285" s="106">
        <f t="shared" si="16"/>
        <v>132</v>
      </c>
      <c r="B285" s="107"/>
      <c r="C285" s="78">
        <f>105</f>
        <v>105</v>
      </c>
      <c r="D285" s="78">
        <f t="shared" si="17"/>
        <v>1130.22</v>
      </c>
      <c r="E285" s="78">
        <f t="shared" si="18"/>
        <v>1694.1997800000001</v>
      </c>
      <c r="F285" s="78">
        <v>0</v>
      </c>
      <c r="G285" s="108" t="s">
        <v>386</v>
      </c>
      <c r="H285" s="109"/>
      <c r="I285" s="33"/>
      <c r="N285" s="33"/>
      <c r="T285" s="18"/>
    </row>
    <row r="286" spans="1:20" s="77" customFormat="1" ht="15.75" customHeight="1" x14ac:dyDescent="0.25">
      <c r="A286" s="106">
        <f t="shared" si="16"/>
        <v>133</v>
      </c>
      <c r="B286" s="107"/>
      <c r="C286" s="78">
        <f>148.89</f>
        <v>148.88999999999999</v>
      </c>
      <c r="D286" s="78">
        <f t="shared" si="17"/>
        <v>1602.6519599999997</v>
      </c>
      <c r="E286" s="78">
        <f t="shared" si="18"/>
        <v>2402.3752880399998</v>
      </c>
      <c r="F286" s="78">
        <v>0</v>
      </c>
      <c r="G286" s="106" t="s">
        <v>386</v>
      </c>
      <c r="H286" s="107"/>
      <c r="I286" s="33"/>
      <c r="N286" s="33"/>
      <c r="T286" s="18"/>
    </row>
    <row r="287" spans="1:20" s="77" customFormat="1" ht="15.75" customHeight="1" x14ac:dyDescent="0.25">
      <c r="A287" s="106">
        <f t="shared" si="16"/>
        <v>134</v>
      </c>
      <c r="B287" s="107"/>
      <c r="C287" s="78">
        <f>542.18</f>
        <v>542.17999999999995</v>
      </c>
      <c r="D287" s="78">
        <f t="shared" si="17"/>
        <v>5836.0255199999992</v>
      </c>
      <c r="E287" s="78">
        <f t="shared" si="18"/>
        <v>8748.2022544800002</v>
      </c>
      <c r="F287" s="78">
        <v>0</v>
      </c>
      <c r="G287" s="108" t="s">
        <v>386</v>
      </c>
      <c r="H287" s="109"/>
      <c r="I287" s="33"/>
      <c r="N287" s="33"/>
      <c r="T287" s="18"/>
    </row>
    <row r="288" spans="1:20" s="77" customFormat="1" ht="15.75" customHeight="1" x14ac:dyDescent="0.25">
      <c r="A288" s="106">
        <f t="shared" si="16"/>
        <v>135</v>
      </c>
      <c r="B288" s="107"/>
      <c r="C288" s="78">
        <f>459.14</f>
        <v>459.14</v>
      </c>
      <c r="D288" s="78">
        <f t="shared" si="17"/>
        <v>4942.1829599999992</v>
      </c>
      <c r="E288" s="78">
        <f t="shared" si="18"/>
        <v>7408.3322570399996</v>
      </c>
      <c r="F288" s="78">
        <v>0</v>
      </c>
      <c r="G288" s="108" t="s">
        <v>386</v>
      </c>
      <c r="H288" s="109"/>
      <c r="I288" s="33"/>
      <c r="N288" s="33"/>
      <c r="T288" s="18"/>
    </row>
    <row r="289" spans="1:20" s="77" customFormat="1" ht="15.75" customHeight="1" x14ac:dyDescent="0.25">
      <c r="A289" s="106">
        <f t="shared" si="16"/>
        <v>136</v>
      </c>
      <c r="B289" s="107"/>
      <c r="C289" s="78">
        <f>475.81</f>
        <v>475.81</v>
      </c>
      <c r="D289" s="78">
        <f t="shared" si="17"/>
        <v>5121.6188400000001</v>
      </c>
      <c r="E289" s="78">
        <f t="shared" si="18"/>
        <v>7677.3066411600003</v>
      </c>
      <c r="F289" s="78">
        <v>0</v>
      </c>
      <c r="G289" s="106" t="s">
        <v>386</v>
      </c>
      <c r="H289" s="107"/>
      <c r="I289" s="33"/>
      <c r="N289" s="33"/>
      <c r="T289" s="18"/>
    </row>
    <row r="290" spans="1:20" s="77" customFormat="1" ht="15.75" customHeight="1" x14ac:dyDescent="0.25">
      <c r="A290" s="106">
        <f t="shared" si="16"/>
        <v>137</v>
      </c>
      <c r="B290" s="107"/>
      <c r="C290" s="78">
        <f>492.49</f>
        <v>492.49</v>
      </c>
      <c r="D290" s="78">
        <f t="shared" si="17"/>
        <v>5301.1623599999994</v>
      </c>
      <c r="E290" s="78">
        <f t="shared" si="18"/>
        <v>7946.4423776399999</v>
      </c>
      <c r="F290" s="78">
        <v>0</v>
      </c>
      <c r="G290" s="108" t="s">
        <v>386</v>
      </c>
      <c r="H290" s="109"/>
      <c r="I290" s="33"/>
      <c r="N290" s="33"/>
      <c r="T290" s="18"/>
    </row>
    <row r="291" spans="1:20" s="77" customFormat="1" ht="15.75" customHeight="1" x14ac:dyDescent="0.25">
      <c r="A291" s="106">
        <f t="shared" si="16"/>
        <v>138</v>
      </c>
      <c r="B291" s="107"/>
      <c r="C291" s="78">
        <f>509.16</f>
        <v>509.16</v>
      </c>
      <c r="D291" s="78">
        <f t="shared" si="17"/>
        <v>5480.5982400000003</v>
      </c>
      <c r="E291" s="78">
        <f t="shared" si="18"/>
        <v>8215.4167617600015</v>
      </c>
      <c r="F291" s="78">
        <v>0</v>
      </c>
      <c r="G291" s="108" t="s">
        <v>386</v>
      </c>
      <c r="H291" s="109"/>
      <c r="I291" s="33"/>
      <c r="N291" s="33"/>
      <c r="T291" s="18"/>
    </row>
    <row r="292" spans="1:20" s="77" customFormat="1" ht="15.75" customHeight="1" x14ac:dyDescent="0.25">
      <c r="A292" s="106">
        <f t="shared" ref="A292:A294" si="19">A291+1</f>
        <v>139</v>
      </c>
      <c r="B292" s="107"/>
      <c r="C292" s="78">
        <f>525.84</f>
        <v>525.84</v>
      </c>
      <c r="D292" s="78">
        <f t="shared" ref="D292:D294" si="20">C292*10.764</f>
        <v>5660.1417600000004</v>
      </c>
      <c r="E292" s="78">
        <f t="shared" si="18"/>
        <v>8484.552498240002</v>
      </c>
      <c r="F292" s="78">
        <v>0</v>
      </c>
      <c r="G292" s="106" t="s">
        <v>386</v>
      </c>
      <c r="H292" s="107"/>
      <c r="I292" s="33"/>
      <c r="N292" s="33"/>
      <c r="T292" s="18"/>
    </row>
    <row r="293" spans="1:20" s="77" customFormat="1" ht="15.75" customHeight="1" x14ac:dyDescent="0.25">
      <c r="A293" s="106">
        <f t="shared" si="19"/>
        <v>140</v>
      </c>
      <c r="B293" s="107"/>
      <c r="C293" s="78">
        <f>542.51</f>
        <v>542.51</v>
      </c>
      <c r="D293" s="78">
        <f t="shared" si="20"/>
        <v>5839.5776399999995</v>
      </c>
      <c r="E293" s="78">
        <f t="shared" si="18"/>
        <v>8753.5268823599999</v>
      </c>
      <c r="F293" s="78">
        <v>0</v>
      </c>
      <c r="G293" s="108" t="s">
        <v>386</v>
      </c>
      <c r="H293" s="109"/>
      <c r="I293" s="33"/>
      <c r="N293" s="33"/>
      <c r="T293" s="18"/>
    </row>
    <row r="294" spans="1:20" s="77" customFormat="1" ht="15.75" customHeight="1" x14ac:dyDescent="0.25">
      <c r="A294" s="106">
        <f t="shared" si="19"/>
        <v>141</v>
      </c>
      <c r="B294" s="107"/>
      <c r="C294" s="78">
        <f>777.17</f>
        <v>777.17</v>
      </c>
      <c r="D294" s="78">
        <f t="shared" si="20"/>
        <v>8365.4578799999999</v>
      </c>
      <c r="E294" s="78">
        <f t="shared" si="18"/>
        <v>12539.821362120001</v>
      </c>
      <c r="F294" s="78">
        <v>0</v>
      </c>
      <c r="G294" s="108" t="s">
        <v>386</v>
      </c>
      <c r="H294" s="109"/>
      <c r="I294" s="33"/>
      <c r="N294" s="33"/>
      <c r="T294" s="18"/>
    </row>
    <row r="295" spans="1:20" s="77" customFormat="1" ht="15.75" customHeight="1" x14ac:dyDescent="0.25">
      <c r="A295" s="106">
        <f t="shared" ref="A295" si="21">A294+1</f>
        <v>142</v>
      </c>
      <c r="B295" s="107"/>
      <c r="C295" s="78">
        <f>833.34</f>
        <v>833.34</v>
      </c>
      <c r="D295" s="78">
        <f t="shared" ref="D295" si="22">C295*10.764</f>
        <v>8970.0717599999989</v>
      </c>
      <c r="E295" s="78">
        <f t="shared" si="18"/>
        <v>13446.137568239999</v>
      </c>
      <c r="F295" s="78">
        <v>0</v>
      </c>
      <c r="G295" s="108" t="s">
        <v>386</v>
      </c>
      <c r="H295" s="109"/>
      <c r="I295" s="33"/>
      <c r="N295" s="33"/>
      <c r="T295" s="18"/>
    </row>
    <row r="296" spans="1:20" s="32" customFormat="1" x14ac:dyDescent="0.25">
      <c r="A296" s="210" t="s">
        <v>63</v>
      </c>
      <c r="B296" s="210"/>
      <c r="C296" s="210"/>
      <c r="D296" s="210"/>
      <c r="E296" s="210"/>
      <c r="F296" s="210"/>
      <c r="G296" s="210"/>
      <c r="H296" s="210"/>
      <c r="T296" s="34"/>
    </row>
    <row r="297" spans="1:20" s="32" customFormat="1" ht="30.75" customHeight="1" x14ac:dyDescent="0.25">
      <c r="A297" s="76">
        <v>1</v>
      </c>
      <c r="B297" s="103" t="s">
        <v>412</v>
      </c>
      <c r="C297" s="104"/>
      <c r="D297" s="104"/>
      <c r="E297" s="104"/>
      <c r="F297" s="104"/>
      <c r="G297" s="104"/>
      <c r="H297" s="105"/>
      <c r="I297" s="91" t="s">
        <v>399</v>
      </c>
      <c r="T297" s="77"/>
    </row>
    <row r="298" spans="1:20" s="32" customFormat="1" x14ac:dyDescent="0.25">
      <c r="A298" s="76">
        <v>2</v>
      </c>
      <c r="B298" s="103" t="s">
        <v>387</v>
      </c>
      <c r="C298" s="104"/>
      <c r="D298" s="104"/>
      <c r="E298" s="104"/>
      <c r="F298" s="104"/>
      <c r="G298" s="104"/>
      <c r="H298" s="105"/>
      <c r="T298" s="77"/>
    </row>
    <row r="299" spans="1:20" s="32" customFormat="1" ht="33.75" hidden="1" customHeight="1" x14ac:dyDescent="0.25">
      <c r="A299" s="76" t="s">
        <v>147</v>
      </c>
      <c r="B299" s="103" t="s">
        <v>117</v>
      </c>
      <c r="C299" s="104"/>
      <c r="D299" s="104"/>
      <c r="E299" s="104"/>
      <c r="F299" s="104"/>
      <c r="G299" s="104"/>
      <c r="H299" s="105"/>
      <c r="T299" s="77"/>
    </row>
    <row r="300" spans="1:20" s="32" customFormat="1" hidden="1" x14ac:dyDescent="0.25">
      <c r="A300" s="76" t="s">
        <v>147</v>
      </c>
      <c r="B300" s="103" t="s">
        <v>146</v>
      </c>
      <c r="C300" s="104"/>
      <c r="D300" s="104"/>
      <c r="E300" s="104"/>
      <c r="F300" s="104"/>
      <c r="G300" s="104"/>
      <c r="H300" s="105"/>
    </row>
    <row r="301" spans="1:20" s="32" customFormat="1" hidden="1" x14ac:dyDescent="0.25">
      <c r="A301" s="76" t="s">
        <v>147</v>
      </c>
      <c r="B301" s="103" t="s">
        <v>118</v>
      </c>
      <c r="C301" s="104"/>
      <c r="D301" s="104"/>
      <c r="E301" s="104"/>
      <c r="F301" s="104"/>
      <c r="G301" s="104"/>
      <c r="H301" s="105"/>
    </row>
    <row r="302" spans="1:20" s="32" customFormat="1" ht="34.5" customHeight="1" x14ac:dyDescent="0.25">
      <c r="A302" s="76">
        <v>3</v>
      </c>
      <c r="B302" s="103" t="s">
        <v>148</v>
      </c>
      <c r="C302" s="104"/>
      <c r="D302" s="104"/>
      <c r="E302" s="104"/>
      <c r="F302" s="104"/>
      <c r="G302" s="104"/>
      <c r="H302" s="105"/>
    </row>
    <row r="303" spans="1:20" s="32" customFormat="1" x14ac:dyDescent="0.25">
      <c r="A303" s="89">
        <v>4</v>
      </c>
      <c r="B303" s="103" t="s">
        <v>118</v>
      </c>
      <c r="C303" s="104"/>
      <c r="D303" s="104"/>
      <c r="E303" s="104"/>
      <c r="F303" s="104"/>
      <c r="G303" s="104"/>
      <c r="H303" s="105"/>
    </row>
    <row r="304" spans="1:20" s="32" customFormat="1" ht="31.5" customHeight="1" x14ac:dyDescent="0.25">
      <c r="A304" s="76">
        <v>5</v>
      </c>
      <c r="B304" s="103" t="s">
        <v>405</v>
      </c>
      <c r="C304" s="104"/>
      <c r="D304" s="104"/>
      <c r="E304" s="104"/>
      <c r="F304" s="104"/>
      <c r="G304" s="104"/>
      <c r="H304" s="105"/>
    </row>
    <row r="305" spans="1:920" s="32" customFormat="1" hidden="1" x14ac:dyDescent="0.25">
      <c r="A305" s="76">
        <v>5</v>
      </c>
      <c r="B305" s="103" t="s">
        <v>389</v>
      </c>
      <c r="C305" s="104"/>
      <c r="D305" s="104"/>
      <c r="E305" s="104"/>
      <c r="F305" s="104"/>
      <c r="G305" s="104"/>
      <c r="H305" s="105"/>
    </row>
    <row r="306" spans="1:920" s="32" customFormat="1" ht="49.5" hidden="1" customHeight="1" x14ac:dyDescent="0.25">
      <c r="A306" s="76">
        <v>6</v>
      </c>
      <c r="B306" s="103" t="s">
        <v>391</v>
      </c>
      <c r="C306" s="104"/>
      <c r="D306" s="104"/>
      <c r="E306" s="104"/>
      <c r="F306" s="104"/>
      <c r="G306" s="104"/>
      <c r="H306" s="105"/>
    </row>
    <row r="307" spans="1:920" s="83" customFormat="1" ht="30" hidden="1" customHeight="1" x14ac:dyDescent="0.25">
      <c r="A307" s="82">
        <v>1</v>
      </c>
      <c r="B307" s="84">
        <v>45531</v>
      </c>
      <c r="C307" s="111"/>
      <c r="D307" s="112"/>
      <c r="E307" s="111" t="s">
        <v>388</v>
      </c>
      <c r="F307" s="113" t="s">
        <v>388</v>
      </c>
      <c r="G307" s="113"/>
      <c r="H307" s="11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c r="AT307" s="32"/>
      <c r="AU307" s="32"/>
      <c r="AV307" s="32"/>
      <c r="AW307" s="32"/>
      <c r="AX307" s="32"/>
      <c r="AY307" s="32"/>
      <c r="AZ307" s="32"/>
      <c r="BA307" s="32"/>
      <c r="BB307" s="32"/>
      <c r="BC307" s="32"/>
      <c r="BD307" s="32"/>
      <c r="BE307" s="32"/>
      <c r="BF307" s="32"/>
      <c r="BG307" s="32"/>
      <c r="BH307" s="32"/>
      <c r="BI307" s="32"/>
      <c r="BJ307" s="32"/>
      <c r="BK307" s="32"/>
      <c r="BL307" s="32"/>
      <c r="BM307" s="32"/>
      <c r="BN307" s="32"/>
      <c r="BO307" s="32"/>
      <c r="BP307" s="32"/>
      <c r="BQ307" s="32"/>
      <c r="BR307" s="32"/>
      <c r="BS307" s="32"/>
      <c r="BT307" s="32"/>
      <c r="BU307" s="32"/>
      <c r="BV307" s="32"/>
      <c r="BW307" s="32"/>
      <c r="BX307" s="32"/>
      <c r="BY307" s="32"/>
      <c r="BZ307" s="32"/>
      <c r="CA307" s="32"/>
      <c r="CB307" s="32"/>
      <c r="CC307" s="32"/>
      <c r="CD307" s="32"/>
      <c r="CE307" s="32"/>
      <c r="CF307" s="32"/>
      <c r="CG307" s="32"/>
      <c r="CH307" s="32"/>
      <c r="CI307" s="32"/>
      <c r="CJ307" s="32"/>
      <c r="CK307" s="32"/>
      <c r="CL307" s="32"/>
      <c r="CM307" s="32"/>
      <c r="CN307" s="32"/>
      <c r="CO307" s="32"/>
      <c r="CP307" s="32"/>
      <c r="CQ307" s="32"/>
      <c r="CR307" s="32"/>
      <c r="CS307" s="32"/>
      <c r="CT307" s="32"/>
      <c r="CU307" s="32"/>
      <c r="CV307" s="32"/>
      <c r="CW307" s="32"/>
      <c r="CX307" s="32"/>
      <c r="CY307" s="32"/>
      <c r="CZ307" s="32"/>
      <c r="DA307" s="32"/>
      <c r="DB307" s="32"/>
      <c r="DC307" s="32"/>
      <c r="DD307" s="32"/>
      <c r="DE307" s="32"/>
      <c r="DF307" s="32"/>
      <c r="DG307" s="32"/>
      <c r="DH307" s="32"/>
      <c r="DI307" s="32"/>
      <c r="DJ307" s="32"/>
      <c r="DK307" s="32"/>
      <c r="DL307" s="32"/>
      <c r="DM307" s="32"/>
      <c r="DN307" s="32"/>
      <c r="DO307" s="32"/>
      <c r="DP307" s="32"/>
      <c r="DQ307" s="32"/>
      <c r="DR307" s="32"/>
      <c r="DS307" s="32"/>
      <c r="DT307" s="32"/>
      <c r="DU307" s="32"/>
      <c r="DV307" s="32"/>
      <c r="DW307" s="32"/>
      <c r="DX307" s="32"/>
      <c r="DY307" s="32"/>
      <c r="DZ307" s="32"/>
      <c r="EA307" s="32"/>
      <c r="EB307" s="32"/>
      <c r="EC307" s="32"/>
      <c r="ED307" s="32"/>
      <c r="EE307" s="32"/>
      <c r="EF307" s="32"/>
      <c r="EG307" s="32"/>
      <c r="EH307" s="32"/>
      <c r="EI307" s="32"/>
      <c r="EJ307" s="32"/>
      <c r="EK307" s="32"/>
      <c r="EL307" s="32"/>
      <c r="EM307" s="32"/>
      <c r="EN307" s="32"/>
      <c r="EO307" s="32"/>
      <c r="EP307" s="32"/>
      <c r="EQ307" s="32"/>
      <c r="ER307" s="32"/>
      <c r="ES307" s="32"/>
      <c r="ET307" s="32"/>
      <c r="EU307" s="32"/>
      <c r="EV307" s="32"/>
      <c r="EW307" s="32"/>
      <c r="EX307" s="32"/>
      <c r="EY307" s="32"/>
      <c r="EZ307" s="32"/>
      <c r="FA307" s="32"/>
      <c r="FB307" s="32"/>
      <c r="FC307" s="32"/>
      <c r="FD307" s="32"/>
      <c r="FE307" s="32"/>
      <c r="FF307" s="32"/>
      <c r="FG307" s="32"/>
      <c r="FH307" s="32"/>
      <c r="FI307" s="32"/>
      <c r="FJ307" s="32"/>
      <c r="FK307" s="32"/>
      <c r="FL307" s="32"/>
      <c r="FM307" s="32"/>
      <c r="FN307" s="32"/>
      <c r="FO307" s="32"/>
      <c r="FP307" s="32"/>
      <c r="FQ307" s="32"/>
      <c r="FR307" s="32"/>
      <c r="FS307" s="32"/>
      <c r="FT307" s="32"/>
      <c r="FU307" s="32"/>
      <c r="FV307" s="32"/>
      <c r="FW307" s="32"/>
      <c r="FX307" s="32"/>
      <c r="FY307" s="32"/>
      <c r="FZ307" s="32"/>
      <c r="GA307" s="32"/>
      <c r="GB307" s="32"/>
      <c r="GC307" s="32"/>
      <c r="GD307" s="32"/>
      <c r="GE307" s="32"/>
      <c r="GF307" s="32"/>
      <c r="GG307" s="32"/>
      <c r="GH307" s="32"/>
      <c r="GI307" s="32"/>
      <c r="GJ307" s="32"/>
      <c r="GK307" s="32"/>
      <c r="GL307" s="32"/>
      <c r="GM307" s="32"/>
      <c r="GN307" s="32"/>
      <c r="GO307" s="32"/>
      <c r="GP307" s="32"/>
      <c r="GQ307" s="32"/>
      <c r="GR307" s="32"/>
      <c r="GS307" s="32"/>
      <c r="GT307" s="32"/>
      <c r="GU307" s="32"/>
      <c r="GV307" s="32"/>
      <c r="GW307" s="32"/>
      <c r="GX307" s="32"/>
      <c r="GY307" s="32"/>
      <c r="GZ307" s="32"/>
      <c r="HA307" s="32"/>
      <c r="HB307" s="32"/>
      <c r="HC307" s="32"/>
      <c r="HD307" s="32"/>
      <c r="HE307" s="32"/>
      <c r="HF307" s="32"/>
      <c r="HG307" s="32"/>
      <c r="HH307" s="32"/>
      <c r="HI307" s="32"/>
      <c r="HJ307" s="32"/>
      <c r="HK307" s="32"/>
      <c r="HL307" s="32"/>
      <c r="HM307" s="32"/>
      <c r="HN307" s="32"/>
      <c r="HO307" s="32"/>
      <c r="HP307" s="32"/>
      <c r="HQ307" s="32"/>
      <c r="HR307" s="32"/>
      <c r="HS307" s="32"/>
      <c r="HT307" s="32"/>
      <c r="HU307" s="32"/>
      <c r="HV307" s="32"/>
      <c r="HW307" s="32"/>
      <c r="HX307" s="32"/>
      <c r="HY307" s="32"/>
      <c r="HZ307" s="32"/>
      <c r="IA307" s="32"/>
      <c r="IB307" s="32"/>
      <c r="IC307" s="32"/>
      <c r="ID307" s="32"/>
      <c r="IE307" s="32"/>
      <c r="IF307" s="32"/>
      <c r="IG307" s="32"/>
      <c r="IH307" s="32"/>
      <c r="II307" s="32"/>
      <c r="IJ307" s="32"/>
      <c r="IK307" s="32"/>
      <c r="IL307" s="32"/>
      <c r="IM307" s="32"/>
      <c r="IN307" s="32"/>
      <c r="IO307" s="32"/>
      <c r="IP307" s="32"/>
      <c r="IQ307" s="32"/>
      <c r="IR307" s="32"/>
      <c r="IS307" s="32"/>
      <c r="IT307" s="32"/>
      <c r="IU307" s="32"/>
      <c r="IV307" s="32"/>
      <c r="IW307" s="32"/>
      <c r="IX307" s="32"/>
      <c r="IY307" s="32"/>
      <c r="IZ307" s="32"/>
      <c r="JA307" s="32"/>
      <c r="JB307" s="32"/>
      <c r="JC307" s="32"/>
      <c r="JD307" s="32"/>
      <c r="JE307" s="32"/>
      <c r="JF307" s="32"/>
      <c r="JG307" s="32"/>
      <c r="JH307" s="32"/>
      <c r="JI307" s="32"/>
      <c r="JJ307" s="32"/>
      <c r="JK307" s="32"/>
      <c r="JL307" s="32"/>
      <c r="JM307" s="32"/>
      <c r="JN307" s="32"/>
      <c r="JO307" s="32"/>
      <c r="JP307" s="32"/>
      <c r="JQ307" s="32"/>
      <c r="JR307" s="32"/>
      <c r="JS307" s="32"/>
      <c r="JT307" s="32"/>
      <c r="JU307" s="32"/>
      <c r="JV307" s="32"/>
      <c r="JW307" s="32"/>
      <c r="JX307" s="32"/>
      <c r="JY307" s="32"/>
      <c r="JZ307" s="32"/>
      <c r="KA307" s="32"/>
      <c r="KB307" s="32"/>
      <c r="KC307" s="32"/>
      <c r="KD307" s="32"/>
      <c r="KE307" s="32"/>
      <c r="KF307" s="32"/>
      <c r="KG307" s="32"/>
      <c r="KH307" s="32"/>
      <c r="KI307" s="32"/>
      <c r="KJ307" s="32"/>
      <c r="KK307" s="32"/>
      <c r="KL307" s="32"/>
      <c r="KM307" s="32"/>
      <c r="KN307" s="32"/>
      <c r="KO307" s="32"/>
      <c r="KP307" s="32"/>
      <c r="KQ307" s="32"/>
      <c r="KR307" s="32"/>
      <c r="KS307" s="32"/>
      <c r="KT307" s="32"/>
      <c r="KU307" s="32"/>
      <c r="KV307" s="32"/>
      <c r="KW307" s="32"/>
      <c r="KX307" s="32"/>
      <c r="KY307" s="32"/>
      <c r="KZ307" s="32"/>
      <c r="LA307" s="32"/>
      <c r="LB307" s="32"/>
      <c r="LC307" s="32"/>
      <c r="LD307" s="32"/>
      <c r="LE307" s="32"/>
      <c r="LF307" s="32"/>
      <c r="LG307" s="32"/>
      <c r="LH307" s="32"/>
      <c r="LI307" s="32"/>
      <c r="LJ307" s="32"/>
      <c r="LK307" s="32"/>
      <c r="LL307" s="32"/>
      <c r="LM307" s="32"/>
      <c r="LN307" s="32"/>
      <c r="LO307" s="32"/>
      <c r="LP307" s="32"/>
      <c r="LQ307" s="32"/>
      <c r="LR307" s="32"/>
      <c r="LS307" s="32"/>
      <c r="LT307" s="32"/>
      <c r="LU307" s="32"/>
      <c r="LV307" s="32"/>
      <c r="LW307" s="32"/>
      <c r="LX307" s="32"/>
      <c r="LY307" s="32"/>
      <c r="LZ307" s="32"/>
      <c r="MA307" s="32"/>
      <c r="MB307" s="32"/>
      <c r="MC307" s="32"/>
      <c r="MD307" s="32"/>
      <c r="ME307" s="32"/>
      <c r="MF307" s="32"/>
      <c r="MG307" s="32"/>
      <c r="MH307" s="32"/>
      <c r="MI307" s="32"/>
      <c r="MJ307" s="32"/>
      <c r="MK307" s="32"/>
      <c r="ML307" s="32"/>
      <c r="MM307" s="32"/>
      <c r="MN307" s="32"/>
      <c r="MO307" s="32"/>
      <c r="MP307" s="32"/>
      <c r="MQ307" s="32"/>
      <c r="MR307" s="32"/>
      <c r="MS307" s="32"/>
      <c r="MT307" s="32"/>
      <c r="MU307" s="32"/>
      <c r="MV307" s="32"/>
      <c r="MW307" s="32"/>
      <c r="MX307" s="32"/>
      <c r="MY307" s="32"/>
      <c r="MZ307" s="32"/>
      <c r="NA307" s="32"/>
      <c r="NB307" s="32"/>
      <c r="NC307" s="32"/>
      <c r="ND307" s="32"/>
      <c r="NE307" s="32"/>
      <c r="NF307" s="32"/>
      <c r="NG307" s="32"/>
      <c r="NH307" s="32"/>
      <c r="NI307" s="32"/>
      <c r="NJ307" s="32"/>
      <c r="NK307" s="32"/>
      <c r="NL307" s="32"/>
      <c r="NM307" s="32"/>
      <c r="NN307" s="32"/>
      <c r="NO307" s="32"/>
      <c r="NP307" s="32"/>
      <c r="NQ307" s="32"/>
      <c r="NR307" s="32"/>
      <c r="NS307" s="32"/>
      <c r="NT307" s="32"/>
      <c r="NU307" s="32"/>
      <c r="NV307" s="32"/>
      <c r="NW307" s="32"/>
      <c r="NX307" s="32"/>
      <c r="NY307" s="32"/>
      <c r="NZ307" s="32"/>
      <c r="OA307" s="32"/>
      <c r="OB307" s="32"/>
      <c r="OC307" s="32"/>
      <c r="OD307" s="32"/>
      <c r="OE307" s="32"/>
      <c r="OF307" s="32"/>
      <c r="OG307" s="32"/>
      <c r="OH307" s="32"/>
      <c r="OI307" s="32"/>
      <c r="OJ307" s="32"/>
      <c r="OK307" s="32"/>
      <c r="OL307" s="32"/>
      <c r="OM307" s="32"/>
      <c r="ON307" s="32"/>
      <c r="OO307" s="32"/>
      <c r="OP307" s="32"/>
      <c r="OQ307" s="32"/>
      <c r="OR307" s="32"/>
      <c r="OS307" s="32"/>
      <c r="OT307" s="32"/>
      <c r="OU307" s="32"/>
      <c r="OV307" s="32"/>
      <c r="OW307" s="32"/>
      <c r="OX307" s="32"/>
      <c r="OY307" s="32"/>
      <c r="OZ307" s="32"/>
      <c r="PA307" s="32"/>
      <c r="PB307" s="32"/>
      <c r="PC307" s="32"/>
      <c r="PD307" s="32"/>
      <c r="PE307" s="32"/>
      <c r="PF307" s="32"/>
      <c r="PG307" s="32"/>
      <c r="PH307" s="32"/>
      <c r="PI307" s="32"/>
      <c r="PJ307" s="32"/>
      <c r="PK307" s="32"/>
      <c r="PL307" s="32"/>
      <c r="PM307" s="32"/>
      <c r="PN307" s="32"/>
      <c r="PO307" s="32"/>
      <c r="PP307" s="32"/>
      <c r="PQ307" s="32"/>
      <c r="PR307" s="32"/>
      <c r="PS307" s="32"/>
      <c r="PT307" s="32"/>
      <c r="PU307" s="32"/>
      <c r="PV307" s="32"/>
      <c r="PW307" s="32"/>
      <c r="PX307" s="32"/>
      <c r="PY307" s="32"/>
      <c r="PZ307" s="32"/>
      <c r="QA307" s="32"/>
      <c r="QB307" s="32"/>
      <c r="QC307" s="32"/>
      <c r="QD307" s="32"/>
      <c r="QE307" s="32"/>
      <c r="QF307" s="32"/>
      <c r="QG307" s="32"/>
      <c r="QH307" s="32"/>
      <c r="QI307" s="32"/>
      <c r="QJ307" s="32"/>
      <c r="QK307" s="32"/>
      <c r="QL307" s="32"/>
      <c r="QM307" s="32"/>
      <c r="QN307" s="32"/>
      <c r="QO307" s="32"/>
      <c r="QP307" s="32"/>
      <c r="QQ307" s="32"/>
      <c r="QR307" s="32"/>
      <c r="QS307" s="32"/>
      <c r="QT307" s="32"/>
      <c r="QU307" s="32"/>
      <c r="QV307" s="32"/>
      <c r="QW307" s="32"/>
      <c r="QX307" s="32"/>
      <c r="QY307" s="32"/>
      <c r="QZ307" s="32"/>
      <c r="RA307" s="32"/>
      <c r="RB307" s="32"/>
      <c r="RC307" s="32"/>
      <c r="RD307" s="32"/>
      <c r="RE307" s="32"/>
      <c r="RF307" s="32"/>
      <c r="RG307" s="32"/>
      <c r="RH307" s="32"/>
      <c r="RI307" s="32"/>
      <c r="RJ307" s="32"/>
      <c r="RK307" s="32"/>
      <c r="RL307" s="32"/>
      <c r="RM307" s="32"/>
      <c r="RN307" s="32"/>
      <c r="RO307" s="32"/>
      <c r="RP307" s="32"/>
      <c r="RQ307" s="32"/>
      <c r="RR307" s="32"/>
      <c r="RS307" s="32"/>
      <c r="RT307" s="32"/>
      <c r="RU307" s="32"/>
      <c r="RV307" s="32"/>
      <c r="RW307" s="32"/>
      <c r="RX307" s="32"/>
      <c r="RY307" s="32"/>
      <c r="RZ307" s="32"/>
      <c r="SA307" s="32"/>
      <c r="SB307" s="32"/>
      <c r="SC307" s="32"/>
      <c r="SD307" s="32"/>
      <c r="SE307" s="32"/>
      <c r="SF307" s="32"/>
      <c r="SG307" s="32"/>
      <c r="SH307" s="32"/>
      <c r="SI307" s="32"/>
      <c r="SJ307" s="32"/>
      <c r="SK307" s="32"/>
      <c r="SL307" s="32"/>
      <c r="SM307" s="32"/>
      <c r="SN307" s="32"/>
      <c r="SO307" s="32"/>
      <c r="SP307" s="32"/>
      <c r="SQ307" s="32"/>
      <c r="SR307" s="32"/>
      <c r="SS307" s="32"/>
      <c r="ST307" s="32"/>
      <c r="SU307" s="32"/>
      <c r="SV307" s="32"/>
      <c r="SW307" s="32"/>
      <c r="SX307" s="32"/>
      <c r="SY307" s="32"/>
      <c r="SZ307" s="32"/>
      <c r="TA307" s="32"/>
      <c r="TB307" s="32"/>
      <c r="TC307" s="32"/>
      <c r="TD307" s="32"/>
      <c r="TE307" s="32"/>
      <c r="TF307" s="32"/>
      <c r="TG307" s="32"/>
      <c r="TH307" s="32"/>
      <c r="TI307" s="32"/>
      <c r="TJ307" s="32"/>
      <c r="TK307" s="32"/>
      <c r="TL307" s="32"/>
      <c r="TM307" s="32"/>
      <c r="TN307" s="32"/>
      <c r="TO307" s="32"/>
      <c r="TP307" s="32"/>
      <c r="TQ307" s="32"/>
      <c r="TR307" s="32"/>
      <c r="TS307" s="32"/>
      <c r="TT307" s="32"/>
      <c r="TU307" s="32"/>
      <c r="TV307" s="32"/>
      <c r="TW307" s="32"/>
      <c r="TX307" s="32"/>
      <c r="TY307" s="32"/>
      <c r="TZ307" s="32"/>
      <c r="UA307" s="32"/>
      <c r="UB307" s="32"/>
      <c r="UC307" s="32"/>
      <c r="UD307" s="32"/>
      <c r="UE307" s="32"/>
      <c r="UF307" s="32"/>
      <c r="UG307" s="32"/>
      <c r="UH307" s="32"/>
      <c r="UI307" s="32"/>
      <c r="UJ307" s="32"/>
      <c r="UK307" s="32"/>
      <c r="UL307" s="32"/>
      <c r="UM307" s="32"/>
      <c r="UN307" s="32"/>
      <c r="UO307" s="32"/>
      <c r="UP307" s="32"/>
      <c r="UQ307" s="32"/>
      <c r="UR307" s="32"/>
      <c r="US307" s="32"/>
      <c r="UT307" s="32"/>
      <c r="UU307" s="32"/>
      <c r="UV307" s="32"/>
      <c r="UW307" s="32"/>
      <c r="UX307" s="32"/>
      <c r="UY307" s="32"/>
      <c r="UZ307" s="32"/>
      <c r="VA307" s="32"/>
      <c r="VB307" s="32"/>
      <c r="VC307" s="32"/>
      <c r="VD307" s="32"/>
      <c r="VE307" s="32"/>
      <c r="VF307" s="32"/>
      <c r="VG307" s="32"/>
      <c r="VH307" s="32"/>
      <c r="VI307" s="32"/>
      <c r="VJ307" s="32"/>
      <c r="VK307" s="32"/>
      <c r="VL307" s="32"/>
      <c r="VM307" s="32"/>
      <c r="VN307" s="32"/>
      <c r="VO307" s="32"/>
      <c r="VP307" s="32"/>
      <c r="VQ307" s="32"/>
      <c r="VR307" s="32"/>
      <c r="VS307" s="32"/>
      <c r="VT307" s="32"/>
      <c r="VU307" s="32"/>
      <c r="VV307" s="32"/>
      <c r="VW307" s="32"/>
      <c r="VX307" s="32"/>
      <c r="VY307" s="32"/>
      <c r="VZ307" s="32"/>
      <c r="WA307" s="32"/>
      <c r="WB307" s="32"/>
      <c r="WC307" s="32"/>
      <c r="WD307" s="32"/>
      <c r="WE307" s="32"/>
      <c r="WF307" s="32"/>
      <c r="WG307" s="32"/>
      <c r="WH307" s="32"/>
      <c r="WI307" s="32"/>
      <c r="WJ307" s="32"/>
      <c r="WK307" s="32"/>
      <c r="WL307" s="32"/>
      <c r="WM307" s="32"/>
      <c r="WN307" s="32"/>
      <c r="WO307" s="32"/>
      <c r="WP307" s="32"/>
      <c r="WQ307" s="32"/>
      <c r="WR307" s="32"/>
      <c r="WS307" s="32"/>
      <c r="WT307" s="32"/>
      <c r="WU307" s="32"/>
      <c r="WV307" s="32"/>
      <c r="WW307" s="32"/>
      <c r="WX307" s="32"/>
      <c r="WY307" s="32"/>
      <c r="WZ307" s="32"/>
      <c r="XA307" s="32"/>
      <c r="XB307" s="32"/>
      <c r="XC307" s="32"/>
      <c r="XD307" s="32"/>
      <c r="XE307" s="32"/>
      <c r="XF307" s="32"/>
      <c r="XG307" s="32"/>
      <c r="XH307" s="32"/>
      <c r="XI307" s="32"/>
      <c r="XJ307" s="32"/>
      <c r="XK307" s="32"/>
      <c r="XL307" s="32"/>
      <c r="XM307" s="32"/>
      <c r="XN307" s="32"/>
      <c r="XO307" s="32"/>
      <c r="XP307" s="32"/>
      <c r="XQ307" s="32"/>
      <c r="XR307" s="32"/>
      <c r="XS307" s="32"/>
      <c r="XT307" s="32"/>
      <c r="XU307" s="32"/>
      <c r="XV307" s="32"/>
      <c r="XW307" s="32"/>
      <c r="XX307" s="32"/>
      <c r="XY307" s="32"/>
      <c r="XZ307" s="32"/>
      <c r="YA307" s="32"/>
      <c r="YB307" s="32"/>
      <c r="YC307" s="32"/>
      <c r="YD307" s="32"/>
      <c r="YE307" s="32"/>
      <c r="YF307" s="32"/>
      <c r="YG307" s="32"/>
      <c r="YH307" s="32"/>
      <c r="YI307" s="32"/>
      <c r="YJ307" s="32"/>
      <c r="YK307" s="32"/>
      <c r="YL307" s="32"/>
      <c r="YM307" s="32"/>
      <c r="YN307" s="32"/>
      <c r="YO307" s="32"/>
      <c r="YP307" s="32"/>
      <c r="YQ307" s="32"/>
      <c r="YR307" s="32"/>
      <c r="YS307" s="32"/>
      <c r="YT307" s="32"/>
      <c r="YU307" s="32"/>
      <c r="YV307" s="32"/>
      <c r="YW307" s="32"/>
      <c r="YX307" s="32"/>
      <c r="YY307" s="32"/>
      <c r="YZ307" s="32"/>
      <c r="ZA307" s="32"/>
      <c r="ZB307" s="32"/>
      <c r="ZC307" s="32"/>
      <c r="ZD307" s="32"/>
      <c r="ZE307" s="32"/>
      <c r="ZF307" s="32"/>
      <c r="ZG307" s="32"/>
      <c r="ZH307" s="32"/>
      <c r="ZI307" s="32"/>
      <c r="ZJ307" s="32"/>
      <c r="ZK307" s="32"/>
      <c r="ZL307" s="32"/>
      <c r="ZM307" s="32"/>
      <c r="ZN307" s="32"/>
      <c r="ZO307" s="32"/>
      <c r="ZP307" s="32"/>
      <c r="ZQ307" s="32"/>
      <c r="ZR307" s="32"/>
      <c r="ZS307" s="32"/>
      <c r="ZT307" s="32"/>
      <c r="ZU307" s="32"/>
      <c r="ZV307" s="32"/>
      <c r="ZW307" s="32"/>
      <c r="ZX307" s="32"/>
      <c r="ZY307" s="32"/>
      <c r="ZZ307" s="32"/>
      <c r="AAA307" s="32"/>
      <c r="AAB307" s="32"/>
      <c r="AAC307" s="32"/>
      <c r="AAD307" s="32"/>
      <c r="AAE307" s="32"/>
      <c r="AAF307" s="32"/>
      <c r="AAG307" s="32"/>
      <c r="AAH307" s="32"/>
      <c r="AAI307" s="32"/>
      <c r="AAJ307" s="32"/>
      <c r="AAK307" s="32"/>
      <c r="AAL307" s="32"/>
      <c r="AAM307" s="32"/>
      <c r="AAN307" s="32"/>
      <c r="AAO307" s="32"/>
      <c r="AAP307" s="32"/>
      <c r="AAQ307" s="32"/>
      <c r="AAR307" s="32"/>
      <c r="AAS307" s="32"/>
      <c r="AAT307" s="32"/>
      <c r="AAU307" s="32"/>
      <c r="AAV307" s="32"/>
      <c r="AAW307" s="32"/>
      <c r="AAX307" s="32"/>
      <c r="AAY307" s="32"/>
      <c r="AAZ307" s="32"/>
      <c r="ABA307" s="32"/>
      <c r="ABB307" s="32"/>
      <c r="ABC307" s="32"/>
      <c r="ABD307" s="32"/>
      <c r="ABE307" s="32"/>
      <c r="ABF307" s="32"/>
      <c r="ABG307" s="32"/>
      <c r="ABH307" s="32"/>
      <c r="ABI307" s="32"/>
      <c r="ABJ307" s="32"/>
      <c r="ABK307" s="32"/>
      <c r="ABL307" s="32"/>
      <c r="ABM307" s="32"/>
      <c r="ABN307" s="32"/>
      <c r="ABO307" s="32"/>
      <c r="ABP307" s="32"/>
      <c r="ABQ307" s="32"/>
      <c r="ABR307" s="32"/>
      <c r="ABS307" s="32"/>
      <c r="ABT307" s="32"/>
      <c r="ABU307" s="32"/>
      <c r="ABV307" s="32"/>
      <c r="ABW307" s="32"/>
      <c r="ABX307" s="32"/>
      <c r="ABY307" s="32"/>
      <c r="ABZ307" s="32"/>
      <c r="ACA307" s="32"/>
      <c r="ACB307" s="32"/>
      <c r="ACC307" s="32"/>
      <c r="ACD307" s="32"/>
      <c r="ACE307" s="32"/>
      <c r="ACF307" s="32"/>
      <c r="ACG307" s="32"/>
      <c r="ACH307" s="32"/>
      <c r="ACI307" s="32"/>
      <c r="ACJ307" s="32"/>
      <c r="ACK307" s="32"/>
      <c r="ACL307" s="32"/>
      <c r="ACM307" s="32"/>
      <c r="ACN307" s="32"/>
      <c r="ACO307" s="32"/>
      <c r="ACP307" s="32"/>
      <c r="ACQ307" s="32"/>
      <c r="ACR307" s="32"/>
      <c r="ACS307" s="32"/>
      <c r="ACT307" s="32"/>
      <c r="ACU307" s="32"/>
      <c r="ACV307" s="32"/>
      <c r="ACW307" s="32"/>
      <c r="ACX307" s="32"/>
      <c r="ACY307" s="32"/>
      <c r="ACZ307" s="32"/>
      <c r="ADA307" s="32"/>
      <c r="ADB307" s="32"/>
      <c r="ADC307" s="32"/>
      <c r="ADD307" s="32"/>
      <c r="ADE307" s="32"/>
      <c r="ADF307" s="32"/>
      <c r="ADG307" s="32"/>
      <c r="ADH307" s="32"/>
      <c r="ADI307" s="32"/>
      <c r="ADJ307" s="32"/>
      <c r="ADK307" s="32"/>
      <c r="ADL307" s="32"/>
      <c r="ADM307" s="32"/>
      <c r="ADN307" s="32"/>
      <c r="ADO307" s="32"/>
      <c r="ADP307" s="32"/>
      <c r="ADQ307" s="32"/>
      <c r="ADR307" s="32"/>
      <c r="ADS307" s="32"/>
      <c r="ADT307" s="32"/>
      <c r="ADU307" s="32"/>
      <c r="ADV307" s="32"/>
      <c r="ADW307" s="32"/>
      <c r="ADX307" s="32"/>
      <c r="ADY307" s="32"/>
      <c r="ADZ307" s="32"/>
      <c r="AEA307" s="32"/>
      <c r="AEB307" s="32"/>
      <c r="AEC307" s="32"/>
      <c r="AED307" s="32"/>
      <c r="AEE307" s="32"/>
      <c r="AEF307" s="32"/>
      <c r="AEG307" s="32"/>
      <c r="AEH307" s="32"/>
      <c r="AEI307" s="32"/>
      <c r="AEJ307" s="32"/>
      <c r="AEK307" s="32"/>
      <c r="AEL307" s="32"/>
      <c r="AEM307" s="32"/>
      <c r="AEN307" s="32"/>
      <c r="AEO307" s="32"/>
      <c r="AEP307" s="32"/>
      <c r="AEQ307" s="32"/>
      <c r="AER307" s="32"/>
      <c r="AES307" s="32"/>
      <c r="AET307" s="32"/>
      <c r="AEU307" s="32"/>
      <c r="AEV307" s="32"/>
      <c r="AEW307" s="32"/>
      <c r="AEX307" s="32"/>
      <c r="AEY307" s="32"/>
      <c r="AEZ307" s="32"/>
      <c r="AFA307" s="32"/>
      <c r="AFB307" s="32"/>
      <c r="AFC307" s="32"/>
      <c r="AFD307" s="32"/>
      <c r="AFE307" s="32"/>
      <c r="AFF307" s="32"/>
      <c r="AFG307" s="32"/>
      <c r="AFH307" s="32"/>
      <c r="AFI307" s="32"/>
      <c r="AFJ307" s="32"/>
      <c r="AFK307" s="32"/>
      <c r="AFL307" s="32"/>
      <c r="AFM307" s="32"/>
      <c r="AFN307" s="32"/>
      <c r="AFO307" s="32"/>
      <c r="AFP307" s="32"/>
      <c r="AFQ307" s="32"/>
      <c r="AFR307" s="32"/>
      <c r="AFS307" s="32"/>
      <c r="AFT307" s="32"/>
      <c r="AFU307" s="32"/>
      <c r="AFV307" s="32"/>
      <c r="AFW307" s="32"/>
      <c r="AFX307" s="32"/>
      <c r="AFY307" s="32"/>
      <c r="AFZ307" s="32"/>
      <c r="AGA307" s="32"/>
      <c r="AGB307" s="32"/>
      <c r="AGC307" s="32"/>
      <c r="AGD307" s="32"/>
      <c r="AGE307" s="32"/>
      <c r="AGF307" s="32"/>
      <c r="AGG307" s="32"/>
      <c r="AGH307" s="32"/>
      <c r="AGI307" s="32"/>
      <c r="AGJ307" s="32"/>
      <c r="AGK307" s="32"/>
      <c r="AGL307" s="32"/>
      <c r="AGM307" s="32"/>
      <c r="AGN307" s="32"/>
      <c r="AGO307" s="32"/>
      <c r="AGP307" s="32"/>
      <c r="AGQ307" s="32"/>
      <c r="AGR307" s="32"/>
      <c r="AGS307" s="32"/>
      <c r="AGT307" s="32"/>
      <c r="AGU307" s="32"/>
      <c r="AGV307" s="32"/>
      <c r="AGW307" s="32"/>
      <c r="AGX307" s="32"/>
      <c r="AGY307" s="32"/>
      <c r="AGZ307" s="32"/>
      <c r="AHA307" s="32"/>
      <c r="AHB307" s="32"/>
      <c r="AHC307" s="32"/>
      <c r="AHD307" s="32"/>
      <c r="AHE307" s="32"/>
      <c r="AHF307" s="32"/>
      <c r="AHG307" s="32"/>
      <c r="AHH307" s="32"/>
      <c r="AHI307" s="32"/>
      <c r="AHJ307" s="32"/>
      <c r="AHK307" s="32"/>
      <c r="AHL307" s="32"/>
      <c r="AHM307" s="32"/>
      <c r="AHN307" s="32"/>
      <c r="AHO307" s="32"/>
      <c r="AHP307" s="32"/>
      <c r="AHQ307" s="32"/>
      <c r="AHR307" s="32"/>
      <c r="AHS307" s="32"/>
      <c r="AHT307" s="32"/>
      <c r="AHU307" s="32"/>
      <c r="AHV307" s="32"/>
      <c r="AHW307" s="32"/>
      <c r="AHX307" s="32"/>
      <c r="AHY307" s="32"/>
      <c r="AHZ307" s="32"/>
      <c r="AIA307" s="32"/>
      <c r="AIB307" s="32"/>
      <c r="AIC307" s="32"/>
      <c r="AID307" s="32"/>
      <c r="AIE307" s="32"/>
      <c r="AIF307" s="32"/>
      <c r="AIG307" s="32"/>
      <c r="AIH307" s="32"/>
      <c r="AII307" s="32"/>
      <c r="AIJ307" s="32"/>
    </row>
    <row r="308" spans="1:920" s="32" customFormat="1" ht="66" hidden="1" customHeight="1" x14ac:dyDescent="0.25">
      <c r="A308" s="40" t="s">
        <v>147</v>
      </c>
      <c r="B308" s="100" t="s">
        <v>155</v>
      </c>
      <c r="C308" s="101"/>
      <c r="D308" s="101"/>
      <c r="E308" s="101"/>
      <c r="F308" s="101"/>
      <c r="G308" s="101"/>
      <c r="H308" s="102"/>
      <c r="T308" s="34"/>
    </row>
    <row r="309" spans="1:920" s="32" customFormat="1" hidden="1" x14ac:dyDescent="0.25">
      <c r="A309" s="40" t="s">
        <v>147</v>
      </c>
      <c r="B309" s="207" t="e">
        <f>(IF(#REF!="Saleable area Loading :","We have considered Saleable area of Flats as per our Calculation.","We considered Saleable area of Flat as per Builder area Sheet."))</f>
        <v>#REF!</v>
      </c>
      <c r="C309" s="208"/>
      <c r="D309" s="208"/>
      <c r="E309" s="208"/>
      <c r="F309" s="208"/>
      <c r="G309" s="208"/>
      <c r="H309" s="209"/>
      <c r="T309" s="34"/>
    </row>
    <row r="310" spans="1:920" s="32" customFormat="1" hidden="1" x14ac:dyDescent="0.25">
      <c r="A310" s="40" t="s">
        <v>147</v>
      </c>
      <c r="B310" s="207" t="str">
        <f>(IF(H144="Saleable area Loading :","We have considered Saleable area of Commercial as per our Calculation.","We considered Saleable area of Commercial as per Builder area Sheet."))</f>
        <v>We have considered Saleable area of Commercial as per our Calculation.</v>
      </c>
      <c r="C310" s="208"/>
      <c r="D310" s="208"/>
      <c r="E310" s="208"/>
      <c r="F310" s="208"/>
      <c r="G310" s="208"/>
      <c r="H310" s="209"/>
      <c r="T310" s="34"/>
    </row>
    <row r="311" spans="1:920" s="32" customFormat="1" hidden="1" x14ac:dyDescent="0.25">
      <c r="A311" s="40" t="s">
        <v>147</v>
      </c>
      <c r="B311" s="103" t="s">
        <v>116</v>
      </c>
      <c r="C311" s="104"/>
      <c r="D311" s="104"/>
      <c r="E311" s="104"/>
      <c r="F311" s="104"/>
      <c r="G311" s="104"/>
      <c r="H311" s="105"/>
      <c r="T311" s="34"/>
    </row>
    <row r="312" spans="1:920" s="32" customFormat="1" ht="33.75" hidden="1" customHeight="1" x14ac:dyDescent="0.25">
      <c r="A312" s="40" t="s">
        <v>147</v>
      </c>
      <c r="B312" s="103" t="s">
        <v>117</v>
      </c>
      <c r="C312" s="104"/>
      <c r="D312" s="104"/>
      <c r="E312" s="104"/>
      <c r="F312" s="104"/>
      <c r="G312" s="104"/>
      <c r="H312" s="105"/>
      <c r="T312" s="34"/>
    </row>
    <row r="313" spans="1:920" s="32" customFormat="1" hidden="1" x14ac:dyDescent="0.25">
      <c r="A313" s="40" t="s">
        <v>147</v>
      </c>
      <c r="B313" s="103" t="s">
        <v>146</v>
      </c>
      <c r="C313" s="104"/>
      <c r="D313" s="104"/>
      <c r="E313" s="104"/>
      <c r="F313" s="104"/>
      <c r="G313" s="104"/>
      <c r="H313" s="105"/>
    </row>
    <row r="314" spans="1:920" s="32" customFormat="1" hidden="1" x14ac:dyDescent="0.25">
      <c r="A314" s="40" t="s">
        <v>147</v>
      </c>
      <c r="B314" s="103" t="s">
        <v>118</v>
      </c>
      <c r="C314" s="104"/>
      <c r="D314" s="104"/>
      <c r="E314" s="104"/>
      <c r="F314" s="104"/>
      <c r="G314" s="104"/>
      <c r="H314" s="105"/>
    </row>
    <row r="315" spans="1:920" s="32" customFormat="1" ht="34.5" hidden="1" customHeight="1" x14ac:dyDescent="0.25">
      <c r="A315" s="40" t="s">
        <v>147</v>
      </c>
      <c r="B315" s="103" t="s">
        <v>148</v>
      </c>
      <c r="C315" s="104"/>
      <c r="D315" s="104"/>
      <c r="E315" s="104"/>
      <c r="F315" s="104"/>
      <c r="G315" s="104"/>
      <c r="H315" s="105"/>
    </row>
    <row r="316" spans="1:920" s="32" customFormat="1" hidden="1" x14ac:dyDescent="0.25">
      <c r="A316" s="40" t="s">
        <v>147</v>
      </c>
      <c r="B316" s="103" t="s">
        <v>119</v>
      </c>
      <c r="C316" s="104"/>
      <c r="D316" s="104"/>
      <c r="E316" s="104"/>
      <c r="F316" s="104"/>
      <c r="G316" s="104"/>
      <c r="H316" s="105"/>
    </row>
    <row r="317" spans="1:920" s="32" customFormat="1" ht="32.25" hidden="1" customHeight="1" x14ac:dyDescent="0.25">
      <c r="A317" s="45" t="s">
        <v>147</v>
      </c>
      <c r="B317" s="100" t="s">
        <v>173</v>
      </c>
      <c r="C317" s="101"/>
      <c r="D317" s="101"/>
      <c r="E317" s="101"/>
      <c r="F317" s="101"/>
      <c r="G317" s="101"/>
      <c r="H317" s="102"/>
    </row>
    <row r="318" spans="1:920" s="32" customFormat="1" hidden="1" x14ac:dyDescent="0.25">
      <c r="A318" s="48" t="s">
        <v>147</v>
      </c>
      <c r="B318" s="100" t="s">
        <v>228</v>
      </c>
      <c r="C318" s="101"/>
      <c r="D318" s="101"/>
      <c r="E318" s="101"/>
      <c r="F318" s="101"/>
      <c r="G318" s="101"/>
      <c r="H318" s="102"/>
    </row>
    <row r="319" spans="1:920" s="32" customFormat="1" x14ac:dyDescent="0.25">
      <c r="A319" s="86" t="s">
        <v>147</v>
      </c>
      <c r="B319" s="87" t="s">
        <v>395</v>
      </c>
      <c r="C319" s="118" t="s">
        <v>396</v>
      </c>
      <c r="D319" s="118"/>
      <c r="E319" s="118" t="s">
        <v>397</v>
      </c>
      <c r="F319" s="118"/>
      <c r="G319" s="118"/>
      <c r="H319" s="118"/>
      <c r="T319" s="88"/>
    </row>
    <row r="320" spans="1:920" s="32" customFormat="1" ht="29.1" customHeight="1" x14ac:dyDescent="0.25">
      <c r="A320" s="86">
        <v>1</v>
      </c>
      <c r="B320" s="90">
        <v>45808</v>
      </c>
      <c r="C320" s="118" t="s">
        <v>406</v>
      </c>
      <c r="D320" s="118"/>
      <c r="E320" s="118" t="s">
        <v>398</v>
      </c>
      <c r="F320" s="118"/>
      <c r="G320" s="118"/>
      <c r="H320" s="118"/>
      <c r="T320" s="88"/>
    </row>
    <row r="321" spans="1:20" s="32" customFormat="1" ht="31.5" customHeight="1" x14ac:dyDescent="0.25">
      <c r="A321" s="94">
        <v>6</v>
      </c>
      <c r="B321" s="100" t="s">
        <v>411</v>
      </c>
      <c r="C321" s="101"/>
      <c r="D321" s="101"/>
      <c r="E321" s="101"/>
      <c r="F321" s="101"/>
      <c r="G321" s="101"/>
      <c r="H321" s="102"/>
    </row>
    <row r="322" spans="1:20" x14ac:dyDescent="0.25">
      <c r="A322" s="182" t="s">
        <v>56</v>
      </c>
      <c r="B322" s="182"/>
      <c r="C322" s="182"/>
      <c r="D322" s="182"/>
      <c r="E322" s="182"/>
      <c r="F322" s="182"/>
      <c r="G322" s="182"/>
      <c r="H322" s="182"/>
      <c r="T322" s="32"/>
    </row>
    <row r="323" spans="1:20" x14ac:dyDescent="0.25">
      <c r="A323" s="124" t="s">
        <v>57</v>
      </c>
      <c r="B323" s="124"/>
      <c r="C323" s="124"/>
      <c r="D323" s="124"/>
      <c r="E323" s="124"/>
      <c r="F323" s="124"/>
      <c r="G323" s="124"/>
      <c r="H323" s="124"/>
      <c r="T323" s="32"/>
    </row>
    <row r="324" spans="1:20" ht="15.75" customHeight="1" x14ac:dyDescent="0.25">
      <c r="A324" s="206" t="s">
        <v>58</v>
      </c>
      <c r="B324" s="206"/>
      <c r="C324" s="206"/>
      <c r="D324" s="206"/>
      <c r="E324" s="206"/>
      <c r="F324" s="206"/>
      <c r="G324" s="206"/>
      <c r="H324" s="206"/>
      <c r="T324" s="32"/>
    </row>
    <row r="325" spans="1:20" x14ac:dyDescent="0.25">
      <c r="A325" s="124" t="s">
        <v>59</v>
      </c>
      <c r="B325" s="124"/>
      <c r="C325" s="124"/>
      <c r="D325" s="124"/>
      <c r="E325" s="124"/>
      <c r="F325" s="124"/>
      <c r="G325" s="124"/>
      <c r="H325" s="124"/>
      <c r="T325" s="32"/>
    </row>
    <row r="326" spans="1:20" x14ac:dyDescent="0.25">
      <c r="A326" s="124" t="s">
        <v>60</v>
      </c>
      <c r="B326" s="124"/>
      <c r="C326" s="124"/>
      <c r="D326" s="124"/>
      <c r="E326" s="124"/>
      <c r="F326" s="124"/>
      <c r="G326" s="124"/>
      <c r="H326" s="124"/>
      <c r="T326" s="32"/>
    </row>
    <row r="327" spans="1:20" x14ac:dyDescent="0.25">
      <c r="A327" s="124" t="s">
        <v>120</v>
      </c>
      <c r="B327" s="124"/>
      <c r="C327" s="124"/>
      <c r="D327" s="124"/>
      <c r="E327" s="124"/>
      <c r="F327" s="124"/>
      <c r="G327" s="124"/>
      <c r="H327" s="124"/>
      <c r="T327" s="32"/>
    </row>
    <row r="328" spans="1:20" ht="33.950000000000003" customHeight="1" x14ac:dyDescent="0.25">
      <c r="A328" s="183" t="s">
        <v>121</v>
      </c>
      <c r="B328" s="183"/>
      <c r="C328" s="183"/>
      <c r="D328" s="183"/>
      <c r="E328" s="183"/>
      <c r="F328" s="183"/>
      <c r="G328" s="183"/>
      <c r="H328" s="183"/>
    </row>
    <row r="329" spans="1:20" x14ac:dyDescent="0.25">
      <c r="A329" s="196" t="s">
        <v>72</v>
      </c>
      <c r="B329" s="196"/>
      <c r="C329" s="196" t="s">
        <v>347</v>
      </c>
      <c r="D329" s="196"/>
      <c r="E329" s="196" t="s">
        <v>100</v>
      </c>
      <c r="F329" s="196"/>
      <c r="G329" s="196" t="s">
        <v>408</v>
      </c>
      <c r="H329" s="196"/>
    </row>
    <row r="330" spans="1:20" x14ac:dyDescent="0.25">
      <c r="A330" s="195" t="s">
        <v>74</v>
      </c>
      <c r="B330" s="195"/>
      <c r="C330" s="195"/>
      <c r="D330" s="195"/>
      <c r="E330" s="195"/>
      <c r="F330" s="195"/>
      <c r="G330" s="195"/>
      <c r="H330" s="195"/>
    </row>
    <row r="331" spans="1:20" x14ac:dyDescent="0.25">
      <c r="A331" s="195"/>
      <c r="B331" s="195"/>
      <c r="C331" s="195"/>
      <c r="D331" s="195"/>
      <c r="E331" s="195"/>
      <c r="F331" s="195"/>
      <c r="G331" s="195"/>
      <c r="H331" s="195"/>
    </row>
    <row r="332" spans="1:20" x14ac:dyDescent="0.25">
      <c r="A332" s="195"/>
      <c r="B332" s="195"/>
      <c r="C332" s="195"/>
      <c r="D332" s="195"/>
      <c r="E332" s="195"/>
      <c r="F332" s="195"/>
      <c r="G332" s="195"/>
      <c r="H332" s="195"/>
    </row>
    <row r="333" spans="1:20" x14ac:dyDescent="0.25">
      <c r="A333" s="195"/>
      <c r="B333" s="195"/>
      <c r="C333" s="195"/>
      <c r="D333" s="195"/>
      <c r="E333" s="195"/>
      <c r="F333" s="195"/>
      <c r="G333" s="195"/>
      <c r="H333" s="195"/>
    </row>
    <row r="334" spans="1:20" x14ac:dyDescent="0.25">
      <c r="A334" s="35" t="s">
        <v>61</v>
      </c>
      <c r="B334" s="36"/>
      <c r="C334" s="36"/>
      <c r="D334" s="35" t="str">
        <f>E9</f>
        <v>Sankalp Meadows</v>
      </c>
      <c r="F334" s="36"/>
      <c r="G334" s="36"/>
      <c r="H334" s="36"/>
    </row>
    <row r="335" spans="1:20" x14ac:dyDescent="0.25">
      <c r="A335" s="36"/>
      <c r="B335" s="36"/>
      <c r="C335" s="36"/>
      <c r="D335" s="36"/>
      <c r="E335" s="36"/>
      <c r="F335" s="36"/>
      <c r="G335" s="36"/>
      <c r="H335" s="36"/>
    </row>
    <row r="336" spans="1:20" x14ac:dyDescent="0.25">
      <c r="A336" s="36"/>
      <c r="B336" s="36"/>
      <c r="C336" s="36"/>
      <c r="D336" s="36"/>
      <c r="E336" s="36"/>
      <c r="F336" s="36"/>
      <c r="G336" s="36"/>
      <c r="H336" s="36"/>
    </row>
    <row r="337" ht="15" customHeight="1" x14ac:dyDescent="0.25"/>
    <row r="372" spans="1:8" x14ac:dyDescent="0.25">
      <c r="A372" s="35" t="s">
        <v>61</v>
      </c>
      <c r="B372" s="36"/>
      <c r="C372" s="36"/>
      <c r="D372" s="35" t="str">
        <f>E9</f>
        <v>Sankalp Meadows</v>
      </c>
      <c r="F372" s="36"/>
      <c r="G372" s="36"/>
      <c r="H372" s="36"/>
    </row>
    <row r="373" spans="1:8" x14ac:dyDescent="0.25">
      <c r="A373" s="36"/>
      <c r="B373" s="36"/>
      <c r="C373" s="36"/>
      <c r="D373" s="36"/>
      <c r="E373" s="36"/>
      <c r="F373" s="36"/>
      <c r="G373" s="36"/>
      <c r="H373" s="36"/>
    </row>
    <row r="374" spans="1:8" x14ac:dyDescent="0.25">
      <c r="A374" s="36"/>
      <c r="B374" s="36"/>
      <c r="C374" s="36"/>
      <c r="D374" s="36"/>
      <c r="E374" s="36"/>
      <c r="F374" s="36"/>
      <c r="G374" s="36"/>
      <c r="H374" s="36"/>
    </row>
    <row r="375" spans="1:8" ht="15" customHeight="1" x14ac:dyDescent="0.25"/>
    <row r="410" spans="1:1" x14ac:dyDescent="0.25">
      <c r="A410" s="38" t="s">
        <v>404</v>
      </c>
    </row>
    <row r="453" spans="1:1" x14ac:dyDescent="0.25">
      <c r="A453" s="38" t="s">
        <v>156</v>
      </c>
    </row>
    <row r="496" spans="1:1" x14ac:dyDescent="0.25">
      <c r="A496" s="38" t="s">
        <v>62</v>
      </c>
    </row>
  </sheetData>
  <mergeCells count="636">
    <mergeCell ref="A124:E124"/>
    <mergeCell ref="F124:H124"/>
    <mergeCell ref="A126:E126"/>
    <mergeCell ref="B310:H310"/>
    <mergeCell ref="A107:B107"/>
    <mergeCell ref="E107:F116"/>
    <mergeCell ref="F121:H121"/>
    <mergeCell ref="A125:E125"/>
    <mergeCell ref="A151:H151"/>
    <mergeCell ref="E137:F137"/>
    <mergeCell ref="A142:H142"/>
    <mergeCell ref="C132:D132"/>
    <mergeCell ref="C140:D140"/>
    <mergeCell ref="A177:B177"/>
    <mergeCell ref="B317:H317"/>
    <mergeCell ref="A141:B141"/>
    <mergeCell ref="C141:D141"/>
    <mergeCell ref="E141:F141"/>
    <mergeCell ref="B316:H316"/>
    <mergeCell ref="B314:H314"/>
    <mergeCell ref="A150:B150"/>
    <mergeCell ref="A149:B149"/>
    <mergeCell ref="D73:H73"/>
    <mergeCell ref="A79:B79"/>
    <mergeCell ref="G78:H78"/>
    <mergeCell ref="A87:B87"/>
    <mergeCell ref="A88:B88"/>
    <mergeCell ref="A83:B83"/>
    <mergeCell ref="A80:B80"/>
    <mergeCell ref="A82:B82"/>
    <mergeCell ref="E78:F78"/>
    <mergeCell ref="A85:B85"/>
    <mergeCell ref="A86:B86"/>
    <mergeCell ref="A84:B84"/>
    <mergeCell ref="I15:P15"/>
    <mergeCell ref="F128:H128"/>
    <mergeCell ref="F126:H126"/>
    <mergeCell ref="A143:H143"/>
    <mergeCell ref="G132:H132"/>
    <mergeCell ref="A127:E127"/>
    <mergeCell ref="A148:B148"/>
    <mergeCell ref="A60:B60"/>
    <mergeCell ref="C60:E60"/>
    <mergeCell ref="D62:H62"/>
    <mergeCell ref="F127:H127"/>
    <mergeCell ref="E132:F132"/>
    <mergeCell ref="A134:B134"/>
    <mergeCell ref="C137:D137"/>
    <mergeCell ref="D72:H72"/>
    <mergeCell ref="D63:H63"/>
    <mergeCell ref="G60:H60"/>
    <mergeCell ref="A54:B55"/>
    <mergeCell ref="C54:E54"/>
    <mergeCell ref="G54:H54"/>
    <mergeCell ref="A56:B57"/>
    <mergeCell ref="C56:E56"/>
    <mergeCell ref="E43:H43"/>
    <mergeCell ref="A43:D43"/>
    <mergeCell ref="A327:H327"/>
    <mergeCell ref="A324:H324"/>
    <mergeCell ref="A168:B168"/>
    <mergeCell ref="B312:H312"/>
    <mergeCell ref="A186:B186"/>
    <mergeCell ref="A187:B187"/>
    <mergeCell ref="A190:B190"/>
    <mergeCell ref="A189:B189"/>
    <mergeCell ref="B308:H308"/>
    <mergeCell ref="B309:H309"/>
    <mergeCell ref="B311:H311"/>
    <mergeCell ref="B313:H313"/>
    <mergeCell ref="A182:B182"/>
    <mergeCell ref="A171:B171"/>
    <mergeCell ref="A178:B178"/>
    <mergeCell ref="B318:H318"/>
    <mergeCell ref="A296:H296"/>
    <mergeCell ref="A183:B183"/>
    <mergeCell ref="A184:B184"/>
    <mergeCell ref="A188:B188"/>
    <mergeCell ref="C319:D319"/>
    <mergeCell ref="E319:H319"/>
    <mergeCell ref="C320:D320"/>
    <mergeCell ref="E320:H320"/>
    <mergeCell ref="A147:B147"/>
    <mergeCell ref="A137:B137"/>
    <mergeCell ref="A123:E123"/>
    <mergeCell ref="A117:H117"/>
    <mergeCell ref="F119:H119"/>
    <mergeCell ref="G133:H133"/>
    <mergeCell ref="F122:H122"/>
    <mergeCell ref="E134:F134"/>
    <mergeCell ref="G134:H134"/>
    <mergeCell ref="A135:B135"/>
    <mergeCell ref="C135:D135"/>
    <mergeCell ref="E135:F135"/>
    <mergeCell ref="G135:H135"/>
    <mergeCell ref="A139:B139"/>
    <mergeCell ref="C139:D139"/>
    <mergeCell ref="E139:F139"/>
    <mergeCell ref="G139:H139"/>
    <mergeCell ref="C138:D138"/>
    <mergeCell ref="E138:F138"/>
    <mergeCell ref="G138:H138"/>
    <mergeCell ref="A119:E119"/>
    <mergeCell ref="A118:E118"/>
    <mergeCell ref="F118:H118"/>
    <mergeCell ref="F125:H125"/>
    <mergeCell ref="A330:H333"/>
    <mergeCell ref="A329:B329"/>
    <mergeCell ref="E329:F329"/>
    <mergeCell ref="C329:D329"/>
    <mergeCell ref="G329:H329"/>
    <mergeCell ref="A131:H131"/>
    <mergeCell ref="A129:E129"/>
    <mergeCell ref="F129:H129"/>
    <mergeCell ref="A130:E130"/>
    <mergeCell ref="F130:H130"/>
    <mergeCell ref="A138:B138"/>
    <mergeCell ref="A176:B176"/>
    <mergeCell ref="A325:H325"/>
    <mergeCell ref="A136:H136"/>
    <mergeCell ref="A328:H328"/>
    <mergeCell ref="A326:H326"/>
    <mergeCell ref="A323:H323"/>
    <mergeCell ref="A322:H322"/>
    <mergeCell ref="G137:H137"/>
    <mergeCell ref="G140:H140"/>
    <mergeCell ref="C134:D134"/>
    <mergeCell ref="B315:H315"/>
    <mergeCell ref="A172:B172"/>
    <mergeCell ref="A169:B16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C49:H49"/>
    <mergeCell ref="A65:C67"/>
    <mergeCell ref="D65:H65"/>
    <mergeCell ref="D66:H66"/>
    <mergeCell ref="G52:H52"/>
    <mergeCell ref="A61:H61"/>
    <mergeCell ref="A62:C62"/>
    <mergeCell ref="A63:C63"/>
    <mergeCell ref="A77:B77"/>
    <mergeCell ref="A75:B75"/>
    <mergeCell ref="C75:H75"/>
    <mergeCell ref="A70:C70"/>
    <mergeCell ref="D70:H70"/>
    <mergeCell ref="C77:H77"/>
    <mergeCell ref="A71:C71"/>
    <mergeCell ref="D71:H71"/>
    <mergeCell ref="A74:C74"/>
    <mergeCell ref="D74:H74"/>
    <mergeCell ref="A73:C73"/>
    <mergeCell ref="C53:H53"/>
    <mergeCell ref="A50:B50"/>
    <mergeCell ref="D67:H67"/>
    <mergeCell ref="C52:E52"/>
    <mergeCell ref="A72:C72"/>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47:D47"/>
    <mergeCell ref="A89:B89"/>
    <mergeCell ref="C89:H89"/>
    <mergeCell ref="A146:H146"/>
    <mergeCell ref="E144:E145"/>
    <mergeCell ref="A93:B93"/>
    <mergeCell ref="C91:H91"/>
    <mergeCell ref="A94:B94"/>
    <mergeCell ref="A95:B95"/>
    <mergeCell ref="G93:H102"/>
    <mergeCell ref="A96:B96"/>
    <mergeCell ref="F120:H120"/>
    <mergeCell ref="A120:E120"/>
    <mergeCell ref="D144:D145"/>
    <mergeCell ref="A122:E122"/>
    <mergeCell ref="A98:B98"/>
    <mergeCell ref="A100:B100"/>
    <mergeCell ref="G92:H92"/>
    <mergeCell ref="F123:H123"/>
    <mergeCell ref="A128:E128"/>
    <mergeCell ref="A92:B92"/>
    <mergeCell ref="E92:F92"/>
    <mergeCell ref="E93:F102"/>
    <mergeCell ref="A103:B103"/>
    <mergeCell ref="C103:H103"/>
    <mergeCell ref="A40:B40"/>
    <mergeCell ref="C40:H40"/>
    <mergeCell ref="F144:F145"/>
    <mergeCell ref="C133:D133"/>
    <mergeCell ref="E133:F133"/>
    <mergeCell ref="B144:B145"/>
    <mergeCell ref="A144:A145"/>
    <mergeCell ref="A164:B164"/>
    <mergeCell ref="G141:H141"/>
    <mergeCell ref="C55:H55"/>
    <mergeCell ref="A78:B78"/>
    <mergeCell ref="D69:H69"/>
    <mergeCell ref="A44:D44"/>
    <mergeCell ref="E44:H44"/>
    <mergeCell ref="E45:H45"/>
    <mergeCell ref="E46:H46"/>
    <mergeCell ref="E47:H47"/>
    <mergeCell ref="C57:H57"/>
    <mergeCell ref="C59:H59"/>
    <mergeCell ref="A48:H48"/>
    <mergeCell ref="D64:H64"/>
    <mergeCell ref="A64:C64"/>
    <mergeCell ref="A45:D45"/>
    <mergeCell ref="A49:B49"/>
    <mergeCell ref="A105:B105"/>
    <mergeCell ref="C105:H105"/>
    <mergeCell ref="A106:B106"/>
    <mergeCell ref="E106:F106"/>
    <mergeCell ref="G106:H106"/>
    <mergeCell ref="A101:B101"/>
    <mergeCell ref="A97:B97"/>
    <mergeCell ref="A99:B99"/>
    <mergeCell ref="A102:B102"/>
    <mergeCell ref="A155:B155"/>
    <mergeCell ref="G155:H155"/>
    <mergeCell ref="L155:M155"/>
    <mergeCell ref="G164:H164"/>
    <mergeCell ref="A163:B163"/>
    <mergeCell ref="A174:B174"/>
    <mergeCell ref="G168:H168"/>
    <mergeCell ref="G107:H116"/>
    <mergeCell ref="A108:B108"/>
    <mergeCell ref="A109:B109"/>
    <mergeCell ref="A110:B110"/>
    <mergeCell ref="A111:B111"/>
    <mergeCell ref="A112:B112"/>
    <mergeCell ref="A113:B113"/>
    <mergeCell ref="A114:B114"/>
    <mergeCell ref="A115:B115"/>
    <mergeCell ref="L149:M149"/>
    <mergeCell ref="L148:M148"/>
    <mergeCell ref="L147:M147"/>
    <mergeCell ref="A170:B170"/>
    <mergeCell ref="G170:H170"/>
    <mergeCell ref="G171:H171"/>
    <mergeCell ref="G172:H172"/>
    <mergeCell ref="A121:E121"/>
    <mergeCell ref="L169:M169"/>
    <mergeCell ref="A116:B116"/>
    <mergeCell ref="C144:C145"/>
    <mergeCell ref="A91:B91"/>
    <mergeCell ref="A81:B81"/>
    <mergeCell ref="E79:F88"/>
    <mergeCell ref="G79:H88"/>
    <mergeCell ref="L150:M150"/>
    <mergeCell ref="A140:B140"/>
    <mergeCell ref="E140:F140"/>
    <mergeCell ref="G144:G145"/>
    <mergeCell ref="A156:B156"/>
    <mergeCell ref="G156:H156"/>
    <mergeCell ref="L156:M156"/>
    <mergeCell ref="A157:B157"/>
    <mergeCell ref="G157:H157"/>
    <mergeCell ref="L157:M157"/>
    <mergeCell ref="A158:B158"/>
    <mergeCell ref="G158:H158"/>
    <mergeCell ref="G152:H152"/>
    <mergeCell ref="A153:H153"/>
    <mergeCell ref="A154:B154"/>
    <mergeCell ref="G154:H154"/>
    <mergeCell ref="L154:M154"/>
    <mergeCell ref="B306:H306"/>
    <mergeCell ref="C307:D307"/>
    <mergeCell ref="E307:H307"/>
    <mergeCell ref="A159:B159"/>
    <mergeCell ref="G159:H159"/>
    <mergeCell ref="B298:H298"/>
    <mergeCell ref="B299:H299"/>
    <mergeCell ref="B300:H300"/>
    <mergeCell ref="B301:H301"/>
    <mergeCell ref="B302:H302"/>
    <mergeCell ref="A160:B160"/>
    <mergeCell ref="G160:H160"/>
    <mergeCell ref="A161:B161"/>
    <mergeCell ref="G161:H161"/>
    <mergeCell ref="A162:B162"/>
    <mergeCell ref="G162:H162"/>
    <mergeCell ref="G163:H163"/>
    <mergeCell ref="A173:B173"/>
    <mergeCell ref="G173:H173"/>
    <mergeCell ref="G165:H165"/>
    <mergeCell ref="G166:H166"/>
    <mergeCell ref="A167:B167"/>
    <mergeCell ref="G167:H167"/>
    <mergeCell ref="G174:H174"/>
    <mergeCell ref="A175:B175"/>
    <mergeCell ref="G175:H175"/>
    <mergeCell ref="A165:B165"/>
    <mergeCell ref="A166:B166"/>
    <mergeCell ref="G176:H176"/>
    <mergeCell ref="G177:H177"/>
    <mergeCell ref="G178:H178"/>
    <mergeCell ref="A179:B179"/>
    <mergeCell ref="G179:H179"/>
    <mergeCell ref="G169:H169"/>
    <mergeCell ref="G180:H180"/>
    <mergeCell ref="G181:H181"/>
    <mergeCell ref="L181:M181"/>
    <mergeCell ref="G182:H182"/>
    <mergeCell ref="G183:H183"/>
    <mergeCell ref="G184:H184"/>
    <mergeCell ref="A185:B185"/>
    <mergeCell ref="G185:H185"/>
    <mergeCell ref="G186:H186"/>
    <mergeCell ref="A181:B181"/>
    <mergeCell ref="A180:B180"/>
    <mergeCell ref="G187:H187"/>
    <mergeCell ref="G188:H188"/>
    <mergeCell ref="G189:H189"/>
    <mergeCell ref="G190:H190"/>
    <mergeCell ref="A191:B191"/>
    <mergeCell ref="G191:H191"/>
    <mergeCell ref="A192:B192"/>
    <mergeCell ref="G192:H192"/>
    <mergeCell ref="A193:B193"/>
    <mergeCell ref="G193:H193"/>
    <mergeCell ref="L193:M193"/>
    <mergeCell ref="A194:B194"/>
    <mergeCell ref="G194:H194"/>
    <mergeCell ref="A195:B195"/>
    <mergeCell ref="G195:H195"/>
    <mergeCell ref="A196:B196"/>
    <mergeCell ref="G196:H196"/>
    <mergeCell ref="A197:B197"/>
    <mergeCell ref="G197:H197"/>
    <mergeCell ref="A198:B198"/>
    <mergeCell ref="G198:H198"/>
    <mergeCell ref="A199:B199"/>
    <mergeCell ref="G199:H199"/>
    <mergeCell ref="A200:B200"/>
    <mergeCell ref="G200:H200"/>
    <mergeCell ref="A201:B201"/>
    <mergeCell ref="G201:H201"/>
    <mergeCell ref="A202:B202"/>
    <mergeCell ref="G202:H202"/>
    <mergeCell ref="A203:B203"/>
    <mergeCell ref="G203:H203"/>
    <mergeCell ref="A204:B204"/>
    <mergeCell ref="G204:H204"/>
    <mergeCell ref="A205:B205"/>
    <mergeCell ref="G205:H205"/>
    <mergeCell ref="L205:M205"/>
    <mergeCell ref="A206:B206"/>
    <mergeCell ref="G206:H206"/>
    <mergeCell ref="A207:B207"/>
    <mergeCell ref="G207:H207"/>
    <mergeCell ref="A208:B208"/>
    <mergeCell ref="G208:H208"/>
    <mergeCell ref="A209:B209"/>
    <mergeCell ref="G209:H209"/>
    <mergeCell ref="A210:B210"/>
    <mergeCell ref="G210:H210"/>
    <mergeCell ref="A211:B211"/>
    <mergeCell ref="G211:H211"/>
    <mergeCell ref="A212:B212"/>
    <mergeCell ref="G212:H212"/>
    <mergeCell ref="A213:B213"/>
    <mergeCell ref="G213:H213"/>
    <mergeCell ref="A214:B214"/>
    <mergeCell ref="G214:H214"/>
    <mergeCell ref="A215:B215"/>
    <mergeCell ref="G215:H215"/>
    <mergeCell ref="A216:B216"/>
    <mergeCell ref="G216:H216"/>
    <mergeCell ref="A217:B217"/>
    <mergeCell ref="G217:H217"/>
    <mergeCell ref="L217:M217"/>
    <mergeCell ref="A218:B218"/>
    <mergeCell ref="G218:H218"/>
    <mergeCell ref="A219:B219"/>
    <mergeCell ref="G219:H219"/>
    <mergeCell ref="A220:B220"/>
    <mergeCell ref="G220:H220"/>
    <mergeCell ref="A221:B221"/>
    <mergeCell ref="G221:H221"/>
    <mergeCell ref="A222:B222"/>
    <mergeCell ref="G222:H222"/>
    <mergeCell ref="A223:B223"/>
    <mergeCell ref="G223:H223"/>
    <mergeCell ref="A224:B224"/>
    <mergeCell ref="G224:H224"/>
    <mergeCell ref="A225:B225"/>
    <mergeCell ref="G225:H225"/>
    <mergeCell ref="A226:B226"/>
    <mergeCell ref="G226:H226"/>
    <mergeCell ref="A227:B227"/>
    <mergeCell ref="G227:H227"/>
    <mergeCell ref="A228:B228"/>
    <mergeCell ref="G228:H228"/>
    <mergeCell ref="A229:B229"/>
    <mergeCell ref="G229:H229"/>
    <mergeCell ref="L229:M229"/>
    <mergeCell ref="A230:B230"/>
    <mergeCell ref="G230:H230"/>
    <mergeCell ref="A231:B231"/>
    <mergeCell ref="G231:H231"/>
    <mergeCell ref="A232:B232"/>
    <mergeCell ref="G232:H232"/>
    <mergeCell ref="A233:B233"/>
    <mergeCell ref="G233:H233"/>
    <mergeCell ref="A234:B234"/>
    <mergeCell ref="G234:H234"/>
    <mergeCell ref="A235:B235"/>
    <mergeCell ref="G235:H235"/>
    <mergeCell ref="A236:B236"/>
    <mergeCell ref="G236:H236"/>
    <mergeCell ref="A237:B237"/>
    <mergeCell ref="G237:H237"/>
    <mergeCell ref="A238:B238"/>
    <mergeCell ref="G238:H238"/>
    <mergeCell ref="A239:B239"/>
    <mergeCell ref="G239:H239"/>
    <mergeCell ref="A240:B240"/>
    <mergeCell ref="G240:H240"/>
    <mergeCell ref="A241:B241"/>
    <mergeCell ref="G241:H241"/>
    <mergeCell ref="L241:M241"/>
    <mergeCell ref="A242:B242"/>
    <mergeCell ref="G242:H242"/>
    <mergeCell ref="A243:B243"/>
    <mergeCell ref="G243:H243"/>
    <mergeCell ref="A244:B244"/>
    <mergeCell ref="G244:H244"/>
    <mergeCell ref="A245:B245"/>
    <mergeCell ref="G245:H245"/>
    <mergeCell ref="A246:B246"/>
    <mergeCell ref="G246:H246"/>
    <mergeCell ref="A247:B247"/>
    <mergeCell ref="G247:H247"/>
    <mergeCell ref="A248:B248"/>
    <mergeCell ref="G248:H248"/>
    <mergeCell ref="A249:B249"/>
    <mergeCell ref="G249:H249"/>
    <mergeCell ref="A250:B250"/>
    <mergeCell ref="G250:H250"/>
    <mergeCell ref="A251:B251"/>
    <mergeCell ref="G251:H251"/>
    <mergeCell ref="A252:B252"/>
    <mergeCell ref="G252:H252"/>
    <mergeCell ref="A253:B253"/>
    <mergeCell ref="G253:H253"/>
    <mergeCell ref="A254:B254"/>
    <mergeCell ref="G254:H254"/>
    <mergeCell ref="A255:B255"/>
    <mergeCell ref="G255:H255"/>
    <mergeCell ref="A256:B256"/>
    <mergeCell ref="G256:H256"/>
    <mergeCell ref="A257:B257"/>
    <mergeCell ref="G257:H257"/>
    <mergeCell ref="L257:M257"/>
    <mergeCell ref="A258:B258"/>
    <mergeCell ref="G258:H258"/>
    <mergeCell ref="A259:B259"/>
    <mergeCell ref="G259:H259"/>
    <mergeCell ref="A260:B260"/>
    <mergeCell ref="G260:H260"/>
    <mergeCell ref="A261:B261"/>
    <mergeCell ref="G261:H261"/>
    <mergeCell ref="A262:B262"/>
    <mergeCell ref="G262:H262"/>
    <mergeCell ref="A263:B263"/>
    <mergeCell ref="G263:H263"/>
    <mergeCell ref="A264:B264"/>
    <mergeCell ref="G264:H264"/>
    <mergeCell ref="A265:B265"/>
    <mergeCell ref="G265:H265"/>
    <mergeCell ref="A266:B266"/>
    <mergeCell ref="G266:H266"/>
    <mergeCell ref="A267:B267"/>
    <mergeCell ref="G267:H267"/>
    <mergeCell ref="A268:B268"/>
    <mergeCell ref="G268:H268"/>
    <mergeCell ref="A269:B269"/>
    <mergeCell ref="G269:H269"/>
    <mergeCell ref="L269:M269"/>
    <mergeCell ref="A270:B270"/>
    <mergeCell ref="G270:H270"/>
    <mergeCell ref="A271:B271"/>
    <mergeCell ref="G271:H271"/>
    <mergeCell ref="A272:B272"/>
    <mergeCell ref="G272:H272"/>
    <mergeCell ref="A273:B273"/>
    <mergeCell ref="G273:H273"/>
    <mergeCell ref="A274:B274"/>
    <mergeCell ref="G274:H274"/>
    <mergeCell ref="A275:B275"/>
    <mergeCell ref="G275:H275"/>
    <mergeCell ref="A276:B276"/>
    <mergeCell ref="G276:H276"/>
    <mergeCell ref="A289:B289"/>
    <mergeCell ref="G289:H289"/>
    <mergeCell ref="A277:B277"/>
    <mergeCell ref="G277:H277"/>
    <mergeCell ref="A278:B278"/>
    <mergeCell ref="G278:H278"/>
    <mergeCell ref="A279:B279"/>
    <mergeCell ref="G279:H279"/>
    <mergeCell ref="A280:B280"/>
    <mergeCell ref="G280:H280"/>
    <mergeCell ref="A281:B281"/>
    <mergeCell ref="G281:H281"/>
    <mergeCell ref="G284:H284"/>
    <mergeCell ref="A285:B285"/>
    <mergeCell ref="G285:H285"/>
    <mergeCell ref="A286:B286"/>
    <mergeCell ref="G286:H286"/>
    <mergeCell ref="A287:B287"/>
    <mergeCell ref="G287:H287"/>
    <mergeCell ref="A288:B288"/>
    <mergeCell ref="G288:H288"/>
    <mergeCell ref="I11:L11"/>
    <mergeCell ref="B321:H321"/>
    <mergeCell ref="B304:H304"/>
    <mergeCell ref="B297:H297"/>
    <mergeCell ref="B305:H305"/>
    <mergeCell ref="A291:B291"/>
    <mergeCell ref="G291:H291"/>
    <mergeCell ref="A292:B292"/>
    <mergeCell ref="G292:H292"/>
    <mergeCell ref="A293:B293"/>
    <mergeCell ref="G293:H293"/>
    <mergeCell ref="A294:B294"/>
    <mergeCell ref="G294:H294"/>
    <mergeCell ref="A295:B295"/>
    <mergeCell ref="G295:H295"/>
    <mergeCell ref="B303:H303"/>
    <mergeCell ref="A290:B290"/>
    <mergeCell ref="G290:H290"/>
    <mergeCell ref="A282:B282"/>
    <mergeCell ref="G282:H282"/>
    <mergeCell ref="A283:B283"/>
    <mergeCell ref="G283:H283"/>
    <mergeCell ref="L283:M283"/>
    <mergeCell ref="A284:B284"/>
  </mergeCells>
  <dataValidations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4:E145">
      <formula1>"Attached Loft area,Attached Otla area,Attached Mezzanine area"</formula1>
    </dataValidation>
    <dataValidation type="list" allowBlank="1" showInputMessage="1" showErrorMessage="1" sqref="G329:H329">
      <formula1>"Kunal Kadam,Pranita Mhatre,Shruti Fule,Pooja Kawale,Gaurav Panchal,Shruti Tathare, Hitakshi Mhatre, Sachin Sawant"</formula1>
    </dataValidation>
    <dataValidation type="list" allowBlank="1" showInputMessage="1" showErrorMessage="1" sqref="B144:B145">
      <formula1>"Shop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H145">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4">
      <formula1>"Saleable area Loading :,Builder Saleable Area"</formula1>
    </dataValidation>
    <dataValidation type="list" allowBlank="1" showInputMessage="1" showErrorMessage="1" sqref="D144:D145">
      <formula1>"Carpet area,RERA Carpet area"</formula1>
    </dataValidation>
    <dataValidation type="list" allowBlank="1" showInputMessage="1" showErrorMessage="1" sqref="B152">
      <formula1>"Plot No. (Sale Plan),Sale / Rehab,Sale / Mhada"</formula1>
    </dataValidation>
    <dataValidation type="list" allowBlank="1" showInputMessage="1" showErrorMessage="1" sqref="F129:H129">
      <formula1>OFFSET($S$117,1,MATCH($G20,$S$117:$W$117,0)-1,15,1)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6" manualBreakCount="6">
    <brk id="141" max="16383" man="1"/>
    <brk id="333" max="16383" man="1"/>
    <brk id="371" max="7" man="1"/>
    <brk id="409" max="7" man="1"/>
    <brk id="452" max="16383" man="1"/>
    <brk id="495"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22" t="s">
        <v>101</v>
      </c>
      <c r="C3" s="222"/>
      <c r="D3" s="222"/>
      <c r="E3" s="222"/>
      <c r="F3" s="222"/>
      <c r="G3" s="222"/>
      <c r="H3" s="222"/>
    </row>
    <row r="4" spans="1:9" x14ac:dyDescent="0.25">
      <c r="A4" s="2"/>
      <c r="B4" s="3" t="s">
        <v>102</v>
      </c>
      <c r="C4" s="3" t="s">
        <v>103</v>
      </c>
      <c r="D4" s="3" t="s">
        <v>64</v>
      </c>
      <c r="E4" s="3" t="s">
        <v>104</v>
      </c>
      <c r="F4" s="3" t="s">
        <v>110</v>
      </c>
      <c r="G4" s="3" t="s">
        <v>111</v>
      </c>
      <c r="H4" s="3" t="s">
        <v>105</v>
      </c>
    </row>
    <row r="5" spans="1:9" ht="15" customHeight="1" x14ac:dyDescent="0.25">
      <c r="A5" s="2"/>
      <c r="B5" s="5" t="s">
        <v>106</v>
      </c>
      <c r="C5" s="6"/>
      <c r="D5" s="5"/>
      <c r="E5" s="5"/>
      <c r="F5" s="7">
        <f>E5*1.6</f>
        <v>0</v>
      </c>
      <c r="G5" s="7" t="e">
        <f>H5/F5</f>
        <v>#DIV/0!</v>
      </c>
      <c r="H5" s="8"/>
    </row>
    <row r="6" spans="1:9" x14ac:dyDescent="0.25">
      <c r="A6" s="2"/>
      <c r="B6" s="5" t="s">
        <v>106</v>
      </c>
      <c r="C6" s="9"/>
      <c r="D6" s="5"/>
      <c r="E6" s="5"/>
      <c r="F6" s="7">
        <f t="shared" ref="F6:F11" si="0">E6*1.6</f>
        <v>0</v>
      </c>
      <c r="G6" s="7" t="e">
        <f t="shared" ref="G6:G11" si="1">H6/F6</f>
        <v>#DIV/0!</v>
      </c>
      <c r="H6" s="8"/>
    </row>
    <row r="7" spans="1:9" ht="15" customHeight="1" x14ac:dyDescent="0.25">
      <c r="A7" s="2"/>
      <c r="B7" s="5" t="s">
        <v>106</v>
      </c>
      <c r="C7" s="6"/>
      <c r="D7" s="5"/>
      <c r="E7" s="5"/>
      <c r="F7" s="7">
        <f t="shared" si="0"/>
        <v>0</v>
      </c>
      <c r="G7" s="7" t="e">
        <f t="shared" si="1"/>
        <v>#DIV/0!</v>
      </c>
      <c r="H7" s="8"/>
    </row>
    <row r="8" spans="1:9" x14ac:dyDescent="0.25">
      <c r="A8" s="2"/>
      <c r="B8" s="5" t="s">
        <v>106</v>
      </c>
      <c r="C8" s="9"/>
      <c r="D8" s="5"/>
      <c r="E8" s="5"/>
      <c r="F8" s="7">
        <f t="shared" si="0"/>
        <v>0</v>
      </c>
      <c r="G8" s="7" t="e">
        <f t="shared" si="1"/>
        <v>#DIV/0!</v>
      </c>
      <c r="H8" s="8"/>
    </row>
    <row r="9" spans="1:9" ht="15" customHeight="1" x14ac:dyDescent="0.25">
      <c r="A9" s="2"/>
      <c r="B9" s="5" t="s">
        <v>106</v>
      </c>
      <c r="C9" s="9"/>
      <c r="D9" s="5"/>
      <c r="E9" s="5"/>
      <c r="F9" s="7">
        <f t="shared" si="0"/>
        <v>0</v>
      </c>
      <c r="G9" s="7" t="e">
        <f t="shared" si="1"/>
        <v>#DIV/0!</v>
      </c>
      <c r="H9" s="8"/>
    </row>
    <row r="10" spans="1:9" ht="15" customHeight="1" x14ac:dyDescent="0.25">
      <c r="A10" s="2"/>
      <c r="B10" s="5" t="s">
        <v>107</v>
      </c>
      <c r="C10" s="6"/>
      <c r="D10" s="5"/>
      <c r="E10" s="5"/>
      <c r="F10" s="7">
        <f t="shared" si="0"/>
        <v>0</v>
      </c>
      <c r="G10" s="7" t="e">
        <f t="shared" si="1"/>
        <v>#DIV/0!</v>
      </c>
      <c r="H10" s="8"/>
    </row>
    <row r="11" spans="1:9" ht="15" customHeight="1" x14ac:dyDescent="0.25">
      <c r="A11" s="2"/>
      <c r="B11" s="5" t="s">
        <v>107</v>
      </c>
      <c r="C11" s="6"/>
      <c r="D11" s="5"/>
      <c r="E11" s="5"/>
      <c r="F11" s="7">
        <f t="shared" si="0"/>
        <v>0</v>
      </c>
      <c r="G11" s="7" t="e">
        <f t="shared" si="1"/>
        <v>#DIV/0!</v>
      </c>
      <c r="H11" s="8"/>
    </row>
    <row r="12" spans="1:9" ht="15" customHeight="1" x14ac:dyDescent="0.25">
      <c r="A12" s="2"/>
      <c r="B12" s="10" t="s">
        <v>108</v>
      </c>
      <c r="C12" s="5"/>
      <c r="D12" s="5"/>
      <c r="E12" s="5"/>
      <c r="F12" s="5"/>
      <c r="G12" s="11" t="e">
        <f>AVERAGE(G5:G11)</f>
        <v>#DIV/0!</v>
      </c>
      <c r="H12" s="5"/>
    </row>
    <row r="13" spans="1:9" ht="15" customHeight="1" x14ac:dyDescent="0.25">
      <c r="B13" s="10" t="s">
        <v>109</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6"/>
      <c r="C4" s="46" t="s">
        <v>11</v>
      </c>
      <c r="D4" s="47" t="s">
        <v>174</v>
      </c>
      <c r="E4" s="47" t="s">
        <v>184</v>
      </c>
      <c r="F4" s="47" t="s">
        <v>168</v>
      </c>
      <c r="G4" s="47" t="s">
        <v>189</v>
      </c>
      <c r="H4" s="47" t="s">
        <v>207</v>
      </c>
      <c r="J4" t="s">
        <v>189</v>
      </c>
      <c r="K4" t="s">
        <v>205</v>
      </c>
    </row>
    <row r="5" spans="2:11" x14ac:dyDescent="0.25">
      <c r="B5" s="46"/>
      <c r="C5" s="46"/>
      <c r="D5" s="47" t="s">
        <v>175</v>
      </c>
      <c r="E5" s="47" t="s">
        <v>182</v>
      </c>
      <c r="F5" s="47" t="s">
        <v>204</v>
      </c>
      <c r="G5" s="47" t="s">
        <v>190</v>
      </c>
      <c r="H5" s="47" t="s">
        <v>208</v>
      </c>
    </row>
    <row r="6" spans="2:11" x14ac:dyDescent="0.25">
      <c r="B6" s="46"/>
      <c r="C6" s="46"/>
      <c r="D6" s="47" t="s">
        <v>176</v>
      </c>
      <c r="E6" s="47" t="s">
        <v>183</v>
      </c>
      <c r="F6" s="47" t="s">
        <v>205</v>
      </c>
      <c r="G6" s="47" t="s">
        <v>191</v>
      </c>
      <c r="H6" s="47" t="s">
        <v>221</v>
      </c>
    </row>
    <row r="7" spans="2:11" x14ac:dyDescent="0.25">
      <c r="B7" s="46"/>
      <c r="C7" s="46"/>
      <c r="D7" s="47" t="s">
        <v>177</v>
      </c>
      <c r="E7" s="47" t="s">
        <v>185</v>
      </c>
      <c r="F7" s="47" t="s">
        <v>206</v>
      </c>
      <c r="G7" s="47" t="s">
        <v>192</v>
      </c>
      <c r="H7" s="47" t="s">
        <v>209</v>
      </c>
    </row>
    <row r="8" spans="2:11" x14ac:dyDescent="0.25">
      <c r="B8" s="46"/>
      <c r="C8" s="46"/>
      <c r="D8" s="47" t="s">
        <v>178</v>
      </c>
      <c r="E8" s="47" t="s">
        <v>186</v>
      </c>
      <c r="F8" s="47"/>
      <c r="G8" s="47" t="s">
        <v>193</v>
      </c>
      <c r="H8" s="47" t="s">
        <v>210</v>
      </c>
    </row>
    <row r="9" spans="2:11" x14ac:dyDescent="0.25">
      <c r="B9" s="46"/>
      <c r="C9" s="46"/>
      <c r="D9" s="47" t="s">
        <v>179</v>
      </c>
      <c r="E9" s="47" t="s">
        <v>184</v>
      </c>
      <c r="F9" s="47"/>
      <c r="G9" s="47" t="s">
        <v>194</v>
      </c>
      <c r="H9" s="47" t="s">
        <v>211</v>
      </c>
    </row>
    <row r="10" spans="2:11" x14ac:dyDescent="0.25">
      <c r="B10" s="46"/>
      <c r="C10" s="46"/>
      <c r="D10" s="47" t="s">
        <v>180</v>
      </c>
      <c r="E10" s="47" t="s">
        <v>187</v>
      </c>
      <c r="F10" s="47"/>
      <c r="G10" s="47" t="s">
        <v>195</v>
      </c>
      <c r="H10" s="47" t="s">
        <v>212</v>
      </c>
    </row>
    <row r="11" spans="2:11" x14ac:dyDescent="0.25">
      <c r="B11" s="46"/>
      <c r="C11" s="46"/>
      <c r="D11" s="47" t="s">
        <v>181</v>
      </c>
      <c r="E11" s="47" t="s">
        <v>188</v>
      </c>
      <c r="F11" s="47"/>
      <c r="G11" s="47" t="s">
        <v>196</v>
      </c>
      <c r="H11" s="47" t="s">
        <v>213</v>
      </c>
    </row>
    <row r="12" spans="2:11" x14ac:dyDescent="0.25">
      <c r="B12" s="46"/>
      <c r="C12" s="46"/>
      <c r="D12" s="47"/>
      <c r="E12" s="47"/>
      <c r="F12" s="47"/>
      <c r="G12" s="47" t="s">
        <v>197</v>
      </c>
      <c r="H12" s="47" t="s">
        <v>214</v>
      </c>
    </row>
    <row r="13" spans="2:11" x14ac:dyDescent="0.25">
      <c r="B13" s="46"/>
      <c r="C13" s="46"/>
      <c r="D13" s="47"/>
      <c r="E13" s="47"/>
      <c r="F13" s="47"/>
      <c r="G13" s="47" t="s">
        <v>198</v>
      </c>
      <c r="H13" s="47" t="s">
        <v>215</v>
      </c>
    </row>
    <row r="14" spans="2:11" x14ac:dyDescent="0.25">
      <c r="B14" s="46"/>
      <c r="C14" s="46"/>
      <c r="D14" s="47"/>
      <c r="E14" s="47"/>
      <c r="F14" s="47"/>
      <c r="G14" s="47" t="s">
        <v>199</v>
      </c>
      <c r="H14" s="47" t="s">
        <v>216</v>
      </c>
    </row>
    <row r="15" spans="2:11" x14ac:dyDescent="0.25">
      <c r="B15" s="46"/>
      <c r="C15" s="46"/>
      <c r="D15" s="47"/>
      <c r="E15" s="47"/>
      <c r="F15" s="47"/>
      <c r="G15" s="47" t="s">
        <v>200</v>
      </c>
      <c r="H15" s="47" t="s">
        <v>217</v>
      </c>
    </row>
    <row r="16" spans="2:11" x14ac:dyDescent="0.25">
      <c r="B16" s="46"/>
      <c r="C16" s="46"/>
      <c r="D16" s="47"/>
      <c r="E16" s="47"/>
      <c r="F16" s="47"/>
      <c r="G16" s="47" t="s">
        <v>201</v>
      </c>
      <c r="H16" s="47" t="s">
        <v>218</v>
      </c>
    </row>
    <row r="17" spans="2:8" x14ac:dyDescent="0.25">
      <c r="B17" s="46"/>
      <c r="C17" s="46"/>
      <c r="D17" s="47"/>
      <c r="E17" s="47"/>
      <c r="F17" s="47"/>
      <c r="G17" s="47" t="s">
        <v>202</v>
      </c>
      <c r="H17" s="47" t="s">
        <v>219</v>
      </c>
    </row>
    <row r="18" spans="2:8" x14ac:dyDescent="0.25">
      <c r="B18" s="46"/>
      <c r="C18" s="46"/>
      <c r="D18" s="47"/>
      <c r="E18" s="47"/>
      <c r="F18" s="47"/>
      <c r="G18" s="47" t="s">
        <v>203</v>
      </c>
      <c r="H18" s="47" t="s">
        <v>220</v>
      </c>
    </row>
    <row r="24" spans="2:8" x14ac:dyDescent="0.25">
      <c r="C24" t="s">
        <v>165</v>
      </c>
    </row>
    <row r="25" spans="2:8" x14ac:dyDescent="0.25">
      <c r="C25" t="s">
        <v>222</v>
      </c>
    </row>
    <row r="26" spans="2:8" x14ac:dyDescent="0.25">
      <c r="C26" t="s">
        <v>223</v>
      </c>
    </row>
    <row r="27" spans="2:8" x14ac:dyDescent="0.25">
      <c r="C27" t="s">
        <v>224</v>
      </c>
    </row>
    <row r="28" spans="2:8" x14ac:dyDescent="0.25">
      <c r="C28" t="s">
        <v>225</v>
      </c>
    </row>
    <row r="29" spans="2:8" x14ac:dyDescent="0.25">
      <c r="C29" t="s">
        <v>226</v>
      </c>
    </row>
    <row r="30" spans="2:8" x14ac:dyDescent="0.25">
      <c r="C30" t="s">
        <v>165</v>
      </c>
    </row>
    <row r="33" spans="3:11" x14ac:dyDescent="0.25">
      <c r="J33">
        <v>1</v>
      </c>
      <c r="K33">
        <v>2</v>
      </c>
    </row>
    <row r="34" spans="3:11" x14ac:dyDescent="0.25">
      <c r="C34" s="49" t="s">
        <v>232</v>
      </c>
      <c r="D34" s="47" t="s">
        <v>230</v>
      </c>
      <c r="E34" s="47" t="s">
        <v>235</v>
      </c>
      <c r="F34" s="47" t="s">
        <v>233</v>
      </c>
      <c r="G34" s="47" t="s">
        <v>234</v>
      </c>
      <c r="H34" s="47" t="s">
        <v>236</v>
      </c>
      <c r="J34" t="s">
        <v>189</v>
      </c>
      <c r="K34" t="s">
        <v>205</v>
      </c>
    </row>
    <row r="35" spans="3:11" x14ac:dyDescent="0.25">
      <c r="C35" s="46" t="s">
        <v>231</v>
      </c>
      <c r="D35" s="47" t="s">
        <v>166</v>
      </c>
      <c r="E35" s="47" t="s">
        <v>240</v>
      </c>
      <c r="F35" s="47" t="s">
        <v>242</v>
      </c>
      <c r="G35" s="47" t="s">
        <v>244</v>
      </c>
      <c r="H35" s="47"/>
    </row>
    <row r="36" spans="3:11" x14ac:dyDescent="0.25">
      <c r="C36" s="46"/>
      <c r="D36" s="47" t="s">
        <v>237</v>
      </c>
      <c r="E36" s="47" t="s">
        <v>241</v>
      </c>
      <c r="F36" s="47" t="s">
        <v>243</v>
      </c>
      <c r="G36" s="47" t="s">
        <v>245</v>
      </c>
      <c r="H36" s="47"/>
    </row>
    <row r="37" spans="3:11" x14ac:dyDescent="0.25">
      <c r="C37" s="46"/>
      <c r="D37" s="47" t="s">
        <v>238</v>
      </c>
      <c r="E37" s="47"/>
      <c r="F37" s="47"/>
      <c r="G37" s="47" t="s">
        <v>246</v>
      </c>
      <c r="H37" s="47"/>
    </row>
    <row r="38" spans="3:11" x14ac:dyDescent="0.25">
      <c r="C38" s="46"/>
      <c r="D38" s="47" t="s">
        <v>239</v>
      </c>
      <c r="E38" s="47"/>
      <c r="F38" s="47"/>
      <c r="G38" s="47" t="s">
        <v>246</v>
      </c>
      <c r="H38" s="47"/>
    </row>
    <row r="39" spans="3:11" x14ac:dyDescent="0.25">
      <c r="C39" s="46"/>
      <c r="D39" s="47"/>
      <c r="E39" s="47"/>
      <c r="F39" s="47"/>
      <c r="G39" s="47" t="s">
        <v>247</v>
      </c>
      <c r="H39" s="47"/>
    </row>
    <row r="40" spans="3:11" x14ac:dyDescent="0.25">
      <c r="C40" s="46"/>
      <c r="D40" s="47"/>
      <c r="E40" s="47"/>
      <c r="F40" s="47"/>
      <c r="G40" s="47" t="s">
        <v>248</v>
      </c>
      <c r="H40" s="47"/>
    </row>
    <row r="41" spans="3:11" x14ac:dyDescent="0.25">
      <c r="C41" s="46"/>
      <c r="D41" s="47"/>
      <c r="E41" s="47"/>
      <c r="F41" s="47"/>
      <c r="G41" s="47"/>
      <c r="H41" s="47"/>
    </row>
    <row r="43" spans="3:11" x14ac:dyDescent="0.25">
      <c r="C43" t="s">
        <v>249</v>
      </c>
    </row>
    <row r="44" spans="3:11" x14ac:dyDescent="0.25">
      <c r="C44" t="s">
        <v>168</v>
      </c>
      <c r="D44" t="s">
        <v>250</v>
      </c>
    </row>
    <row r="45" spans="3:11" x14ac:dyDescent="0.25">
      <c r="D45" t="s">
        <v>251</v>
      </c>
    </row>
    <row r="46" spans="3:11" x14ac:dyDescent="0.25">
      <c r="D46" t="s">
        <v>252</v>
      </c>
    </row>
    <row r="47" spans="3:11" x14ac:dyDescent="0.25">
      <c r="D47" t="s">
        <v>253</v>
      </c>
    </row>
    <row r="48" spans="3:11" x14ac:dyDescent="0.25">
      <c r="D48" t="s">
        <v>254</v>
      </c>
    </row>
    <row r="49" spans="3:4" x14ac:dyDescent="0.25">
      <c r="C49" t="s">
        <v>174</v>
      </c>
      <c r="D49" t="s">
        <v>255</v>
      </c>
    </row>
    <row r="50" spans="3:4" x14ac:dyDescent="0.25">
      <c r="D50" t="s">
        <v>256</v>
      </c>
    </row>
    <row r="51" spans="3:4" x14ac:dyDescent="0.25">
      <c r="D51" t="s">
        <v>257</v>
      </c>
    </row>
    <row r="52" spans="3:4" x14ac:dyDescent="0.25">
      <c r="D52" t="s">
        <v>260</v>
      </c>
    </row>
    <row r="53" spans="3:4" x14ac:dyDescent="0.25">
      <c r="D53" t="s">
        <v>258</v>
      </c>
    </row>
    <row r="54" spans="3:4" x14ac:dyDescent="0.25">
      <c r="D54" t="s">
        <v>259</v>
      </c>
    </row>
    <row r="55" spans="3:4" x14ac:dyDescent="0.25">
      <c r="D55" t="s">
        <v>261</v>
      </c>
    </row>
    <row r="56" spans="3:4" x14ac:dyDescent="0.25">
      <c r="D56" t="s">
        <v>262</v>
      </c>
    </row>
    <row r="57" spans="3:4" x14ac:dyDescent="0.25">
      <c r="D57" t="s">
        <v>263</v>
      </c>
    </row>
    <row r="58" spans="3:4" x14ac:dyDescent="0.25">
      <c r="D58" t="s">
        <v>265</v>
      </c>
    </row>
    <row r="59" spans="3:4" x14ac:dyDescent="0.25">
      <c r="D59" t="s">
        <v>274</v>
      </c>
    </row>
    <row r="60" spans="3:4" x14ac:dyDescent="0.25">
      <c r="C60" t="s">
        <v>189</v>
      </c>
      <c r="D60" t="s">
        <v>266</v>
      </c>
    </row>
    <row r="61" spans="3:4" x14ac:dyDescent="0.25">
      <c r="D61" t="s">
        <v>264</v>
      </c>
    </row>
    <row r="62" spans="3:4" x14ac:dyDescent="0.25">
      <c r="D62" t="s">
        <v>254</v>
      </c>
    </row>
    <row r="63" spans="3:4" x14ac:dyDescent="0.25">
      <c r="D63" t="s">
        <v>267</v>
      </c>
    </row>
    <row r="64" spans="3:4" x14ac:dyDescent="0.25">
      <c r="D64" t="s">
        <v>268</v>
      </c>
    </row>
    <row r="65" spans="3:4" x14ac:dyDescent="0.25">
      <c r="D65" t="s">
        <v>269</v>
      </c>
    </row>
    <row r="66" spans="3:4" x14ac:dyDescent="0.25">
      <c r="D66" t="s">
        <v>270</v>
      </c>
    </row>
    <row r="67" spans="3:4" x14ac:dyDescent="0.25">
      <c r="C67" t="s">
        <v>184</v>
      </c>
      <c r="D67" t="s">
        <v>271</v>
      </c>
    </row>
    <row r="68" spans="3:4" x14ac:dyDescent="0.25">
      <c r="D68" t="s">
        <v>272</v>
      </c>
    </row>
    <row r="69" spans="3:4" x14ac:dyDescent="0.25">
      <c r="D69" t="s">
        <v>273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RowHeight="15" x14ac:dyDescent="0.25"/>
  <cols>
    <col min="2" max="2" width="3" bestFit="1" customWidth="1"/>
    <col min="3" max="3" width="155.28515625" customWidth="1"/>
  </cols>
  <sheetData>
    <row r="2" spans="2:3" ht="15" customHeight="1" x14ac:dyDescent="0.25">
      <c r="B2" s="50">
        <v>1</v>
      </c>
      <c r="C2" s="53" t="s">
        <v>280</v>
      </c>
    </row>
    <row r="3" spans="2:3" x14ac:dyDescent="0.25">
      <c r="B3" s="50">
        <v>2</v>
      </c>
      <c r="C3" s="51" t="s">
        <v>281</v>
      </c>
    </row>
    <row r="4" spans="2:3" x14ac:dyDescent="0.25">
      <c r="B4" s="50">
        <v>3</v>
      </c>
      <c r="C4" s="52" t="s">
        <v>282</v>
      </c>
    </row>
    <row r="5" spans="2:3" x14ac:dyDescent="0.25">
      <c r="B5" s="50">
        <v>4</v>
      </c>
      <c r="C5" s="51" t="s">
        <v>283</v>
      </c>
    </row>
    <row r="6" spans="2:3" x14ac:dyDescent="0.25">
      <c r="B6" s="50">
        <v>5</v>
      </c>
      <c r="C6" s="52" t="s">
        <v>284</v>
      </c>
    </row>
    <row r="7" spans="2:3" ht="30" x14ac:dyDescent="0.25">
      <c r="B7" s="50">
        <v>6</v>
      </c>
      <c r="C7" s="51" t="s">
        <v>285</v>
      </c>
    </row>
    <row r="8" spans="2:3" ht="75" x14ac:dyDescent="0.25">
      <c r="B8" s="50">
        <v>7</v>
      </c>
      <c r="C8" s="51" t="s">
        <v>286</v>
      </c>
    </row>
    <row r="9" spans="2:3" x14ac:dyDescent="0.25">
      <c r="B9" s="50">
        <v>8</v>
      </c>
      <c r="C9" s="52" t="s">
        <v>287</v>
      </c>
    </row>
    <row r="10" spans="2:3" x14ac:dyDescent="0.25">
      <c r="B10" s="50">
        <v>9</v>
      </c>
      <c r="C10" s="52" t="s">
        <v>288</v>
      </c>
    </row>
    <row r="11" spans="2:3" x14ac:dyDescent="0.25">
      <c r="B11" s="50">
        <v>10</v>
      </c>
      <c r="C11" s="52" t="s">
        <v>289</v>
      </c>
    </row>
    <row r="12" spans="2:3" x14ac:dyDescent="0.25">
      <c r="B12" s="50">
        <v>11</v>
      </c>
      <c r="C12" s="52" t="s">
        <v>290</v>
      </c>
    </row>
    <row r="13" spans="2:3" x14ac:dyDescent="0.25">
      <c r="B13" s="50">
        <v>12</v>
      </c>
      <c r="C13" s="52" t="s">
        <v>291</v>
      </c>
    </row>
    <row r="14" spans="2:3" x14ac:dyDescent="0.25">
      <c r="B14" s="50">
        <v>13</v>
      </c>
      <c r="C14" s="52" t="s">
        <v>292</v>
      </c>
    </row>
    <row r="15" spans="2:3" x14ac:dyDescent="0.25">
      <c r="B15" s="50">
        <v>14</v>
      </c>
      <c r="C15" s="52" t="s">
        <v>282</v>
      </c>
    </row>
    <row r="16" spans="2:3" x14ac:dyDescent="0.25">
      <c r="B16" s="50">
        <v>15</v>
      </c>
      <c r="C16" s="52" t="s">
        <v>295</v>
      </c>
    </row>
    <row r="17" spans="2:3" x14ac:dyDescent="0.25">
      <c r="B17" s="73">
        <v>16</v>
      </c>
      <c r="C17" s="58" t="s">
        <v>296</v>
      </c>
    </row>
    <row r="18" spans="2:3" x14ac:dyDescent="0.25">
      <c r="B18" s="57">
        <v>17</v>
      </c>
      <c r="C18" s="58" t="s">
        <v>297</v>
      </c>
    </row>
    <row r="19" spans="2:3" x14ac:dyDescent="0.25">
      <c r="B19" s="56">
        <v>18</v>
      </c>
      <c r="C19" s="50" t="s">
        <v>298</v>
      </c>
    </row>
    <row r="20" spans="2:3" x14ac:dyDescent="0.25">
      <c r="B20" s="57">
        <v>19</v>
      </c>
      <c r="C20" s="50" t="s">
        <v>334</v>
      </c>
    </row>
    <row r="21" spans="2:3" x14ac:dyDescent="0.25">
      <c r="B21" s="59">
        <v>20</v>
      </c>
      <c r="C21" s="50" t="s">
        <v>299</v>
      </c>
    </row>
    <row r="22" spans="2:3" x14ac:dyDescent="0.25">
      <c r="B22" s="57">
        <v>21</v>
      </c>
      <c r="C22" s="50" t="s">
        <v>298</v>
      </c>
    </row>
    <row r="23" spans="2:3" s="67" customFormat="1" ht="29.25" customHeight="1" x14ac:dyDescent="0.25">
      <c r="B23" s="66">
        <v>22</v>
      </c>
      <c r="C23" s="53" t="s">
        <v>326</v>
      </c>
    </row>
    <row r="24" spans="2:3" s="67" customFormat="1" ht="30.75" customHeight="1" x14ac:dyDescent="0.25">
      <c r="B24" s="68">
        <v>23</v>
      </c>
      <c r="C24" s="53" t="s">
        <v>327</v>
      </c>
    </row>
    <row r="25" spans="2:3" x14ac:dyDescent="0.25">
      <c r="B25" s="59">
        <v>24</v>
      </c>
      <c r="C25" s="50" t="s">
        <v>330</v>
      </c>
    </row>
    <row r="26" spans="2:3" x14ac:dyDescent="0.25">
      <c r="B26" s="57">
        <v>25</v>
      </c>
      <c r="C26" s="50" t="s">
        <v>328</v>
      </c>
    </row>
    <row r="27" spans="2:3" x14ac:dyDescent="0.25">
      <c r="B27" s="68">
        <v>26</v>
      </c>
      <c r="C27" s="59" t="s">
        <v>329</v>
      </c>
    </row>
    <row r="28" spans="2:3" x14ac:dyDescent="0.25">
      <c r="B28" s="69">
        <v>27</v>
      </c>
      <c r="C28" s="50" t="s">
        <v>331</v>
      </c>
    </row>
    <row r="29" spans="2:3" ht="60" x14ac:dyDescent="0.25">
      <c r="B29" s="72">
        <v>28</v>
      </c>
      <c r="C29" s="51" t="s">
        <v>332</v>
      </c>
    </row>
    <row r="30" spans="2:3" x14ac:dyDescent="0.25">
      <c r="B30" s="68">
        <v>29</v>
      </c>
      <c r="C30" s="50" t="s">
        <v>333</v>
      </c>
    </row>
    <row r="31" spans="2:3" ht="30" x14ac:dyDescent="0.25">
      <c r="B31" s="74">
        <v>30</v>
      </c>
      <c r="C31" s="51" t="s">
        <v>335</v>
      </c>
    </row>
    <row r="32" spans="2:3" x14ac:dyDescent="0.25">
      <c r="B32" s="68">
        <v>31</v>
      </c>
      <c r="C32" s="50" t="s">
        <v>336</v>
      </c>
    </row>
    <row r="33" spans="2:3" x14ac:dyDescent="0.25">
      <c r="B33" s="68">
        <v>32</v>
      </c>
      <c r="C33" s="50" t="s">
        <v>337</v>
      </c>
    </row>
    <row r="34" spans="2:3" ht="36.75" customHeight="1" x14ac:dyDescent="0.25">
      <c r="B34" s="74">
        <v>33</v>
      </c>
      <c r="C34" s="58" t="s">
        <v>338</v>
      </c>
    </row>
    <row r="35" spans="2:3" x14ac:dyDescent="0.25">
      <c r="B35" s="68">
        <v>34</v>
      </c>
      <c r="C35" s="50"/>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46"/>
    <col min="2" max="2" width="12.28515625" style="46" customWidth="1"/>
    <col min="3" max="16384" width="9.140625" style="46"/>
  </cols>
  <sheetData>
    <row r="2" spans="1:12" x14ac:dyDescent="0.25">
      <c r="B2" s="60" t="s">
        <v>300</v>
      </c>
      <c r="C2" s="223"/>
      <c r="D2" s="223"/>
    </row>
    <row r="3" spans="1:12" x14ac:dyDescent="0.25">
      <c r="D3" s="61"/>
      <c r="E3" s="61"/>
      <c r="F3" s="61"/>
      <c r="G3" s="61"/>
      <c r="H3" s="61"/>
      <c r="I3" s="61"/>
    </row>
    <row r="4" spans="1:12" x14ac:dyDescent="0.25">
      <c r="A4" s="60" t="s">
        <v>64</v>
      </c>
      <c r="B4" s="62" t="s">
        <v>301</v>
      </c>
      <c r="C4" s="224" t="s">
        <v>302</v>
      </c>
      <c r="D4" s="224"/>
      <c r="E4" s="224"/>
      <c r="F4" s="62"/>
      <c r="G4" s="225" t="s">
        <v>303</v>
      </c>
      <c r="H4" s="225"/>
      <c r="I4" s="225"/>
      <c r="J4" s="226" t="s">
        <v>304</v>
      </c>
      <c r="K4" s="226"/>
      <c r="L4" s="226"/>
    </row>
    <row r="5" spans="1:12" x14ac:dyDescent="0.25">
      <c r="A5" s="60"/>
      <c r="B5" s="62"/>
      <c r="C5" s="62" t="s">
        <v>305</v>
      </c>
      <c r="D5" s="62" t="s">
        <v>306</v>
      </c>
      <c r="E5" s="62" t="s">
        <v>307</v>
      </c>
      <c r="F5" s="62"/>
      <c r="G5" s="62" t="s">
        <v>305</v>
      </c>
      <c r="H5" s="62" t="s">
        <v>306</v>
      </c>
      <c r="I5" s="62" t="s">
        <v>307</v>
      </c>
      <c r="J5" s="62" t="s">
        <v>305</v>
      </c>
      <c r="K5" s="62" t="s">
        <v>306</v>
      </c>
      <c r="L5" s="62" t="s">
        <v>307</v>
      </c>
    </row>
    <row r="6" spans="1:12" x14ac:dyDescent="0.25">
      <c r="B6" s="47" t="s">
        <v>308</v>
      </c>
      <c r="C6" s="47"/>
      <c r="D6" s="47"/>
      <c r="E6" s="47">
        <f>C6*D6</f>
        <v>0</v>
      </c>
      <c r="F6" s="47" t="s">
        <v>325</v>
      </c>
      <c r="G6" s="47"/>
      <c r="H6" s="47"/>
      <c r="I6" s="47">
        <f>G6*H6</f>
        <v>0</v>
      </c>
      <c r="J6" s="47"/>
      <c r="K6" s="47"/>
      <c r="L6" s="47">
        <f>J6*K6</f>
        <v>0</v>
      </c>
    </row>
    <row r="7" spans="1:12" x14ac:dyDescent="0.25">
      <c r="B7" s="47"/>
      <c r="C7" s="47"/>
      <c r="D7" s="47"/>
      <c r="E7" s="47">
        <f t="shared" ref="E7:E41" si="0">C7*D7</f>
        <v>0</v>
      </c>
      <c r="F7" s="47" t="s">
        <v>325</v>
      </c>
      <c r="G7" s="47"/>
      <c r="H7" s="47"/>
      <c r="I7" s="47">
        <f t="shared" ref="I7:I35" si="1">G7*H7</f>
        <v>0</v>
      </c>
      <c r="J7" s="47"/>
      <c r="K7" s="47"/>
      <c r="L7" s="47">
        <f t="shared" ref="L7:L35" si="2">J7*K7</f>
        <v>0</v>
      </c>
    </row>
    <row r="8" spans="1:12" x14ac:dyDescent="0.25">
      <c r="B8" s="47"/>
      <c r="C8" s="47"/>
      <c r="D8" s="47"/>
      <c r="E8" s="47">
        <f t="shared" si="0"/>
        <v>0</v>
      </c>
      <c r="F8" s="47"/>
      <c r="G8" s="47"/>
      <c r="H8" s="47"/>
      <c r="I8" s="47">
        <f t="shared" si="1"/>
        <v>0</v>
      </c>
      <c r="J8" s="47"/>
      <c r="K8" s="47"/>
      <c r="L8" s="47">
        <f t="shared" si="2"/>
        <v>0</v>
      </c>
    </row>
    <row r="9" spans="1:12" x14ac:dyDescent="0.25">
      <c r="B9" s="47"/>
      <c r="C9" s="47"/>
      <c r="D9" s="47"/>
      <c r="E9" s="47">
        <f t="shared" si="0"/>
        <v>0</v>
      </c>
      <c r="F9" s="47" t="s">
        <v>309</v>
      </c>
      <c r="G9" s="47"/>
      <c r="H9" s="47"/>
      <c r="I9" s="47">
        <f t="shared" si="1"/>
        <v>0</v>
      </c>
      <c r="J9" s="47"/>
      <c r="K9" s="47"/>
      <c r="L9" s="47">
        <f t="shared" si="2"/>
        <v>0</v>
      </c>
    </row>
    <row r="10" spans="1:12" x14ac:dyDescent="0.25">
      <c r="B10" s="47" t="s">
        <v>310</v>
      </c>
      <c r="C10" s="47"/>
      <c r="D10" s="47"/>
      <c r="E10" s="47">
        <f t="shared" si="0"/>
        <v>0</v>
      </c>
      <c r="F10" s="47" t="s">
        <v>309</v>
      </c>
      <c r="G10" s="47"/>
      <c r="H10" s="47"/>
      <c r="I10" s="47">
        <f t="shared" si="1"/>
        <v>0</v>
      </c>
      <c r="J10" s="47"/>
      <c r="K10" s="47"/>
      <c r="L10" s="47">
        <f t="shared" si="2"/>
        <v>0</v>
      </c>
    </row>
    <row r="11" spans="1:12" x14ac:dyDescent="0.25">
      <c r="B11" s="47"/>
      <c r="C11" s="47"/>
      <c r="D11" s="47"/>
      <c r="E11" s="47">
        <f t="shared" si="0"/>
        <v>0</v>
      </c>
      <c r="F11" s="47" t="s">
        <v>311</v>
      </c>
      <c r="G11" s="47"/>
      <c r="H11" s="47"/>
      <c r="I11" s="47">
        <f t="shared" si="1"/>
        <v>0</v>
      </c>
      <c r="J11" s="47"/>
      <c r="K11" s="47"/>
      <c r="L11" s="47">
        <f t="shared" si="2"/>
        <v>0</v>
      </c>
    </row>
    <row r="12" spans="1:12" x14ac:dyDescent="0.25">
      <c r="B12" s="47"/>
      <c r="C12" s="47"/>
      <c r="D12" s="47"/>
      <c r="E12" s="47">
        <f t="shared" si="0"/>
        <v>0</v>
      </c>
      <c r="F12" s="47"/>
      <c r="G12" s="47"/>
      <c r="H12" s="47"/>
      <c r="I12" s="47">
        <f t="shared" si="1"/>
        <v>0</v>
      </c>
      <c r="J12" s="47"/>
      <c r="K12" s="47"/>
      <c r="L12" s="47">
        <f t="shared" si="2"/>
        <v>0</v>
      </c>
    </row>
    <row r="13" spans="1:12" x14ac:dyDescent="0.25">
      <c r="B13" s="47"/>
      <c r="C13" s="47"/>
      <c r="D13" s="47"/>
      <c r="E13" s="47">
        <f t="shared" si="0"/>
        <v>0</v>
      </c>
      <c r="F13" s="47"/>
      <c r="G13" s="47"/>
      <c r="H13" s="47"/>
      <c r="I13" s="47">
        <f t="shared" si="1"/>
        <v>0</v>
      </c>
      <c r="J13" s="47"/>
      <c r="K13" s="47"/>
      <c r="L13" s="47">
        <f t="shared" si="2"/>
        <v>0</v>
      </c>
    </row>
    <row r="14" spans="1:12" x14ac:dyDescent="0.25">
      <c r="B14" s="47" t="s">
        <v>312</v>
      </c>
      <c r="C14" s="47"/>
      <c r="D14" s="47"/>
      <c r="E14" s="47">
        <f t="shared" si="0"/>
        <v>0</v>
      </c>
      <c r="F14" s="47" t="s">
        <v>309</v>
      </c>
      <c r="G14" s="47"/>
      <c r="H14" s="47"/>
      <c r="I14" s="47">
        <f t="shared" si="1"/>
        <v>0</v>
      </c>
      <c r="J14" s="47"/>
      <c r="K14" s="47"/>
      <c r="L14" s="47">
        <f t="shared" si="2"/>
        <v>0</v>
      </c>
    </row>
    <row r="15" spans="1:12" x14ac:dyDescent="0.25">
      <c r="B15" s="47"/>
      <c r="C15" s="47"/>
      <c r="D15" s="47"/>
      <c r="E15" s="47">
        <f t="shared" si="0"/>
        <v>0</v>
      </c>
      <c r="F15" s="47" t="s">
        <v>311</v>
      </c>
      <c r="G15" s="47"/>
      <c r="H15" s="47"/>
      <c r="I15" s="47">
        <f t="shared" si="1"/>
        <v>0</v>
      </c>
      <c r="J15" s="47"/>
      <c r="K15" s="47"/>
      <c r="L15" s="47">
        <f t="shared" si="2"/>
        <v>0</v>
      </c>
    </row>
    <row r="16" spans="1:12" x14ac:dyDescent="0.25">
      <c r="B16" s="47"/>
      <c r="C16" s="47"/>
      <c r="D16" s="47"/>
      <c r="E16" s="47">
        <f t="shared" si="0"/>
        <v>0</v>
      </c>
      <c r="F16" s="47"/>
      <c r="G16" s="47"/>
      <c r="H16" s="47"/>
      <c r="I16" s="47">
        <f t="shared" si="1"/>
        <v>0</v>
      </c>
      <c r="J16" s="47"/>
      <c r="K16" s="47"/>
      <c r="L16" s="47">
        <f t="shared" si="2"/>
        <v>0</v>
      </c>
    </row>
    <row r="17" spans="2:12" x14ac:dyDescent="0.25">
      <c r="B17" s="47"/>
      <c r="C17" s="47"/>
      <c r="D17" s="47"/>
      <c r="E17" s="47">
        <f t="shared" si="0"/>
        <v>0</v>
      </c>
      <c r="F17" s="47"/>
      <c r="G17" s="47"/>
      <c r="H17" s="47"/>
      <c r="I17" s="47">
        <f t="shared" si="1"/>
        <v>0</v>
      </c>
      <c r="J17" s="47"/>
      <c r="K17" s="47"/>
      <c r="L17" s="47">
        <f t="shared" si="2"/>
        <v>0</v>
      </c>
    </row>
    <row r="18" spans="2:12" x14ac:dyDescent="0.25">
      <c r="B18" s="47" t="s">
        <v>313</v>
      </c>
      <c r="C18" s="47"/>
      <c r="D18" s="47"/>
      <c r="E18" s="47">
        <f t="shared" si="0"/>
        <v>0</v>
      </c>
      <c r="F18" s="47" t="s">
        <v>309</v>
      </c>
      <c r="G18" s="47"/>
      <c r="H18" s="47"/>
      <c r="I18" s="47">
        <f t="shared" si="1"/>
        <v>0</v>
      </c>
      <c r="J18" s="47"/>
      <c r="K18" s="47"/>
      <c r="L18" s="47">
        <f t="shared" si="2"/>
        <v>0</v>
      </c>
    </row>
    <row r="19" spans="2:12" x14ac:dyDescent="0.25">
      <c r="B19" s="47"/>
      <c r="C19" s="47"/>
      <c r="D19" s="47"/>
      <c r="E19" s="47">
        <f t="shared" si="0"/>
        <v>0</v>
      </c>
      <c r="F19" s="47" t="s">
        <v>311</v>
      </c>
      <c r="G19" s="47"/>
      <c r="H19" s="47"/>
      <c r="I19" s="47">
        <f t="shared" si="1"/>
        <v>0</v>
      </c>
      <c r="J19" s="47"/>
      <c r="K19" s="47"/>
      <c r="L19" s="47">
        <f t="shared" si="2"/>
        <v>0</v>
      </c>
    </row>
    <row r="20" spans="2:12" x14ac:dyDescent="0.25">
      <c r="B20" s="47"/>
      <c r="C20" s="47"/>
      <c r="D20" s="47"/>
      <c r="E20" s="47">
        <f t="shared" si="0"/>
        <v>0</v>
      </c>
      <c r="F20" s="47"/>
      <c r="G20" s="47"/>
      <c r="H20" s="47"/>
      <c r="I20" s="47">
        <f t="shared" si="1"/>
        <v>0</v>
      </c>
      <c r="J20" s="47"/>
      <c r="K20" s="47"/>
      <c r="L20" s="47">
        <f t="shared" si="2"/>
        <v>0</v>
      </c>
    </row>
    <row r="21" spans="2:12" x14ac:dyDescent="0.25">
      <c r="B21" s="47" t="s">
        <v>314</v>
      </c>
      <c r="C21" s="47"/>
      <c r="D21" s="47"/>
      <c r="E21" s="47">
        <f t="shared" si="0"/>
        <v>0</v>
      </c>
      <c r="F21" s="47" t="s">
        <v>309</v>
      </c>
      <c r="G21" s="47"/>
      <c r="H21" s="47"/>
      <c r="I21" s="47">
        <f t="shared" si="1"/>
        <v>0</v>
      </c>
      <c r="J21" s="47"/>
      <c r="K21" s="47"/>
      <c r="L21" s="47">
        <f t="shared" si="2"/>
        <v>0</v>
      </c>
    </row>
    <row r="22" spans="2:12" x14ac:dyDescent="0.25">
      <c r="B22" s="47"/>
      <c r="C22" s="47"/>
      <c r="D22" s="47"/>
      <c r="E22" s="47">
        <f t="shared" si="0"/>
        <v>0</v>
      </c>
      <c r="F22" s="47" t="s">
        <v>311</v>
      </c>
      <c r="G22" s="47"/>
      <c r="H22" s="47"/>
      <c r="I22" s="47">
        <f t="shared" si="1"/>
        <v>0</v>
      </c>
      <c r="J22" s="47"/>
      <c r="K22" s="47"/>
      <c r="L22" s="47">
        <f t="shared" si="2"/>
        <v>0</v>
      </c>
    </row>
    <row r="23" spans="2:12" x14ac:dyDescent="0.25">
      <c r="B23" s="47"/>
      <c r="C23" s="47"/>
      <c r="D23" s="47"/>
      <c r="E23" s="47">
        <f t="shared" si="0"/>
        <v>0</v>
      </c>
      <c r="F23" s="47"/>
      <c r="G23" s="47"/>
      <c r="H23" s="47"/>
      <c r="I23" s="47">
        <f t="shared" si="1"/>
        <v>0</v>
      </c>
      <c r="J23" s="47"/>
      <c r="K23" s="47"/>
      <c r="L23" s="47">
        <f t="shared" si="2"/>
        <v>0</v>
      </c>
    </row>
    <row r="24" spans="2:12" x14ac:dyDescent="0.25">
      <c r="B24" s="47" t="s">
        <v>315</v>
      </c>
      <c r="C24" s="47"/>
      <c r="D24" s="47"/>
      <c r="E24" s="47">
        <f t="shared" si="0"/>
        <v>0</v>
      </c>
      <c r="F24" s="47" t="s">
        <v>316</v>
      </c>
      <c r="G24" s="47"/>
      <c r="H24" s="47"/>
      <c r="I24" s="47">
        <f t="shared" si="1"/>
        <v>0</v>
      </c>
      <c r="J24" s="47"/>
      <c r="K24" s="47"/>
      <c r="L24" s="47">
        <f t="shared" si="2"/>
        <v>0</v>
      </c>
    </row>
    <row r="25" spans="2:12" x14ac:dyDescent="0.25">
      <c r="B25" s="47"/>
      <c r="C25" s="47"/>
      <c r="D25" s="47"/>
      <c r="E25" s="47">
        <f t="shared" ref="E25:E27" si="3">C25*D25</f>
        <v>0</v>
      </c>
      <c r="F25" s="47" t="s">
        <v>316</v>
      </c>
      <c r="G25" s="47"/>
      <c r="H25" s="47"/>
      <c r="I25" s="47">
        <f t="shared" ref="I25:I27" si="4">G25*H25</f>
        <v>0</v>
      </c>
      <c r="J25" s="47"/>
      <c r="K25" s="47"/>
      <c r="L25" s="47">
        <f t="shared" ref="L25:L27" si="5">J25*K25</f>
        <v>0</v>
      </c>
    </row>
    <row r="26" spans="2:12" x14ac:dyDescent="0.25">
      <c r="B26" s="47"/>
      <c r="C26" s="47"/>
      <c r="D26" s="47"/>
      <c r="E26" s="47">
        <f t="shared" si="3"/>
        <v>0</v>
      </c>
      <c r="F26" s="47" t="s">
        <v>316</v>
      </c>
      <c r="G26" s="47"/>
      <c r="H26" s="47"/>
      <c r="I26" s="47">
        <f t="shared" si="4"/>
        <v>0</v>
      </c>
      <c r="J26" s="47"/>
      <c r="K26" s="47"/>
      <c r="L26" s="47">
        <f t="shared" si="5"/>
        <v>0</v>
      </c>
    </row>
    <row r="27" spans="2:12" x14ac:dyDescent="0.25">
      <c r="B27" s="47"/>
      <c r="C27" s="47"/>
      <c r="D27" s="47"/>
      <c r="E27" s="47">
        <f t="shared" si="3"/>
        <v>0</v>
      </c>
      <c r="F27" s="47" t="s">
        <v>316</v>
      </c>
      <c r="G27" s="47"/>
      <c r="H27" s="47"/>
      <c r="I27" s="47">
        <f t="shared" si="4"/>
        <v>0</v>
      </c>
      <c r="J27" s="47"/>
      <c r="K27" s="47"/>
      <c r="L27" s="47">
        <f t="shared" si="5"/>
        <v>0</v>
      </c>
    </row>
    <row r="28" spans="2:12" x14ac:dyDescent="0.25">
      <c r="B28" s="47" t="s">
        <v>317</v>
      </c>
      <c r="C28" s="47"/>
      <c r="D28" s="47"/>
      <c r="E28" s="47">
        <f t="shared" si="0"/>
        <v>0</v>
      </c>
      <c r="F28" s="47" t="s">
        <v>316</v>
      </c>
      <c r="G28" s="47"/>
      <c r="H28" s="47"/>
      <c r="I28" s="47">
        <f t="shared" si="1"/>
        <v>0</v>
      </c>
      <c r="J28" s="47"/>
      <c r="K28" s="47"/>
      <c r="L28" s="47">
        <f t="shared" si="2"/>
        <v>0</v>
      </c>
    </row>
    <row r="29" spans="2:12" x14ac:dyDescent="0.25">
      <c r="B29" s="47" t="s">
        <v>318</v>
      </c>
      <c r="C29" s="47"/>
      <c r="D29" s="47"/>
      <c r="E29" s="47">
        <f t="shared" si="0"/>
        <v>0</v>
      </c>
      <c r="F29" s="47" t="s">
        <v>316</v>
      </c>
      <c r="G29" s="47"/>
      <c r="H29" s="47"/>
      <c r="I29" s="47">
        <f t="shared" si="1"/>
        <v>0</v>
      </c>
      <c r="J29" s="47"/>
      <c r="K29" s="47"/>
      <c r="L29" s="47">
        <f t="shared" si="2"/>
        <v>0</v>
      </c>
    </row>
    <row r="30" spans="2:12" x14ac:dyDescent="0.25">
      <c r="B30" s="47" t="s">
        <v>322</v>
      </c>
      <c r="C30" s="47"/>
      <c r="D30" s="47"/>
      <c r="E30" s="47">
        <f t="shared" si="0"/>
        <v>0</v>
      </c>
      <c r="F30" s="47"/>
      <c r="G30" s="47"/>
      <c r="H30" s="47"/>
      <c r="I30" s="47">
        <f t="shared" si="1"/>
        <v>0</v>
      </c>
      <c r="J30" s="47"/>
      <c r="K30" s="47"/>
      <c r="L30" s="47">
        <f t="shared" si="2"/>
        <v>0</v>
      </c>
    </row>
    <row r="31" spans="2:12" x14ac:dyDescent="0.25">
      <c r="B31" s="47"/>
      <c r="C31" s="47"/>
      <c r="D31" s="47"/>
      <c r="E31" s="47">
        <f t="shared" ref="E31:E32" si="6">C31*D31</f>
        <v>0</v>
      </c>
      <c r="F31" s="47"/>
      <c r="G31" s="47"/>
      <c r="H31" s="47"/>
      <c r="I31" s="47">
        <f t="shared" ref="I31:I32" si="7">G31*H31</f>
        <v>0</v>
      </c>
      <c r="J31" s="47"/>
      <c r="K31" s="47"/>
      <c r="L31" s="47">
        <f t="shared" ref="L31:L32" si="8">J31*K31</f>
        <v>0</v>
      </c>
    </row>
    <row r="32" spans="2:12" x14ac:dyDescent="0.25">
      <c r="B32" s="47"/>
      <c r="C32" s="47"/>
      <c r="D32" s="47"/>
      <c r="E32" s="47">
        <f t="shared" si="6"/>
        <v>0</v>
      </c>
      <c r="F32" s="47"/>
      <c r="G32" s="47"/>
      <c r="H32" s="47"/>
      <c r="I32" s="47">
        <f t="shared" si="7"/>
        <v>0</v>
      </c>
      <c r="J32" s="47"/>
      <c r="K32" s="47"/>
      <c r="L32" s="47">
        <f t="shared" si="8"/>
        <v>0</v>
      </c>
    </row>
    <row r="33" spans="2:12" x14ac:dyDescent="0.25">
      <c r="B33" s="47" t="s">
        <v>319</v>
      </c>
      <c r="C33" s="47"/>
      <c r="D33" s="47"/>
      <c r="E33" s="47">
        <f t="shared" si="0"/>
        <v>0</v>
      </c>
      <c r="F33" s="47"/>
      <c r="G33" s="47"/>
      <c r="H33" s="47"/>
      <c r="I33" s="47">
        <f t="shared" si="1"/>
        <v>0</v>
      </c>
      <c r="J33" s="47"/>
      <c r="K33" s="47"/>
      <c r="L33" s="47">
        <f t="shared" si="2"/>
        <v>0</v>
      </c>
    </row>
    <row r="34" spans="2:12" x14ac:dyDescent="0.25">
      <c r="B34" s="47" t="s">
        <v>323</v>
      </c>
      <c r="C34" s="47"/>
      <c r="D34" s="47"/>
      <c r="E34" s="47">
        <f t="shared" si="0"/>
        <v>0</v>
      </c>
      <c r="F34" s="47"/>
      <c r="G34" s="47"/>
      <c r="H34" s="47"/>
      <c r="I34" s="47">
        <f t="shared" si="1"/>
        <v>0</v>
      </c>
      <c r="J34" s="47"/>
      <c r="K34" s="47"/>
      <c r="L34" s="47">
        <f t="shared" si="2"/>
        <v>0</v>
      </c>
    </row>
    <row r="35" spans="2:12" x14ac:dyDescent="0.25">
      <c r="B35" s="47" t="s">
        <v>320</v>
      </c>
      <c r="C35" s="47"/>
      <c r="D35" s="47"/>
      <c r="E35" s="47">
        <f t="shared" si="0"/>
        <v>0</v>
      </c>
      <c r="F35" s="47"/>
      <c r="G35" s="47"/>
      <c r="H35" s="47"/>
      <c r="I35" s="47">
        <f t="shared" si="1"/>
        <v>0</v>
      </c>
      <c r="J35" s="47"/>
      <c r="K35" s="47"/>
      <c r="L35" s="47">
        <f t="shared" si="2"/>
        <v>0</v>
      </c>
    </row>
    <row r="36" spans="2:12" x14ac:dyDescent="0.25">
      <c r="B36" s="47" t="s">
        <v>321</v>
      </c>
      <c r="C36" s="47"/>
      <c r="D36" s="47"/>
      <c r="E36" s="47">
        <f t="shared" si="0"/>
        <v>0</v>
      </c>
      <c r="F36" s="47"/>
      <c r="G36" s="47"/>
      <c r="H36" s="47"/>
      <c r="I36" s="47">
        <f>G36*H36</f>
        <v>0</v>
      </c>
      <c r="J36" s="47"/>
      <c r="K36" s="47"/>
      <c r="L36" s="47">
        <f>J36*K36</f>
        <v>0</v>
      </c>
    </row>
    <row r="37" spans="2:12" x14ac:dyDescent="0.25">
      <c r="B37" s="47"/>
      <c r="C37" s="47"/>
      <c r="D37" s="47"/>
      <c r="E37" s="47">
        <f t="shared" ref="E37:E38" si="9">C37*D37</f>
        <v>0</v>
      </c>
      <c r="F37" s="47"/>
      <c r="G37" s="47"/>
      <c r="H37" s="47"/>
      <c r="I37" s="47">
        <f t="shared" ref="I37:I38" si="10">G37*H37</f>
        <v>0</v>
      </c>
      <c r="J37" s="47"/>
      <c r="K37" s="47"/>
      <c r="L37" s="47">
        <f t="shared" ref="L37:L38" si="11">J37*K37</f>
        <v>0</v>
      </c>
    </row>
    <row r="38" spans="2:12" x14ac:dyDescent="0.25">
      <c r="B38" s="47" t="s">
        <v>324</v>
      </c>
      <c r="C38" s="47"/>
      <c r="D38" s="47"/>
      <c r="E38" s="47">
        <f t="shared" si="9"/>
        <v>0</v>
      </c>
      <c r="F38" s="47"/>
      <c r="G38" s="47"/>
      <c r="H38" s="47"/>
      <c r="I38" s="47">
        <f t="shared" si="10"/>
        <v>0</v>
      </c>
      <c r="J38" s="47"/>
      <c r="K38" s="47"/>
      <c r="L38" s="47">
        <f t="shared" si="11"/>
        <v>0</v>
      </c>
    </row>
    <row r="39" spans="2:12" x14ac:dyDescent="0.25">
      <c r="B39" s="47"/>
      <c r="C39" s="47"/>
      <c r="D39" s="47"/>
      <c r="E39" s="47">
        <f t="shared" si="0"/>
        <v>0</v>
      </c>
      <c r="F39" s="47"/>
      <c r="G39" s="47"/>
      <c r="H39" s="47"/>
      <c r="I39" s="47">
        <f>G39*H39</f>
        <v>0</v>
      </c>
      <c r="J39" s="47"/>
      <c r="K39" s="47"/>
      <c r="L39" s="47">
        <f>J39*K39</f>
        <v>0</v>
      </c>
    </row>
    <row r="40" spans="2:12" x14ac:dyDescent="0.25">
      <c r="B40" s="47"/>
      <c r="C40" s="47"/>
      <c r="D40" s="47"/>
      <c r="E40" s="47">
        <f t="shared" si="0"/>
        <v>0</v>
      </c>
      <c r="F40" s="47"/>
      <c r="G40" s="47"/>
      <c r="H40" s="47"/>
      <c r="I40" s="47">
        <f>G40*H40</f>
        <v>0</v>
      </c>
      <c r="J40" s="47"/>
      <c r="K40" s="47"/>
      <c r="L40" s="47">
        <f>J40*K40</f>
        <v>0</v>
      </c>
    </row>
    <row r="41" spans="2:12" x14ac:dyDescent="0.25">
      <c r="B41" s="47"/>
      <c r="C41" s="47"/>
      <c r="D41" s="47"/>
      <c r="E41" s="47">
        <f t="shared" si="0"/>
        <v>0</v>
      </c>
      <c r="F41" s="47"/>
      <c r="G41" s="47"/>
      <c r="H41" s="47"/>
      <c r="I41" s="47">
        <f>G41*H41</f>
        <v>0</v>
      </c>
      <c r="J41" s="47"/>
      <c r="K41" s="47"/>
      <c r="L41" s="47">
        <f>J41*K41</f>
        <v>0</v>
      </c>
    </row>
    <row r="42" spans="2:12" x14ac:dyDescent="0.25">
      <c r="B42" s="47" t="s">
        <v>144</v>
      </c>
      <c r="C42" s="47"/>
      <c r="D42" s="47">
        <f>E42*10.764</f>
        <v>0</v>
      </c>
      <c r="E42" s="65">
        <f>SUM(E6:E41)</f>
        <v>0</v>
      </c>
      <c r="F42" s="47"/>
      <c r="G42" s="47"/>
      <c r="H42" s="47">
        <f>I42*10.764</f>
        <v>0</v>
      </c>
      <c r="I42" s="64">
        <f>SUM(I6:I41)</f>
        <v>0</v>
      </c>
      <c r="J42" s="47"/>
      <c r="K42" s="47">
        <f>L42*10.764</f>
        <v>0</v>
      </c>
      <c r="L42" s="63">
        <f>SUM(L6:L41)</f>
        <v>0</v>
      </c>
    </row>
    <row r="44" spans="2:12" x14ac:dyDescent="0.25">
      <c r="D44" s="46">
        <f>D42+H42</f>
        <v>0</v>
      </c>
      <c r="E44" s="46">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2025-08-14T09:26:00Z</cp:lastPrinted>
  <dcterms:created xsi:type="dcterms:W3CDTF">2019-07-16T09:29:46Z</dcterms:created>
  <dcterms:modified xsi:type="dcterms:W3CDTF">2025-08-14T09:49:53Z</dcterms:modified>
</cp:coreProperties>
</file>