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Sanpada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Report!$A$1:$H$803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4" i="1"/>
  <c r="C103" i="1"/>
  <c r="J149" i="1" l="1"/>
  <c r="J148" i="1"/>
  <c r="J147" i="1"/>
  <c r="J146" i="1"/>
  <c r="C145" i="1"/>
  <c r="C147" i="1" s="1"/>
  <c r="H139" i="1"/>
  <c r="D145" i="1" l="1"/>
  <c r="D151" i="1"/>
  <c r="J144" i="1"/>
  <c r="J145" i="1" s="1"/>
  <c r="J150" i="1" s="1"/>
  <c r="J151" i="1" s="1"/>
  <c r="D144" i="1"/>
  <c r="J141" i="1"/>
  <c r="D150" i="1"/>
  <c r="J143" i="1"/>
  <c r="C142" i="1" s="1"/>
  <c r="D142" i="1" s="1"/>
  <c r="D148" i="1"/>
  <c r="D149" i="1"/>
  <c r="D143" i="1"/>
  <c r="J142" i="1"/>
  <c r="D147" i="1"/>
  <c r="C146" i="1"/>
  <c r="E142" i="1" s="1"/>
  <c r="J138" i="1"/>
  <c r="J140" i="1" s="1"/>
  <c r="D146" i="1" l="1"/>
  <c r="I139" i="1" s="1"/>
  <c r="I140" i="1" s="1"/>
  <c r="G142" i="1"/>
  <c r="J139" i="1"/>
  <c r="C131" i="1"/>
  <c r="C133" i="1" s="1"/>
  <c r="C117" i="1"/>
  <c r="C119" i="1" s="1"/>
  <c r="C89" i="1"/>
  <c r="C75" i="1"/>
  <c r="C77" i="1" l="1"/>
  <c r="C76" i="1"/>
  <c r="C91" i="1"/>
  <c r="C90" i="1"/>
  <c r="C132" i="1"/>
  <c r="I138" i="1"/>
  <c r="C140" i="1" s="1"/>
  <c r="C118" i="1"/>
  <c r="I242" i="1"/>
  <c r="D622" i="1"/>
  <c r="D591" i="1"/>
  <c r="D590" i="1"/>
  <c r="D654" i="1" l="1"/>
  <c r="I168" i="1"/>
  <c r="D671" i="1"/>
  <c r="I671" i="1"/>
  <c r="D608" i="1"/>
  <c r="D685" i="1"/>
  <c r="D690" i="1"/>
  <c r="D689" i="1"/>
  <c r="D688" i="1"/>
  <c r="D687" i="1"/>
  <c r="D683" i="1"/>
  <c r="F683" i="1" s="1"/>
  <c r="D682" i="1"/>
  <c r="F682" i="1" s="1"/>
  <c r="D681" i="1"/>
  <c r="D680" i="1"/>
  <c r="D678" i="1"/>
  <c r="F678" i="1" s="1"/>
  <c r="D674" i="1"/>
  <c r="D673" i="1"/>
  <c r="D672" i="1"/>
  <c r="D676" i="1"/>
  <c r="D675" i="1"/>
  <c r="D668" i="1"/>
  <c r="D667" i="1"/>
  <c r="D666" i="1"/>
  <c r="D665" i="1"/>
  <c r="D664" i="1"/>
  <c r="D663" i="1"/>
  <c r="G678" i="1"/>
  <c r="D661" i="1"/>
  <c r="D660" i="1"/>
  <c r="D658" i="1"/>
  <c r="D657" i="1"/>
  <c r="D655" i="1" l="1"/>
  <c r="F655" i="1" l="1"/>
  <c r="D653" i="1"/>
  <c r="F653" i="1" s="1"/>
  <c r="D652" i="1"/>
  <c r="F652" i="1" s="1"/>
  <c r="F690" i="1"/>
  <c r="F689" i="1"/>
  <c r="F688" i="1"/>
  <c r="F687" i="1"/>
  <c r="A686" i="1"/>
  <c r="A687" i="1" s="1"/>
  <c r="A688" i="1" s="1"/>
  <c r="A689" i="1" s="1"/>
  <c r="A690" i="1" s="1"/>
  <c r="G685" i="1"/>
  <c r="G686" i="1" s="1"/>
  <c r="G687" i="1" s="1"/>
  <c r="G688" i="1" s="1"/>
  <c r="G690" i="1" s="1"/>
  <c r="F685" i="1"/>
  <c r="F681" i="1"/>
  <c r="F680" i="1"/>
  <c r="F679" i="1"/>
  <c r="A679" i="1"/>
  <c r="A680" i="1" s="1"/>
  <c r="A681" i="1" s="1"/>
  <c r="A682" i="1" s="1"/>
  <c r="A683" i="1" s="1"/>
  <c r="F676" i="1"/>
  <c r="F675" i="1"/>
  <c r="F674" i="1"/>
  <c r="F673" i="1"/>
  <c r="F672" i="1"/>
  <c r="A672" i="1"/>
  <c r="A673" i="1" s="1"/>
  <c r="A674" i="1" s="1"/>
  <c r="A675" i="1" s="1"/>
  <c r="A676" i="1" s="1"/>
  <c r="G671" i="1"/>
  <c r="G672" i="1" s="1"/>
  <c r="G673" i="1" s="1"/>
  <c r="G674" i="1" s="1"/>
  <c r="G675" i="1" s="1"/>
  <c r="G676" i="1" s="1"/>
  <c r="F671" i="1"/>
  <c r="F668" i="1"/>
  <c r="F667" i="1"/>
  <c r="F666" i="1"/>
  <c r="F665" i="1"/>
  <c r="F664" i="1"/>
  <c r="A664" i="1"/>
  <c r="A665" i="1" s="1"/>
  <c r="A666" i="1" s="1"/>
  <c r="A667" i="1" s="1"/>
  <c r="A668" i="1" s="1"/>
  <c r="G663" i="1"/>
  <c r="G664" i="1" s="1"/>
  <c r="G665" i="1" s="1"/>
  <c r="G666" i="1" s="1"/>
  <c r="G667" i="1" s="1"/>
  <c r="G668" i="1" s="1"/>
  <c r="F663" i="1"/>
  <c r="F661" i="1"/>
  <c r="F660" i="1"/>
  <c r="F658" i="1"/>
  <c r="G657" i="1"/>
  <c r="F657" i="1"/>
  <c r="I655" i="1"/>
  <c r="F654" i="1"/>
  <c r="G652" i="1"/>
  <c r="F622" i="1"/>
  <c r="D627" i="1"/>
  <c r="F627" i="1" s="1"/>
  <c r="D626" i="1"/>
  <c r="F626" i="1" s="1"/>
  <c r="D625" i="1"/>
  <c r="F625" i="1" s="1"/>
  <c r="D624" i="1"/>
  <c r="F624" i="1" s="1"/>
  <c r="D620" i="1"/>
  <c r="F620" i="1" s="1"/>
  <c r="D619" i="1"/>
  <c r="F619" i="1" s="1"/>
  <c r="D618" i="1"/>
  <c r="F618" i="1" s="1"/>
  <c r="D617" i="1"/>
  <c r="F617" i="1" s="1"/>
  <c r="D615" i="1"/>
  <c r="F615" i="1" s="1"/>
  <c r="D613" i="1"/>
  <c r="F613" i="1" s="1"/>
  <c r="D612" i="1"/>
  <c r="F612" i="1" s="1"/>
  <c r="D611" i="1"/>
  <c r="F611" i="1" s="1"/>
  <c r="D610" i="1"/>
  <c r="F610" i="1" s="1"/>
  <c r="D609" i="1"/>
  <c r="F609" i="1" s="1"/>
  <c r="F608" i="1"/>
  <c r="D604" i="1"/>
  <c r="F604" i="1" s="1"/>
  <c r="D605" i="1"/>
  <c r="F605" i="1" s="1"/>
  <c r="D603" i="1"/>
  <c r="F603" i="1" s="1"/>
  <c r="D602" i="1"/>
  <c r="F602" i="1" s="1"/>
  <c r="D601" i="1"/>
  <c r="D600" i="1"/>
  <c r="F600" i="1" s="1"/>
  <c r="D595" i="1"/>
  <c r="F595" i="1" s="1"/>
  <c r="D598" i="1"/>
  <c r="F598" i="1" s="1"/>
  <c r="D597" i="1"/>
  <c r="F597" i="1" s="1"/>
  <c r="D596" i="1"/>
  <c r="F596" i="1" s="1"/>
  <c r="D594" i="1"/>
  <c r="F594" i="1" s="1"/>
  <c r="D593" i="1"/>
  <c r="F593" i="1" s="1"/>
  <c r="F590" i="1"/>
  <c r="I590" i="1"/>
  <c r="D589" i="1"/>
  <c r="F589" i="1" s="1"/>
  <c r="D588" i="1"/>
  <c r="F588" i="1" s="1"/>
  <c r="G622" i="1"/>
  <c r="G623" i="1" s="1"/>
  <c r="G624" i="1" s="1"/>
  <c r="G625" i="1" s="1"/>
  <c r="G627" i="1" s="1"/>
  <c r="G615" i="1"/>
  <c r="G616" i="1" s="1"/>
  <c r="G617" i="1" s="1"/>
  <c r="G618" i="1" s="1"/>
  <c r="G620" i="1" s="1"/>
  <c r="A623" i="1"/>
  <c r="A624" i="1" s="1"/>
  <c r="A625" i="1" s="1"/>
  <c r="A626" i="1" s="1"/>
  <c r="A627" i="1" s="1"/>
  <c r="A616" i="1"/>
  <c r="A617" i="1" s="1"/>
  <c r="A618" i="1" s="1"/>
  <c r="A619" i="1" s="1"/>
  <c r="A620" i="1" s="1"/>
  <c r="A609" i="1"/>
  <c r="A610" i="1" s="1"/>
  <c r="A611" i="1" s="1"/>
  <c r="A612" i="1" s="1"/>
  <c r="A613" i="1" s="1"/>
  <c r="G608" i="1"/>
  <c r="G609" i="1" s="1"/>
  <c r="G610" i="1" s="1"/>
  <c r="G611" i="1" s="1"/>
  <c r="G612" i="1" s="1"/>
  <c r="G613" i="1" s="1"/>
  <c r="F601" i="1"/>
  <c r="A601" i="1"/>
  <c r="A602" i="1" s="1"/>
  <c r="A603" i="1" s="1"/>
  <c r="A604" i="1" s="1"/>
  <c r="A605" i="1" s="1"/>
  <c r="G600" i="1"/>
  <c r="G601" i="1" s="1"/>
  <c r="G602" i="1" s="1"/>
  <c r="G603" i="1" s="1"/>
  <c r="G604" i="1" s="1"/>
  <c r="G605" i="1" s="1"/>
  <c r="G593" i="1"/>
  <c r="F591" i="1"/>
  <c r="G588" i="1"/>
  <c r="G589" i="1" s="1"/>
  <c r="G590" i="1" s="1"/>
  <c r="G591" i="1" s="1"/>
  <c r="D537" i="1"/>
  <c r="F537" i="1" s="1"/>
  <c r="D541" i="1"/>
  <c r="F541" i="1" s="1"/>
  <c r="D540" i="1"/>
  <c r="F540" i="1" s="1"/>
  <c r="D539" i="1"/>
  <c r="F539" i="1" s="1"/>
  <c r="D538" i="1"/>
  <c r="F538" i="1" s="1"/>
  <c r="A537" i="1"/>
  <c r="A538" i="1" s="1"/>
  <c r="A539" i="1" s="1"/>
  <c r="A540" i="1" s="1"/>
  <c r="A541" i="1" s="1"/>
  <c r="G536" i="1"/>
  <c r="G537" i="1" s="1"/>
  <c r="G538" i="1" s="1"/>
  <c r="G539" i="1" s="1"/>
  <c r="G540" i="1" s="1"/>
  <c r="G541" i="1" s="1"/>
  <c r="J135" i="1" l="1"/>
  <c r="J134" i="1"/>
  <c r="J133" i="1"/>
  <c r="J132" i="1"/>
  <c r="H125" i="1"/>
  <c r="J130" i="1" l="1"/>
  <c r="J131" i="1" s="1"/>
  <c r="J136" i="1" s="1"/>
  <c r="J137" i="1" s="1"/>
  <c r="J128" i="1"/>
  <c r="J124" i="1"/>
  <c r="J126" i="1" s="1"/>
  <c r="D136" i="1"/>
  <c r="D134" i="1"/>
  <c r="D132" i="1"/>
  <c r="D130" i="1"/>
  <c r="J127" i="1"/>
  <c r="J129" i="1"/>
  <c r="C128" i="1" s="1"/>
  <c r="E128" i="1"/>
  <c r="D137" i="1"/>
  <c r="D135" i="1"/>
  <c r="D133" i="1"/>
  <c r="D131" i="1"/>
  <c r="D129" i="1"/>
  <c r="K253" i="1"/>
  <c r="D505" i="1"/>
  <c r="G128" i="1" l="1"/>
  <c r="D128" i="1"/>
  <c r="I125" i="1" s="1"/>
  <c r="I126" i="1" s="1"/>
  <c r="J121" i="1"/>
  <c r="J120" i="1"/>
  <c r="J119" i="1"/>
  <c r="J118" i="1"/>
  <c r="J107" i="1"/>
  <c r="J106" i="1"/>
  <c r="J105" i="1"/>
  <c r="J104" i="1"/>
  <c r="D648" i="1"/>
  <c r="F648" i="1" s="1"/>
  <c r="G647" i="1"/>
  <c r="G648" i="1" s="1"/>
  <c r="D647" i="1"/>
  <c r="F647" i="1" s="1"/>
  <c r="D645" i="1"/>
  <c r="F645" i="1" s="1"/>
  <c r="G644" i="1"/>
  <c r="G645" i="1" s="1"/>
  <c r="D644" i="1"/>
  <c r="F644" i="1" s="1"/>
  <c r="D642" i="1"/>
  <c r="F642" i="1" s="1"/>
  <c r="G641" i="1"/>
  <c r="G642" i="1" s="1"/>
  <c r="D641" i="1"/>
  <c r="F641" i="1" s="1"/>
  <c r="D639" i="1"/>
  <c r="F639" i="1" s="1"/>
  <c r="G638" i="1"/>
  <c r="G639" i="1" s="1"/>
  <c r="D638" i="1"/>
  <c r="F638" i="1" s="1"/>
  <c r="D636" i="1"/>
  <c r="F636" i="1" s="1"/>
  <c r="D635" i="1"/>
  <c r="F635" i="1" s="1"/>
  <c r="G635" i="1"/>
  <c r="D633" i="1"/>
  <c r="F633" i="1" s="1"/>
  <c r="G633" i="1"/>
  <c r="D583" i="1"/>
  <c r="F583" i="1" s="1"/>
  <c r="D580" i="1"/>
  <c r="F580" i="1" s="1"/>
  <c r="D579" i="1"/>
  <c r="F579" i="1" s="1"/>
  <c r="A579" i="1"/>
  <c r="A580" i="1" s="1"/>
  <c r="A581" i="1" s="1"/>
  <c r="A582" i="1" s="1"/>
  <c r="A583" i="1" s="1"/>
  <c r="G578" i="1"/>
  <c r="G579" i="1" s="1"/>
  <c r="G580" i="1" s="1"/>
  <c r="G581" i="1" s="1"/>
  <c r="G582" i="1" s="1"/>
  <c r="G583" i="1" s="1"/>
  <c r="D578" i="1"/>
  <c r="F578" i="1" s="1"/>
  <c r="D576" i="1"/>
  <c r="F576" i="1" s="1"/>
  <c r="D573" i="1"/>
  <c r="F573" i="1" s="1"/>
  <c r="D572" i="1"/>
  <c r="F572" i="1" s="1"/>
  <c r="A572" i="1"/>
  <c r="A573" i="1" s="1"/>
  <c r="A574" i="1" s="1"/>
  <c r="A575" i="1" s="1"/>
  <c r="A576" i="1" s="1"/>
  <c r="G571" i="1"/>
  <c r="G572" i="1" s="1"/>
  <c r="G573" i="1" s="1"/>
  <c r="G574" i="1" s="1"/>
  <c r="G575" i="1" s="1"/>
  <c r="G576" i="1" s="1"/>
  <c r="D571" i="1"/>
  <c r="F571" i="1" s="1"/>
  <c r="D569" i="1"/>
  <c r="F569" i="1" s="1"/>
  <c r="D566" i="1"/>
  <c r="F566" i="1" s="1"/>
  <c r="D565" i="1"/>
  <c r="F565" i="1" s="1"/>
  <c r="A565" i="1"/>
  <c r="A566" i="1" s="1"/>
  <c r="A567" i="1" s="1"/>
  <c r="A568" i="1" s="1"/>
  <c r="A569" i="1" s="1"/>
  <c r="G564" i="1"/>
  <c r="G565" i="1" s="1"/>
  <c r="G566" i="1" s="1"/>
  <c r="G567" i="1" s="1"/>
  <c r="G568" i="1" s="1"/>
  <c r="G569" i="1" s="1"/>
  <c r="D564" i="1"/>
  <c r="F564" i="1" s="1"/>
  <c r="D562" i="1"/>
  <c r="F562" i="1" s="1"/>
  <c r="D559" i="1"/>
  <c r="F559" i="1" s="1"/>
  <c r="D558" i="1"/>
  <c r="F558" i="1" s="1"/>
  <c r="A558" i="1"/>
  <c r="A559" i="1" s="1"/>
  <c r="A560" i="1" s="1"/>
  <c r="A561" i="1" s="1"/>
  <c r="A562" i="1" s="1"/>
  <c r="G557" i="1"/>
  <c r="G558" i="1" s="1"/>
  <c r="G559" i="1" s="1"/>
  <c r="G560" i="1" s="1"/>
  <c r="G561" i="1" s="1"/>
  <c r="G562" i="1" s="1"/>
  <c r="D557" i="1"/>
  <c r="F557" i="1" s="1"/>
  <c r="D552" i="1"/>
  <c r="D555" i="1"/>
  <c r="F555" i="1" s="1"/>
  <c r="D551" i="1"/>
  <c r="F551" i="1" s="1"/>
  <c r="D550" i="1"/>
  <c r="F550" i="1" s="1"/>
  <c r="F552" i="1"/>
  <c r="A551" i="1"/>
  <c r="A552" i="1" s="1"/>
  <c r="A553" i="1" s="1"/>
  <c r="A554" i="1" s="1"/>
  <c r="A555" i="1" s="1"/>
  <c r="G550" i="1"/>
  <c r="G551" i="1" s="1"/>
  <c r="G552" i="1" s="1"/>
  <c r="G553" i="1" s="1"/>
  <c r="G554" i="1" s="1"/>
  <c r="G555" i="1" s="1"/>
  <c r="D548" i="1"/>
  <c r="D547" i="1"/>
  <c r="J548" i="1"/>
  <c r="A548" i="1"/>
  <c r="J547" i="1"/>
  <c r="G547" i="1"/>
  <c r="D534" i="1"/>
  <c r="F534" i="1" s="1"/>
  <c r="D533" i="1"/>
  <c r="F533" i="1" s="1"/>
  <c r="D532" i="1"/>
  <c r="F532" i="1" s="1"/>
  <c r="D531" i="1"/>
  <c r="F531" i="1" s="1"/>
  <c r="D530" i="1"/>
  <c r="F530" i="1" s="1"/>
  <c r="A530" i="1"/>
  <c r="A531" i="1" s="1"/>
  <c r="A532" i="1" s="1"/>
  <c r="A533" i="1" s="1"/>
  <c r="A534" i="1" s="1"/>
  <c r="G529" i="1"/>
  <c r="G530" i="1" s="1"/>
  <c r="G531" i="1" s="1"/>
  <c r="G532" i="1" s="1"/>
  <c r="G533" i="1" s="1"/>
  <c r="G534" i="1" s="1"/>
  <c r="D523" i="1"/>
  <c r="F523" i="1" s="1"/>
  <c r="D527" i="1"/>
  <c r="F527" i="1" s="1"/>
  <c r="D526" i="1"/>
  <c r="F526" i="1" s="1"/>
  <c r="D525" i="1"/>
  <c r="F525" i="1" s="1"/>
  <c r="D524" i="1"/>
  <c r="F524" i="1" s="1"/>
  <c r="A523" i="1"/>
  <c r="A524" i="1" s="1"/>
  <c r="A525" i="1" s="1"/>
  <c r="A526" i="1" s="1"/>
  <c r="A527" i="1" s="1"/>
  <c r="G522" i="1"/>
  <c r="G523" i="1" s="1"/>
  <c r="G524" i="1" s="1"/>
  <c r="G525" i="1" s="1"/>
  <c r="G526" i="1" s="1"/>
  <c r="G527" i="1" s="1"/>
  <c r="D522" i="1"/>
  <c r="F522" i="1" s="1"/>
  <c r="D519" i="1"/>
  <c r="F519" i="1" s="1"/>
  <c r="D518" i="1"/>
  <c r="F518" i="1" s="1"/>
  <c r="D517" i="1"/>
  <c r="F517" i="1" s="1"/>
  <c r="D516" i="1"/>
  <c r="F516" i="1" s="1"/>
  <c r="D515" i="1"/>
  <c r="F515" i="1" s="1"/>
  <c r="A515" i="1"/>
  <c r="A516" i="1" s="1"/>
  <c r="A517" i="1" s="1"/>
  <c r="A518" i="1" s="1"/>
  <c r="A519" i="1" s="1"/>
  <c r="G514" i="1"/>
  <c r="G515" i="1" s="1"/>
  <c r="G516" i="1" s="1"/>
  <c r="G517" i="1" s="1"/>
  <c r="G518" i="1" s="1"/>
  <c r="G519" i="1" s="1"/>
  <c r="D514" i="1"/>
  <c r="F514" i="1" s="1"/>
  <c r="D512" i="1"/>
  <c r="F512" i="1" s="1"/>
  <c r="D511" i="1"/>
  <c r="F511" i="1" s="1"/>
  <c r="D509" i="1"/>
  <c r="F509" i="1" s="1"/>
  <c r="A509" i="1"/>
  <c r="A510" i="1" s="1"/>
  <c r="G508" i="1"/>
  <c r="G509" i="1" s="1"/>
  <c r="G510" i="1" s="1"/>
  <c r="G511" i="1" s="1"/>
  <c r="G512" i="1" s="1"/>
  <c r="D508" i="1"/>
  <c r="F508" i="1" s="1"/>
  <c r="D506" i="1"/>
  <c r="F506" i="1" s="1"/>
  <c r="F505" i="1"/>
  <c r="D504" i="1"/>
  <c r="F504" i="1" s="1"/>
  <c r="A504" i="1"/>
  <c r="A505" i="1" s="1"/>
  <c r="G503" i="1"/>
  <c r="G504" i="1" s="1"/>
  <c r="G505" i="1" s="1"/>
  <c r="G506" i="1" s="1"/>
  <c r="D503" i="1"/>
  <c r="F503" i="1" s="1"/>
  <c r="D498" i="1"/>
  <c r="D491" i="1"/>
  <c r="D484" i="1"/>
  <c r="D477" i="1"/>
  <c r="D470" i="1"/>
  <c r="D494" i="1"/>
  <c r="D493" i="1"/>
  <c r="D487" i="1"/>
  <c r="D486" i="1"/>
  <c r="D480" i="1"/>
  <c r="D479" i="1"/>
  <c r="D473" i="1"/>
  <c r="D472" i="1"/>
  <c r="D466" i="1"/>
  <c r="D465" i="1"/>
  <c r="D463" i="1"/>
  <c r="D462" i="1"/>
  <c r="J463" i="1"/>
  <c r="H111" i="1"/>
  <c r="H97" i="1"/>
  <c r="C169" i="1" l="1"/>
  <c r="E169" i="1"/>
  <c r="G171" i="1"/>
  <c r="C171" i="1"/>
  <c r="E171" i="1"/>
  <c r="F547" i="1"/>
  <c r="C170" i="1"/>
  <c r="E170" i="1"/>
  <c r="J125" i="1"/>
  <c r="I124" i="1" s="1"/>
  <c r="C126" i="1" s="1"/>
  <c r="F548" i="1"/>
  <c r="J115" i="1"/>
  <c r="C114" i="1" s="1"/>
  <c r="D114" i="1" s="1"/>
  <c r="D123" i="1"/>
  <c r="D119" i="1"/>
  <c r="D115" i="1"/>
  <c r="J110" i="1"/>
  <c r="J112" i="1" s="1"/>
  <c r="J114" i="1"/>
  <c r="D122" i="1"/>
  <c r="D118" i="1"/>
  <c r="E114" i="1"/>
  <c r="D121" i="1"/>
  <c r="D117" i="1"/>
  <c r="D120" i="1"/>
  <c r="D116" i="1"/>
  <c r="J113" i="1"/>
  <c r="J116" i="1"/>
  <c r="J117" i="1" s="1"/>
  <c r="J122" i="1" s="1"/>
  <c r="J123" i="1" s="1"/>
  <c r="D101" i="1"/>
  <c r="D108" i="1"/>
  <c r="D104" i="1"/>
  <c r="E100" i="1"/>
  <c r="D107" i="1"/>
  <c r="D103" i="1"/>
  <c r="J102" i="1"/>
  <c r="J103" i="1" s="1"/>
  <c r="J108" i="1" s="1"/>
  <c r="J109" i="1" s="1"/>
  <c r="J96" i="1"/>
  <c r="J98" i="1" s="1"/>
  <c r="D106" i="1"/>
  <c r="D102" i="1"/>
  <c r="J99" i="1"/>
  <c r="J101" i="1"/>
  <c r="C100" i="1" s="1"/>
  <c r="D100" i="1" s="1"/>
  <c r="D109" i="1"/>
  <c r="D105" i="1"/>
  <c r="J100" i="1"/>
  <c r="F498" i="1"/>
  <c r="A497" i="1"/>
  <c r="F494" i="1"/>
  <c r="A494" i="1"/>
  <c r="A495" i="1" s="1"/>
  <c r="G493" i="1"/>
  <c r="G494" i="1" s="1"/>
  <c r="G495" i="1" s="1"/>
  <c r="G496" i="1" s="1"/>
  <c r="G497" i="1" s="1"/>
  <c r="G498" i="1" s="1"/>
  <c r="F493" i="1"/>
  <c r="F491" i="1"/>
  <c r="A490" i="1"/>
  <c r="F487" i="1"/>
  <c r="A487" i="1"/>
  <c r="A488" i="1" s="1"/>
  <c r="G486" i="1"/>
  <c r="G487" i="1" s="1"/>
  <c r="G488" i="1" s="1"/>
  <c r="G489" i="1" s="1"/>
  <c r="G490" i="1" s="1"/>
  <c r="G491" i="1" s="1"/>
  <c r="F486" i="1"/>
  <c r="F484" i="1"/>
  <c r="A483" i="1"/>
  <c r="F480" i="1"/>
  <c r="A480" i="1"/>
  <c r="A481" i="1" s="1"/>
  <c r="G479" i="1"/>
  <c r="G480" i="1" s="1"/>
  <c r="G481" i="1" s="1"/>
  <c r="G482" i="1" s="1"/>
  <c r="G483" i="1" s="1"/>
  <c r="G484" i="1" s="1"/>
  <c r="F479" i="1"/>
  <c r="A469" i="1"/>
  <c r="F470" i="1"/>
  <c r="J470" i="1"/>
  <c r="F463" i="1"/>
  <c r="A463" i="1"/>
  <c r="J462" i="1"/>
  <c r="G462" i="1"/>
  <c r="G463" i="1" s="1"/>
  <c r="F462" i="1"/>
  <c r="J277" i="1"/>
  <c r="F477" i="1"/>
  <c r="A476" i="1"/>
  <c r="F473" i="1"/>
  <c r="A473" i="1"/>
  <c r="A474" i="1" s="1"/>
  <c r="G472" i="1"/>
  <c r="G473" i="1" s="1"/>
  <c r="G474" i="1" s="1"/>
  <c r="G475" i="1" s="1"/>
  <c r="G476" i="1" s="1"/>
  <c r="G477" i="1" s="1"/>
  <c r="F472" i="1"/>
  <c r="F466" i="1"/>
  <c r="A466" i="1"/>
  <c r="A467" i="1" s="1"/>
  <c r="G465" i="1"/>
  <c r="G466" i="1" s="1"/>
  <c r="G467" i="1" s="1"/>
  <c r="G468" i="1" s="1"/>
  <c r="G469" i="1" s="1"/>
  <c r="F465" i="1"/>
  <c r="D427" i="1"/>
  <c r="F427" i="1" s="1"/>
  <c r="D426" i="1"/>
  <c r="F426" i="1" s="1"/>
  <c r="D425" i="1"/>
  <c r="F425" i="1" s="1"/>
  <c r="D424" i="1"/>
  <c r="F424" i="1" s="1"/>
  <c r="D423" i="1"/>
  <c r="F423" i="1" s="1"/>
  <c r="G422" i="1"/>
  <c r="G423" i="1" s="1"/>
  <c r="G424" i="1" s="1"/>
  <c r="G425" i="1" s="1"/>
  <c r="G426" i="1" s="1"/>
  <c r="G427" i="1" s="1"/>
  <c r="D422" i="1"/>
  <c r="F422" i="1" s="1"/>
  <c r="D420" i="1"/>
  <c r="F420" i="1" s="1"/>
  <c r="D419" i="1"/>
  <c r="F419" i="1" s="1"/>
  <c r="D418" i="1"/>
  <c r="F418" i="1" s="1"/>
  <c r="D417" i="1"/>
  <c r="F417" i="1" s="1"/>
  <c r="D416" i="1"/>
  <c r="F416" i="1" s="1"/>
  <c r="G415" i="1"/>
  <c r="G416" i="1" s="1"/>
  <c r="G417" i="1" s="1"/>
  <c r="G418" i="1" s="1"/>
  <c r="G419" i="1" s="1"/>
  <c r="G420" i="1" s="1"/>
  <c r="D415" i="1"/>
  <c r="F415" i="1" s="1"/>
  <c r="G169" i="1" l="1"/>
  <c r="G170" i="1"/>
  <c r="I111" i="1"/>
  <c r="I112" i="1" s="1"/>
  <c r="G114" i="1"/>
  <c r="J111" i="1"/>
  <c r="I97" i="1"/>
  <c r="I98" i="1" s="1"/>
  <c r="G100" i="1"/>
  <c r="J97" i="1"/>
  <c r="G470" i="1"/>
  <c r="J344" i="1"/>
  <c r="D334" i="1"/>
  <c r="F334" i="1" s="1"/>
  <c r="D333" i="1"/>
  <c r="F333" i="1" s="1"/>
  <c r="D332" i="1"/>
  <c r="F332" i="1" s="1"/>
  <c r="D331" i="1"/>
  <c r="F331" i="1" s="1"/>
  <c r="D330" i="1"/>
  <c r="F330" i="1" s="1"/>
  <c r="G329" i="1"/>
  <c r="G330" i="1" s="1"/>
  <c r="G331" i="1" s="1"/>
  <c r="G332" i="1" s="1"/>
  <c r="G333" i="1" s="1"/>
  <c r="G334" i="1" s="1"/>
  <c r="D329" i="1"/>
  <c r="F329" i="1" s="1"/>
  <c r="D327" i="1"/>
  <c r="F327" i="1" s="1"/>
  <c r="D326" i="1"/>
  <c r="F326" i="1" s="1"/>
  <c r="D325" i="1"/>
  <c r="F325" i="1" s="1"/>
  <c r="D324" i="1"/>
  <c r="F324" i="1" s="1"/>
  <c r="D323" i="1"/>
  <c r="F323" i="1" s="1"/>
  <c r="G322" i="1"/>
  <c r="G323" i="1" s="1"/>
  <c r="G324" i="1" s="1"/>
  <c r="G325" i="1" s="1"/>
  <c r="G326" i="1" s="1"/>
  <c r="G327" i="1" s="1"/>
  <c r="D322" i="1"/>
  <c r="F322" i="1" s="1"/>
  <c r="J282" i="1"/>
  <c r="J285" i="1"/>
  <c r="D266" i="1"/>
  <c r="D252" i="1"/>
  <c r="D241" i="1"/>
  <c r="F241" i="1" s="1"/>
  <c r="D240" i="1"/>
  <c r="F240" i="1" s="1"/>
  <c r="D239" i="1"/>
  <c r="F239" i="1" s="1"/>
  <c r="D238" i="1"/>
  <c r="F238" i="1" s="1"/>
  <c r="D237" i="1"/>
  <c r="F237" i="1" s="1"/>
  <c r="G236" i="1"/>
  <c r="G237" i="1" s="1"/>
  <c r="G238" i="1" s="1"/>
  <c r="G239" i="1" s="1"/>
  <c r="G240" i="1" s="1"/>
  <c r="G241" i="1" s="1"/>
  <c r="D236" i="1"/>
  <c r="F236" i="1" s="1"/>
  <c r="D234" i="1"/>
  <c r="F234" i="1" s="1"/>
  <c r="D233" i="1"/>
  <c r="F233" i="1" s="1"/>
  <c r="D232" i="1"/>
  <c r="F232" i="1" s="1"/>
  <c r="D231" i="1"/>
  <c r="F231" i="1" s="1"/>
  <c r="D230" i="1"/>
  <c r="F230" i="1" s="1"/>
  <c r="G229" i="1"/>
  <c r="G230" i="1" s="1"/>
  <c r="G231" i="1" s="1"/>
  <c r="G232" i="1" s="1"/>
  <c r="G233" i="1" s="1"/>
  <c r="G234" i="1" s="1"/>
  <c r="D229" i="1"/>
  <c r="F229" i="1" s="1"/>
  <c r="L192" i="1"/>
  <c r="K192" i="1"/>
  <c r="J192" i="1"/>
  <c r="J183" i="1"/>
  <c r="K183" i="1"/>
  <c r="G52" i="1"/>
  <c r="I110" i="1" l="1"/>
  <c r="C112" i="1" s="1"/>
  <c r="I96" i="1"/>
  <c r="C98" i="1" s="1"/>
  <c r="K193" i="1"/>
  <c r="K184" i="1"/>
  <c r="J93" i="1"/>
  <c r="J92" i="1"/>
  <c r="J91" i="1"/>
  <c r="J90" i="1"/>
  <c r="I162" i="1" l="1"/>
  <c r="D447" i="1" l="1"/>
  <c r="D446" i="1"/>
  <c r="F446" i="1" s="1"/>
  <c r="D454" i="1"/>
  <c r="F454" i="1" s="1"/>
  <c r="D453" i="1"/>
  <c r="F453" i="1" s="1"/>
  <c r="D440" i="1"/>
  <c r="F440" i="1" s="1"/>
  <c r="D439" i="1"/>
  <c r="F439" i="1" s="1"/>
  <c r="D434" i="1"/>
  <c r="F434" i="1" s="1"/>
  <c r="D433" i="1"/>
  <c r="F433" i="1" s="1"/>
  <c r="D432" i="1"/>
  <c r="F432" i="1" s="1"/>
  <c r="D431" i="1"/>
  <c r="F431" i="1" s="1"/>
  <c r="D430" i="1"/>
  <c r="F430" i="1" s="1"/>
  <c r="D429" i="1"/>
  <c r="F429" i="1" s="1"/>
  <c r="D411" i="1"/>
  <c r="F411" i="1" s="1"/>
  <c r="D410" i="1"/>
  <c r="F410" i="1" s="1"/>
  <c r="D399" i="1"/>
  <c r="F399" i="1" s="1"/>
  <c r="A398" i="1"/>
  <c r="D395" i="1"/>
  <c r="F395" i="1" s="1"/>
  <c r="A395" i="1"/>
  <c r="A396" i="1" s="1"/>
  <c r="G394" i="1"/>
  <c r="G395" i="1" s="1"/>
  <c r="G396" i="1" s="1"/>
  <c r="G397" i="1" s="1"/>
  <c r="G398" i="1" s="1"/>
  <c r="G399" i="1" s="1"/>
  <c r="D394" i="1"/>
  <c r="F394" i="1" s="1"/>
  <c r="D392" i="1"/>
  <c r="F392" i="1" s="1"/>
  <c r="A391" i="1"/>
  <c r="D388" i="1"/>
  <c r="F388" i="1" s="1"/>
  <c r="A388" i="1"/>
  <c r="A389" i="1" s="1"/>
  <c r="G387" i="1"/>
  <c r="G388" i="1" s="1"/>
  <c r="G389" i="1" s="1"/>
  <c r="G390" i="1" s="1"/>
  <c r="G391" i="1" s="1"/>
  <c r="G392" i="1" s="1"/>
  <c r="D387" i="1"/>
  <c r="F387" i="1" s="1"/>
  <c r="D385" i="1"/>
  <c r="F385" i="1" s="1"/>
  <c r="A384" i="1"/>
  <c r="D381" i="1"/>
  <c r="F381" i="1" s="1"/>
  <c r="A381" i="1"/>
  <c r="A382" i="1" s="1"/>
  <c r="G380" i="1"/>
  <c r="G381" i="1" s="1"/>
  <c r="G382" i="1" s="1"/>
  <c r="G383" i="1" s="1"/>
  <c r="G384" i="1" s="1"/>
  <c r="G385" i="1" s="1"/>
  <c r="D380" i="1"/>
  <c r="F380" i="1" s="1"/>
  <c r="D456" i="1"/>
  <c r="F456" i="1" s="1"/>
  <c r="D455" i="1"/>
  <c r="F455" i="1" s="1"/>
  <c r="D452" i="1"/>
  <c r="F452" i="1" s="1"/>
  <c r="G451" i="1"/>
  <c r="G452" i="1" s="1"/>
  <c r="G453" i="1" s="1"/>
  <c r="G454" i="1" s="1"/>
  <c r="G455" i="1" s="1"/>
  <c r="G456" i="1" s="1"/>
  <c r="D451" i="1"/>
  <c r="F451" i="1" s="1"/>
  <c r="D449" i="1"/>
  <c r="F449" i="1" s="1"/>
  <c r="D448" i="1"/>
  <c r="F448" i="1" s="1"/>
  <c r="F447" i="1"/>
  <c r="D445" i="1"/>
  <c r="F445" i="1" s="1"/>
  <c r="G444" i="1"/>
  <c r="G445" i="1" s="1"/>
  <c r="G446" i="1" s="1"/>
  <c r="G447" i="1" s="1"/>
  <c r="G448" i="1" s="1"/>
  <c r="G449" i="1" s="1"/>
  <c r="D442" i="1"/>
  <c r="F442" i="1" s="1"/>
  <c r="D441" i="1"/>
  <c r="F441" i="1" s="1"/>
  <c r="D438" i="1"/>
  <c r="F438" i="1" s="1"/>
  <c r="G437" i="1"/>
  <c r="G438" i="1" s="1"/>
  <c r="G439" i="1" s="1"/>
  <c r="G440" i="1" s="1"/>
  <c r="G441" i="1" s="1"/>
  <c r="G442" i="1" s="1"/>
  <c r="D437" i="1"/>
  <c r="F437" i="1" s="1"/>
  <c r="G429" i="1"/>
  <c r="G430" i="1" s="1"/>
  <c r="G431" i="1" s="1"/>
  <c r="G432" i="1" s="1"/>
  <c r="G433" i="1" s="1"/>
  <c r="G434" i="1" s="1"/>
  <c r="D413" i="1"/>
  <c r="F413" i="1" s="1"/>
  <c r="D412" i="1"/>
  <c r="F412" i="1" s="1"/>
  <c r="A411" i="1"/>
  <c r="D409" i="1"/>
  <c r="F409" i="1" s="1"/>
  <c r="A409" i="1"/>
  <c r="G408" i="1"/>
  <c r="G409" i="1" s="1"/>
  <c r="G412" i="1" s="1"/>
  <c r="G410" i="1" s="1"/>
  <c r="D408" i="1"/>
  <c r="F408" i="1" s="1"/>
  <c r="D406" i="1"/>
  <c r="F406" i="1" s="1"/>
  <c r="A406" i="1"/>
  <c r="G405" i="1"/>
  <c r="G406" i="1" s="1"/>
  <c r="D405" i="1"/>
  <c r="F405" i="1" s="1"/>
  <c r="D403" i="1"/>
  <c r="F403" i="1" s="1"/>
  <c r="A403" i="1"/>
  <c r="G402" i="1"/>
  <c r="G403" i="1" s="1"/>
  <c r="D402" i="1"/>
  <c r="F402" i="1" s="1"/>
  <c r="D378" i="1"/>
  <c r="F378" i="1" s="1"/>
  <c r="D374" i="1"/>
  <c r="F374" i="1" s="1"/>
  <c r="A374" i="1"/>
  <c r="A377" i="1" s="1"/>
  <c r="G373" i="1"/>
  <c r="G374" i="1" s="1"/>
  <c r="D373" i="1"/>
  <c r="F373" i="1" s="1"/>
  <c r="D371" i="1"/>
  <c r="F371" i="1" s="1"/>
  <c r="A371" i="1"/>
  <c r="G370" i="1"/>
  <c r="D370" i="1"/>
  <c r="D363" i="1"/>
  <c r="F363" i="1" s="1"/>
  <c r="D362" i="1"/>
  <c r="F362" i="1" s="1"/>
  <c r="D361" i="1"/>
  <c r="F361" i="1" s="1"/>
  <c r="D360" i="1"/>
  <c r="F360" i="1" s="1"/>
  <c r="D358" i="1"/>
  <c r="F358" i="1" s="1"/>
  <c r="D356" i="1"/>
  <c r="F356" i="1" s="1"/>
  <c r="D355" i="1"/>
  <c r="F355" i="1" s="1"/>
  <c r="D354" i="1"/>
  <c r="F354" i="1" s="1"/>
  <c r="D353" i="1"/>
  <c r="F353" i="1" s="1"/>
  <c r="D348" i="1"/>
  <c r="F348" i="1" s="1"/>
  <c r="D349" i="1"/>
  <c r="F349" i="1" s="1"/>
  <c r="D347" i="1"/>
  <c r="F347" i="1" s="1"/>
  <c r="D346" i="1"/>
  <c r="F346" i="1" s="1"/>
  <c r="D345" i="1"/>
  <c r="F345" i="1" s="1"/>
  <c r="D344" i="1"/>
  <c r="F344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D318" i="1"/>
  <c r="F318" i="1" s="1"/>
  <c r="D319" i="1"/>
  <c r="F319" i="1" s="1"/>
  <c r="D320" i="1"/>
  <c r="F320" i="1" s="1"/>
  <c r="D317" i="1"/>
  <c r="F317" i="1" s="1"/>
  <c r="D316" i="1"/>
  <c r="F316" i="1" s="1"/>
  <c r="D315" i="1"/>
  <c r="F315" i="1" s="1"/>
  <c r="D313" i="1"/>
  <c r="F313" i="1" s="1"/>
  <c r="D312" i="1"/>
  <c r="F312" i="1" s="1"/>
  <c r="D310" i="1"/>
  <c r="F310" i="1" s="1"/>
  <c r="D309" i="1"/>
  <c r="F309" i="1" s="1"/>
  <c r="D306" i="1"/>
  <c r="F306" i="1" s="1"/>
  <c r="D303" i="1"/>
  <c r="F303" i="1" s="1"/>
  <c r="D302" i="1"/>
  <c r="F302" i="1" s="1"/>
  <c r="A302" i="1"/>
  <c r="A303" i="1" s="1"/>
  <c r="A304" i="1" s="1"/>
  <c r="A305" i="1" s="1"/>
  <c r="G301" i="1"/>
  <c r="G302" i="1" s="1"/>
  <c r="G303" i="1" s="1"/>
  <c r="G304" i="1" s="1"/>
  <c r="D301" i="1"/>
  <c r="F301" i="1" s="1"/>
  <c r="I301" i="1" s="1"/>
  <c r="D299" i="1"/>
  <c r="F299" i="1" s="1"/>
  <c r="D296" i="1"/>
  <c r="F296" i="1" s="1"/>
  <c r="D295" i="1"/>
  <c r="F295" i="1" s="1"/>
  <c r="D294" i="1"/>
  <c r="F294" i="1" s="1"/>
  <c r="D288" i="1"/>
  <c r="F288" i="1" s="1"/>
  <c r="D287" i="1"/>
  <c r="F287" i="1" s="1"/>
  <c r="D289" i="1"/>
  <c r="F289" i="1" s="1"/>
  <c r="D292" i="1"/>
  <c r="F292" i="1" s="1"/>
  <c r="D285" i="1"/>
  <c r="F285" i="1" s="1"/>
  <c r="D281" i="1"/>
  <c r="F281" i="1" s="1"/>
  <c r="D280" i="1"/>
  <c r="F280" i="1" s="1"/>
  <c r="D282" i="1"/>
  <c r="F282" i="1" s="1"/>
  <c r="D278" i="1"/>
  <c r="F278" i="1" s="1"/>
  <c r="D277" i="1"/>
  <c r="D359" i="1"/>
  <c r="F359" i="1" s="1"/>
  <c r="G358" i="1"/>
  <c r="G359" i="1" s="1"/>
  <c r="G360" i="1" s="1"/>
  <c r="G361" i="1" s="1"/>
  <c r="G362" i="1" s="1"/>
  <c r="G363" i="1" s="1"/>
  <c r="D352" i="1"/>
  <c r="F352" i="1" s="1"/>
  <c r="G351" i="1"/>
  <c r="G352" i="1" s="1"/>
  <c r="G353" i="1" s="1"/>
  <c r="G354" i="1" s="1"/>
  <c r="G355" i="1" s="1"/>
  <c r="G356" i="1" s="1"/>
  <c r="G344" i="1"/>
  <c r="G345" i="1" s="1"/>
  <c r="G346" i="1" s="1"/>
  <c r="G347" i="1" s="1"/>
  <c r="G348" i="1" s="1"/>
  <c r="G349" i="1" s="1"/>
  <c r="G336" i="1"/>
  <c r="G337" i="1" s="1"/>
  <c r="G338" i="1" s="1"/>
  <c r="G339" i="1" s="1"/>
  <c r="G340" i="1" s="1"/>
  <c r="G341" i="1" s="1"/>
  <c r="A318" i="1"/>
  <c r="A316" i="1"/>
  <c r="G315" i="1"/>
  <c r="G316" i="1" s="1"/>
  <c r="G319" i="1" s="1"/>
  <c r="G317" i="1" s="1"/>
  <c r="A313" i="1"/>
  <c r="G312" i="1"/>
  <c r="G313" i="1" s="1"/>
  <c r="A310" i="1"/>
  <c r="G309" i="1"/>
  <c r="G310" i="1" s="1"/>
  <c r="A295" i="1"/>
  <c r="A296" i="1" s="1"/>
  <c r="A297" i="1" s="1"/>
  <c r="A298" i="1" s="1"/>
  <c r="G294" i="1"/>
  <c r="G295" i="1" s="1"/>
  <c r="G296" i="1" s="1"/>
  <c r="G297" i="1" s="1"/>
  <c r="A288" i="1"/>
  <c r="A289" i="1" s="1"/>
  <c r="A290" i="1" s="1"/>
  <c r="A291" i="1" s="1"/>
  <c r="G287" i="1"/>
  <c r="G288" i="1" s="1"/>
  <c r="G289" i="1" s="1"/>
  <c r="G290" i="1" s="1"/>
  <c r="A281" i="1"/>
  <c r="A282" i="1" s="1"/>
  <c r="A283" i="1" s="1"/>
  <c r="A284" i="1" s="1"/>
  <c r="G280" i="1"/>
  <c r="G281" i="1" s="1"/>
  <c r="G282" i="1" s="1"/>
  <c r="G283" i="1" s="1"/>
  <c r="A278" i="1"/>
  <c r="G277" i="1"/>
  <c r="G278" i="1" s="1"/>
  <c r="D270" i="1"/>
  <c r="F270" i="1" s="1"/>
  <c r="D269" i="1"/>
  <c r="F269" i="1" s="1"/>
  <c r="D268" i="1"/>
  <c r="F268" i="1" s="1"/>
  <c r="D267" i="1"/>
  <c r="F267" i="1" s="1"/>
  <c r="F266" i="1"/>
  <c r="G265" i="1"/>
  <c r="G266" i="1" s="1"/>
  <c r="G267" i="1" s="1"/>
  <c r="G268" i="1" s="1"/>
  <c r="G269" i="1" s="1"/>
  <c r="G270" i="1" s="1"/>
  <c r="D263" i="1"/>
  <c r="F263" i="1" s="1"/>
  <c r="D262" i="1"/>
  <c r="F262" i="1" s="1"/>
  <c r="D261" i="1"/>
  <c r="F261" i="1" s="1"/>
  <c r="D260" i="1"/>
  <c r="F260" i="1" s="1"/>
  <c r="G258" i="1"/>
  <c r="G259" i="1" s="1"/>
  <c r="G260" i="1" s="1"/>
  <c r="G261" i="1" s="1"/>
  <c r="G262" i="1" s="1"/>
  <c r="G263" i="1" s="1"/>
  <c r="D256" i="1"/>
  <c r="F256" i="1" s="1"/>
  <c r="D255" i="1"/>
  <c r="F255" i="1" s="1"/>
  <c r="D254" i="1"/>
  <c r="F254" i="1" s="1"/>
  <c r="D253" i="1"/>
  <c r="F253" i="1" s="1"/>
  <c r="F252" i="1"/>
  <c r="G251" i="1"/>
  <c r="G252" i="1" s="1"/>
  <c r="G253" i="1" s="1"/>
  <c r="G254" i="1" s="1"/>
  <c r="G255" i="1" s="1"/>
  <c r="G256" i="1" s="1"/>
  <c r="D251" i="1"/>
  <c r="F251" i="1" s="1"/>
  <c r="D248" i="1"/>
  <c r="F248" i="1" s="1"/>
  <c r="D247" i="1"/>
  <c r="D227" i="1"/>
  <c r="F227" i="1" s="1"/>
  <c r="D246" i="1"/>
  <c r="D245" i="1"/>
  <c r="D244" i="1"/>
  <c r="D243" i="1"/>
  <c r="D219" i="1"/>
  <c r="F219" i="1" s="1"/>
  <c r="D226" i="1"/>
  <c r="F226" i="1" s="1"/>
  <c r="D223" i="1"/>
  <c r="F223" i="1" s="1"/>
  <c r="A223" i="1"/>
  <c r="A225" i="1" s="1"/>
  <c r="G222" i="1"/>
  <c r="G223" i="1" s="1"/>
  <c r="G226" i="1" s="1"/>
  <c r="G224" i="1" s="1"/>
  <c r="D222" i="1"/>
  <c r="F222" i="1" s="1"/>
  <c r="D220" i="1"/>
  <c r="F220" i="1" s="1"/>
  <c r="A220" i="1"/>
  <c r="G219" i="1"/>
  <c r="G220" i="1" s="1"/>
  <c r="D217" i="1"/>
  <c r="F217" i="1" s="1"/>
  <c r="A217" i="1"/>
  <c r="G216" i="1"/>
  <c r="D216" i="1"/>
  <c r="F216" i="1" s="1"/>
  <c r="D213" i="1"/>
  <c r="F213" i="1" s="1"/>
  <c r="D210" i="1"/>
  <c r="F210" i="1" s="1"/>
  <c r="D209" i="1"/>
  <c r="F209" i="1" s="1"/>
  <c r="A209" i="1"/>
  <c r="A210" i="1" s="1"/>
  <c r="A211" i="1" s="1"/>
  <c r="A212" i="1" s="1"/>
  <c r="G208" i="1"/>
  <c r="G209" i="1" s="1"/>
  <c r="G210" i="1" s="1"/>
  <c r="G211" i="1" s="1"/>
  <c r="D208" i="1"/>
  <c r="F208" i="1" s="1"/>
  <c r="D206" i="1"/>
  <c r="F206" i="1" s="1"/>
  <c r="D203" i="1"/>
  <c r="F203" i="1" s="1"/>
  <c r="D202" i="1"/>
  <c r="F202" i="1" s="1"/>
  <c r="A202" i="1"/>
  <c r="A203" i="1" s="1"/>
  <c r="A204" i="1" s="1"/>
  <c r="A205" i="1" s="1"/>
  <c r="G201" i="1"/>
  <c r="G202" i="1" s="1"/>
  <c r="G203" i="1" s="1"/>
  <c r="G204" i="1" s="1"/>
  <c r="D201" i="1"/>
  <c r="F201" i="1" s="1"/>
  <c r="D199" i="1"/>
  <c r="F199" i="1" s="1"/>
  <c r="D196" i="1"/>
  <c r="F196" i="1" s="1"/>
  <c r="D195" i="1"/>
  <c r="F195" i="1" s="1"/>
  <c r="A195" i="1"/>
  <c r="A196" i="1" s="1"/>
  <c r="A197" i="1" s="1"/>
  <c r="A198" i="1" s="1"/>
  <c r="G194" i="1"/>
  <c r="G195" i="1" s="1"/>
  <c r="G196" i="1" s="1"/>
  <c r="G197" i="1" s="1"/>
  <c r="D194" i="1"/>
  <c r="F194" i="1" s="1"/>
  <c r="D192" i="1"/>
  <c r="D189" i="1"/>
  <c r="D188" i="1"/>
  <c r="D187" i="1"/>
  <c r="G183" i="1"/>
  <c r="D185" i="1"/>
  <c r="D184" i="1"/>
  <c r="D183" i="1"/>
  <c r="C166" i="1" l="1"/>
  <c r="E168" i="1"/>
  <c r="C168" i="1"/>
  <c r="E166" i="1"/>
  <c r="C167" i="1"/>
  <c r="E167" i="1"/>
  <c r="F277" i="1"/>
  <c r="G167" i="1" s="1"/>
  <c r="F370" i="1"/>
  <c r="G168" i="1" s="1"/>
  <c r="A375" i="1"/>
  <c r="G375" i="1"/>
  <c r="G376" i="1" s="1"/>
  <c r="G377" i="1" s="1"/>
  <c r="G378" i="1" s="1"/>
  <c r="G413" i="1"/>
  <c r="G411" i="1"/>
  <c r="G306" i="1"/>
  <c r="G305" i="1"/>
  <c r="G285" i="1"/>
  <c r="G284" i="1"/>
  <c r="G292" i="1"/>
  <c r="G291" i="1"/>
  <c r="G299" i="1"/>
  <c r="G298" i="1"/>
  <c r="G320" i="1"/>
  <c r="G318" i="1"/>
  <c r="G227" i="1"/>
  <c r="G225" i="1"/>
  <c r="G213" i="1"/>
  <c r="G212" i="1"/>
  <c r="G206" i="1"/>
  <c r="G205" i="1"/>
  <c r="G199" i="1"/>
  <c r="G198" i="1"/>
  <c r="C172" i="1" l="1"/>
  <c r="E172" i="1"/>
  <c r="C16" i="1"/>
  <c r="E31" i="1" l="1"/>
  <c r="F184" i="1" l="1"/>
  <c r="F185" i="1"/>
  <c r="F183" i="1"/>
  <c r="A184" i="1"/>
  <c r="A185" i="1" s="1"/>
  <c r="F163" i="1" l="1"/>
  <c r="B694" i="1" l="1"/>
  <c r="F247" i="1" l="1"/>
  <c r="F246" i="1"/>
  <c r="F245" i="1"/>
  <c r="F244" i="1"/>
  <c r="F243" i="1"/>
  <c r="F192" i="1"/>
  <c r="F188" i="1"/>
  <c r="F187" i="1"/>
  <c r="F189" i="1"/>
  <c r="G166" i="1" l="1"/>
  <c r="G17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718" i="1"/>
  <c r="G243" i="1"/>
  <c r="G244" i="1" s="1"/>
  <c r="G245" i="1" s="1"/>
  <c r="G246" i="1" s="1"/>
  <c r="G247" i="1" s="1"/>
  <c r="G248" i="1" s="1"/>
  <c r="G187" i="1"/>
  <c r="A188" i="1"/>
  <c r="A189" i="1" s="1"/>
  <c r="A190" i="1" s="1"/>
  <c r="J79" i="1"/>
  <c r="J78" i="1"/>
  <c r="J77" i="1"/>
  <c r="J76" i="1"/>
  <c r="D57" i="1"/>
  <c r="E28" i="1"/>
  <c r="E26" i="1"/>
  <c r="E8" i="1"/>
  <c r="E3" i="1"/>
  <c r="H69" i="1"/>
  <c r="A191" i="1" l="1"/>
  <c r="D6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l="1"/>
  <c r="D74" i="1"/>
  <c r="J70" i="1"/>
  <c r="D72" i="1"/>
  <c r="J80" i="1" l="1"/>
  <c r="J81" i="1" s="1"/>
  <c r="E72" i="1"/>
  <c r="H83" i="1"/>
  <c r="D73" i="1" l="1"/>
  <c r="I69" i="1" s="1"/>
  <c r="I70" i="1" s="1"/>
  <c r="G72" i="1"/>
  <c r="D66" i="1" s="1"/>
  <c r="J69" i="1"/>
  <c r="J88" i="1"/>
  <c r="E86" i="1" s="1"/>
  <c r="J87" i="1"/>
  <c r="C86" i="1" s="1"/>
  <c r="D86" i="1" s="1"/>
  <c r="J85" i="1"/>
  <c r="D95" i="1"/>
  <c r="D94" i="1"/>
  <c r="D93" i="1"/>
  <c r="D92" i="1"/>
  <c r="D91" i="1"/>
  <c r="D90" i="1"/>
  <c r="D89" i="1"/>
  <c r="D88" i="1"/>
  <c r="J86" i="1"/>
  <c r="J82" i="1"/>
  <c r="J84" i="1" s="1"/>
  <c r="I68" i="1" l="1"/>
  <c r="C70" i="1" s="1"/>
  <c r="D67" i="1"/>
  <c r="F67" i="1"/>
  <c r="D87" i="1"/>
  <c r="I83" i="1" s="1"/>
  <c r="G86" i="1"/>
  <c r="J89" i="1"/>
  <c r="J94" i="1" s="1"/>
  <c r="J95" i="1" s="1"/>
  <c r="J83" i="1" s="1"/>
  <c r="I84" i="1" l="1"/>
  <c r="I82" i="1" s="1"/>
  <c r="C84" i="1" s="1"/>
</calcChain>
</file>

<file path=xl/sharedStrings.xml><?xml version="1.0" encoding="utf-8"?>
<sst xmlns="http://schemas.openxmlformats.org/spreadsheetml/2006/main" count="703" uniqueCount="299">
  <si>
    <t xml:space="preserve">Valuation Report </t>
  </si>
  <si>
    <t>Date:</t>
  </si>
  <si>
    <t>CPC Name:</t>
  </si>
  <si>
    <t>Date Of Property Visit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</si>
  <si>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</si>
  <si>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</si>
  <si>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</si>
  <si>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</si>
  <si>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</si>
  <si>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</si>
  <si>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</si>
  <si>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</si>
  <si>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</si>
  <si>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</si>
  <si>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</si>
  <si>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</si>
  <si>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</si>
  <si>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</si>
  <si>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</si>
  <si>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</si>
  <si>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</si>
  <si>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</si>
  <si>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</si>
  <si>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</si>
  <si>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</si>
  <si>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</si>
  <si>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</si>
  <si>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</si>
  <si>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</si>
  <si>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</si>
  <si>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</si>
  <si>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</si>
  <si>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</si>
  <si>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</si>
  <si>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</si>
  <si>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</si>
  <si>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</si>
  <si>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</si>
  <si>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</si>
  <si>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</si>
  <si>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</si>
  <si>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</si>
  <si>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</si>
  <si>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</si>
  <si>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</si>
  <si>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</si>
  <si>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</si>
  <si>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</si>
  <si>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</si>
  <si>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</si>
  <si>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</si>
  <si>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</si>
  <si>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</si>
  <si>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</si>
  <si>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</si>
  <si>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</si>
  <si>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</si>
  <si>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</si>
  <si>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</si>
  <si>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</si>
  <si>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</si>
  <si>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</si>
  <si>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</si>
  <si>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</si>
  <si>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</si>
  <si>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</si>
  <si>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</si>
  <si>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</si>
  <si>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</si>
  <si>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</si>
  <si>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</si>
  <si>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</si>
  <si>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</si>
  <si>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</si>
  <si>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</si>
  <si>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</si>
  <si>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</si>
  <si>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</si>
  <si>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</si>
  <si>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</si>
  <si>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</si>
  <si>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</si>
  <si>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</si>
  <si>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</si>
  <si>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</si>
  <si>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</si>
  <si>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</si>
  <si>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</si>
  <si>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</si>
  <si>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</si>
  <si>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</si>
  <si>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</si>
  <si>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</si>
  <si>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</si>
  <si>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</si>
  <si>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</si>
  <si>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</si>
  <si>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</si>
  <si>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</si>
  <si>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</si>
  <si>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</si>
  <si>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</si>
  <si>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</si>
  <si>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</si>
  <si>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</si>
  <si>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</si>
  <si>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</si>
  <si>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</si>
  <si>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</si>
  <si>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</si>
  <si>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</si>
  <si>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</si>
  <si>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</si>
  <si>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</si>
  <si>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</si>
  <si>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</si>
  <si>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</si>
  <si>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</si>
  <si>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</si>
  <si>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</si>
  <si>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</si>
  <si>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</si>
  <si>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</si>
  <si>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</si>
  <si>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</si>
  <si>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</si>
  <si>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</si>
  <si>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</si>
  <si>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</si>
  <si>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</si>
  <si>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</si>
  <si>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</si>
  <si>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</si>
  <si>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</si>
  <si>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</si>
  <si>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</si>
  <si>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</si>
  <si>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</si>
  <si>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</si>
  <si>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</si>
  <si>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</si>
  <si>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</si>
  <si>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</si>
  <si>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</si>
  <si>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</si>
  <si>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</si>
  <si>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</si>
  <si>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</si>
  <si>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</si>
  <si>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</si>
  <si>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</si>
  <si>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</si>
  <si>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</si>
  <si>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</si>
  <si>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</si>
  <si>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</si>
  <si>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</si>
  <si>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</si>
  <si>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</si>
  <si>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Thane</t>
  </si>
  <si>
    <t>Name of the Project as per RERA</t>
  </si>
  <si>
    <t>Approved Plans, CC</t>
  </si>
  <si>
    <t>SRA/DDTP/0518/T/PL/AP</t>
  </si>
  <si>
    <t xml:space="preserve">Slum Rehabilitation Authority
</t>
  </si>
  <si>
    <t>SRA/DDTP/518/T/PL/AP</t>
  </si>
  <si>
    <t>19/1 to 19/13</t>
  </si>
  <si>
    <t>CTS No</t>
  </si>
  <si>
    <t>Veena Nagar</t>
  </si>
  <si>
    <t>Mulund</t>
  </si>
  <si>
    <t>Mulund West</t>
  </si>
  <si>
    <t>Mumbai</t>
  </si>
  <si>
    <t>Kurla</t>
  </si>
  <si>
    <t>4.5 KM from Mulund Railway Station</t>
  </si>
  <si>
    <t>Yogi Hills CHS</t>
  </si>
  <si>
    <t>https://goo.gl/maps/YsMTeQkcZABsC5ct6</t>
  </si>
  <si>
    <t>Agrawal Road</t>
  </si>
  <si>
    <t>Siesta at Ariisto Heaven</t>
  </si>
  <si>
    <t>Internal Road</t>
  </si>
  <si>
    <t>Open Plot</t>
  </si>
  <si>
    <t xml:space="preserve">Provide latest approved layout plan.
</t>
  </si>
  <si>
    <t xml:space="preserve">On Site, we meet Mr.Jayesh (Sale) -8147892180.
8. Provide latest approved layout plan.
</t>
  </si>
  <si>
    <t>A Wing</t>
  </si>
  <si>
    <t>Ground Floor For Parking</t>
  </si>
  <si>
    <t>1st Podium Floor For Parking</t>
  </si>
  <si>
    <t>2nd Podium Floor For Parking</t>
  </si>
  <si>
    <t>3rd Podium Floor For Parking &amp; Residential</t>
  </si>
  <si>
    <t>4th Podium Floor For Parking &amp; Residential</t>
  </si>
  <si>
    <t>Parking Area</t>
  </si>
  <si>
    <t>5th Podium Floor For Parking &amp; Residential</t>
  </si>
  <si>
    <t>6th Podium Floor For Parking &amp; Residential</t>
  </si>
  <si>
    <t>7th Podium Floor For Parking &amp; Residential</t>
  </si>
  <si>
    <t>8th Podium Floor For Parking, Residential &amp; Club House</t>
  </si>
  <si>
    <t>9th Podium Floor For Parking, Residential, Steam &amp; Sauna</t>
  </si>
  <si>
    <t>10th Floor For Residential &amp; Sauna Area</t>
  </si>
  <si>
    <t>B Wing</t>
  </si>
  <si>
    <t>10th Floor For Residential</t>
  </si>
  <si>
    <t>4BHK
 (Duplex with 15th, 22nd, 29th, 36th &amp; 43rd)</t>
  </si>
  <si>
    <t>Refuge Area</t>
  </si>
  <si>
    <t>C Wing</t>
  </si>
  <si>
    <t>Residential Area Details : Flats</t>
  </si>
  <si>
    <t>Ariisto Developers Private Limited</t>
  </si>
  <si>
    <t xml:space="preserve">Prestige Mulund Realty Private Limited </t>
  </si>
  <si>
    <t>Previous Name of builder</t>
  </si>
  <si>
    <t>Present name of builder</t>
  </si>
  <si>
    <t>By Dipika</t>
  </si>
  <si>
    <t>Name of the present builder group</t>
  </si>
  <si>
    <t>Name of the previous builder group</t>
  </si>
  <si>
    <t>Name of the present builder company</t>
  </si>
  <si>
    <t xml:space="preserve">As per RERA Site, the builder group name has changed, which we have updated above.
</t>
  </si>
  <si>
    <t xml:space="preserve">Abhishek </t>
  </si>
  <si>
    <t xml:space="preserve">Cost sheet </t>
  </si>
  <si>
    <t>13000 to 14000</t>
  </si>
  <si>
    <t>Floor Rise Rate Per Sq. Ft. From 4th Floor</t>
  </si>
  <si>
    <t>LUC Charges</t>
  </si>
  <si>
    <t>Legal Charges &amp; Society Formation Charges</t>
  </si>
  <si>
    <t xml:space="preserve"> A Wing = B + Gr + 1st to 9th P + 10th to 54th Floor</t>
  </si>
  <si>
    <t>2nd Podium Floor For Parking &amp; Area for substation</t>
  </si>
  <si>
    <t>Kitchen</t>
  </si>
  <si>
    <t>Service Area</t>
  </si>
  <si>
    <t>11th Floor</t>
  </si>
  <si>
    <t>12th Floor</t>
  </si>
  <si>
    <t>Part Refuge Area</t>
  </si>
  <si>
    <t>Basement Floor For Parking, Domesic Water Tank &amp; Rainwater Tank</t>
  </si>
  <si>
    <t>Basement Floor For Parking, Domesic Water Tank, Fire Tank, Pump Room,</t>
  </si>
  <si>
    <t>Basement Floor For Parking, FL Tank, Pump Room,</t>
  </si>
  <si>
    <t>Vitrified tiles flooring, Kitchen Platform, Decorative Entrance etc.</t>
  </si>
  <si>
    <t>Parking Area &amp; Society Office</t>
  </si>
  <si>
    <t>5th Podium Floor For Parking, Residential &amp; Society Office</t>
  </si>
  <si>
    <t>(Duplex with 14th, 21st, 28th, 35th &amp; 42nd Floor)</t>
  </si>
  <si>
    <t>Service Floor Inbetween 7th &amp; 8th Floor</t>
  </si>
  <si>
    <t>Service Floor Inbetween 27th &amp; 28th Floor</t>
  </si>
  <si>
    <t>We considered Gross carpet area = Net carpet + Deck Area + Deck Area</t>
  </si>
  <si>
    <t>Duplex with 14th, 21st, 28th, 35th &amp; 42nd Floor</t>
  </si>
  <si>
    <t>D Wing</t>
  </si>
  <si>
    <t>50th Floor (Part Refuge Area)</t>
  </si>
  <si>
    <t>15th, 22nd, 29th, 36th &amp; 43rd Floor (Part Refuge Area)</t>
  </si>
  <si>
    <t>14th, 21st, 28th, 35th &amp; 42nd Floor</t>
  </si>
  <si>
    <t>10th Floor</t>
  </si>
  <si>
    <t>Bellanza Phase 1 ­ Wing A, B, C at The Prestige City
Bellanza Phase 2 ­ Wing D, E, F at The Prestige City</t>
  </si>
  <si>
    <t>Mr.Jayesh Devadiga - 8147892180</t>
  </si>
  <si>
    <t>Phase 1 = Wing A, B &amp; C
Phase 2 = Wing D, E &amp; F</t>
  </si>
  <si>
    <t>Bellanza Phase 1 = P51800045339
Bellanza Phase 2 = P51800046488</t>
  </si>
  <si>
    <t>Basement Floor For Parking, Fire Tank, Pump Room</t>
  </si>
  <si>
    <t>E Wing</t>
  </si>
  <si>
    <t>F Wing</t>
  </si>
  <si>
    <t>Basement Floor For Parking, Domestic Tank &amp; Pump Room</t>
  </si>
  <si>
    <t>Basement Floor For Parking &amp; RW Tank</t>
  </si>
  <si>
    <t>Ground Floor For Parking &amp; Substaion</t>
  </si>
  <si>
    <t>8th &amp; 9th Floor For Amenities (Kids Play Area, Creche, Yoga, Gym &amp; Meditation Room)</t>
  </si>
  <si>
    <t>10th Floor For Service Floor</t>
  </si>
  <si>
    <t>6BHK Duplex with 12th Floor</t>
  </si>
  <si>
    <t>Duplex with 11th Floor</t>
  </si>
  <si>
    <t xml:space="preserve">14th, 21st, 28th, 35th &amp; 42nd Floor </t>
  </si>
  <si>
    <t>4BHK (Duplex with 15th, 22nd, 29th, 36th &amp; 43rd Floor)</t>
  </si>
  <si>
    <t xml:space="preserve">Duplex with 14th, 21st, 28th, 35th &amp; 42nd Floor </t>
  </si>
  <si>
    <t>2nd Podium Floor For Residential &amp; Void Lobby Area</t>
  </si>
  <si>
    <t>3rd Podium Floor For Residential &amp; Parking Area</t>
  </si>
  <si>
    <t>4th Podium Floor For Residential &amp; Parking Area</t>
  </si>
  <si>
    <t>5th Podium Floor For Residential &amp; Parking Area</t>
  </si>
  <si>
    <t>Amenity Area</t>
  </si>
  <si>
    <t>6th Podium Floor For Residential &amp; Amenity</t>
  </si>
  <si>
    <t>7th Podium Floor For Residential &amp; Amenity</t>
  </si>
  <si>
    <t>8th &amp; 9th Floor For Amenities ( Yoga, Gym, Zumba &amp; Rooms)</t>
  </si>
  <si>
    <t>8th &amp; 9th Floor For Amenities (Pantry, Cafe, Banquet Hall, Club,
Business Center, Library, Music Room &amp; Pool Area)</t>
  </si>
  <si>
    <t>C Wing = B + Gr + 1st to 9th P + 10th to 54th Floor</t>
  </si>
  <si>
    <t>A to F Wing = B + Gr + 1st to 9th P + 10th to 54th Floor</t>
  </si>
  <si>
    <t>We have updated revised approved plan &amp; CC of wing A, B &amp; C  &amp; Phase II - Wing D, E &amp; F(on 21/02/2023).</t>
  </si>
  <si>
    <t>06 Wings</t>
  </si>
  <si>
    <t>14000 to 14500</t>
  </si>
  <si>
    <t>Rushikesh</t>
  </si>
  <si>
    <t>verbal</t>
  </si>
  <si>
    <t>The Prestige City Bellanza Phase I &amp; II</t>
  </si>
  <si>
    <t>13th, 16th to 20th, 23rd to 27th, 30th to 34th, 37th to 41th, 44th to 49th &amp; 51st to 54th Floor</t>
  </si>
  <si>
    <t>3BHK</t>
  </si>
  <si>
    <t>4BHK</t>
  </si>
  <si>
    <t>3BHK (Duplex with 15th, 22nd, 29th, 36th &amp; 43rd Floor)</t>
  </si>
  <si>
    <t xml:space="preserve"> Refuge Area</t>
  </si>
  <si>
    <t>2BHK</t>
  </si>
  <si>
    <t>Thhis CC is reendorsed as per amended approved plans dated 27/02/2023.</t>
  </si>
  <si>
    <t>Service Floor In between 7th &amp; 8th Floor</t>
  </si>
  <si>
    <t>5BHK Duplex with 12th Floor</t>
  </si>
  <si>
    <t>13th, 16th to 20th, 23rd to 27th, 30th to 34th, 37th to 41st, 44th to 49th, 51st to 54th Floor</t>
  </si>
  <si>
    <t>Flats - 1636</t>
  </si>
  <si>
    <t>Wing A, B &amp; C = B + Gr + 1st to 9th P + 10th to 54th Floor
Wing D, E &amp; F = B + Gr + 1st to 9th P + 10th to 54th Floor</t>
  </si>
  <si>
    <t>We have updated Approved Floor plan of  Phase I &amp; II (on 15/06/2023).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</si>
  <si>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</si>
  <si>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</si>
  <si>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Latitude, Longitude</t>
  </si>
  <si>
    <t>19.184449,72.941003</t>
  </si>
  <si>
    <t>D Wing = B + Gr + 1st to 9th P + 10th to 54th Floor</t>
  </si>
  <si>
    <t>As per RERA - Phase 1 = 31/12/2026
                          Phase 2 = 30/06/2027</t>
  </si>
  <si>
    <t>Construction work is in process at the time of visit (Internal photographs not allowed).</t>
  </si>
  <si>
    <t>E Wing = B + Gr + 1st to 9th P + 10th to 54th Floor</t>
  </si>
  <si>
    <t>F Wing = B + Gr + 1st to 9th P + 10th to 54th Floor</t>
  </si>
  <si>
    <t>Don’t count Service slab</t>
  </si>
  <si>
    <t>Miss. Sanika : 8904939373</t>
  </si>
  <si>
    <t>B Wing = B + Gr + 1st to 9th P + 10th to 54th Floor</t>
  </si>
  <si>
    <t>Pooja Kawale</t>
  </si>
  <si>
    <t>Nainesh 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</si>
</sst>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6" fillId="2" borderId="0" xfId="1" applyFont="1" applyFill="1"/>
    <xf numFmtId="14" fontId="16" fillId="2" borderId="0" xfId="1" applyNumberFormat="1" applyFont="1" applyFill="1"/>
    <xf numFmtId="1" fontId="12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center" vertical="center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protection locked="0"/>
    </xf>
    <xf numFmtId="0" fontId="10" fillId="0" borderId="20" xfId="1" applyFont="1" applyBorder="1" applyAlignment="1" applyProtection="1">
      <protection locked="0"/>
    </xf>
    <xf numFmtId="0" fontId="10" fillId="0" borderId="8" xfId="1" applyFont="1" applyBorder="1" applyAlignment="1" applyProtection="1"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68" fontId="12" fillId="0" borderId="7" xfId="1" applyNumberFormat="1" applyFont="1" applyBorder="1" applyAlignment="1" applyProtection="1">
      <alignment horizontal="center" vertical="center" wrapText="1"/>
      <protection locked="0"/>
    </xf>
    <xf numFmtId="168" fontId="12" fillId="0" borderId="20" xfId="1" applyNumberFormat="1" applyFont="1" applyBorder="1" applyAlignment="1" applyProtection="1">
      <alignment horizontal="center" vertical="center" wrapText="1"/>
      <protection locked="0"/>
    </xf>
    <xf numFmtId="168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6" xfId="1" applyNumberFormat="1" applyFont="1" applyBorder="1" applyAlignment="1" applyProtection="1">
      <alignment horizontal="center" vertical="center" wrapText="1"/>
      <protection locked="0"/>
    </xf>
    <xf numFmtId="168" fontId="12" fillId="0" borderId="23" xfId="1" applyNumberFormat="1" applyFont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Border="1" applyAlignment="1" applyProtection="1">
      <alignment horizontal="center" vertical="center" wrapText="1"/>
      <protection locked="0"/>
    </xf>
    <xf numFmtId="168" fontId="12" fillId="0" borderId="18" xfId="1" applyNumberFormat="1" applyFont="1" applyBorder="1" applyAlignment="1" applyProtection="1">
      <alignment horizontal="center" vertical="center" wrapText="1"/>
      <protection locked="0"/>
    </xf>
    <xf numFmtId="168" fontId="12" fillId="0" borderId="31" xfId="1" applyNumberFormat="1" applyFont="1" applyBorder="1" applyAlignment="1" applyProtection="1">
      <alignment horizontal="center" vertical="center" wrapText="1"/>
      <protection locked="0"/>
    </xf>
    <xf numFmtId="168" fontId="12" fillId="0" borderId="19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1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8" fontId="12" fillId="0" borderId="24" xfId="1" applyNumberFormat="1" applyFont="1" applyBorder="1" applyAlignment="1" applyProtection="1">
      <alignment horizontal="center" vertical="center" wrapText="1"/>
      <protection locked="0"/>
    </xf>
    <xf numFmtId="168" fontId="12" fillId="0" borderId="0" xfId="1" applyNumberFormat="1" applyFont="1" applyAlignment="1" applyProtection="1">
      <alignment horizontal="center" vertical="center" wrapText="1"/>
      <protection locked="0"/>
    </xf>
    <xf numFmtId="168" fontId="12" fillId="0" borderId="25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4" xfId="0" applyFont="1" applyFill="1" applyBorder="1"/>
    <xf numFmtId="0" fontId="24" fillId="0" borderId="8" xfId="0" applyFont="1" applyBorder="1"/>
    <xf numFmtId="0" fontId="25" fillId="0" borderId="8" xfId="0" applyFont="1" applyBorder="1"/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780</xdr:row>
      <xdr:rowOff>78382</xdr:rowOff>
    </xdr:from>
    <xdr:to>
      <xdr:col>7</xdr:col>
      <xdr:colOff>476465</xdr:colOff>
      <xdr:row>798</xdr:row>
      <xdr:rowOff>77932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726" y="49684582"/>
          <a:ext cx="612478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466726</xdr:colOff>
      <xdr:row>761</xdr:row>
      <xdr:rowOff>66675</xdr:rowOff>
    </xdr:from>
    <xdr:to>
      <xdr:col>7</xdr:col>
      <xdr:colOff>476467</xdr:colOff>
      <xdr:row>779</xdr:row>
      <xdr:rowOff>66225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726" y="87753825"/>
          <a:ext cx="612479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321319</xdr:colOff>
      <xdr:row>718</xdr:row>
      <xdr:rowOff>19050</xdr:rowOff>
    </xdr:from>
    <xdr:ext cx="596574" cy="264560"/>
    <xdr:sp macro="" textlink="">
      <xdr:nvSpPr>
        <xdr:cNvPr id="25" name="TextBox 24"/>
        <xdr:cNvSpPr txBox="1"/>
      </xdr:nvSpPr>
      <xdr:spPr>
        <a:xfrm>
          <a:off x="9516119" y="1475867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A Wing</a:t>
          </a:r>
        </a:p>
      </xdr:txBody>
    </xdr:sp>
    <xdr:clientData/>
  </xdr:oneCellAnchor>
  <xdr:oneCellAnchor>
    <xdr:from>
      <xdr:col>8</xdr:col>
      <xdr:colOff>476250</xdr:colOff>
      <xdr:row>732</xdr:row>
      <xdr:rowOff>117822</xdr:rowOff>
    </xdr:from>
    <xdr:ext cx="591700" cy="264560"/>
    <xdr:sp macro="" textlink="">
      <xdr:nvSpPr>
        <xdr:cNvPr id="27" name="TextBox 26"/>
        <xdr:cNvSpPr txBox="1"/>
      </xdr:nvSpPr>
      <xdr:spPr>
        <a:xfrm>
          <a:off x="7321550" y="150428672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 Wing</a:t>
          </a:r>
        </a:p>
      </xdr:txBody>
    </xdr:sp>
    <xdr:clientData/>
  </xdr:oneCellAnchor>
  <xdr:oneCellAnchor>
    <xdr:from>
      <xdr:col>9</xdr:col>
      <xdr:colOff>734069</xdr:colOff>
      <xdr:row>732</xdr:row>
      <xdr:rowOff>187672</xdr:rowOff>
    </xdr:from>
    <xdr:ext cx="591700" cy="264560"/>
    <xdr:sp macro="" textlink="">
      <xdr:nvSpPr>
        <xdr:cNvPr id="28" name="TextBox 27"/>
        <xdr:cNvSpPr txBox="1"/>
      </xdr:nvSpPr>
      <xdr:spPr>
        <a:xfrm>
          <a:off x="9128769" y="150498522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C Wing</a:t>
          </a:r>
        </a:p>
      </xdr:txBody>
    </xdr:sp>
    <xdr:clientData/>
  </xdr:oneCellAnchor>
  <xdr:oneCellAnchor>
    <xdr:from>
      <xdr:col>14</xdr:col>
      <xdr:colOff>134638</xdr:colOff>
      <xdr:row>732</xdr:row>
      <xdr:rowOff>162272</xdr:rowOff>
    </xdr:from>
    <xdr:ext cx="591700" cy="264560"/>
    <xdr:sp macro="" textlink="">
      <xdr:nvSpPr>
        <xdr:cNvPr id="29" name="TextBox 28"/>
        <xdr:cNvSpPr txBox="1"/>
      </xdr:nvSpPr>
      <xdr:spPr>
        <a:xfrm>
          <a:off x="12555238" y="150473122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E Wing</a:t>
          </a:r>
        </a:p>
      </xdr:txBody>
    </xdr:sp>
    <xdr:clientData/>
  </xdr:oneCellAnchor>
  <xdr:oneCellAnchor>
    <xdr:from>
      <xdr:col>8</xdr:col>
      <xdr:colOff>431800</xdr:colOff>
      <xdr:row>746</xdr:row>
      <xdr:rowOff>191194</xdr:rowOff>
    </xdr:from>
    <xdr:ext cx="591700" cy="264560"/>
    <xdr:sp macro="" textlink="">
      <xdr:nvSpPr>
        <xdr:cNvPr id="30" name="TextBox 29"/>
        <xdr:cNvSpPr txBox="1"/>
      </xdr:nvSpPr>
      <xdr:spPr>
        <a:xfrm>
          <a:off x="7277100" y="153257944"/>
          <a:ext cx="591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F Wing</a:t>
          </a:r>
        </a:p>
      </xdr:txBody>
    </xdr:sp>
    <xdr:clientData/>
  </xdr:oneCellAnchor>
  <xdr:twoCellAnchor>
    <xdr:from>
      <xdr:col>8</xdr:col>
      <xdr:colOff>730250</xdr:colOff>
      <xdr:row>718</xdr:row>
      <xdr:rowOff>3175</xdr:rowOff>
    </xdr:from>
    <xdr:to>
      <xdr:col>16</xdr:col>
      <xdr:colOff>298326</xdr:colOff>
      <xdr:row>757</xdr:row>
      <xdr:rowOff>93711</xdr:rowOff>
    </xdr:to>
    <xdr:grpSp>
      <xdr:nvGrpSpPr>
        <xdr:cNvPr id="4" name="Group 3"/>
        <xdr:cNvGrpSpPr/>
      </xdr:nvGrpSpPr>
      <xdr:grpSpPr>
        <a:xfrm>
          <a:off x="7575550" y="151190325"/>
          <a:ext cx="6648326" cy="7754986"/>
          <a:chOff x="120650" y="147618450"/>
          <a:chExt cx="6610226" cy="7754986"/>
        </a:xfrm>
      </xdr:grpSpPr>
      <xdr:pic>
        <xdr:nvPicPr>
          <xdr:cNvPr id="23" name="Picture 22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87853" y="153357436"/>
            <a:ext cx="1607964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0650" y="147656550"/>
            <a:ext cx="217589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3152" y="1476565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55984" y="1476565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0477" y="153357436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0200" y="153357436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55984" y="15050699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754" y="153357436"/>
            <a:ext cx="151621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73152" y="15050699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150506993"/>
            <a:ext cx="217589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0" name="TextBox 39"/>
          <xdr:cNvSpPr txBox="1"/>
        </xdr:nvSpPr>
        <xdr:spPr>
          <a:xfrm>
            <a:off x="501650" y="1479423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3681534" y="1477518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42" name="TextBox 41"/>
          <xdr:cNvSpPr txBox="1"/>
        </xdr:nvSpPr>
        <xdr:spPr>
          <a:xfrm>
            <a:off x="2703634" y="147986750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 Wing</a:t>
            </a: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5847902" y="147618450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 Wing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4781102" y="14776450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C Wing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317500" y="151091193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D Wing</a:t>
            </a:r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3738684" y="150678443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E Wing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5524052" y="150468893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F Wing</a:t>
            </a:r>
          </a:p>
        </xdr:txBody>
      </xdr:sp>
    </xdr:grpSp>
    <xdr:clientData/>
  </xdr:twoCellAnchor>
  <xdr:twoCellAnchor>
    <xdr:from>
      <xdr:col>0</xdr:col>
      <xdr:colOff>158750</xdr:colOff>
      <xdr:row>718</xdr:row>
      <xdr:rowOff>82550</xdr:rowOff>
    </xdr:from>
    <xdr:to>
      <xdr:col>7</xdr:col>
      <xdr:colOff>644249</xdr:colOff>
      <xdr:row>758</xdr:row>
      <xdr:rowOff>109818</xdr:rowOff>
    </xdr:to>
    <xdr:grpSp>
      <xdr:nvGrpSpPr>
        <xdr:cNvPr id="7" name="Group 6"/>
        <xdr:cNvGrpSpPr/>
      </xdr:nvGrpSpPr>
      <xdr:grpSpPr>
        <a:xfrm>
          <a:off x="158750" y="151269700"/>
          <a:ext cx="6460849" cy="7888568"/>
          <a:chOff x="158750" y="151269700"/>
          <a:chExt cx="6460849" cy="7888568"/>
        </a:xfrm>
      </xdr:grpSpPr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4137" y="15699826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151269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0312" y="151269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875" y="1512697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15413398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0312" y="15413398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875" y="15413398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7423" y="15699826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5780" y="15699826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sMTeQkcZABsC5ct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761"/>
  <sheetViews>
    <sheetView tabSelected="1" showWhiteSpace="0" view="pageBreakPreview" zoomScaleNormal="100" zoomScaleSheetLayoutView="100" workbookViewId="0">
      <selection activeCell="E10" sqref="E10:H10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22.1796875" style="21" customWidth="1"/>
    <col min="10" max="10" width="11.453125" style="21" customWidth="1"/>
    <col min="11" max="11" width="10.54296875" style="21" bestFit="1" customWidth="1"/>
    <col min="12" max="12" width="11.26953125" style="21" bestFit="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13" ht="46.5" customHeight="1" x14ac:dyDescent="0.35">
      <c r="A1" s="190" t="s">
        <v>285</v>
      </c>
      <c r="B1" s="190"/>
      <c r="C1" s="190"/>
      <c r="D1" s="190"/>
      <c r="E1" s="190"/>
      <c r="F1" s="190"/>
      <c r="G1" s="190"/>
      <c r="H1" s="190"/>
    </row>
    <row r="2" spans="1:13" ht="16.5" customHeight="1" x14ac:dyDescent="0.35">
      <c r="A2" s="174" t="s">
        <v>0</v>
      </c>
      <c r="B2" s="174"/>
      <c r="C2" s="174"/>
      <c r="D2" s="174"/>
      <c r="E2" s="174"/>
      <c r="F2" s="174"/>
      <c r="G2" s="174"/>
      <c r="H2" s="174"/>
    </row>
    <row r="3" spans="1:13" x14ac:dyDescent="0.35">
      <c r="A3" s="188" t="s">
        <v>1</v>
      </c>
      <c r="B3" s="188"/>
      <c r="C3" s="188"/>
      <c r="D3" s="188"/>
      <c r="E3" s="188" t="str">
        <f ca="1">TEXT(TODAY(),"DD/MM/YYYY")</f>
        <v>20/08/2025</v>
      </c>
      <c r="F3" s="188"/>
      <c r="G3" s="188"/>
      <c r="H3" s="188"/>
    </row>
    <row r="4" spans="1:13" ht="15" customHeight="1" x14ac:dyDescent="0.35">
      <c r="A4" s="188" t="s">
        <v>2</v>
      </c>
      <c r="B4" s="188"/>
      <c r="C4" s="188"/>
      <c r="D4" s="188"/>
      <c r="E4" s="188" t="s">
        <v>159</v>
      </c>
      <c r="F4" s="188"/>
      <c r="G4" s="188"/>
      <c r="H4" s="188"/>
    </row>
    <row r="5" spans="1:13" x14ac:dyDescent="0.35">
      <c r="A5" s="188" t="s">
        <v>3</v>
      </c>
      <c r="B5" s="188"/>
      <c r="C5" s="188"/>
      <c r="D5" s="188"/>
      <c r="E5" s="189">
        <v>45880</v>
      </c>
      <c r="F5" s="188"/>
      <c r="G5" s="188"/>
      <c r="H5" s="188"/>
    </row>
    <row r="6" spans="1:13" ht="16.5" customHeight="1" x14ac:dyDescent="0.35">
      <c r="A6" s="188" t="s">
        <v>206</v>
      </c>
      <c r="B6" s="188"/>
      <c r="C6" s="188"/>
      <c r="D6" s="188"/>
      <c r="E6" s="188" t="s">
        <v>200</v>
      </c>
      <c r="F6" s="188"/>
      <c r="G6" s="188"/>
      <c r="H6" s="188"/>
    </row>
    <row r="7" spans="1:13" ht="16.5" customHeight="1" x14ac:dyDescent="0.35">
      <c r="A7" s="188" t="s">
        <v>205</v>
      </c>
      <c r="B7" s="188"/>
      <c r="C7" s="188"/>
      <c r="D7" s="188"/>
      <c r="E7" s="188" t="s">
        <v>201</v>
      </c>
      <c r="F7" s="188"/>
      <c r="G7" s="188"/>
      <c r="H7" s="188"/>
      <c r="I7" s="58" t="s">
        <v>202</v>
      </c>
      <c r="J7" s="21" t="s">
        <v>200</v>
      </c>
      <c r="M7" s="21" t="s">
        <v>204</v>
      </c>
    </row>
    <row r="8" spans="1:13" ht="15" customHeight="1" x14ac:dyDescent="0.35">
      <c r="A8" s="188" t="s">
        <v>207</v>
      </c>
      <c r="B8" s="188"/>
      <c r="C8" s="188"/>
      <c r="D8" s="188"/>
      <c r="E8" s="188" t="str">
        <f>E7</f>
        <v xml:space="preserve">Prestige Mulund Realty Private Limited </v>
      </c>
      <c r="F8" s="188"/>
      <c r="G8" s="188"/>
      <c r="H8" s="188"/>
      <c r="I8" s="58" t="s">
        <v>203</v>
      </c>
      <c r="J8" s="21" t="s">
        <v>201</v>
      </c>
    </row>
    <row r="9" spans="1:13" x14ac:dyDescent="0.35">
      <c r="A9" s="188" t="s">
        <v>4</v>
      </c>
      <c r="B9" s="188"/>
      <c r="C9" s="188"/>
      <c r="D9" s="188"/>
      <c r="E9" s="82" t="s">
        <v>271</v>
      </c>
      <c r="F9" s="188"/>
      <c r="G9" s="188"/>
      <c r="H9" s="188"/>
    </row>
    <row r="10" spans="1:13" ht="33" customHeight="1" x14ac:dyDescent="0.35">
      <c r="A10" s="188" t="s">
        <v>160</v>
      </c>
      <c r="B10" s="188"/>
      <c r="C10" s="188"/>
      <c r="D10" s="188"/>
      <c r="E10" s="157" t="s">
        <v>238</v>
      </c>
      <c r="F10" s="188"/>
      <c r="G10" s="188"/>
      <c r="H10" s="188"/>
    </row>
    <row r="11" spans="1:13" x14ac:dyDescent="0.35">
      <c r="A11" s="188" t="s">
        <v>117</v>
      </c>
      <c r="B11" s="188"/>
      <c r="C11" s="188"/>
      <c r="D11" s="188"/>
      <c r="E11" s="188" t="s">
        <v>239</v>
      </c>
      <c r="F11" s="188"/>
      <c r="G11" s="188"/>
      <c r="H11" s="188"/>
    </row>
    <row r="12" spans="1:13" x14ac:dyDescent="0.35">
      <c r="A12" s="188" t="s">
        <v>286</v>
      </c>
      <c r="B12" s="188"/>
      <c r="C12" s="188"/>
      <c r="D12" s="188"/>
      <c r="E12" s="188" t="s">
        <v>295</v>
      </c>
      <c r="F12" s="188"/>
      <c r="G12" s="188"/>
      <c r="H12" s="188"/>
    </row>
    <row r="13" spans="1:13" ht="33.75" customHeight="1" x14ac:dyDescent="0.35">
      <c r="A13" s="188" t="s">
        <v>5</v>
      </c>
      <c r="B13" s="188"/>
      <c r="C13" s="188"/>
      <c r="D13" s="188"/>
      <c r="E13" s="157" t="s">
        <v>240</v>
      </c>
      <c r="F13" s="188"/>
      <c r="G13" s="188"/>
      <c r="H13" s="188"/>
    </row>
    <row r="14" spans="1:13" x14ac:dyDescent="0.35">
      <c r="A14" s="129" t="s">
        <v>6</v>
      </c>
      <c r="B14" s="129"/>
      <c r="C14" s="129"/>
      <c r="D14" s="129"/>
      <c r="E14" s="157" t="s">
        <v>161</v>
      </c>
      <c r="F14" s="157"/>
      <c r="G14" s="157"/>
      <c r="H14" s="157"/>
    </row>
    <row r="15" spans="1:13" ht="31.5" customHeight="1" x14ac:dyDescent="0.35">
      <c r="A15" s="129" t="s">
        <v>7</v>
      </c>
      <c r="B15" s="129"/>
      <c r="C15" s="129"/>
      <c r="D15" s="129"/>
      <c r="E15" s="157" t="s">
        <v>241</v>
      </c>
      <c r="F15" s="188"/>
      <c r="G15" s="188"/>
      <c r="H15" s="188"/>
    </row>
    <row r="16" spans="1:13" ht="34.5" customHeight="1" x14ac:dyDescent="0.35">
      <c r="A16" s="156" t="s">
        <v>8</v>
      </c>
      <c r="B16" s="156"/>
      <c r="C16" s="156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The Prestige City Bellanza Phase I &amp; II, CTS No.19/1 to 19/13, near Yogi Hills CHS, Agrawal Road, Veena Nagar, Mulund, Mulund West, Kurla, Mumbai - 400080.</v>
      </c>
      <c r="D16" s="156"/>
      <c r="E16" s="156"/>
      <c r="F16" s="156"/>
      <c r="G16" s="156"/>
      <c r="H16" s="156"/>
    </row>
    <row r="17" spans="1:8" x14ac:dyDescent="0.35">
      <c r="A17" s="157" t="s">
        <v>166</v>
      </c>
      <c r="B17" s="157"/>
      <c r="C17" s="157" t="s">
        <v>165</v>
      </c>
      <c r="D17" s="157"/>
      <c r="E17" s="157"/>
      <c r="F17" s="157"/>
      <c r="G17" s="157"/>
      <c r="H17" s="157"/>
    </row>
    <row r="18" spans="1:8" ht="15.75" customHeight="1" x14ac:dyDescent="0.35">
      <c r="A18" s="227" t="s">
        <v>156</v>
      </c>
      <c r="B18" s="228"/>
      <c r="C18" s="227" t="s">
        <v>167</v>
      </c>
      <c r="D18" s="229"/>
      <c r="E18" s="229"/>
      <c r="F18" s="229"/>
      <c r="G18" s="229"/>
      <c r="H18" s="228"/>
    </row>
    <row r="19" spans="1:8" ht="15.75" customHeight="1" x14ac:dyDescent="0.35">
      <c r="A19" s="156" t="s">
        <v>9</v>
      </c>
      <c r="B19" s="156"/>
      <c r="C19" s="188" t="s">
        <v>175</v>
      </c>
      <c r="D19" s="188"/>
      <c r="E19" s="156" t="s">
        <v>157</v>
      </c>
      <c r="F19" s="156"/>
      <c r="G19" s="157" t="s">
        <v>168</v>
      </c>
      <c r="H19" s="157"/>
    </row>
    <row r="20" spans="1:8" x14ac:dyDescent="0.35">
      <c r="A20" s="129" t="s">
        <v>11</v>
      </c>
      <c r="B20" s="129"/>
      <c r="C20" s="157" t="s">
        <v>169</v>
      </c>
      <c r="D20" s="157"/>
      <c r="E20" s="156" t="s">
        <v>10</v>
      </c>
      <c r="F20" s="156"/>
      <c r="G20" s="191" t="s">
        <v>170</v>
      </c>
      <c r="H20" s="191"/>
    </row>
    <row r="21" spans="1:8" x14ac:dyDescent="0.35">
      <c r="A21" s="129" t="s">
        <v>71</v>
      </c>
      <c r="B21" s="129"/>
      <c r="C21" s="157" t="s">
        <v>171</v>
      </c>
      <c r="D21" s="157"/>
      <c r="E21" s="156" t="s">
        <v>12</v>
      </c>
      <c r="F21" s="156"/>
      <c r="G21" s="157">
        <v>400080</v>
      </c>
      <c r="H21" s="157"/>
    </row>
    <row r="22" spans="1:8" ht="32.25" customHeight="1" x14ac:dyDescent="0.35">
      <c r="A22" s="129" t="s">
        <v>118</v>
      </c>
      <c r="B22" s="129"/>
      <c r="C22" s="157" t="s">
        <v>173</v>
      </c>
      <c r="D22" s="157"/>
      <c r="E22" s="156" t="s">
        <v>13</v>
      </c>
      <c r="F22" s="156"/>
      <c r="G22" s="157" t="s">
        <v>172</v>
      </c>
      <c r="H22" s="157"/>
    </row>
    <row r="23" spans="1:8" ht="15" customHeight="1" x14ac:dyDescent="0.35">
      <c r="A23" s="156" t="s">
        <v>73</v>
      </c>
      <c r="B23" s="156"/>
      <c r="C23" s="156"/>
      <c r="D23" s="156"/>
      <c r="E23" s="188" t="s">
        <v>14</v>
      </c>
      <c r="F23" s="188"/>
      <c r="G23" s="188"/>
      <c r="H23" s="188"/>
    </row>
    <row r="24" spans="1:8" ht="18.75" customHeight="1" x14ac:dyDescent="0.35">
      <c r="A24" s="156"/>
      <c r="B24" s="156"/>
      <c r="C24" s="156"/>
      <c r="D24" s="156"/>
      <c r="E24" s="188"/>
      <c r="F24" s="188"/>
      <c r="G24" s="188"/>
      <c r="H24" s="188"/>
    </row>
    <row r="25" spans="1:8" ht="15" customHeight="1" x14ac:dyDescent="0.35">
      <c r="A25" s="156" t="s">
        <v>15</v>
      </c>
      <c r="B25" s="156"/>
      <c r="C25" s="156"/>
      <c r="D25" s="156"/>
      <c r="E25" s="157" t="s">
        <v>16</v>
      </c>
      <c r="F25" s="157"/>
      <c r="G25" s="157"/>
      <c r="H25" s="157"/>
    </row>
    <row r="26" spans="1:8" ht="15" customHeight="1" x14ac:dyDescent="0.35">
      <c r="A26" s="129" t="s">
        <v>17</v>
      </c>
      <c r="B26" s="129"/>
      <c r="C26" s="129"/>
      <c r="D26" s="129"/>
      <c r="E26" s="157" t="str">
        <f>IF(AND(G20="Mumbai"),"Upper Class","Middle Class")</f>
        <v>Upper Class</v>
      </c>
      <c r="F26" s="157"/>
      <c r="G26" s="157"/>
      <c r="H26" s="157"/>
    </row>
    <row r="27" spans="1:8" x14ac:dyDescent="0.35">
      <c r="A27" s="129" t="s">
        <v>18</v>
      </c>
      <c r="B27" s="129"/>
      <c r="C27" s="129"/>
      <c r="D27" s="129"/>
      <c r="E27" s="157" t="s">
        <v>19</v>
      </c>
      <c r="F27" s="157"/>
      <c r="G27" s="157"/>
      <c r="H27" s="157"/>
    </row>
    <row r="28" spans="1:8" ht="15.75" customHeight="1" x14ac:dyDescent="0.35">
      <c r="A28" s="129" t="s">
        <v>20</v>
      </c>
      <c r="B28" s="129"/>
      <c r="C28" s="129"/>
      <c r="D28" s="129"/>
      <c r="E28" s="157" t="str">
        <f>IF(AND(G20="Mumbai"),"Developed","Developing")</f>
        <v>Developed</v>
      </c>
      <c r="F28" s="157"/>
      <c r="G28" s="157"/>
      <c r="H28" s="157"/>
    </row>
    <row r="29" spans="1:8" x14ac:dyDescent="0.35">
      <c r="A29" s="129" t="s">
        <v>21</v>
      </c>
      <c r="B29" s="129"/>
      <c r="C29" s="129"/>
      <c r="D29" s="129"/>
      <c r="E29" s="157" t="s">
        <v>22</v>
      </c>
      <c r="F29" s="157"/>
      <c r="G29" s="157"/>
      <c r="H29" s="157"/>
    </row>
    <row r="30" spans="1:8" ht="15.75" customHeight="1" x14ac:dyDescent="0.35">
      <c r="A30" s="129" t="s">
        <v>78</v>
      </c>
      <c r="B30" s="129"/>
      <c r="C30" s="129"/>
      <c r="D30" s="129"/>
      <c r="E30" s="157" t="s">
        <v>79</v>
      </c>
      <c r="F30" s="157"/>
      <c r="G30" s="157"/>
      <c r="H30" s="157"/>
    </row>
    <row r="31" spans="1:8" ht="15" customHeight="1" x14ac:dyDescent="0.35">
      <c r="A31" s="129" t="s">
        <v>31</v>
      </c>
      <c r="B31" s="129"/>
      <c r="C31" s="129"/>
      <c r="D31" s="129"/>
      <c r="E31" s="157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1" s="157"/>
      <c r="G31" s="157"/>
      <c r="H31" s="157"/>
    </row>
    <row r="32" spans="1:8" ht="15.75" customHeight="1" x14ac:dyDescent="0.35">
      <c r="A32" s="129" t="s">
        <v>90</v>
      </c>
      <c r="B32" s="129"/>
      <c r="C32" s="129"/>
      <c r="D32" s="129"/>
      <c r="E32" s="157" t="s">
        <v>32</v>
      </c>
      <c r="F32" s="157"/>
      <c r="G32" s="157"/>
      <c r="H32" s="157"/>
    </row>
    <row r="33" spans="1:8" s="22" customFormat="1" x14ac:dyDescent="0.35">
      <c r="A33" s="195" t="s">
        <v>91</v>
      </c>
      <c r="B33" s="195"/>
      <c r="C33" s="194" t="s">
        <v>27</v>
      </c>
      <c r="D33" s="194"/>
      <c r="E33" s="194"/>
      <c r="F33" s="194" t="s">
        <v>29</v>
      </c>
      <c r="G33" s="194"/>
      <c r="H33" s="194"/>
    </row>
    <row r="34" spans="1:8" s="22" customFormat="1" x14ac:dyDescent="0.35">
      <c r="A34" s="192" t="s">
        <v>23</v>
      </c>
      <c r="B34" s="192" t="s">
        <v>28</v>
      </c>
      <c r="C34" s="193" t="s">
        <v>28</v>
      </c>
      <c r="D34" s="193"/>
      <c r="E34" s="193"/>
      <c r="F34" s="193" t="s">
        <v>176</v>
      </c>
      <c r="G34" s="193"/>
      <c r="H34" s="193"/>
    </row>
    <row r="35" spans="1:8" x14ac:dyDescent="0.35">
      <c r="A35" s="192" t="s">
        <v>24</v>
      </c>
      <c r="B35" s="192" t="s">
        <v>28</v>
      </c>
      <c r="C35" s="193" t="s">
        <v>28</v>
      </c>
      <c r="D35" s="193"/>
      <c r="E35" s="193"/>
      <c r="F35" s="193" t="s">
        <v>177</v>
      </c>
      <c r="G35" s="193"/>
      <c r="H35" s="193"/>
    </row>
    <row r="36" spans="1:8" s="22" customFormat="1" x14ac:dyDescent="0.35">
      <c r="A36" s="192" t="s">
        <v>26</v>
      </c>
      <c r="B36" s="192" t="s">
        <v>28</v>
      </c>
      <c r="C36" s="193" t="s">
        <v>28</v>
      </c>
      <c r="D36" s="193"/>
      <c r="E36" s="193"/>
      <c r="F36" s="193" t="s">
        <v>178</v>
      </c>
      <c r="G36" s="193"/>
      <c r="H36" s="193"/>
    </row>
    <row r="37" spans="1:8" x14ac:dyDescent="0.35">
      <c r="A37" s="192" t="s">
        <v>25</v>
      </c>
      <c r="B37" s="192" t="s">
        <v>28</v>
      </c>
      <c r="C37" s="193" t="s">
        <v>28</v>
      </c>
      <c r="D37" s="193"/>
      <c r="E37" s="193"/>
      <c r="F37" s="193" t="s">
        <v>177</v>
      </c>
      <c r="G37" s="193"/>
      <c r="H37" s="193"/>
    </row>
    <row r="38" spans="1:8" x14ac:dyDescent="0.35">
      <c r="A38" s="129" t="s">
        <v>30</v>
      </c>
      <c r="B38" s="129"/>
      <c r="C38" s="129"/>
      <c r="D38" s="129"/>
      <c r="E38" s="129"/>
      <c r="F38" s="129"/>
      <c r="G38" s="129"/>
      <c r="H38" s="129"/>
    </row>
    <row r="39" spans="1:8" ht="15.75" customHeight="1" x14ac:dyDescent="0.35">
      <c r="A39" s="129" t="s">
        <v>287</v>
      </c>
      <c r="B39" s="129"/>
      <c r="C39" s="102" t="s">
        <v>288</v>
      </c>
      <c r="D39" s="103"/>
      <c r="E39" s="103"/>
      <c r="F39" s="103"/>
      <c r="G39" s="103"/>
      <c r="H39" s="104"/>
    </row>
    <row r="40" spans="1:8" x14ac:dyDescent="0.35">
      <c r="A40" s="129" t="s">
        <v>155</v>
      </c>
      <c r="B40" s="129"/>
      <c r="C40" s="230" t="s">
        <v>174</v>
      </c>
      <c r="D40" s="231"/>
      <c r="E40" s="231"/>
      <c r="F40" s="231"/>
      <c r="G40" s="231"/>
      <c r="H40" s="231"/>
    </row>
    <row r="41" spans="1:8" x14ac:dyDescent="0.35">
      <c r="A41" s="169" t="s">
        <v>33</v>
      </c>
      <c r="B41" s="169"/>
      <c r="C41" s="169"/>
      <c r="D41" s="169"/>
      <c r="E41" s="169"/>
      <c r="F41" s="169"/>
      <c r="G41" s="169"/>
      <c r="H41" s="169"/>
    </row>
    <row r="42" spans="1:8" x14ac:dyDescent="0.35">
      <c r="A42" s="129" t="s">
        <v>34</v>
      </c>
      <c r="B42" s="129"/>
      <c r="C42" s="129"/>
      <c r="D42" s="129"/>
      <c r="E42" s="196" t="s">
        <v>28</v>
      </c>
      <c r="F42" s="196"/>
      <c r="G42" s="196"/>
      <c r="H42" s="196"/>
    </row>
    <row r="43" spans="1:8" x14ac:dyDescent="0.35">
      <c r="A43" s="129" t="s">
        <v>35</v>
      </c>
      <c r="B43" s="129"/>
      <c r="C43" s="129"/>
      <c r="D43" s="129"/>
      <c r="E43" s="128" t="s">
        <v>28</v>
      </c>
      <c r="F43" s="128"/>
      <c r="G43" s="128"/>
      <c r="H43" s="128"/>
    </row>
    <row r="44" spans="1:8" x14ac:dyDescent="0.35">
      <c r="A44" s="129" t="s">
        <v>36</v>
      </c>
      <c r="B44" s="129"/>
      <c r="C44" s="129"/>
      <c r="D44" s="129"/>
      <c r="E44" s="128" t="s">
        <v>28</v>
      </c>
      <c r="F44" s="128"/>
      <c r="G44" s="128"/>
      <c r="H44" s="128"/>
    </row>
    <row r="45" spans="1:8" x14ac:dyDescent="0.35">
      <c r="A45" s="129" t="s">
        <v>37</v>
      </c>
      <c r="B45" s="129"/>
      <c r="C45" s="129"/>
      <c r="D45" s="129"/>
      <c r="E45" s="128" t="s">
        <v>28</v>
      </c>
      <c r="F45" s="128"/>
      <c r="G45" s="128"/>
      <c r="H45" s="128"/>
    </row>
    <row r="46" spans="1:8" x14ac:dyDescent="0.35">
      <c r="A46" s="129" t="s">
        <v>89</v>
      </c>
      <c r="B46" s="129"/>
      <c r="C46" s="129"/>
      <c r="D46" s="129"/>
      <c r="E46" s="197" t="s">
        <v>28</v>
      </c>
      <c r="F46" s="197"/>
      <c r="G46" s="197"/>
      <c r="H46" s="197"/>
    </row>
    <row r="47" spans="1:8" x14ac:dyDescent="0.35">
      <c r="A47" s="188" t="s">
        <v>38</v>
      </c>
      <c r="B47" s="188"/>
      <c r="C47" s="188"/>
      <c r="D47" s="188"/>
      <c r="E47" s="188" t="s">
        <v>267</v>
      </c>
      <c r="F47" s="188"/>
      <c r="G47" s="188"/>
      <c r="H47" s="188"/>
    </row>
    <row r="48" spans="1:8" x14ac:dyDescent="0.35">
      <c r="A48" s="169" t="s">
        <v>39</v>
      </c>
      <c r="B48" s="169"/>
      <c r="C48" s="169"/>
      <c r="D48" s="169"/>
      <c r="E48" s="169"/>
      <c r="F48" s="169"/>
      <c r="G48" s="169"/>
      <c r="H48" s="169"/>
    </row>
    <row r="49" spans="1:14" ht="33.75" customHeight="1" x14ac:dyDescent="0.35">
      <c r="A49" s="142" t="s">
        <v>147</v>
      </c>
      <c r="B49" s="143"/>
      <c r="C49" s="232" t="s">
        <v>163</v>
      </c>
      <c r="D49" s="233"/>
      <c r="E49" s="233"/>
      <c r="F49" s="233"/>
      <c r="G49" s="233"/>
      <c r="H49" s="234"/>
    </row>
    <row r="50" spans="1:14" ht="15.75" customHeight="1" x14ac:dyDescent="0.35">
      <c r="A50" s="142" t="s">
        <v>40</v>
      </c>
      <c r="B50" s="143"/>
      <c r="C50" s="142" t="s">
        <v>28</v>
      </c>
      <c r="D50" s="144"/>
      <c r="E50" s="143"/>
      <c r="F50" s="18" t="s">
        <v>41</v>
      </c>
      <c r="G50" s="145" t="s">
        <v>28</v>
      </c>
      <c r="H50" s="143"/>
    </row>
    <row r="51" spans="1:14" x14ac:dyDescent="0.35">
      <c r="A51" s="142" t="s">
        <v>42</v>
      </c>
      <c r="B51" s="143"/>
      <c r="C51" s="142" t="s">
        <v>162</v>
      </c>
      <c r="D51" s="144"/>
      <c r="E51" s="143"/>
      <c r="F51" s="18" t="s">
        <v>41</v>
      </c>
      <c r="G51" s="145">
        <v>44984</v>
      </c>
      <c r="H51" s="143"/>
    </row>
    <row r="52" spans="1:14" s="23" customFormat="1" ht="20.25" customHeight="1" x14ac:dyDescent="0.35">
      <c r="A52" s="198" t="s">
        <v>151</v>
      </c>
      <c r="B52" s="199"/>
      <c r="C52" s="142" t="s">
        <v>164</v>
      </c>
      <c r="D52" s="144"/>
      <c r="E52" s="143"/>
      <c r="F52" s="18" t="s">
        <v>41</v>
      </c>
      <c r="G52" s="145">
        <f>G51</f>
        <v>44984</v>
      </c>
      <c r="H52" s="146"/>
    </row>
    <row r="53" spans="1:14" s="23" customFormat="1" x14ac:dyDescent="0.35">
      <c r="A53" s="200"/>
      <c r="B53" s="201"/>
      <c r="C53" s="142" t="s">
        <v>278</v>
      </c>
      <c r="D53" s="144"/>
      <c r="E53" s="144"/>
      <c r="F53" s="144"/>
      <c r="G53" s="144"/>
      <c r="H53" s="143"/>
    </row>
    <row r="54" spans="1:14" x14ac:dyDescent="0.35">
      <c r="A54" s="204" t="s">
        <v>158</v>
      </c>
      <c r="B54" s="205"/>
      <c r="C54" s="208" t="s">
        <v>28</v>
      </c>
      <c r="D54" s="209"/>
      <c r="E54" s="210"/>
      <c r="F54" s="51" t="s">
        <v>41</v>
      </c>
      <c r="G54" s="202" t="s">
        <v>28</v>
      </c>
      <c r="H54" s="203"/>
    </row>
    <row r="55" spans="1:14" x14ac:dyDescent="0.35">
      <c r="A55" s="206"/>
      <c r="B55" s="207"/>
      <c r="C55" s="208" t="s">
        <v>28</v>
      </c>
      <c r="D55" s="209"/>
      <c r="E55" s="209"/>
      <c r="F55" s="209"/>
      <c r="G55" s="209"/>
      <c r="H55" s="210"/>
    </row>
    <row r="56" spans="1:14" x14ac:dyDescent="0.35">
      <c r="A56" s="155" t="s">
        <v>44</v>
      </c>
      <c r="B56" s="155"/>
      <c r="C56" s="155"/>
      <c r="D56" s="155"/>
      <c r="E56" s="155"/>
      <c r="F56" s="155"/>
      <c r="G56" s="155"/>
      <c r="H56" s="155"/>
    </row>
    <row r="57" spans="1:14" x14ac:dyDescent="0.35">
      <c r="A57" s="156" t="s">
        <v>88</v>
      </c>
      <c r="B57" s="156"/>
      <c r="C57" s="156"/>
      <c r="D57" s="129" t="str">
        <f>E46</f>
        <v>NA</v>
      </c>
      <c r="E57" s="129"/>
      <c r="F57" s="129"/>
      <c r="G57" s="129"/>
      <c r="H57" s="129"/>
    </row>
    <row r="58" spans="1:14" x14ac:dyDescent="0.35">
      <c r="A58" s="157" t="s">
        <v>45</v>
      </c>
      <c r="B58" s="188"/>
      <c r="C58" s="188"/>
      <c r="D58" s="188" t="s">
        <v>282</v>
      </c>
      <c r="E58" s="188"/>
      <c r="F58" s="188"/>
      <c r="G58" s="188"/>
      <c r="H58" s="188"/>
      <c r="I58" s="24"/>
    </row>
    <row r="59" spans="1:14" ht="35.25" customHeight="1" x14ac:dyDescent="0.35">
      <c r="A59" s="147" t="s">
        <v>46</v>
      </c>
      <c r="B59" s="148"/>
      <c r="C59" s="165"/>
      <c r="D59" s="159" t="s">
        <v>283</v>
      </c>
      <c r="E59" s="164"/>
      <c r="F59" s="164"/>
      <c r="G59" s="164"/>
      <c r="H59" s="164"/>
    </row>
    <row r="60" spans="1:14" ht="16.5" customHeight="1" x14ac:dyDescent="0.35">
      <c r="A60" s="147" t="s">
        <v>86</v>
      </c>
      <c r="B60" s="148"/>
      <c r="C60" s="148"/>
      <c r="D60" s="149" t="s">
        <v>265</v>
      </c>
      <c r="E60" s="150"/>
      <c r="F60" s="150"/>
      <c r="G60" s="150"/>
      <c r="H60" s="151"/>
    </row>
    <row r="61" spans="1:14" ht="32.25" customHeight="1" x14ac:dyDescent="0.35">
      <c r="A61" s="129" t="s">
        <v>43</v>
      </c>
      <c r="B61" s="129"/>
      <c r="C61" s="129"/>
      <c r="D61" s="156" t="s">
        <v>290</v>
      </c>
      <c r="E61" s="156"/>
      <c r="F61" s="156"/>
      <c r="G61" s="156"/>
      <c r="H61" s="156"/>
      <c r="J61" s="25"/>
      <c r="K61" s="24"/>
      <c r="N61" s="24"/>
    </row>
    <row r="62" spans="1:14" ht="15.75" customHeight="1" x14ac:dyDescent="0.35">
      <c r="A62" s="129" t="s">
        <v>84</v>
      </c>
      <c r="B62" s="129"/>
      <c r="C62" s="129"/>
      <c r="D62" s="160" t="str">
        <f>(IF(G54="NA","60 Years After Completion",IF(G54&lt;&gt;"NA",""&amp;60-ROUNDDOWN((E3-G54)/360,0)&amp;" Years"," ")))</f>
        <v>60 Years After Completion</v>
      </c>
      <c r="E62" s="160"/>
      <c r="F62" s="160"/>
      <c r="G62" s="160"/>
      <c r="H62" s="160"/>
      <c r="N62" s="24"/>
    </row>
    <row r="63" spans="1:14" ht="15.75" customHeight="1" x14ac:dyDescent="0.35">
      <c r="A63" s="129" t="s">
        <v>85</v>
      </c>
      <c r="B63" s="129"/>
      <c r="C63" s="129"/>
      <c r="D63" s="156" t="s">
        <v>22</v>
      </c>
      <c r="E63" s="156"/>
      <c r="F63" s="156"/>
      <c r="G63" s="156"/>
      <c r="H63" s="156"/>
      <c r="J63" s="26"/>
      <c r="K63" s="26"/>
    </row>
    <row r="64" spans="1:14" ht="15" customHeight="1" x14ac:dyDescent="0.35">
      <c r="A64" s="129" t="s">
        <v>72</v>
      </c>
      <c r="B64" s="129"/>
      <c r="C64" s="129"/>
      <c r="D64" s="157" t="s">
        <v>225</v>
      </c>
      <c r="E64" s="156"/>
      <c r="F64" s="156"/>
      <c r="G64" s="156"/>
      <c r="H64" s="156"/>
    </row>
    <row r="65" spans="1:14" x14ac:dyDescent="0.35">
      <c r="A65" s="156" t="s">
        <v>144</v>
      </c>
      <c r="B65" s="156"/>
      <c r="C65" s="156"/>
      <c r="D65" s="157" t="s">
        <v>28</v>
      </c>
      <c r="E65" s="157"/>
      <c r="F65" s="157"/>
      <c r="G65" s="157"/>
      <c r="H65" s="157"/>
      <c r="I65" s="27"/>
      <c r="J65" s="27"/>
      <c r="K65" s="27"/>
      <c r="L65" s="27"/>
      <c r="M65" s="27"/>
      <c r="N65" s="27"/>
    </row>
    <row r="66" spans="1:14" ht="15.75" customHeight="1" x14ac:dyDescent="0.35">
      <c r="A66" s="158" t="s">
        <v>83</v>
      </c>
      <c r="B66" s="158"/>
      <c r="C66" s="158"/>
      <c r="D66" s="159" t="str">
        <f ca="1">(IF(G72&gt;95%,"Nothing",IF(G72&gt;0%,"Cement, Aggregate, Steel, etc",IF(G72=0%,"Work not yet Started"))))</f>
        <v>Cement, Aggregate, Steel, etc</v>
      </c>
      <c r="E66" s="159"/>
      <c r="F66" s="159"/>
      <c r="G66" s="159"/>
      <c r="H66" s="159"/>
      <c r="J66" s="26"/>
    </row>
    <row r="67" spans="1:14" ht="33.75" customHeight="1" thickBot="1" x14ac:dyDescent="0.4">
      <c r="A67" s="187" t="s">
        <v>114</v>
      </c>
      <c r="B67" s="187"/>
      <c r="C67" s="187"/>
      <c r="D67" s="159" t="str">
        <f ca="1">(IF(D66="Nothing","Yes",IF(D66="Cement, Aggregate, Steel, etc","Under Construction",IF(D66="Work not yet Started","Work not yet Started"))))</f>
        <v>Under Construction</v>
      </c>
      <c r="E67" s="159"/>
      <c r="F67" s="159" t="str">
        <f ca="1">(IF(D66="Nothing","Yes",IF(D66="Cement, Aggregate, Steel, etc","Under Construction",IF(D66="Work not yet Started","Work not yet Started"))))</f>
        <v>Under Construction</v>
      </c>
      <c r="G67" s="159"/>
      <c r="H67" s="159"/>
    </row>
    <row r="68" spans="1:14" ht="15.75" customHeight="1" x14ac:dyDescent="0.35">
      <c r="A68" s="76" t="s">
        <v>136</v>
      </c>
      <c r="B68" s="77"/>
      <c r="C68" s="78" t="s">
        <v>215</v>
      </c>
      <c r="D68" s="79"/>
      <c r="E68" s="79"/>
      <c r="F68" s="79"/>
      <c r="G68" s="79"/>
      <c r="H68" s="80"/>
      <c r="I68" s="47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43.2 Floor, External Plaster upto 40.5 Floor, Flooring upto 8 Floor, Painting upto 8 Floor Completed</v>
      </c>
      <c r="J68" s="48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43.2 Floor, External Plaster upto 40.5 Floor, Flooring upto 8 Floor, Painting upto 8 Floor</v>
      </c>
    </row>
    <row r="69" spans="1:14" s="23" customFormat="1" x14ac:dyDescent="0.35">
      <c r="A69" s="16" t="s">
        <v>138</v>
      </c>
      <c r="B69" s="54">
        <v>1</v>
      </c>
      <c r="C69" s="54" t="s">
        <v>70</v>
      </c>
      <c r="D69" s="54">
        <v>1</v>
      </c>
      <c r="E69" s="54" t="s">
        <v>69</v>
      </c>
      <c r="F69" s="54">
        <v>0</v>
      </c>
      <c r="G69" s="54" t="s">
        <v>77</v>
      </c>
      <c r="H69" s="17">
        <f ca="1">--TRIM(RIGHT(SUBSTITUTE(LEFT(C68,_xlfn.AGGREGATE(16,6,FIND({0,1,2,3,4,5,6,7,8,9},C68,ROW(INDIRECT("1:"&amp;LEN(C68)))),1))," ",REPT(" ",LEN(C68))),LEN(C68)))</f>
        <v>54</v>
      </c>
      <c r="I69" s="55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56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8.5" customHeight="1" x14ac:dyDescent="0.35">
      <c r="A70" s="81" t="s">
        <v>87</v>
      </c>
      <c r="B70" s="82"/>
      <c r="C70" s="83" t="str">
        <f ca="1">(IF($C$55=C68,"All work Completed. OC Received.",I68))</f>
        <v>Excavation, Plinth, RCC Slab, Brickwork Completed, Internal Plaster upto 43.2 Floor, External Plaster upto 40.5 Floor, Flooring upto 8 Floor, Painting upto 8 Floor Completed</v>
      </c>
      <c r="D70" s="83"/>
      <c r="E70" s="83"/>
      <c r="F70" s="83"/>
      <c r="G70" s="83"/>
      <c r="H70" s="84"/>
      <c r="I70" s="49" t="str">
        <f ca="1">IF(I69&lt;&gt;""," Completed","")</f>
        <v xml:space="preserve"> Completed</v>
      </c>
      <c r="J70" s="50" t="str">
        <f ca="1">IF(J68&lt;&gt;"","Completed","")</f>
        <v>Completed</v>
      </c>
    </row>
    <row r="71" spans="1:14" ht="15.75" customHeight="1" x14ac:dyDescent="0.35">
      <c r="A71" s="85" t="s">
        <v>47</v>
      </c>
      <c r="B71" s="86"/>
      <c r="C71" s="43" t="s">
        <v>135</v>
      </c>
      <c r="D71" s="43" t="s">
        <v>80</v>
      </c>
      <c r="E71" s="86" t="s">
        <v>82</v>
      </c>
      <c r="F71" s="86"/>
      <c r="G71" s="86" t="s">
        <v>81</v>
      </c>
      <c r="H71" s="87"/>
      <c r="I71" s="14" t="s">
        <v>137</v>
      </c>
      <c r="J71" s="28">
        <f ca="1">H69*25%</f>
        <v>13.5</v>
      </c>
    </row>
    <row r="72" spans="1:14" x14ac:dyDescent="0.35">
      <c r="A72" s="85" t="s">
        <v>124</v>
      </c>
      <c r="B72" s="86"/>
      <c r="C72" s="43">
        <f ca="1">J73</f>
        <v>54</v>
      </c>
      <c r="D72" s="19">
        <f ca="1">((100/H69)*C72)/100</f>
        <v>1</v>
      </c>
      <c r="E72" s="88">
        <f ca="1">(((C73/H69*10)+(40/(D69+F69+H69)*C74)+(7.5/(H69)*C75)+(7.5/(H69)*C76)+(10/H69*C77)+(10/H69*C78)+(5/H69*C79)+(5/H69*C80)+(5/H69*C81))/100)</f>
        <v>0.73222222222222233</v>
      </c>
      <c r="F72" s="89"/>
      <c r="G72" s="88">
        <f ca="1">((((C72/H69)*20)+((C73/H69)*25)+(30/(H69+F69+D69)*C74)+(5/H69*C75)+(5/H69*C76)+(5/H69*C77)+(5/H69*C78)+(0/H69*C79)+(0/H69*C80)+(5/H69*C81))/100)</f>
        <v>0.88490740740740748</v>
      </c>
      <c r="H72" s="94"/>
      <c r="I72" s="14" t="s">
        <v>97</v>
      </c>
      <c r="J72" s="29">
        <f ca="1">H69*50%</f>
        <v>27</v>
      </c>
    </row>
    <row r="73" spans="1:14" x14ac:dyDescent="0.35">
      <c r="A73" s="85" t="s">
        <v>48</v>
      </c>
      <c r="B73" s="86"/>
      <c r="C73" s="57">
        <v>54</v>
      </c>
      <c r="D73" s="19">
        <f ca="1">((100/H69)*C73)/100</f>
        <v>1</v>
      </c>
      <c r="E73" s="90"/>
      <c r="F73" s="91"/>
      <c r="G73" s="90"/>
      <c r="H73" s="95"/>
      <c r="I73" s="14" t="s">
        <v>98</v>
      </c>
      <c r="J73" s="29">
        <f ca="1">H69</f>
        <v>54</v>
      </c>
      <c r="K73" s="21" t="s">
        <v>294</v>
      </c>
    </row>
    <row r="74" spans="1:14" ht="15.75" customHeight="1" x14ac:dyDescent="0.35">
      <c r="A74" s="85" t="s">
        <v>125</v>
      </c>
      <c r="B74" s="86"/>
      <c r="C74" s="43">
        <v>55</v>
      </c>
      <c r="D74" s="19">
        <f ca="1">((100/(D69+F69+H69))*C74)/100</f>
        <v>1</v>
      </c>
      <c r="E74" s="90"/>
      <c r="F74" s="91"/>
      <c r="G74" s="90"/>
      <c r="H74" s="95"/>
      <c r="I74" s="14" t="s">
        <v>99</v>
      </c>
      <c r="J74" s="30">
        <f ca="1">(IF(B69&gt;1,(H69/(B69+2)),H69/4))</f>
        <v>13.5</v>
      </c>
    </row>
    <row r="75" spans="1:14" ht="15.75" customHeight="1" x14ac:dyDescent="0.35">
      <c r="A75" s="85" t="s">
        <v>132</v>
      </c>
      <c r="B75" s="86" t="s">
        <v>126</v>
      </c>
      <c r="C75" s="43">
        <f>C74-D69</f>
        <v>54</v>
      </c>
      <c r="D75" s="19">
        <f ca="1">((100/H69)*C75)/100</f>
        <v>1</v>
      </c>
      <c r="E75" s="90"/>
      <c r="F75" s="91"/>
      <c r="G75" s="90"/>
      <c r="H75" s="95"/>
      <c r="I75" s="14" t="s">
        <v>100</v>
      </c>
      <c r="J75" s="30">
        <f ca="1">(IF(B69&gt;1,(H69/(B69+2)+J74),H69/4+J74))</f>
        <v>27</v>
      </c>
    </row>
    <row r="76" spans="1:14" ht="15.75" customHeight="1" x14ac:dyDescent="0.35">
      <c r="A76" s="85" t="s">
        <v>133</v>
      </c>
      <c r="B76" s="86" t="s">
        <v>126</v>
      </c>
      <c r="C76" s="57">
        <f>C75*0.8</f>
        <v>43.2</v>
      </c>
      <c r="D76" s="19">
        <f ca="1">((100/H69)*C76)/100</f>
        <v>0.8</v>
      </c>
      <c r="E76" s="90"/>
      <c r="F76" s="91"/>
      <c r="G76" s="90"/>
      <c r="H76" s="95"/>
      <c r="I76" s="14" t="s">
        <v>142</v>
      </c>
      <c r="J76" s="30">
        <f>(IF(B69&gt;1,(H69/(B69+2)+J75),0))</f>
        <v>0</v>
      </c>
    </row>
    <row r="77" spans="1:14" ht="15" customHeight="1" x14ac:dyDescent="0.35">
      <c r="A77" s="85" t="s">
        <v>131</v>
      </c>
      <c r="B77" s="86" t="s">
        <v>128</v>
      </c>
      <c r="C77" s="57">
        <f>C75*0.75</f>
        <v>40.5</v>
      </c>
      <c r="D77" s="19">
        <f ca="1">((100/(H69))*C77)/100</f>
        <v>0.75</v>
      </c>
      <c r="E77" s="90"/>
      <c r="F77" s="91"/>
      <c r="G77" s="90"/>
      <c r="H77" s="95"/>
      <c r="I77" s="14" t="s">
        <v>139</v>
      </c>
      <c r="J77" s="30">
        <f>(IF(B69&gt;2,(H69/(B69+2)+J76),0))</f>
        <v>0</v>
      </c>
    </row>
    <row r="78" spans="1:14" ht="15.75" customHeight="1" x14ac:dyDescent="0.35">
      <c r="A78" s="85" t="s">
        <v>127</v>
      </c>
      <c r="B78" s="86" t="s">
        <v>127</v>
      </c>
      <c r="C78" s="43">
        <v>8</v>
      </c>
      <c r="D78" s="19">
        <f ca="1">((100/H69)*C78)/100</f>
        <v>0.14814814814814814</v>
      </c>
      <c r="E78" s="90"/>
      <c r="F78" s="91"/>
      <c r="G78" s="90"/>
      <c r="H78" s="95"/>
      <c r="I78" s="14" t="s">
        <v>140</v>
      </c>
      <c r="J78" s="31">
        <f>(IF(B69&gt;3,(H69/(B69+2)+J77),0))</f>
        <v>0</v>
      </c>
    </row>
    <row r="79" spans="1:14" ht="15.75" customHeight="1" x14ac:dyDescent="0.35">
      <c r="A79" s="85" t="s">
        <v>134</v>
      </c>
      <c r="B79" s="86"/>
      <c r="C79" s="43">
        <v>8</v>
      </c>
      <c r="D79" s="19">
        <f ca="1">((100/H69)*C79)/100</f>
        <v>0.14814814814814814</v>
      </c>
      <c r="E79" s="90"/>
      <c r="F79" s="91"/>
      <c r="G79" s="90"/>
      <c r="H79" s="95"/>
      <c r="I79" s="14" t="s">
        <v>141</v>
      </c>
      <c r="J79" s="30">
        <f>(IF(B69&gt;4,(H69/(B69+2)+J78),0))</f>
        <v>0</v>
      </c>
    </row>
    <row r="80" spans="1:14" ht="15.75" customHeight="1" x14ac:dyDescent="0.35">
      <c r="A80" s="85" t="s">
        <v>129</v>
      </c>
      <c r="B80" s="86" t="s">
        <v>129</v>
      </c>
      <c r="C80" s="43">
        <v>0</v>
      </c>
      <c r="D80" s="19">
        <f ca="1">((100/(H69))*C80)/100</f>
        <v>0</v>
      </c>
      <c r="E80" s="90"/>
      <c r="F80" s="91"/>
      <c r="G80" s="90"/>
      <c r="H80" s="95"/>
      <c r="I80" s="14" t="s">
        <v>143</v>
      </c>
      <c r="J80" s="30">
        <f ca="1">(IF(B69=1,(H69/(B69+3)+J75),IF(B69=0,(H69/4+J75),IF(B69&gt;1,0))))</f>
        <v>40.5</v>
      </c>
    </row>
    <row r="81" spans="1:11" ht="16" thickBot="1" x14ac:dyDescent="0.4">
      <c r="A81" s="97" t="s">
        <v>130</v>
      </c>
      <c r="B81" s="98"/>
      <c r="C81" s="44">
        <v>0</v>
      </c>
      <c r="D81" s="20">
        <f ca="1">((100/(H69))*C81)/100</f>
        <v>0</v>
      </c>
      <c r="E81" s="92"/>
      <c r="F81" s="93"/>
      <c r="G81" s="92"/>
      <c r="H81" s="96"/>
      <c r="I81" s="15" t="s">
        <v>101</v>
      </c>
      <c r="J81" s="32">
        <f ca="1">(IF(B69&gt;1.5,(H69/(B69+2)+J75+MAX(0,J76-J75)+MAX(0,J77-J76)+MAX(0,J78-J77)+MAX(0,J79-J78)+MAX(0,J80-J79)),IF(B69=1,(H69/(B69+3)+J80),IF(B69=0,H69/4+J80))))</f>
        <v>54</v>
      </c>
    </row>
    <row r="82" spans="1:11" ht="15.75" customHeight="1" x14ac:dyDescent="0.35">
      <c r="A82" s="76" t="s">
        <v>136</v>
      </c>
      <c r="B82" s="77"/>
      <c r="C82" s="78" t="s">
        <v>296</v>
      </c>
      <c r="D82" s="79"/>
      <c r="E82" s="79"/>
      <c r="F82" s="79"/>
      <c r="G82" s="79"/>
      <c r="H82" s="80"/>
      <c r="I82" s="47" t="str">
        <f ca="1">IF(D95=100%,"All work Completed. Possession granted to the Building.",IF(D94=100%,"All work Completed, Waiting for OC",I83&amp;""&amp;I84&amp;""&amp;J83&amp;""&amp;J82&amp;" "&amp;J84))</f>
        <v>Excavation, Plinth, RCC Slab, Brickwork Completed, Internal Plaster upto 43.2 Floor, External Plaster upto 40.5 Floor, Flooring upto 10 Floor, Painting upto 8 Floor Completed</v>
      </c>
      <c r="J82" s="48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Internal Plaster upto 43.2 Floor, External Plaster upto 40.5 Floor, Flooring upto 10 Floor, Painting upto 8 Floor</v>
      </c>
    </row>
    <row r="83" spans="1:11" s="23" customFormat="1" x14ac:dyDescent="0.35">
      <c r="A83" s="16" t="s">
        <v>138</v>
      </c>
      <c r="B83" s="54">
        <v>1</v>
      </c>
      <c r="C83" s="54" t="s">
        <v>70</v>
      </c>
      <c r="D83" s="54">
        <v>1</v>
      </c>
      <c r="E83" s="54" t="s">
        <v>69</v>
      </c>
      <c r="F83" s="54">
        <v>0</v>
      </c>
      <c r="G83" s="54" t="s">
        <v>77</v>
      </c>
      <c r="H83" s="17">
        <f ca="1">--TRIM(RIGHT(SUBSTITUTE(LEFT(C82,_xlfn.AGGREGATE(16,6,FIND({0,1,2,3,4,5,6,7,8,9},C82,ROW(INDIRECT("1:"&amp;LEN(C82)))),1))," ",REPT(" ",LEN(C82))),LEN(C82)))</f>
        <v>54</v>
      </c>
      <c r="I83" s="55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</v>
      </c>
      <c r="J83" s="56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1" ht="50.5" customHeight="1" x14ac:dyDescent="0.35">
      <c r="A84" s="81" t="s">
        <v>87</v>
      </c>
      <c r="B84" s="82"/>
      <c r="C84" s="83" t="str">
        <f ca="1">(IF($C$55=C82,"All work Completed. OC Received.",I82))</f>
        <v>Excavation, Plinth, RCC Slab, Brickwork Completed, Internal Plaster upto 43.2 Floor, External Plaster upto 40.5 Floor, Flooring upto 10 Floor, Painting upto 8 Floor Completed</v>
      </c>
      <c r="D84" s="83"/>
      <c r="E84" s="83"/>
      <c r="F84" s="83"/>
      <c r="G84" s="83"/>
      <c r="H84" s="84"/>
      <c r="I84" s="49" t="str">
        <f ca="1">IF(I83&lt;&gt;""," Completed","")</f>
        <v xml:space="preserve"> Completed</v>
      </c>
      <c r="J84" s="50" t="str">
        <f ca="1">IF(J82&lt;&gt;"","Completed","")</f>
        <v>Completed</v>
      </c>
    </row>
    <row r="85" spans="1:11" ht="15.75" customHeight="1" x14ac:dyDescent="0.35">
      <c r="A85" s="85" t="s">
        <v>47</v>
      </c>
      <c r="B85" s="86"/>
      <c r="C85" s="43" t="s">
        <v>135</v>
      </c>
      <c r="D85" s="43" t="s">
        <v>80</v>
      </c>
      <c r="E85" s="86" t="s">
        <v>82</v>
      </c>
      <c r="F85" s="86"/>
      <c r="G85" s="86" t="s">
        <v>81</v>
      </c>
      <c r="H85" s="87"/>
      <c r="I85" s="14" t="s">
        <v>137</v>
      </c>
      <c r="J85" s="28">
        <f ca="1">H83*25%</f>
        <v>13.5</v>
      </c>
    </row>
    <row r="86" spans="1:11" x14ac:dyDescent="0.35">
      <c r="A86" s="86" t="s">
        <v>124</v>
      </c>
      <c r="B86" s="86"/>
      <c r="C86" s="74">
        <f ca="1">J87</f>
        <v>54</v>
      </c>
      <c r="D86" s="19">
        <f ca="1">((100/H83)*C86)/100</f>
        <v>1</v>
      </c>
      <c r="E86" s="249">
        <f ca="1">(((C87/H83*10)+(40/(D83+F83+H83)*C88)+(7.5/(H83)*C89)+(7.5/(H83)*C90)+(10/H83*C91)+(10/H83*C92)+(5/H83*C93)+(5/H83*C94)+(5/H83*C95))/100)</f>
        <v>0.73592592592592598</v>
      </c>
      <c r="F86" s="249"/>
      <c r="G86" s="249">
        <f ca="1">((((C86/H83)*20)+((C87/H83)*25)+(30/(H83+F83+D83)*C88)+(5/H83*C89)+(5/H83*C90)+(5/H83*C91)+(5/H83*C92)+(0/H83*C93)+(0/H83*C94)+(5/H83*C95))/100)</f>
        <v>0.88675925925925925</v>
      </c>
      <c r="H86" s="249"/>
      <c r="I86" s="14" t="s">
        <v>97</v>
      </c>
      <c r="J86" s="29">
        <f ca="1">H83*50%</f>
        <v>27</v>
      </c>
    </row>
    <row r="87" spans="1:11" x14ac:dyDescent="0.35">
      <c r="A87" s="86" t="s">
        <v>48</v>
      </c>
      <c r="B87" s="86"/>
      <c r="C87" s="57">
        <v>54</v>
      </c>
      <c r="D87" s="19">
        <f ca="1">((100/H83)*C87)/100</f>
        <v>1</v>
      </c>
      <c r="E87" s="249"/>
      <c r="F87" s="249"/>
      <c r="G87" s="249"/>
      <c r="H87" s="249"/>
      <c r="I87" s="14" t="s">
        <v>98</v>
      </c>
      <c r="J87" s="29">
        <f ca="1">H83</f>
        <v>54</v>
      </c>
      <c r="K87" s="21" t="s">
        <v>294</v>
      </c>
    </row>
    <row r="88" spans="1:11" ht="15.75" customHeight="1" x14ac:dyDescent="0.35">
      <c r="A88" s="86" t="s">
        <v>125</v>
      </c>
      <c r="B88" s="86"/>
      <c r="C88" s="74">
        <v>55</v>
      </c>
      <c r="D88" s="19">
        <f ca="1">((100/(D83+F83+H83))*C88)/100</f>
        <v>1</v>
      </c>
      <c r="E88" s="249"/>
      <c r="F88" s="249"/>
      <c r="G88" s="249"/>
      <c r="H88" s="249"/>
      <c r="I88" s="14" t="s">
        <v>99</v>
      </c>
      <c r="J88" s="30">
        <f ca="1">(IF(B83&gt;1,(H83/(B83+2)),H83/4))</f>
        <v>13.5</v>
      </c>
    </row>
    <row r="89" spans="1:11" ht="15.75" customHeight="1" x14ac:dyDescent="0.35">
      <c r="A89" s="86" t="s">
        <v>132</v>
      </c>
      <c r="B89" s="86" t="s">
        <v>126</v>
      </c>
      <c r="C89" s="74">
        <f>C88-D83</f>
        <v>54</v>
      </c>
      <c r="D89" s="19">
        <f ca="1">((100/H83)*C89)/100</f>
        <v>1</v>
      </c>
      <c r="E89" s="249"/>
      <c r="F89" s="249"/>
      <c r="G89" s="249"/>
      <c r="H89" s="249"/>
      <c r="I89" s="14" t="s">
        <v>100</v>
      </c>
      <c r="J89" s="30">
        <f ca="1">(IF(B83&gt;1,(H83/(B83+2)+J88),H83/4+J88))</f>
        <v>27</v>
      </c>
    </row>
    <row r="90" spans="1:11" ht="15.75" customHeight="1" x14ac:dyDescent="0.35">
      <c r="A90" s="86" t="s">
        <v>133</v>
      </c>
      <c r="B90" s="86" t="s">
        <v>126</v>
      </c>
      <c r="C90" s="57">
        <f>C89*0.8</f>
        <v>43.2</v>
      </c>
      <c r="D90" s="19">
        <f ca="1">((100/H83)*C90)/100</f>
        <v>0.8</v>
      </c>
      <c r="E90" s="249"/>
      <c r="F90" s="249"/>
      <c r="G90" s="249"/>
      <c r="H90" s="249"/>
      <c r="I90" s="14" t="s">
        <v>142</v>
      </c>
      <c r="J90" s="30">
        <f>(IF(B83&gt;1,(H83/(B83+2)+J89),0))</f>
        <v>0</v>
      </c>
    </row>
    <row r="91" spans="1:11" ht="15" customHeight="1" x14ac:dyDescent="0.35">
      <c r="A91" s="86" t="s">
        <v>131</v>
      </c>
      <c r="B91" s="86" t="s">
        <v>128</v>
      </c>
      <c r="C91" s="57">
        <f>C89*0.75</f>
        <v>40.5</v>
      </c>
      <c r="D91" s="19">
        <f ca="1">((100/(H83))*C91)/100</f>
        <v>0.75</v>
      </c>
      <c r="E91" s="249"/>
      <c r="F91" s="249"/>
      <c r="G91" s="249"/>
      <c r="H91" s="249"/>
      <c r="I91" s="14" t="s">
        <v>139</v>
      </c>
      <c r="J91" s="30">
        <f>(IF(B83&gt;2,(H83/(B83+2)+J90),0))</f>
        <v>0</v>
      </c>
    </row>
    <row r="92" spans="1:11" ht="15.75" customHeight="1" x14ac:dyDescent="0.35">
      <c r="A92" s="86" t="s">
        <v>127</v>
      </c>
      <c r="B92" s="86" t="s">
        <v>127</v>
      </c>
      <c r="C92" s="74">
        <v>10</v>
      </c>
      <c r="D92" s="19">
        <f ca="1">((100/H83)*C92)/100</f>
        <v>0.1851851851851852</v>
      </c>
      <c r="E92" s="249"/>
      <c r="F92" s="249"/>
      <c r="G92" s="249"/>
      <c r="H92" s="249"/>
      <c r="I92" s="14" t="s">
        <v>140</v>
      </c>
      <c r="J92" s="31">
        <f>(IF(B83&gt;3,(H83/(B83+2)+J91),0))</f>
        <v>0</v>
      </c>
    </row>
    <row r="93" spans="1:11" ht="15.75" customHeight="1" x14ac:dyDescent="0.35">
      <c r="A93" s="86" t="s">
        <v>134</v>
      </c>
      <c r="B93" s="86"/>
      <c r="C93" s="74">
        <v>8</v>
      </c>
      <c r="D93" s="19">
        <f ca="1">((100/H83)*C93)/100</f>
        <v>0.14814814814814814</v>
      </c>
      <c r="E93" s="249"/>
      <c r="F93" s="249"/>
      <c r="G93" s="249"/>
      <c r="H93" s="249"/>
      <c r="I93" s="14" t="s">
        <v>141</v>
      </c>
      <c r="J93" s="30">
        <f>(IF(B83&gt;4,(H83/(B83+2)+J92),0))</f>
        <v>0</v>
      </c>
    </row>
    <row r="94" spans="1:11" ht="15.75" customHeight="1" x14ac:dyDescent="0.35">
      <c r="A94" s="86" t="s">
        <v>129</v>
      </c>
      <c r="B94" s="86" t="s">
        <v>129</v>
      </c>
      <c r="C94" s="74">
        <v>0</v>
      </c>
      <c r="D94" s="19">
        <f ca="1">((100/(H83))*C94)/100</f>
        <v>0</v>
      </c>
      <c r="E94" s="249"/>
      <c r="F94" s="249"/>
      <c r="G94" s="249"/>
      <c r="H94" s="249"/>
      <c r="I94" s="14" t="s">
        <v>143</v>
      </c>
      <c r="J94" s="30">
        <f ca="1">(IF(B83=1,(H83/(B83+3)+J89),IF(B83=0,(H83/4+J89),IF(B83&gt;1,0))))</f>
        <v>40.5</v>
      </c>
    </row>
    <row r="95" spans="1:11" ht="16" thickBot="1" x14ac:dyDescent="0.4">
      <c r="A95" s="86" t="s">
        <v>130</v>
      </c>
      <c r="B95" s="86"/>
      <c r="C95" s="74">
        <v>0</v>
      </c>
      <c r="D95" s="19">
        <f ca="1">((100/(H83))*C95)/100</f>
        <v>0</v>
      </c>
      <c r="E95" s="249"/>
      <c r="F95" s="249"/>
      <c r="G95" s="249"/>
      <c r="H95" s="249"/>
      <c r="I95" s="15" t="s">
        <v>101</v>
      </c>
      <c r="J95" s="32">
        <f ca="1">(IF(B83&gt;1.5,(H83/(B83+2)+J89+MAX(0,J90-J89)+MAX(0,J91-J90)+MAX(0,J92-J91)+MAX(0,J93-J92)+MAX(0,J94-J93)),IF(B83=1,(H83/(B83+3)+J94),IF(B83=0,H83/4+J94))))</f>
        <v>54</v>
      </c>
    </row>
    <row r="96" spans="1:11" ht="15.75" customHeight="1" x14ac:dyDescent="0.35">
      <c r="A96" s="250" t="s">
        <v>136</v>
      </c>
      <c r="B96" s="250"/>
      <c r="C96" s="250" t="s">
        <v>264</v>
      </c>
      <c r="D96" s="250"/>
      <c r="E96" s="250"/>
      <c r="F96" s="250"/>
      <c r="G96" s="250"/>
      <c r="H96" s="250"/>
      <c r="I96" s="242" t="str">
        <f ca="1">IF(D109=100%,"All work Completed. Possession granted to the Building.",IF(D108=100%,"All work Completed, Waiting for OC",I97&amp;""&amp;I98&amp;""&amp;J97&amp;""&amp;J96&amp;" "&amp;J98))</f>
        <v>Excavation, Plinth Completed, RCC upto 54 Slab, Brickwork upto 53 Floor, Internal Plaster upto 42.4 Floor, External Plaster upto 39.75 Floor, Flooring upto 8 Floor, Painting upto 5 Floor Completed</v>
      </c>
      <c r="J96" s="48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54 Slab, Brickwork upto 53 Floor, Internal Plaster upto 42.4 Floor, External Plaster upto 39.75 Floor, Flooring upto 8 Floor, Painting upto 5 Floor</v>
      </c>
    </row>
    <row r="97" spans="1:10" s="23" customFormat="1" x14ac:dyDescent="0.35">
      <c r="A97" s="75" t="s">
        <v>138</v>
      </c>
      <c r="B97" s="75">
        <v>1</v>
      </c>
      <c r="C97" s="75" t="s">
        <v>70</v>
      </c>
      <c r="D97" s="75">
        <v>1</v>
      </c>
      <c r="E97" s="75" t="s">
        <v>69</v>
      </c>
      <c r="F97" s="75">
        <v>0</v>
      </c>
      <c r="G97" s="75" t="s">
        <v>77</v>
      </c>
      <c r="H97" s="75">
        <f ca="1">--TRIM(RIGHT(SUBSTITUTE(LEFT(C96,_xlfn.AGGREGATE(16,6,FIND({0,1,2,3,4,5,6,7,8,9},C96,ROW(INDIRECT("1:"&amp;LEN(C96)))),1))," ",REPT(" ",LEN(C96))),LEN(C96)))</f>
        <v>54</v>
      </c>
      <c r="I97" s="24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6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1.5" customHeight="1" x14ac:dyDescent="0.35">
      <c r="A98" s="82" t="s">
        <v>87</v>
      </c>
      <c r="B98" s="82"/>
      <c r="C98" s="83" t="str">
        <f ca="1">(IF($C$55=C96,"All work Completed. OC Received.",I96))</f>
        <v>Excavation, Plinth Completed, RCC upto 54 Slab, Brickwork upto 53 Floor, Internal Plaster upto 42.4 Floor, External Plaster upto 39.75 Floor, Flooring upto 8 Floor, Painting upto 5 Floor Completed</v>
      </c>
      <c r="D98" s="83"/>
      <c r="E98" s="83"/>
      <c r="F98" s="83"/>
      <c r="G98" s="83"/>
      <c r="H98" s="83"/>
      <c r="I98" s="244" t="str">
        <f ca="1">IF(I97&lt;&gt;""," Completed","")</f>
        <v xml:space="preserve"> Completed</v>
      </c>
      <c r="J98" s="50" t="str">
        <f ca="1">IF(J96&lt;&gt;"","Completed","")</f>
        <v>Completed</v>
      </c>
    </row>
    <row r="99" spans="1:10" ht="15.75" customHeight="1" x14ac:dyDescent="0.35">
      <c r="A99" s="86" t="s">
        <v>47</v>
      </c>
      <c r="B99" s="86"/>
      <c r="C99" s="74" t="s">
        <v>135</v>
      </c>
      <c r="D99" s="74" t="s">
        <v>80</v>
      </c>
      <c r="E99" s="86" t="s">
        <v>82</v>
      </c>
      <c r="F99" s="86"/>
      <c r="G99" s="86" t="s">
        <v>81</v>
      </c>
      <c r="H99" s="86"/>
      <c r="I99" s="14" t="s">
        <v>137</v>
      </c>
      <c r="J99" s="28">
        <f ca="1">H97*25%</f>
        <v>13.5</v>
      </c>
    </row>
    <row r="100" spans="1:10" x14ac:dyDescent="0.35">
      <c r="A100" s="86" t="s">
        <v>124</v>
      </c>
      <c r="B100" s="86"/>
      <c r="C100" s="74">
        <f ca="1">J101</f>
        <v>54</v>
      </c>
      <c r="D100" s="19">
        <f ca="1">((100/H97)*C100)/100</f>
        <v>1</v>
      </c>
      <c r="E100" s="249">
        <f ca="1">(((C101/H97*10)+(40/(D97+F97+H97)*C102)+(7.5/(H97)*C103)+(7.5/(H97)*C104)+(10/H97*C105)+(10/H97*C106)+(5/H97*C107)+(5/H97*C108)+(5/H97*C109))/100)</f>
        <v>0.71828282828282841</v>
      </c>
      <c r="F100" s="249"/>
      <c r="G100" s="249">
        <f ca="1">((((C100/H97)*20)+((C101/H97)*25)+(30/(H97+F97+D97)*C102)+(5/H97*C103)+(5/H97*C104)+(5/H97*C105)+(5/H97*C106)+(0/H97*C107)+(0/H97*C108)+(5/H97*C109))/100)</f>
        <v>0.87709175084175084</v>
      </c>
      <c r="H100" s="249"/>
      <c r="I100" s="14" t="s">
        <v>97</v>
      </c>
      <c r="J100" s="29">
        <f ca="1">H97*50%</f>
        <v>27</v>
      </c>
    </row>
    <row r="101" spans="1:10" x14ac:dyDescent="0.35">
      <c r="A101" s="86" t="s">
        <v>48</v>
      </c>
      <c r="B101" s="86"/>
      <c r="C101" s="57">
        <v>54</v>
      </c>
      <c r="D101" s="19">
        <f ca="1">((100/H97)*C101)/100</f>
        <v>1</v>
      </c>
      <c r="E101" s="249"/>
      <c r="F101" s="249"/>
      <c r="G101" s="249"/>
      <c r="H101" s="249"/>
      <c r="I101" s="14" t="s">
        <v>98</v>
      </c>
      <c r="J101" s="29">
        <f ca="1">H97</f>
        <v>54</v>
      </c>
    </row>
    <row r="102" spans="1:10" ht="15.75" customHeight="1" x14ac:dyDescent="0.35">
      <c r="A102" s="86" t="s">
        <v>125</v>
      </c>
      <c r="B102" s="86"/>
      <c r="C102" s="74">
        <v>54</v>
      </c>
      <c r="D102" s="19">
        <f ca="1">((100/(D97+F97+H97))*C102)/100</f>
        <v>0.9818181818181817</v>
      </c>
      <c r="E102" s="249"/>
      <c r="F102" s="249"/>
      <c r="G102" s="249"/>
      <c r="H102" s="249"/>
      <c r="I102" s="14" t="s">
        <v>99</v>
      </c>
      <c r="J102" s="30">
        <f ca="1">(IF(B97&gt;1,(H97/(B97+2)),H97/4))</f>
        <v>13.5</v>
      </c>
    </row>
    <row r="103" spans="1:10" ht="15.75" customHeight="1" x14ac:dyDescent="0.35">
      <c r="A103" s="86" t="s">
        <v>132</v>
      </c>
      <c r="B103" s="86" t="s">
        <v>126</v>
      </c>
      <c r="C103" s="74">
        <f>C102-1</f>
        <v>53</v>
      </c>
      <c r="D103" s="19">
        <f ca="1">((100/H97)*C103)/100</f>
        <v>0.98148148148148151</v>
      </c>
      <c r="E103" s="249"/>
      <c r="F103" s="249"/>
      <c r="G103" s="249"/>
      <c r="H103" s="249"/>
      <c r="I103" s="14" t="s">
        <v>100</v>
      </c>
      <c r="J103" s="30">
        <f ca="1">(IF(B97&gt;1,(H97/(B97+2)+J102),H97/4+J102))</f>
        <v>27</v>
      </c>
    </row>
    <row r="104" spans="1:10" ht="15.75" customHeight="1" x14ac:dyDescent="0.35">
      <c r="A104" s="86" t="s">
        <v>133</v>
      </c>
      <c r="B104" s="86" t="s">
        <v>126</v>
      </c>
      <c r="C104" s="57">
        <f>C103*0.8</f>
        <v>42.400000000000006</v>
      </c>
      <c r="D104" s="19">
        <f ca="1">((100/H97)*C104)/100</f>
        <v>0.78518518518518532</v>
      </c>
      <c r="E104" s="249"/>
      <c r="F104" s="249"/>
      <c r="G104" s="249"/>
      <c r="H104" s="249"/>
      <c r="I104" s="14" t="s">
        <v>142</v>
      </c>
      <c r="J104" s="30">
        <f>(IF(B97&gt;1,(H97/(B97+2)+J103),0))</f>
        <v>0</v>
      </c>
    </row>
    <row r="105" spans="1:10" ht="15" customHeight="1" x14ac:dyDescent="0.35">
      <c r="A105" s="86" t="s">
        <v>131</v>
      </c>
      <c r="B105" s="86" t="s">
        <v>128</v>
      </c>
      <c r="C105" s="57">
        <f>C103*0.75</f>
        <v>39.75</v>
      </c>
      <c r="D105" s="19">
        <f ca="1">((100/(H97))*C105)/100</f>
        <v>0.73611111111111116</v>
      </c>
      <c r="E105" s="249"/>
      <c r="F105" s="249"/>
      <c r="G105" s="249"/>
      <c r="H105" s="249"/>
      <c r="I105" s="14" t="s">
        <v>139</v>
      </c>
      <c r="J105" s="30">
        <f>(IF(B97&gt;2,(H97/(B97+2)+J104),0))</f>
        <v>0</v>
      </c>
    </row>
    <row r="106" spans="1:10" ht="15.75" customHeight="1" x14ac:dyDescent="0.35">
      <c r="A106" s="86" t="s">
        <v>127</v>
      </c>
      <c r="B106" s="86" t="s">
        <v>127</v>
      </c>
      <c r="C106" s="74">
        <v>8</v>
      </c>
      <c r="D106" s="19">
        <f ca="1">((100/H97)*C106)/100</f>
        <v>0.14814814814814814</v>
      </c>
      <c r="E106" s="249"/>
      <c r="F106" s="249"/>
      <c r="G106" s="249"/>
      <c r="H106" s="249"/>
      <c r="I106" s="14" t="s">
        <v>140</v>
      </c>
      <c r="J106" s="31">
        <f>(IF(B97&gt;3,(H97/(B97+2)+J105),0))</f>
        <v>0</v>
      </c>
    </row>
    <row r="107" spans="1:10" ht="15.75" customHeight="1" x14ac:dyDescent="0.35">
      <c r="A107" s="86" t="s">
        <v>134</v>
      </c>
      <c r="B107" s="86"/>
      <c r="C107" s="74">
        <v>5</v>
      </c>
      <c r="D107" s="19">
        <f ca="1">((100/H97)*C107)/100</f>
        <v>9.2592592592592601E-2</v>
      </c>
      <c r="E107" s="249"/>
      <c r="F107" s="249"/>
      <c r="G107" s="249"/>
      <c r="H107" s="249"/>
      <c r="I107" s="14" t="s">
        <v>141</v>
      </c>
      <c r="J107" s="30">
        <f>(IF(B97&gt;4,(H97/(B97+2)+J106),0))</f>
        <v>0</v>
      </c>
    </row>
    <row r="108" spans="1:10" ht="15.75" customHeight="1" x14ac:dyDescent="0.35">
      <c r="A108" s="86" t="s">
        <v>129</v>
      </c>
      <c r="B108" s="86" t="s">
        <v>129</v>
      </c>
      <c r="C108" s="74">
        <v>0</v>
      </c>
      <c r="D108" s="19">
        <f ca="1">((100/(H97))*C108)/100</f>
        <v>0</v>
      </c>
      <c r="E108" s="249"/>
      <c r="F108" s="249"/>
      <c r="G108" s="249"/>
      <c r="H108" s="249"/>
      <c r="I108" s="14" t="s">
        <v>143</v>
      </c>
      <c r="J108" s="30">
        <f ca="1">(IF(B97=1,(H97/(B97+3)+J103),IF(B97=0,(H97/4+J103),IF(B97&gt;1,0))))</f>
        <v>40.5</v>
      </c>
    </row>
    <row r="109" spans="1:10" ht="16" thickBot="1" x14ac:dyDescent="0.4">
      <c r="A109" s="86" t="s">
        <v>130</v>
      </c>
      <c r="B109" s="86"/>
      <c r="C109" s="74">
        <v>0</v>
      </c>
      <c r="D109" s="19">
        <f ca="1">((100/(H97))*C109)/100</f>
        <v>0</v>
      </c>
      <c r="E109" s="249"/>
      <c r="F109" s="249"/>
      <c r="G109" s="249"/>
      <c r="H109" s="249"/>
      <c r="I109" s="15" t="s">
        <v>101</v>
      </c>
      <c r="J109" s="32">
        <f ca="1">(IF(B97&gt;1.5,(H97/(B97+2)+J103+MAX(0,J104-J103)+MAX(0,J105-J104)+MAX(0,J106-J105)+MAX(0,J107-J106)+MAX(0,J108-J107)),IF(B97=1,(H97/(B97+3)+J108),IF(B97=0,H97/4+J108))))</f>
        <v>54</v>
      </c>
    </row>
    <row r="110" spans="1:10" ht="15.75" customHeight="1" x14ac:dyDescent="0.35">
      <c r="A110" s="245" t="s">
        <v>136</v>
      </c>
      <c r="B110" s="246"/>
      <c r="C110" s="206" t="s">
        <v>289</v>
      </c>
      <c r="D110" s="247"/>
      <c r="E110" s="247"/>
      <c r="F110" s="247"/>
      <c r="G110" s="247"/>
      <c r="H110" s="248"/>
      <c r="I110" s="47" t="str">
        <f ca="1">IF(D123=100%,"All work Completed. Possession granted to the Building.",IF(D122=100%,"All work Completed, Waiting for OC",I111&amp;""&amp;I112&amp;""&amp;J111&amp;""&amp;J110&amp;" "&amp;J112))</f>
        <v>Excavation, Plinth Completed, RCC upto 47 Slab, Brickwork upto 46 Floor, Internal Plaster upto 36.8 Floor, External Plaster upto 36.8 Floor Completed</v>
      </c>
      <c r="J110" s="48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RCC upto 47 Slab, Brickwork upto 46 Floor, Internal Plaster upto 36.8 Floor, External Plaster upto 36.8 Floor</v>
      </c>
    </row>
    <row r="111" spans="1:10" s="23" customFormat="1" x14ac:dyDescent="0.35">
      <c r="A111" s="16" t="s">
        <v>138</v>
      </c>
      <c r="B111" s="54">
        <v>1</v>
      </c>
      <c r="C111" s="54" t="s">
        <v>70</v>
      </c>
      <c r="D111" s="54">
        <v>1</v>
      </c>
      <c r="E111" s="54" t="s">
        <v>69</v>
      </c>
      <c r="F111" s="54">
        <v>0</v>
      </c>
      <c r="G111" s="54" t="s">
        <v>77</v>
      </c>
      <c r="H111" s="17">
        <f ca="1">--TRIM(RIGHT(SUBSTITUTE(LEFT(C110,_xlfn.AGGREGATE(16,6,FIND({0,1,2,3,4,5,6,7,8,9},C110,ROW(INDIRECT("1:"&amp;LEN(C110)))),1))," ",REPT(" ",LEN(C110))),LEN(C110)))</f>
        <v>54</v>
      </c>
      <c r="I111" s="55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56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6" customHeight="1" x14ac:dyDescent="0.35">
      <c r="A112" s="81" t="s">
        <v>87</v>
      </c>
      <c r="B112" s="82"/>
      <c r="C112" s="83" t="str">
        <f ca="1">(IF($C$55=C110,"All work Completed. OC Received.",I110))</f>
        <v>Excavation, Plinth Completed, RCC upto 47 Slab, Brickwork upto 46 Floor, Internal Plaster upto 36.8 Floor, External Plaster upto 36.8 Floor Completed</v>
      </c>
      <c r="D112" s="83"/>
      <c r="E112" s="83"/>
      <c r="F112" s="83"/>
      <c r="G112" s="83"/>
      <c r="H112" s="84"/>
      <c r="I112" s="49" t="str">
        <f ca="1">IF(I111&lt;&gt;""," Completed","")</f>
        <v xml:space="preserve"> Completed</v>
      </c>
      <c r="J112" s="50" t="str">
        <f ca="1">IF(J110&lt;&gt;"","Completed","")</f>
        <v>Completed</v>
      </c>
    </row>
    <row r="113" spans="1:11" ht="15.75" customHeight="1" x14ac:dyDescent="0.35">
      <c r="A113" s="85" t="s">
        <v>47</v>
      </c>
      <c r="B113" s="86"/>
      <c r="C113" s="43" t="s">
        <v>135</v>
      </c>
      <c r="D113" s="43" t="s">
        <v>80</v>
      </c>
      <c r="E113" s="86" t="s">
        <v>82</v>
      </c>
      <c r="F113" s="86"/>
      <c r="G113" s="86" t="s">
        <v>81</v>
      </c>
      <c r="H113" s="87"/>
      <c r="I113" s="14" t="s">
        <v>137</v>
      </c>
      <c r="J113" s="28">
        <f ca="1">H111*25%</f>
        <v>13.5</v>
      </c>
    </row>
    <row r="114" spans="1:11" x14ac:dyDescent="0.35">
      <c r="A114" s="85" t="s">
        <v>124</v>
      </c>
      <c r="B114" s="86"/>
      <c r="C114" s="43">
        <f ca="1">J115</f>
        <v>54</v>
      </c>
      <c r="D114" s="19">
        <f ca="1">((100/H111)*C114)/100</f>
        <v>1</v>
      </c>
      <c r="E114" s="88">
        <f ca="1">(((C115/H111*10)+(40/(D111+F111+H111)*C116)+(7.5/(H111)*C117)+(7.5/(H111)*C118)+(10/H111*C119)+(10/H111*C120)+(5/H111*C121)+(5/H111*C122)+(5/H111*C123))/100)</f>
        <v>0.62496632996633006</v>
      </c>
      <c r="F114" s="89"/>
      <c r="G114" s="88">
        <f ca="1">((((C114/H111)*20)+((C115/H111)*25)+(30/(H111+F111+D111)*C116)+(5/H111*C117)+(5/H111*C118)+(5/H111*C119)+(5/H111*C120)+(0/H111*C121)+(0/H111*C122)+(5/H111*C123))/100)</f>
        <v>0.81710437710437689</v>
      </c>
      <c r="H114" s="94"/>
      <c r="I114" s="14" t="s">
        <v>97</v>
      </c>
      <c r="J114" s="29">
        <f ca="1">H111*50%</f>
        <v>27</v>
      </c>
    </row>
    <row r="115" spans="1:11" x14ac:dyDescent="0.35">
      <c r="A115" s="85" t="s">
        <v>48</v>
      </c>
      <c r="B115" s="86"/>
      <c r="C115" s="57">
        <v>54</v>
      </c>
      <c r="D115" s="19">
        <f ca="1">((100/H111)*C115)/100</f>
        <v>1</v>
      </c>
      <c r="E115" s="90"/>
      <c r="F115" s="91"/>
      <c r="G115" s="90"/>
      <c r="H115" s="95"/>
      <c r="I115" s="14" t="s">
        <v>98</v>
      </c>
      <c r="J115" s="29">
        <f ca="1">H111</f>
        <v>54</v>
      </c>
    </row>
    <row r="116" spans="1:11" ht="15.75" customHeight="1" x14ac:dyDescent="0.35">
      <c r="A116" s="85" t="s">
        <v>125</v>
      </c>
      <c r="B116" s="86"/>
      <c r="C116" s="43">
        <v>47</v>
      </c>
      <c r="D116" s="19">
        <f ca="1">((100/(D111+F111+H111))*C116)/100</f>
        <v>0.8545454545454545</v>
      </c>
      <c r="E116" s="90"/>
      <c r="F116" s="91"/>
      <c r="G116" s="90"/>
      <c r="H116" s="95"/>
      <c r="I116" s="14" t="s">
        <v>99</v>
      </c>
      <c r="J116" s="30">
        <f ca="1">(IF(B111&gt;1,(H111/(B111+2)),H111/4))</f>
        <v>13.5</v>
      </c>
      <c r="K116" s="21" t="s">
        <v>294</v>
      </c>
    </row>
    <row r="117" spans="1:11" ht="15.75" customHeight="1" x14ac:dyDescent="0.35">
      <c r="A117" s="85" t="s">
        <v>132</v>
      </c>
      <c r="B117" s="86" t="s">
        <v>126</v>
      </c>
      <c r="C117" s="70">
        <f>C116-D111</f>
        <v>46</v>
      </c>
      <c r="D117" s="19">
        <f ca="1">((100/H111)*C117)/100</f>
        <v>0.85185185185185186</v>
      </c>
      <c r="E117" s="90"/>
      <c r="F117" s="91"/>
      <c r="G117" s="90"/>
      <c r="H117" s="95"/>
      <c r="I117" s="14" t="s">
        <v>100</v>
      </c>
      <c r="J117" s="30">
        <f ca="1">(IF(B111&gt;1,(H111/(B111+2)+J116),H111/4+J116))</f>
        <v>27</v>
      </c>
    </row>
    <row r="118" spans="1:11" ht="15.75" customHeight="1" x14ac:dyDescent="0.35">
      <c r="A118" s="85" t="s">
        <v>133</v>
      </c>
      <c r="B118" s="86" t="s">
        <v>126</v>
      </c>
      <c r="C118" s="57">
        <f>C117*0.8</f>
        <v>36.800000000000004</v>
      </c>
      <c r="D118" s="19">
        <f ca="1">((100/H111)*C118)/100</f>
        <v>0.68148148148148158</v>
      </c>
      <c r="E118" s="90"/>
      <c r="F118" s="91"/>
      <c r="G118" s="90"/>
      <c r="H118" s="95"/>
      <c r="I118" s="14" t="s">
        <v>142</v>
      </c>
      <c r="J118" s="30">
        <f>(IF(B111&gt;1,(H111/(B111+2)+J117),0))</f>
        <v>0</v>
      </c>
    </row>
    <row r="119" spans="1:11" ht="15" customHeight="1" x14ac:dyDescent="0.35">
      <c r="A119" s="85" t="s">
        <v>131</v>
      </c>
      <c r="B119" s="86" t="s">
        <v>128</v>
      </c>
      <c r="C119" s="57">
        <f>C117*0.8</f>
        <v>36.800000000000004</v>
      </c>
      <c r="D119" s="19">
        <f ca="1">((100/(H111))*C119)/100</f>
        <v>0.68148148148148158</v>
      </c>
      <c r="E119" s="90"/>
      <c r="F119" s="91"/>
      <c r="G119" s="90"/>
      <c r="H119" s="95"/>
      <c r="I119" s="14" t="s">
        <v>139</v>
      </c>
      <c r="J119" s="30">
        <f>(IF(B111&gt;2,(H111/(B111+2)+J118),0))</f>
        <v>0</v>
      </c>
    </row>
    <row r="120" spans="1:11" ht="15.75" customHeight="1" x14ac:dyDescent="0.35">
      <c r="A120" s="85" t="s">
        <v>127</v>
      </c>
      <c r="B120" s="86" t="s">
        <v>127</v>
      </c>
      <c r="C120" s="43">
        <v>0</v>
      </c>
      <c r="D120" s="19">
        <f ca="1">((100/H111)*C120)/100</f>
        <v>0</v>
      </c>
      <c r="E120" s="90"/>
      <c r="F120" s="91"/>
      <c r="G120" s="90"/>
      <c r="H120" s="95"/>
      <c r="I120" s="14" t="s">
        <v>140</v>
      </c>
      <c r="J120" s="31">
        <f>(IF(B111&gt;3,(H111/(B111+2)+J119),0))</f>
        <v>0</v>
      </c>
    </row>
    <row r="121" spans="1:11" ht="15.75" customHeight="1" x14ac:dyDescent="0.35">
      <c r="A121" s="85" t="s">
        <v>134</v>
      </c>
      <c r="B121" s="86"/>
      <c r="C121" s="43">
        <v>0</v>
      </c>
      <c r="D121" s="19">
        <f ca="1">((100/H111)*C121)/100</f>
        <v>0</v>
      </c>
      <c r="E121" s="90"/>
      <c r="F121" s="91"/>
      <c r="G121" s="90"/>
      <c r="H121" s="95"/>
      <c r="I121" s="14" t="s">
        <v>141</v>
      </c>
      <c r="J121" s="30">
        <f>(IF(B111&gt;4,(H111/(B111+2)+J120),0))</f>
        <v>0</v>
      </c>
    </row>
    <row r="122" spans="1:11" ht="15.75" customHeight="1" x14ac:dyDescent="0.35">
      <c r="A122" s="85" t="s">
        <v>129</v>
      </c>
      <c r="B122" s="86" t="s">
        <v>129</v>
      </c>
      <c r="C122" s="43">
        <v>0</v>
      </c>
      <c r="D122" s="19">
        <f ca="1">((100/(H111))*C122)/100</f>
        <v>0</v>
      </c>
      <c r="E122" s="90"/>
      <c r="F122" s="91"/>
      <c r="G122" s="90"/>
      <c r="H122" s="95"/>
      <c r="I122" s="14" t="s">
        <v>143</v>
      </c>
      <c r="J122" s="30">
        <f ca="1">(IF(B111=1,(H111/(B111+3)+J117),IF(B111=0,(H111/4+J117),IF(B111&gt;1,0))))</f>
        <v>40.5</v>
      </c>
    </row>
    <row r="123" spans="1:11" ht="16" thickBot="1" x14ac:dyDescent="0.4">
      <c r="A123" s="97" t="s">
        <v>130</v>
      </c>
      <c r="B123" s="98"/>
      <c r="C123" s="44">
        <v>0</v>
      </c>
      <c r="D123" s="20">
        <f ca="1">((100/(H111))*C123)/100</f>
        <v>0</v>
      </c>
      <c r="E123" s="92"/>
      <c r="F123" s="93"/>
      <c r="G123" s="92"/>
      <c r="H123" s="96"/>
      <c r="I123" s="15" t="s">
        <v>101</v>
      </c>
      <c r="J123" s="32">
        <f ca="1">(IF(B111&gt;1.5,(H111/(B111+2)+J117+MAX(0,J118-J117)+MAX(0,J119-J118)+MAX(0,J120-J119)+MAX(0,J121-J120)+MAX(0,J122-J121)),IF(B111=1,(H111/(B111+3)+J122),IF(B111=0,H111/4+J122))))</f>
        <v>54</v>
      </c>
    </row>
    <row r="124" spans="1:11" ht="15.75" customHeight="1" x14ac:dyDescent="0.35">
      <c r="A124" s="76" t="s">
        <v>136</v>
      </c>
      <c r="B124" s="77"/>
      <c r="C124" s="78" t="s">
        <v>292</v>
      </c>
      <c r="D124" s="79"/>
      <c r="E124" s="79"/>
      <c r="F124" s="79"/>
      <c r="G124" s="79"/>
      <c r="H124" s="80"/>
      <c r="I124" s="47" t="str">
        <f ca="1">IF(D137=100%,"All work Completed. Possession granted to the Building.",IF(D136=100%,"All work Completed, Waiting for OC",I125&amp;""&amp;I126&amp;""&amp;J125&amp;""&amp;J124&amp;" "&amp;J126))</f>
        <v>Excavation, Plinth Completed, RCC upto 44 Slab, Brickwork upto 43 Floor, Internal Plaster upto 34.4 Floor, External Plaster upto 34.4 Floor Completed</v>
      </c>
      <c r="J124" s="48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RCC upto 44 Slab, Brickwork upto 43 Floor, Internal Plaster upto 34.4 Floor, External Plaster upto 34.4 Floor</v>
      </c>
    </row>
    <row r="125" spans="1:11" s="23" customFormat="1" x14ac:dyDescent="0.35">
      <c r="A125" s="16" t="s">
        <v>138</v>
      </c>
      <c r="B125" s="54">
        <v>1</v>
      </c>
      <c r="C125" s="54" t="s">
        <v>70</v>
      </c>
      <c r="D125" s="54">
        <v>1</v>
      </c>
      <c r="E125" s="54" t="s">
        <v>69</v>
      </c>
      <c r="F125" s="54">
        <v>0</v>
      </c>
      <c r="G125" s="54" t="s">
        <v>77</v>
      </c>
      <c r="H125" s="17">
        <f ca="1">--TRIM(RIGHT(SUBSTITUTE(LEFT(C124,_xlfn.AGGREGATE(16,6,FIND({0,1,2,3,4,5,6,7,8,9},C124,ROW(INDIRECT("1:"&amp;LEN(C124)))),1))," ",REPT(" ",LEN(C124))),LEN(C124)))</f>
        <v>54</v>
      </c>
      <c r="I125" s="55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</v>
      </c>
      <c r="J125" s="56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1" ht="33" customHeight="1" x14ac:dyDescent="0.35">
      <c r="A126" s="81" t="s">
        <v>87</v>
      </c>
      <c r="B126" s="82"/>
      <c r="C126" s="83" t="str">
        <f ca="1">(IF($C$55=C124,"All work Completed. OC Received.",I124))</f>
        <v>Excavation, Plinth Completed, RCC upto 44 Slab, Brickwork upto 43 Floor, Internal Plaster upto 34.4 Floor, External Plaster upto 34.4 Floor Completed</v>
      </c>
      <c r="D126" s="83"/>
      <c r="E126" s="83"/>
      <c r="F126" s="83"/>
      <c r="G126" s="83"/>
      <c r="H126" s="84"/>
      <c r="I126" s="49" t="str">
        <f ca="1">IF(I125&lt;&gt;""," Completed","")</f>
        <v xml:space="preserve"> Completed</v>
      </c>
      <c r="J126" s="50" t="str">
        <f ca="1">IF(J124&lt;&gt;"","Completed","")</f>
        <v>Completed</v>
      </c>
    </row>
    <row r="127" spans="1:11" ht="15.75" customHeight="1" x14ac:dyDescent="0.35">
      <c r="A127" s="85" t="s">
        <v>47</v>
      </c>
      <c r="B127" s="86"/>
      <c r="C127" s="43" t="s">
        <v>135</v>
      </c>
      <c r="D127" s="43" t="s">
        <v>80</v>
      </c>
      <c r="E127" s="86" t="s">
        <v>82</v>
      </c>
      <c r="F127" s="86"/>
      <c r="G127" s="86" t="s">
        <v>81</v>
      </c>
      <c r="H127" s="87"/>
      <c r="I127" s="14" t="s">
        <v>137</v>
      </c>
      <c r="J127" s="28">
        <f ca="1">H125*25%</f>
        <v>13.5</v>
      </c>
    </row>
    <row r="128" spans="1:11" x14ac:dyDescent="0.35">
      <c r="A128" s="85" t="s">
        <v>124</v>
      </c>
      <c r="B128" s="86"/>
      <c r="C128" s="43">
        <f ca="1">J129</f>
        <v>54</v>
      </c>
      <c r="D128" s="19">
        <f ca="1">((100/H125)*C128)/100</f>
        <v>1</v>
      </c>
      <c r="E128" s="88">
        <f ca="1">(((C129/H125*10)+(40/(D125+F125+H125)*C130)+(7.5/(H125)*C131)+(7.5/(H125)*C132)+(10/H125*C133)+(10/H125*C134)+(5/H125*C135)+(5/H125*C136)+(5/H125*C137))/100)</f>
        <v>0.59120370370370368</v>
      </c>
      <c r="F128" s="89"/>
      <c r="G128" s="88">
        <f ca="1">((((C128/H125)*20)+((C129/H125)*25)+(30/(H125+F125+D125)*C130)+(5/H125*C131)+(5/H125*C132)+(5/H125*C133)+(5/H125*C134)+(0/H125*C135)+(0/H125*C136)+(5/H125*C137))/100)</f>
        <v>0.79351851851851862</v>
      </c>
      <c r="H128" s="94"/>
      <c r="I128" s="14" t="s">
        <v>97</v>
      </c>
      <c r="J128" s="29">
        <f ca="1">H125*50%</f>
        <v>27</v>
      </c>
      <c r="K128" s="21" t="s">
        <v>294</v>
      </c>
    </row>
    <row r="129" spans="1:10" x14ac:dyDescent="0.35">
      <c r="A129" s="85" t="s">
        <v>48</v>
      </c>
      <c r="B129" s="86"/>
      <c r="C129" s="57">
        <v>54</v>
      </c>
      <c r="D129" s="19">
        <f ca="1">((100/H125)*C129)/100</f>
        <v>1</v>
      </c>
      <c r="E129" s="90"/>
      <c r="F129" s="91"/>
      <c r="G129" s="90"/>
      <c r="H129" s="95"/>
      <c r="I129" s="14" t="s">
        <v>98</v>
      </c>
      <c r="J129" s="29">
        <f ca="1">H125</f>
        <v>54</v>
      </c>
    </row>
    <row r="130" spans="1:10" ht="15.75" customHeight="1" x14ac:dyDescent="0.35">
      <c r="A130" s="85" t="s">
        <v>125</v>
      </c>
      <c r="B130" s="86"/>
      <c r="C130" s="43">
        <v>44</v>
      </c>
      <c r="D130" s="19">
        <f ca="1">((100/(D125+F125+H125))*C130)/100</f>
        <v>0.8</v>
      </c>
      <c r="E130" s="90"/>
      <c r="F130" s="91"/>
      <c r="G130" s="90"/>
      <c r="H130" s="95"/>
      <c r="I130" s="14" t="s">
        <v>99</v>
      </c>
      <c r="J130" s="30">
        <f ca="1">(IF(B125&gt;1,(H125/(B125+2)),H125/4))</f>
        <v>13.5</v>
      </c>
    </row>
    <row r="131" spans="1:10" ht="15.75" customHeight="1" x14ac:dyDescent="0.35">
      <c r="A131" s="85" t="s">
        <v>132</v>
      </c>
      <c r="B131" s="86" t="s">
        <v>126</v>
      </c>
      <c r="C131" s="70">
        <f>C130-D125</f>
        <v>43</v>
      </c>
      <c r="D131" s="19">
        <f ca="1">((100/H125)*C131)/100</f>
        <v>0.79629629629629628</v>
      </c>
      <c r="E131" s="90"/>
      <c r="F131" s="91"/>
      <c r="G131" s="90"/>
      <c r="H131" s="95"/>
      <c r="I131" s="14" t="s">
        <v>100</v>
      </c>
      <c r="J131" s="30">
        <f ca="1">(IF(B125&gt;1,(H125/(B125+2)+J130),H125/4+J130))</f>
        <v>27</v>
      </c>
    </row>
    <row r="132" spans="1:10" ht="15.75" customHeight="1" x14ac:dyDescent="0.35">
      <c r="A132" s="85" t="s">
        <v>133</v>
      </c>
      <c r="B132" s="86" t="s">
        <v>126</v>
      </c>
      <c r="C132" s="57">
        <f>C131*0.8</f>
        <v>34.4</v>
      </c>
      <c r="D132" s="19">
        <f ca="1">((100/H125)*C132)/100</f>
        <v>0.63703703703703707</v>
      </c>
      <c r="E132" s="90"/>
      <c r="F132" s="91"/>
      <c r="G132" s="90"/>
      <c r="H132" s="95"/>
      <c r="I132" s="14" t="s">
        <v>142</v>
      </c>
      <c r="J132" s="30">
        <f>(IF(B125&gt;1,(H125/(B125+2)+J131),0))</f>
        <v>0</v>
      </c>
    </row>
    <row r="133" spans="1:10" ht="15" customHeight="1" x14ac:dyDescent="0.35">
      <c r="A133" s="85" t="s">
        <v>131</v>
      </c>
      <c r="B133" s="86" t="s">
        <v>128</v>
      </c>
      <c r="C133" s="57">
        <f>C131*0.8</f>
        <v>34.4</v>
      </c>
      <c r="D133" s="19">
        <f ca="1">((100/(H125))*C133)/100</f>
        <v>0.63703703703703707</v>
      </c>
      <c r="E133" s="90"/>
      <c r="F133" s="91"/>
      <c r="G133" s="90"/>
      <c r="H133" s="95"/>
      <c r="I133" s="14" t="s">
        <v>139</v>
      </c>
      <c r="J133" s="30">
        <f>(IF(B125&gt;2,(H125/(B125+2)+J132),0))</f>
        <v>0</v>
      </c>
    </row>
    <row r="134" spans="1:10" ht="15.75" customHeight="1" x14ac:dyDescent="0.35">
      <c r="A134" s="85" t="s">
        <v>127</v>
      </c>
      <c r="B134" s="86" t="s">
        <v>127</v>
      </c>
      <c r="C134" s="43">
        <v>0</v>
      </c>
      <c r="D134" s="19">
        <f ca="1">((100/H125)*C134)/100</f>
        <v>0</v>
      </c>
      <c r="E134" s="90"/>
      <c r="F134" s="91"/>
      <c r="G134" s="90"/>
      <c r="H134" s="95"/>
      <c r="I134" s="14" t="s">
        <v>140</v>
      </c>
      <c r="J134" s="31">
        <f>(IF(B125&gt;3,(H125/(B125+2)+J133),0))</f>
        <v>0</v>
      </c>
    </row>
    <row r="135" spans="1:10" ht="15.75" customHeight="1" x14ac:dyDescent="0.35">
      <c r="A135" s="85" t="s">
        <v>134</v>
      </c>
      <c r="B135" s="86"/>
      <c r="C135" s="43">
        <v>0</v>
      </c>
      <c r="D135" s="19">
        <f ca="1">((100/H125)*C135)/100</f>
        <v>0</v>
      </c>
      <c r="E135" s="90"/>
      <c r="F135" s="91"/>
      <c r="G135" s="90"/>
      <c r="H135" s="95"/>
      <c r="I135" s="14" t="s">
        <v>141</v>
      </c>
      <c r="J135" s="30">
        <f>(IF(B125&gt;4,(H125/(B125+2)+J134),0))</f>
        <v>0</v>
      </c>
    </row>
    <row r="136" spans="1:10" ht="15.75" customHeight="1" x14ac:dyDescent="0.35">
      <c r="A136" s="85" t="s">
        <v>129</v>
      </c>
      <c r="B136" s="86" t="s">
        <v>129</v>
      </c>
      <c r="C136" s="43">
        <v>0</v>
      </c>
      <c r="D136" s="19">
        <f ca="1">((100/(H125))*C136)/100</f>
        <v>0</v>
      </c>
      <c r="E136" s="90"/>
      <c r="F136" s="91"/>
      <c r="G136" s="90"/>
      <c r="H136" s="95"/>
      <c r="I136" s="14" t="s">
        <v>143</v>
      </c>
      <c r="J136" s="30">
        <f ca="1">(IF(B125=1,(H125/(B125+3)+J131),IF(B125=0,(H125/4+J131),IF(B125&gt;1,0))))</f>
        <v>40.5</v>
      </c>
    </row>
    <row r="137" spans="1:10" ht="16" thickBot="1" x14ac:dyDescent="0.4">
      <c r="A137" s="97" t="s">
        <v>130</v>
      </c>
      <c r="B137" s="98"/>
      <c r="C137" s="44">
        <v>0</v>
      </c>
      <c r="D137" s="20">
        <f ca="1">((100/(H125))*C137)/100</f>
        <v>0</v>
      </c>
      <c r="E137" s="92"/>
      <c r="F137" s="93"/>
      <c r="G137" s="92"/>
      <c r="H137" s="96"/>
      <c r="I137" s="15" t="s">
        <v>101</v>
      </c>
      <c r="J137" s="32">
        <f ca="1">(IF(B125&gt;1.5,(H125/(B125+2)+J131+MAX(0,J132-J131)+MAX(0,J133-J132)+MAX(0,J134-J133)+MAX(0,J135-J134)+MAX(0,J136-J135)),IF(B125=1,(H125/(B125+3)+J136),IF(B125=0,H125/4+J136))))</f>
        <v>54</v>
      </c>
    </row>
    <row r="138" spans="1:10" ht="15.75" customHeight="1" x14ac:dyDescent="0.35">
      <c r="A138" s="76" t="s">
        <v>136</v>
      </c>
      <c r="B138" s="77"/>
      <c r="C138" s="78" t="s">
        <v>293</v>
      </c>
      <c r="D138" s="79"/>
      <c r="E138" s="79"/>
      <c r="F138" s="79"/>
      <c r="G138" s="79"/>
      <c r="H138" s="80"/>
      <c r="I138" s="47" t="str">
        <f ca="1">IF(D151=100%,"All work Completed. Possession granted to the Building.",IF(D150=100%,"All work Completed, Waiting for OC",I139&amp;""&amp;I140&amp;""&amp;J139&amp;""&amp;J138&amp;" "&amp;J140))</f>
        <v>Excavation, Plinth Completed, RCC upto 54 Slab, Brickwork upto 53 Floor, Internal Plaster upto 42.4 Floor, External Plaster upto 42.4 Floor Completed</v>
      </c>
      <c r="J138" s="48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RCC upto 54 Slab, Brickwork upto 53 Floor, Internal Plaster upto 42.4 Floor, External Plaster upto 42.4 Floor</v>
      </c>
    </row>
    <row r="139" spans="1:10" s="23" customFormat="1" x14ac:dyDescent="0.35">
      <c r="A139" s="16" t="s">
        <v>138</v>
      </c>
      <c r="B139" s="73">
        <v>1</v>
      </c>
      <c r="C139" s="73" t="s">
        <v>70</v>
      </c>
      <c r="D139" s="73">
        <v>1</v>
      </c>
      <c r="E139" s="73" t="s">
        <v>69</v>
      </c>
      <c r="F139" s="73">
        <v>0</v>
      </c>
      <c r="G139" s="73" t="s">
        <v>77</v>
      </c>
      <c r="H139" s="17">
        <f ca="1">--TRIM(RIGHT(SUBSTITUTE(LEFT(C138,_xlfn.AGGREGATE(16,6,FIND({0,1,2,3,4,5,6,7,8,9},C138,ROW(INDIRECT("1:"&amp;LEN(C138)))),1))," ",REPT(" ",LEN(C138))),LEN(C138)))</f>
        <v>54</v>
      </c>
      <c r="I139" s="55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56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ht="34.5" customHeight="1" x14ac:dyDescent="0.35">
      <c r="A140" s="81" t="s">
        <v>87</v>
      </c>
      <c r="B140" s="82"/>
      <c r="C140" s="83" t="str">
        <f ca="1">(IF($C$55=C138,"All work Completed. OC Received.",I138))</f>
        <v>Excavation, Plinth Completed, RCC upto 54 Slab, Brickwork upto 53 Floor, Internal Plaster upto 42.4 Floor, External Plaster upto 42.4 Floor Completed</v>
      </c>
      <c r="D140" s="83"/>
      <c r="E140" s="83"/>
      <c r="F140" s="83"/>
      <c r="G140" s="83"/>
      <c r="H140" s="84"/>
      <c r="I140" s="49" t="str">
        <f ca="1">IF(I139&lt;&gt;""," Completed","")</f>
        <v xml:space="preserve"> Completed</v>
      </c>
      <c r="J140" s="50" t="str">
        <f ca="1">IF(J138&lt;&gt;"","Completed","")</f>
        <v>Completed</v>
      </c>
    </row>
    <row r="141" spans="1:10" ht="15.75" customHeight="1" x14ac:dyDescent="0.35">
      <c r="A141" s="85" t="s">
        <v>47</v>
      </c>
      <c r="B141" s="86"/>
      <c r="C141" s="72" t="s">
        <v>135</v>
      </c>
      <c r="D141" s="72" t="s">
        <v>80</v>
      </c>
      <c r="E141" s="86" t="s">
        <v>82</v>
      </c>
      <c r="F141" s="86"/>
      <c r="G141" s="86" t="s">
        <v>81</v>
      </c>
      <c r="H141" s="87"/>
      <c r="I141" s="14" t="s">
        <v>137</v>
      </c>
      <c r="J141" s="28">
        <f ca="1">H139*25%</f>
        <v>13.5</v>
      </c>
    </row>
    <row r="142" spans="1:10" x14ac:dyDescent="0.35">
      <c r="A142" s="85" t="s">
        <v>124</v>
      </c>
      <c r="B142" s="86"/>
      <c r="C142" s="72">
        <f ca="1">J143</f>
        <v>54</v>
      </c>
      <c r="D142" s="19">
        <f ca="1">((100/H139)*C142)/100</f>
        <v>1</v>
      </c>
      <c r="E142" s="88">
        <f ca="1">(((C143/H139*10)+(40/(D139+F139+H139)*C144)+(7.5/(H139)*C145)+(7.5/(H139)*C146)+(10/H139*C147)+(10/H139*C148)+(5/H139*C149)+(5/H139*C150)+(5/H139*C151))/100)</f>
        <v>0.70374579124579129</v>
      </c>
      <c r="F142" s="89"/>
      <c r="G142" s="88">
        <f ca="1">((((C142/H139)*20)+((C143/H139)*25)+(30/(H139+F139+D139)*C144)+(5/H139*C145)+(5/H139*C146)+(5/H139*C147)+(5/H139*C148)+(0/H139*C149)+(0/H139*C150)+(5/H139*C151))/100)</f>
        <v>0.8721380471380471</v>
      </c>
      <c r="H142" s="94"/>
      <c r="I142" s="14" t="s">
        <v>97</v>
      </c>
      <c r="J142" s="29">
        <f ca="1">H139*50%</f>
        <v>27</v>
      </c>
    </row>
    <row r="143" spans="1:10" x14ac:dyDescent="0.35">
      <c r="A143" s="85" t="s">
        <v>48</v>
      </c>
      <c r="B143" s="86"/>
      <c r="C143" s="57">
        <v>54</v>
      </c>
      <c r="D143" s="19">
        <f ca="1">((100/H139)*C143)/100</f>
        <v>1</v>
      </c>
      <c r="E143" s="90"/>
      <c r="F143" s="91"/>
      <c r="G143" s="90"/>
      <c r="H143" s="95"/>
      <c r="I143" s="14" t="s">
        <v>98</v>
      </c>
      <c r="J143" s="29">
        <f ca="1">H139</f>
        <v>54</v>
      </c>
    </row>
    <row r="144" spans="1:10" ht="15.75" customHeight="1" x14ac:dyDescent="0.35">
      <c r="A144" s="85" t="s">
        <v>125</v>
      </c>
      <c r="B144" s="86"/>
      <c r="C144" s="72">
        <v>54</v>
      </c>
      <c r="D144" s="19">
        <f ca="1">((100/(D139+F139+H139))*C144)/100</f>
        <v>0.9818181818181817</v>
      </c>
      <c r="E144" s="90"/>
      <c r="F144" s="91"/>
      <c r="G144" s="90"/>
      <c r="H144" s="95"/>
      <c r="I144" s="14" t="s">
        <v>99</v>
      </c>
      <c r="J144" s="30">
        <f ca="1">(IF(B139&gt;1,(H139/(B139+2)),H139/4))</f>
        <v>13.5</v>
      </c>
    </row>
    <row r="145" spans="1:12" ht="15.75" customHeight="1" x14ac:dyDescent="0.35">
      <c r="A145" s="85" t="s">
        <v>132</v>
      </c>
      <c r="B145" s="86" t="s">
        <v>126</v>
      </c>
      <c r="C145" s="72">
        <f>C144-D139</f>
        <v>53</v>
      </c>
      <c r="D145" s="19">
        <f ca="1">((100/H139)*C145)/100</f>
        <v>0.98148148148148151</v>
      </c>
      <c r="E145" s="90"/>
      <c r="F145" s="91"/>
      <c r="G145" s="90"/>
      <c r="H145" s="95"/>
      <c r="I145" s="14" t="s">
        <v>100</v>
      </c>
      <c r="J145" s="30">
        <f ca="1">(IF(B139&gt;1,(H139/(B139+2)+J144),H139/4+J144))</f>
        <v>27</v>
      </c>
    </row>
    <row r="146" spans="1:12" ht="15.75" customHeight="1" x14ac:dyDescent="0.35">
      <c r="A146" s="85" t="s">
        <v>133</v>
      </c>
      <c r="B146" s="86" t="s">
        <v>126</v>
      </c>
      <c r="C146" s="57">
        <f>C145*0.8</f>
        <v>42.400000000000006</v>
      </c>
      <c r="D146" s="19">
        <f ca="1">((100/H139)*C146)/100</f>
        <v>0.78518518518518532</v>
      </c>
      <c r="E146" s="90"/>
      <c r="F146" s="91"/>
      <c r="G146" s="90"/>
      <c r="H146" s="95"/>
      <c r="I146" s="14" t="s">
        <v>142</v>
      </c>
      <c r="J146" s="30">
        <f>(IF(B139&gt;1,(H139/(B139+2)+J145),0))</f>
        <v>0</v>
      </c>
    </row>
    <row r="147" spans="1:12" ht="15" customHeight="1" x14ac:dyDescent="0.35">
      <c r="A147" s="85" t="s">
        <v>131</v>
      </c>
      <c r="B147" s="86" t="s">
        <v>128</v>
      </c>
      <c r="C147" s="57">
        <f>C145*0.8</f>
        <v>42.400000000000006</v>
      </c>
      <c r="D147" s="19">
        <f ca="1">((100/(H139))*C147)/100</f>
        <v>0.78518518518518532</v>
      </c>
      <c r="E147" s="90"/>
      <c r="F147" s="91"/>
      <c r="G147" s="90"/>
      <c r="H147" s="95"/>
      <c r="I147" s="14" t="s">
        <v>139</v>
      </c>
      <c r="J147" s="30">
        <f>(IF(B139&gt;2,(H139/(B139+2)+J146),0))</f>
        <v>0</v>
      </c>
    </row>
    <row r="148" spans="1:12" ht="15.75" customHeight="1" x14ac:dyDescent="0.35">
      <c r="A148" s="85" t="s">
        <v>127</v>
      </c>
      <c r="B148" s="86" t="s">
        <v>127</v>
      </c>
      <c r="C148" s="72">
        <v>0</v>
      </c>
      <c r="D148" s="19">
        <f ca="1">((100/H139)*C148)/100</f>
        <v>0</v>
      </c>
      <c r="E148" s="90"/>
      <c r="F148" s="91"/>
      <c r="G148" s="90"/>
      <c r="H148" s="95"/>
      <c r="I148" s="14" t="s">
        <v>140</v>
      </c>
      <c r="J148" s="31">
        <f>(IF(B139&gt;3,(H139/(B139+2)+J147),0))</f>
        <v>0</v>
      </c>
    </row>
    <row r="149" spans="1:12" ht="15.75" customHeight="1" x14ac:dyDescent="0.35">
      <c r="A149" s="85" t="s">
        <v>134</v>
      </c>
      <c r="B149" s="86"/>
      <c r="C149" s="72">
        <v>0</v>
      </c>
      <c r="D149" s="19">
        <f ca="1">((100/H139)*C149)/100</f>
        <v>0</v>
      </c>
      <c r="E149" s="90"/>
      <c r="F149" s="91"/>
      <c r="G149" s="90"/>
      <c r="H149" s="95"/>
      <c r="I149" s="14" t="s">
        <v>141</v>
      </c>
      <c r="J149" s="30">
        <f>(IF(B139&gt;4,(H139/(B139+2)+J148),0))</f>
        <v>0</v>
      </c>
    </row>
    <row r="150" spans="1:12" ht="15.75" customHeight="1" x14ac:dyDescent="0.35">
      <c r="A150" s="85" t="s">
        <v>129</v>
      </c>
      <c r="B150" s="86" t="s">
        <v>129</v>
      </c>
      <c r="C150" s="72">
        <v>0</v>
      </c>
      <c r="D150" s="19">
        <f ca="1">((100/(H139))*C150)/100</f>
        <v>0</v>
      </c>
      <c r="E150" s="90"/>
      <c r="F150" s="91"/>
      <c r="G150" s="90"/>
      <c r="H150" s="95"/>
      <c r="I150" s="14" t="s">
        <v>143</v>
      </c>
      <c r="J150" s="30">
        <f ca="1">(IF(B139=1,(H139/(B139+3)+J145),IF(B139=0,(H139/4+J145),IF(B139&gt;1,0))))</f>
        <v>40.5</v>
      </c>
    </row>
    <row r="151" spans="1:12" ht="16" thickBot="1" x14ac:dyDescent="0.4">
      <c r="A151" s="97" t="s">
        <v>130</v>
      </c>
      <c r="B151" s="98"/>
      <c r="C151" s="71">
        <v>0</v>
      </c>
      <c r="D151" s="20">
        <f ca="1">((100/(H139))*C151)/100</f>
        <v>0</v>
      </c>
      <c r="E151" s="92"/>
      <c r="F151" s="93"/>
      <c r="G151" s="92"/>
      <c r="H151" s="96"/>
      <c r="I151" s="15" t="s">
        <v>101</v>
      </c>
      <c r="J151" s="32">
        <f ca="1">(IF(B139&gt;1.5,(H139/(B139+2)+J145+MAX(0,J146-J145)+MAX(0,J147-J146)+MAX(0,J148-J147)+MAX(0,J149-J148)+MAX(0,J150-J149)),IF(B139=1,(H139/(B139+3)+J150),IF(B139=0,H139/4+J150))))</f>
        <v>54</v>
      </c>
    </row>
    <row r="152" spans="1:12" x14ac:dyDescent="0.35">
      <c r="A152" s="213" t="s">
        <v>152</v>
      </c>
      <c r="B152" s="213"/>
      <c r="C152" s="213"/>
      <c r="D152" s="213"/>
      <c r="E152" s="213"/>
      <c r="F152" s="238" t="s">
        <v>154</v>
      </c>
      <c r="G152" s="238"/>
      <c r="H152" s="238"/>
    </row>
    <row r="153" spans="1:12" x14ac:dyDescent="0.35">
      <c r="A153" s="129" t="s">
        <v>153</v>
      </c>
      <c r="B153" s="129"/>
      <c r="C153" s="129"/>
      <c r="D153" s="129"/>
      <c r="E153" s="129"/>
      <c r="F153" s="141">
        <v>14500</v>
      </c>
      <c r="G153" s="141"/>
      <c r="H153" s="141"/>
      <c r="I153" s="58" t="s">
        <v>211</v>
      </c>
      <c r="J153" s="58" t="s">
        <v>209</v>
      </c>
      <c r="K153" s="58" t="s">
        <v>210</v>
      </c>
      <c r="L153" s="59">
        <v>44862</v>
      </c>
    </row>
    <row r="154" spans="1:12" s="33" customFormat="1" x14ac:dyDescent="0.3">
      <c r="A154" s="129" t="s">
        <v>212</v>
      </c>
      <c r="B154" s="129"/>
      <c r="C154" s="129"/>
      <c r="D154" s="129"/>
      <c r="E154" s="129"/>
      <c r="F154" s="168">
        <v>50</v>
      </c>
      <c r="G154" s="168"/>
      <c r="H154" s="168"/>
      <c r="I154" s="65" t="s">
        <v>268</v>
      </c>
      <c r="J154" s="65" t="s">
        <v>269</v>
      </c>
      <c r="K154" s="65" t="s">
        <v>270</v>
      </c>
      <c r="L154" s="66">
        <v>44979</v>
      </c>
    </row>
    <row r="155" spans="1:12" s="33" customFormat="1" hidden="1" x14ac:dyDescent="0.3">
      <c r="A155" s="129" t="s">
        <v>92</v>
      </c>
      <c r="B155" s="129"/>
      <c r="C155" s="129"/>
      <c r="D155" s="129"/>
      <c r="E155" s="129"/>
      <c r="F155" s="168"/>
      <c r="G155" s="168"/>
      <c r="H155" s="168"/>
    </row>
    <row r="156" spans="1:12" s="33" customFormat="1" x14ac:dyDescent="0.3">
      <c r="A156" s="129" t="s">
        <v>213</v>
      </c>
      <c r="B156" s="129"/>
      <c r="C156" s="129"/>
      <c r="D156" s="129"/>
      <c r="E156" s="129"/>
      <c r="F156" s="168">
        <v>534000</v>
      </c>
      <c r="G156" s="168"/>
      <c r="H156" s="168"/>
    </row>
    <row r="157" spans="1:12" s="33" customFormat="1" x14ac:dyDescent="0.3">
      <c r="A157" s="129" t="s">
        <v>214</v>
      </c>
      <c r="B157" s="129"/>
      <c r="C157" s="129"/>
      <c r="D157" s="129"/>
      <c r="E157" s="129"/>
      <c r="F157" s="168">
        <v>25000</v>
      </c>
      <c r="G157" s="168"/>
      <c r="H157" s="168"/>
    </row>
    <row r="158" spans="1:12" s="33" customFormat="1" hidden="1" x14ac:dyDescent="0.3">
      <c r="A158" s="129" t="s">
        <v>93</v>
      </c>
      <c r="B158" s="129"/>
      <c r="C158" s="129"/>
      <c r="D158" s="129"/>
      <c r="E158" s="129"/>
      <c r="F158" s="168"/>
      <c r="G158" s="168"/>
      <c r="H158" s="168"/>
    </row>
    <row r="159" spans="1:12" s="33" customFormat="1" x14ac:dyDescent="0.3">
      <c r="A159" s="129" t="s">
        <v>94</v>
      </c>
      <c r="B159" s="129"/>
      <c r="C159" s="129"/>
      <c r="D159" s="129"/>
      <c r="E159" s="129"/>
      <c r="F159" s="168">
        <v>75000</v>
      </c>
      <c r="G159" s="168"/>
      <c r="H159" s="168"/>
    </row>
    <row r="160" spans="1:12" s="33" customFormat="1" hidden="1" x14ac:dyDescent="0.3">
      <c r="A160" s="129" t="s">
        <v>95</v>
      </c>
      <c r="B160" s="129"/>
      <c r="C160" s="129"/>
      <c r="D160" s="129"/>
      <c r="E160" s="129"/>
      <c r="F160" s="168"/>
      <c r="G160" s="168"/>
      <c r="H160" s="168"/>
    </row>
    <row r="161" spans="1:9" s="33" customFormat="1" hidden="1" x14ac:dyDescent="0.3">
      <c r="A161" s="129" t="s">
        <v>96</v>
      </c>
      <c r="B161" s="129"/>
      <c r="C161" s="129"/>
      <c r="D161" s="129"/>
      <c r="E161" s="129"/>
      <c r="F161" s="168"/>
      <c r="G161" s="168"/>
      <c r="H161" s="168"/>
    </row>
    <row r="162" spans="1:9" x14ac:dyDescent="0.35">
      <c r="A162" s="129" t="s">
        <v>49</v>
      </c>
      <c r="B162" s="129"/>
      <c r="C162" s="129"/>
      <c r="D162" s="129"/>
      <c r="E162" s="129"/>
      <c r="F162" s="168">
        <v>1000000</v>
      </c>
      <c r="G162" s="168"/>
      <c r="H162" s="168"/>
      <c r="I162" s="21">
        <f>19500/1.6</f>
        <v>12187.5</v>
      </c>
    </row>
    <row r="163" spans="1:9" s="34" customFormat="1" x14ac:dyDescent="0.35">
      <c r="A163" s="169" t="s">
        <v>50</v>
      </c>
      <c r="B163" s="169"/>
      <c r="C163" s="169"/>
      <c r="D163" s="169"/>
      <c r="E163" s="169"/>
      <c r="F163" s="168">
        <f>F153*0.8</f>
        <v>11600</v>
      </c>
      <c r="G163" s="168"/>
      <c r="H163" s="168"/>
    </row>
    <row r="164" spans="1:9" s="35" customFormat="1" x14ac:dyDescent="0.35">
      <c r="A164" s="172" t="s">
        <v>199</v>
      </c>
      <c r="B164" s="172"/>
      <c r="C164" s="172"/>
      <c r="D164" s="172"/>
      <c r="E164" s="172"/>
      <c r="F164" s="172"/>
      <c r="G164" s="172"/>
      <c r="H164" s="172"/>
    </row>
    <row r="165" spans="1:9" s="35" customFormat="1" ht="15.75" customHeight="1" x14ac:dyDescent="0.35">
      <c r="A165" s="132" t="s">
        <v>51</v>
      </c>
      <c r="B165" s="132"/>
      <c r="C165" s="185" t="s">
        <v>75</v>
      </c>
      <c r="D165" s="185"/>
      <c r="E165" s="173" t="s">
        <v>52</v>
      </c>
      <c r="F165" s="173"/>
      <c r="G165" s="132" t="s">
        <v>53</v>
      </c>
      <c r="H165" s="132"/>
    </row>
    <row r="166" spans="1:9" s="35" customFormat="1" x14ac:dyDescent="0.35">
      <c r="A166" s="171" t="s">
        <v>181</v>
      </c>
      <c r="B166" s="171"/>
      <c r="C166" s="211">
        <f>COUNT(D183:D185)+COUNT(D187:D189,D192)+COUNT(D194:D196,D199)+COUNT(D201:D203,D206)+COUNT(D208:D209,D213)+COUNT(D216:D217)+COUNT(D219:D220)+COUNT(D222:D223,D226:D227)+COUNT(D229:D234)+COUNT(D236:D241)+COUNT(D243:D248)*31+COUNT(D251:D256)*5+COUNT(D260:D263)*5+COUNT(D266:D270)</f>
        <v>279</v>
      </c>
      <c r="D166" s="211"/>
      <c r="E166" s="211">
        <f>SUM(D183:D185)+SUM(D187:D189,D192)+SUM(D194:D196,D199)+SUM(D201:D203,D206)+SUM(D208:D209,D213)+SUM(D216:D217)+SUM(D219:D220)+SUM(D222:D223,D226:D227)+SUM(D229:D234)+SUM(D236:D241)+SUM(D243:D248)*31+SUM(D251:D256)*5+SUM(D260:D263)*5+SUM(D266:D270)</f>
        <v>246549.09707999998</v>
      </c>
      <c r="F166" s="211"/>
      <c r="G166" s="211">
        <f>SUM(F183:F185)+SUM(F187:F189,F192)+SUM(F194:F196,F199)+SUM(F201:F203,F206)+SUM(F208:F209,F213)+SUM(F216:F217)+SUM(F219:F220)+SUM(F222:F223,F226:F227)+SUM(F229:F234)+SUM(F236:F241)+SUM(F243:F248)*31+SUM(F251:F256)*5+SUM(F260:F263)*5+SUM(F266:F270)</f>
        <v>394478.55532799993</v>
      </c>
      <c r="H166" s="211"/>
    </row>
    <row r="167" spans="1:9" s="35" customFormat="1" x14ac:dyDescent="0.35">
      <c r="A167" s="171" t="s">
        <v>194</v>
      </c>
      <c r="B167" s="171"/>
      <c r="C167" s="211">
        <f>COUNT(D277:D278)+COUNT(D280:D282,D285)+COUNT(D287:D289,D292)+COUNT(D294:D296,D299)+COUNT(D301:D303,D306)+COUNT(D309:D310)+COUNT(D312:D313)+COUNT(D315:D320)+COUNT(D322:D327)+COUNT(D329:D334)+COUNT(D336:D341)*31+COUNT(D344:D349)*5+COUNT(D353:D356)*5+COUNT(D358,D360:D363)</f>
        <v>281</v>
      </c>
      <c r="D167" s="211"/>
      <c r="E167" s="211">
        <f>SUM(D277:D278)+SUM(D280:D282,D285)+SUM(D287:D289,D292)+SUM(D294:D296,D299)+SUM(D301:D303,D306)+SUM(D309:D310)+SUM(D312:D313)+SUM(D315:D320)+SUM(D322:D327)+SUM(D329:D334)+SUM(D336:D341)*31+SUM(D344:D349)*5+SUM(D353:D356)*5+SUM(D358,D360:D363)</f>
        <v>242461.03751999998</v>
      </c>
      <c r="F167" s="211"/>
      <c r="G167" s="211">
        <f>SUM(F277:F278)+SUM(F280:F282,F285)+SUM(F287:F289,F292)+SUM(F294:F296,F299)+SUM(F301:F303,F306)+SUM(F309:F310)+SUM(F312:F313)+SUM(F315:F320)+SUM(F322:F327)+SUM(F329:F334)+SUM(F336:F341)*31+SUM(F344:F349)*5+SUM(F353:F356)*5+SUM(F358,F360:F363)</f>
        <v>387937.66003199999</v>
      </c>
      <c r="H167" s="211"/>
    </row>
    <row r="168" spans="1:9" s="35" customFormat="1" x14ac:dyDescent="0.35">
      <c r="A168" s="171" t="s">
        <v>198</v>
      </c>
      <c r="B168" s="171"/>
      <c r="C168" s="211">
        <f>COUNT(D370:D371)+COUNT(D373:D374,D378)+COUNT(D380:D381,D385)+COUNT(D387:D388,D392)+COUNT(D394:D395,D399)+COUNT(D402:D403)+COUNT(D405:D406)+COUNT(D408:D413)+COUNT(D415:D420)+COUNT(D422:D427)+COUNT(D429:D434)*31+COUNT(D437:D442)*5+COUNT(D446:D449)*5+COUNT(D451,D453:D456)</f>
        <v>277</v>
      </c>
      <c r="D168" s="211"/>
      <c r="E168" s="211">
        <f>SUM(D370:D371)+SUM(D373:D374,D378)+SUM(D380:D381,D385)+SUM(D387:D388,D392)+SUM(D394:D395,D399)+SUM(D402:D403)+SUM(D405:D406)+SUM(D408:D413)+SUM(D415:D420)+SUM(D422:D427)+SUM(D429:D434)*31+SUM(D437:D442)*5+SUM(D446:D449)*5+SUM(D451,D453:D456)</f>
        <v>252487.91879999996</v>
      </c>
      <c r="F168" s="211"/>
      <c r="G168" s="211">
        <f>SUM(F370:F371)+SUM(F373:F374,F378)+SUM(F380:F381,F385)+SUM(F387:F388,F392)+SUM(F394:F395,F399)+SUM(F402:F403)+SUM(F405:F406)+SUM(F408:F413)+SUM(F415:F420)+SUM(F422:F427)+SUM(F429:F434)*31+SUM(F437:F442)*5+SUM(F446:F449)*5+SUM(F451,F453:F456)</f>
        <v>403980.67008000007</v>
      </c>
      <c r="H168" s="211"/>
      <c r="I168" s="35">
        <f>77-8</f>
        <v>69</v>
      </c>
    </row>
    <row r="169" spans="1:9" s="35" customFormat="1" x14ac:dyDescent="0.35">
      <c r="A169" s="171" t="s">
        <v>233</v>
      </c>
      <c r="B169" s="171"/>
      <c r="C169" s="211">
        <f>COUNT(D462:D463)+COUNT(D465:D466,D470)+COUNT(D472:D473,D477)+COUNT(D479:D480,D484)+COUNT(D486:D487,D491)+COUNT(D493:D494,D498)+COUNT(D503:D506)+COUNT(D508:D509,D511:D512)+COUNT(D514:D519)*31+COUNT(D522:D527)*5+COUNT(D531:D534)*5+COUNT(D537:D541)</f>
        <v>266</v>
      </c>
      <c r="D169" s="211"/>
      <c r="E169" s="211">
        <f>SUM(D462:D463)+SUM(D465:D466,D470)+SUM(D472:D473,D477)+SUM(D479:D480,D484)+SUM(D486:D487,D491)+SUM(D493:D494,D498)+SUM(D503:D506)+SUM(D508:D509,D511:D512)+SUM(D514:D519)*31+SUM(D522:D527)*5+SUM(D531:D534)*5+SUM(D537:D541)</f>
        <v>243301.2916868352</v>
      </c>
      <c r="F169" s="211"/>
      <c r="G169" s="211">
        <f>SUM(F462:F463)+SUM(F465:F466,F470)+SUM(F472:F473,F477)+SUM(F479:F480,F484)+SUM(F486:F487,F491)+SUM(F493:F494,F498)+SUM(F503:F506)+SUM(F508:F509,F511:F512)+SUM(F514:F519)*31+SUM(F522:F527)*5+SUM(F531:F534)*5+SUM(F537:F541)</f>
        <v>389282.06669893628</v>
      </c>
      <c r="H169" s="211"/>
    </row>
    <row r="170" spans="1:9" s="35" customFormat="1" x14ac:dyDescent="0.35">
      <c r="A170" s="171" t="s">
        <v>243</v>
      </c>
      <c r="B170" s="171"/>
      <c r="C170" s="211">
        <f>COUNT(D547:D548)+COUNT(D550:D552,D555)+COUNT(D557:D559,D562)+COUNT(D564:D566,D569)+COUNT(D571:D573,D576)+COUNT(D578:D580,D583)+COUNT(D588:D591)+COUNT(D593:D598)+COUNT(D600:D605)*31+COUNT(D608:D613)*5+COUNT(D617:D620)*5+COUNT(D622,D624:D627)</f>
        <v>273</v>
      </c>
      <c r="D170" s="211"/>
      <c r="E170" s="211">
        <f>SUM(D547:D548)+SUM(D550:D552,D555)+SUM(D557:D559,D562)+SUM(D564:D566,D569)+SUM(D571:D573,D576)+SUM(D578:D580,D583)+SUM(D588:D591)+SUM(D593:D598)+SUM(D600:D605)*31+SUM(D608:D613)*5+SUM(D617:D620)*5+SUM(D622,D624:D627)</f>
        <v>227182.18858919997</v>
      </c>
      <c r="F170" s="211"/>
      <c r="G170" s="211">
        <f>SUM(F547:F548)+SUM(F550:F552,F555)+SUM(F557:F559,F562)+SUM(F564:F566,F569)+SUM(F571:F573,F576)+SUM(F578:F580,F583)+SUM(F588:F591)+SUM(F593:F598)+SUM(F600:F605)*31+SUM(F608:F613)*5+SUM(F617:F620)*5+SUM(F622,F624:F627)</f>
        <v>363491.50174271996</v>
      </c>
      <c r="H170" s="211"/>
    </row>
    <row r="171" spans="1:9" s="35" customFormat="1" x14ac:dyDescent="0.35">
      <c r="A171" s="171" t="s">
        <v>244</v>
      </c>
      <c r="B171" s="171"/>
      <c r="C171" s="211">
        <f>COUNT(D633)+COUNT(D635:D636)+COUNT(D638:D639)+COUNT(D641:D642)+COUNT(D644:D645)+COUNT(D647:D648)+COUNT(D652:D655)+COUNT(D657:D658,D660:D661)+COUNT(D663:D668)*31+COUNT(D671:D676)*5+COUNT(D680:D683)*5+COUNT(D685,D687:D690)</f>
        <v>260</v>
      </c>
      <c r="D171" s="211"/>
      <c r="E171" s="211">
        <f t="shared" ref="E171" si="0">SUM(D633)+SUM(D635:D636)+SUM(D638:D639)+SUM(D641:D642)+SUM(D644:D645)+SUM(D647:D648)+SUM(D652:D655)+SUM(D657:D658,D660:D661)+SUM(D663:D668)*31+SUM(D671:D676)*5+SUM(D680:D683)*5+SUM(D685,D687:D690)</f>
        <v>218959.34940359998</v>
      </c>
      <c r="F171" s="211"/>
      <c r="G171" s="211">
        <f>SUM(F633)+SUM(F635:F636)+SUM(F638:F639)+SUM(F641:F642)+SUM(F644:F645)+SUM(F647:F648)+SUM(F652:F655)+SUM(F657:F658,F660:F661)+SUM(F663:F668)*31+SUM(F671:F676)*5+SUM(F680:F683)*5+SUM(F685,F687:F690)</f>
        <v>350334.95904575993</v>
      </c>
      <c r="H171" s="211"/>
    </row>
    <row r="172" spans="1:9" s="35" customFormat="1" x14ac:dyDescent="0.35">
      <c r="A172" s="172" t="s">
        <v>146</v>
      </c>
      <c r="B172" s="172"/>
      <c r="C172" s="184">
        <f>SUM(C166:C171)</f>
        <v>1636</v>
      </c>
      <c r="D172" s="185"/>
      <c r="E172" s="186">
        <f>SUM(E166:E171)</f>
        <v>1430940.8830796352</v>
      </c>
      <c r="F172" s="173"/>
      <c r="G172" s="132">
        <f>SUM(G166:G171)</f>
        <v>2289505.4129274162</v>
      </c>
      <c r="H172" s="132"/>
    </row>
    <row r="173" spans="1:9" s="34" customFormat="1" x14ac:dyDescent="0.35">
      <c r="A173" s="174" t="s">
        <v>54</v>
      </c>
      <c r="B173" s="174"/>
      <c r="C173" s="174"/>
      <c r="D173" s="174"/>
      <c r="E173" s="174"/>
      <c r="F173" s="174"/>
      <c r="G173" s="174"/>
      <c r="H173" s="174"/>
    </row>
    <row r="174" spans="1:9" x14ac:dyDescent="0.35">
      <c r="A174" s="174" t="s">
        <v>55</v>
      </c>
      <c r="B174" s="174"/>
      <c r="C174" s="174"/>
      <c r="D174" s="174"/>
      <c r="E174" s="174"/>
      <c r="F174" s="174"/>
      <c r="G174" s="174"/>
      <c r="H174" s="174"/>
    </row>
    <row r="175" spans="1:9" ht="47.25" customHeight="1" x14ac:dyDescent="0.35">
      <c r="A175" s="137" t="s">
        <v>115</v>
      </c>
      <c r="B175" s="137" t="s">
        <v>116</v>
      </c>
      <c r="C175" s="133" t="s">
        <v>56</v>
      </c>
      <c r="D175" s="133" t="s">
        <v>57</v>
      </c>
      <c r="E175" s="135" t="s">
        <v>58</v>
      </c>
      <c r="F175" s="42" t="s">
        <v>145</v>
      </c>
      <c r="G175" s="137" t="s">
        <v>59</v>
      </c>
      <c r="H175" s="138"/>
      <c r="I175" s="36"/>
    </row>
    <row r="176" spans="1:9" s="46" customFormat="1" x14ac:dyDescent="0.35">
      <c r="A176" s="139"/>
      <c r="B176" s="139"/>
      <c r="C176" s="134"/>
      <c r="D176" s="134"/>
      <c r="E176" s="136"/>
      <c r="F176" s="13">
        <v>0.6</v>
      </c>
      <c r="G176" s="139"/>
      <c r="H176" s="140"/>
      <c r="I176" s="36"/>
    </row>
    <row r="177" spans="1:14" s="46" customFormat="1" x14ac:dyDescent="0.35">
      <c r="A177" s="181" t="s">
        <v>181</v>
      </c>
      <c r="B177" s="182"/>
      <c r="C177" s="182"/>
      <c r="D177" s="182"/>
      <c r="E177" s="182"/>
      <c r="F177" s="182"/>
      <c r="G177" s="182"/>
      <c r="H177" s="183"/>
      <c r="J177" s="36"/>
    </row>
    <row r="178" spans="1:14" s="46" customFormat="1" x14ac:dyDescent="0.35">
      <c r="A178" s="181" t="s">
        <v>222</v>
      </c>
      <c r="B178" s="182"/>
      <c r="C178" s="182"/>
      <c r="D178" s="182"/>
      <c r="E178" s="182"/>
      <c r="F178" s="182"/>
      <c r="G178" s="182"/>
      <c r="H178" s="183"/>
      <c r="J178" s="36"/>
    </row>
    <row r="179" spans="1:14" s="46" customFormat="1" x14ac:dyDescent="0.35">
      <c r="A179" s="181" t="s">
        <v>182</v>
      </c>
      <c r="B179" s="182"/>
      <c r="C179" s="182"/>
      <c r="D179" s="182"/>
      <c r="E179" s="182"/>
      <c r="F179" s="182"/>
      <c r="G179" s="182"/>
      <c r="H179" s="183"/>
      <c r="J179" s="36"/>
    </row>
    <row r="180" spans="1:14" s="46" customFormat="1" x14ac:dyDescent="0.35">
      <c r="A180" s="181" t="s">
        <v>183</v>
      </c>
      <c r="B180" s="182"/>
      <c r="C180" s="182"/>
      <c r="D180" s="182"/>
      <c r="E180" s="182"/>
      <c r="F180" s="182"/>
      <c r="G180" s="182"/>
      <c r="H180" s="183"/>
      <c r="J180" s="36"/>
    </row>
    <row r="181" spans="1:14" s="46" customFormat="1" x14ac:dyDescent="0.35">
      <c r="A181" s="181" t="s">
        <v>216</v>
      </c>
      <c r="B181" s="182"/>
      <c r="C181" s="182"/>
      <c r="D181" s="182"/>
      <c r="E181" s="182"/>
      <c r="F181" s="182"/>
      <c r="G181" s="182"/>
      <c r="H181" s="183"/>
      <c r="J181" s="36"/>
    </row>
    <row r="182" spans="1:14" s="46" customFormat="1" x14ac:dyDescent="0.35">
      <c r="A182" s="181" t="s">
        <v>185</v>
      </c>
      <c r="B182" s="182"/>
      <c r="C182" s="182"/>
      <c r="D182" s="182"/>
      <c r="E182" s="182"/>
      <c r="F182" s="182"/>
      <c r="G182" s="182"/>
      <c r="H182" s="183"/>
      <c r="J182" s="36"/>
    </row>
    <row r="183" spans="1:14" s="46" customFormat="1" ht="15.75" customHeight="1" x14ac:dyDescent="0.35">
      <c r="A183" s="214">
        <v>1</v>
      </c>
      <c r="B183" s="215"/>
      <c r="C183" s="52">
        <v>3</v>
      </c>
      <c r="D183" s="41">
        <f>94.82*10.764</f>
        <v>1020.6424799999999</v>
      </c>
      <c r="E183" s="41">
        <v>0</v>
      </c>
      <c r="F183" s="41">
        <f>D183*(($F$176)+1)+(IF(E183&lt;101,E183,IF(E183&lt;201,E183/2,IF(E183&lt;=301,E183/3,E183/4))))</f>
        <v>1633.0279679999999</v>
      </c>
      <c r="G183" s="175" t="str">
        <f>A182</f>
        <v>3rd Podium Floor For Parking &amp; Residential</v>
      </c>
      <c r="H183" s="176"/>
      <c r="I183" s="36"/>
      <c r="J183" s="46">
        <f>2.44*1.22+3.18*5.51+2.99*0.99+3.1*2.44+3.05*3.36+3.36*4.27+2.75*1.53+3.33*3.39+1.55*2.44+2.44*1.53+4*0.9+1.22*1.98</f>
        <v>84.644899999999978</v>
      </c>
      <c r="K183" s="46">
        <f>3.6*1.61</f>
        <v>5.7960000000000003</v>
      </c>
      <c r="L183" s="220"/>
      <c r="M183" s="220"/>
      <c r="N183" s="36"/>
    </row>
    <row r="184" spans="1:14" s="46" customFormat="1" ht="15.75" customHeight="1" x14ac:dyDescent="0.35">
      <c r="A184" s="214">
        <f t="shared" ref="A184:A185" si="1">A183+1</f>
        <v>2</v>
      </c>
      <c r="B184" s="215"/>
      <c r="C184" s="52">
        <v>3</v>
      </c>
      <c r="D184" s="41">
        <f>94.82*10.764</f>
        <v>1020.6424799999999</v>
      </c>
      <c r="E184" s="41">
        <v>0</v>
      </c>
      <c r="F184" s="41">
        <f>D184*(($F$176)+1)+(IF(E184&lt;101,E184,IF(E184&lt;201,E184/2,IF(E184&lt;=301,E184/3,E184/4))))</f>
        <v>1633.0279679999999</v>
      </c>
      <c r="G184" s="177"/>
      <c r="H184" s="178"/>
      <c r="I184" s="36"/>
      <c r="K184" s="46">
        <f>J183+K183</f>
        <v>90.440899999999985</v>
      </c>
      <c r="L184" s="220"/>
      <c r="M184" s="220"/>
      <c r="N184" s="36"/>
    </row>
    <row r="185" spans="1:14" s="46" customFormat="1" ht="15.75" customHeight="1" x14ac:dyDescent="0.35">
      <c r="A185" s="214">
        <f t="shared" si="1"/>
        <v>3</v>
      </c>
      <c r="B185" s="215"/>
      <c r="C185" s="52">
        <v>3</v>
      </c>
      <c r="D185" s="41">
        <f>81.94*10.764</f>
        <v>882.00215999999989</v>
      </c>
      <c r="E185" s="41">
        <v>0</v>
      </c>
      <c r="F185" s="41">
        <f>D185*(($F$176)+1)+(IF(E185&lt;101,E185,IF(E185&lt;201,E185/2,IF(E185&lt;=301,E185/3,E185/4))))</f>
        <v>1411.203456</v>
      </c>
      <c r="G185" s="179"/>
      <c r="H185" s="180"/>
      <c r="I185" s="36"/>
      <c r="L185" s="220"/>
      <c r="M185" s="220"/>
      <c r="N185" s="36"/>
    </row>
    <row r="186" spans="1:14" s="46" customFormat="1" x14ac:dyDescent="0.35">
      <c r="A186" s="170" t="s">
        <v>186</v>
      </c>
      <c r="B186" s="170"/>
      <c r="C186" s="170"/>
      <c r="D186" s="170"/>
      <c r="E186" s="170"/>
      <c r="F186" s="170"/>
      <c r="G186" s="170"/>
      <c r="H186" s="170"/>
      <c r="I186" s="36"/>
      <c r="L186" s="220"/>
      <c r="M186" s="220"/>
    </row>
    <row r="187" spans="1:14" s="46" customFormat="1" ht="15.75" customHeight="1" x14ac:dyDescent="0.35">
      <c r="A187" s="131">
        <v>1</v>
      </c>
      <c r="B187" s="131"/>
      <c r="C187" s="52">
        <v>3</v>
      </c>
      <c r="D187" s="41">
        <f>94.82*10.764</f>
        <v>1020.6424799999999</v>
      </c>
      <c r="E187" s="41">
        <v>0</v>
      </c>
      <c r="F187" s="41">
        <f t="shared" ref="F187:F188" si="2">D187*(($F$176)+1)+(IF(E187&lt;101,E187,IF(E187&lt;201,E187/2,IF(E187&lt;=301,E187/3,E187/4))))</f>
        <v>1633.0279679999999</v>
      </c>
      <c r="G187" s="175" t="str">
        <f>A186</f>
        <v>4th Podium Floor For Parking &amp; Residential</v>
      </c>
      <c r="H187" s="176"/>
      <c r="I187" s="36"/>
      <c r="N187" s="36"/>
    </row>
    <row r="188" spans="1:14" s="46" customFormat="1" ht="15.75" customHeight="1" x14ac:dyDescent="0.35">
      <c r="A188" s="131">
        <f>A187+1</f>
        <v>2</v>
      </c>
      <c r="B188" s="131"/>
      <c r="C188" s="52">
        <v>3</v>
      </c>
      <c r="D188" s="41">
        <f>94.82*10.764</f>
        <v>1020.6424799999999</v>
      </c>
      <c r="E188" s="41">
        <v>0</v>
      </c>
      <c r="F188" s="41">
        <f t="shared" si="2"/>
        <v>1633.0279679999999</v>
      </c>
      <c r="G188" s="177"/>
      <c r="H188" s="178"/>
      <c r="I188" s="36"/>
      <c r="L188" s="53"/>
      <c r="N188" s="36"/>
    </row>
    <row r="189" spans="1:14" s="46" customFormat="1" ht="15.75" customHeight="1" x14ac:dyDescent="0.35">
      <c r="A189" s="131">
        <f>A188+1</f>
        <v>3</v>
      </c>
      <c r="B189" s="131"/>
      <c r="C189" s="52">
        <v>3</v>
      </c>
      <c r="D189" s="41">
        <f>81.94*10.764</f>
        <v>882.00215999999989</v>
      </c>
      <c r="E189" s="41">
        <v>0</v>
      </c>
      <c r="F189" s="41">
        <f>D189*(($F$176)+1)+(IF(E189&lt;101,E189,IF(E189&lt;201,E189/2,IF(E189&lt;=301,E189/3,E189/4))))</f>
        <v>1411.203456</v>
      </c>
      <c r="G189" s="177"/>
      <c r="H189" s="178"/>
      <c r="I189" s="36"/>
      <c r="N189" s="36"/>
    </row>
    <row r="190" spans="1:14" s="46" customFormat="1" ht="15.75" customHeight="1" x14ac:dyDescent="0.35">
      <c r="A190" s="131">
        <f>A189+1</f>
        <v>4</v>
      </c>
      <c r="B190" s="131"/>
      <c r="C190" s="221" t="s">
        <v>187</v>
      </c>
      <c r="D190" s="222"/>
      <c r="E190" s="222"/>
      <c r="F190" s="223"/>
      <c r="G190" s="177"/>
      <c r="H190" s="178"/>
      <c r="I190" s="36"/>
      <c r="N190" s="36"/>
    </row>
    <row r="191" spans="1:14" s="46" customFormat="1" ht="15.75" customHeight="1" x14ac:dyDescent="0.35">
      <c r="A191" s="131">
        <f>A190+1</f>
        <v>5</v>
      </c>
      <c r="B191" s="131"/>
      <c r="C191" s="224" t="s">
        <v>187</v>
      </c>
      <c r="D191" s="225"/>
      <c r="E191" s="225"/>
      <c r="F191" s="226"/>
      <c r="G191" s="177"/>
      <c r="H191" s="178"/>
      <c r="I191" s="36"/>
      <c r="N191" s="36"/>
    </row>
    <row r="192" spans="1:14" s="46" customFormat="1" ht="15.75" customHeight="1" x14ac:dyDescent="0.35">
      <c r="A192" s="131">
        <v>6</v>
      </c>
      <c r="B192" s="131"/>
      <c r="C192" s="52">
        <v>2</v>
      </c>
      <c r="D192" s="41">
        <f>67.35*10.764</f>
        <v>724.95539999999994</v>
      </c>
      <c r="E192" s="41">
        <v>0</v>
      </c>
      <c r="F192" s="41">
        <f>D192*(($F$176)+1)+(IF(E192&lt;101,E192,IF(E192&lt;201,E192/2,IF(E192&lt;=301,E192/3,E192/4))))</f>
        <v>1159.9286399999999</v>
      </c>
      <c r="G192" s="179"/>
      <c r="H192" s="180"/>
      <c r="I192" s="36"/>
      <c r="J192" s="46">
        <f>2.96*1.1+3.05*5.57+3.05*3.2+4.2*3.05+1.53*2.44+1.53*2.44+2*1</f>
        <v>52.280900000000003</v>
      </c>
      <c r="K192" s="46">
        <f>1.69*1.35</f>
        <v>2.2814999999999999</v>
      </c>
      <c r="L192" s="46">
        <f>1.2*(3.05+3.05+3.2)</f>
        <v>11.16</v>
      </c>
      <c r="N192" s="36"/>
    </row>
    <row r="193" spans="1:14" s="46" customFormat="1" x14ac:dyDescent="0.35">
      <c r="A193" s="170" t="s">
        <v>188</v>
      </c>
      <c r="B193" s="170"/>
      <c r="C193" s="170"/>
      <c r="D193" s="170"/>
      <c r="E193" s="170"/>
      <c r="F193" s="170"/>
      <c r="G193" s="170"/>
      <c r="H193" s="170"/>
      <c r="I193" s="36"/>
      <c r="K193" s="46">
        <f>J192+K192+L192</f>
        <v>65.722400000000007</v>
      </c>
      <c r="L193" s="220"/>
      <c r="M193" s="220"/>
    </row>
    <row r="194" spans="1:14" s="46" customFormat="1" ht="15.75" customHeight="1" x14ac:dyDescent="0.35">
      <c r="A194" s="131">
        <v>1</v>
      </c>
      <c r="B194" s="131"/>
      <c r="C194" s="52">
        <v>3</v>
      </c>
      <c r="D194" s="41">
        <f>94.82*10.764</f>
        <v>1020.6424799999999</v>
      </c>
      <c r="E194" s="41">
        <v>0</v>
      </c>
      <c r="F194" s="41">
        <f t="shared" ref="F194:F195" si="3">D194*(($F$176)+1)+(IF(E194&lt;101,E194,IF(E194&lt;201,E194/2,IF(E194&lt;=301,E194/3,E194/4))))</f>
        <v>1633.0279679999999</v>
      </c>
      <c r="G194" s="175" t="str">
        <f>A193</f>
        <v>5th Podium Floor For Parking &amp; Residential</v>
      </c>
      <c r="H194" s="176"/>
      <c r="I194" s="36"/>
      <c r="N194" s="36"/>
    </row>
    <row r="195" spans="1:14" s="46" customFormat="1" ht="15.75" customHeight="1" x14ac:dyDescent="0.35">
      <c r="A195" s="131">
        <f>A194+1</f>
        <v>2</v>
      </c>
      <c r="B195" s="131"/>
      <c r="C195" s="52">
        <v>3</v>
      </c>
      <c r="D195" s="41">
        <f>94.82*10.764</f>
        <v>1020.6424799999999</v>
      </c>
      <c r="E195" s="41">
        <v>0</v>
      </c>
      <c r="F195" s="41">
        <f t="shared" si="3"/>
        <v>1633.0279679999999</v>
      </c>
      <c r="G195" s="177" t="str">
        <f>G194</f>
        <v>5th Podium Floor For Parking &amp; Residential</v>
      </c>
      <c r="H195" s="178"/>
      <c r="I195" s="36"/>
      <c r="L195" s="53"/>
      <c r="N195" s="36"/>
    </row>
    <row r="196" spans="1:14" s="46" customFormat="1" ht="15.75" customHeight="1" x14ac:dyDescent="0.35">
      <c r="A196" s="131">
        <f>A195+1</f>
        <v>3</v>
      </c>
      <c r="B196" s="131"/>
      <c r="C196" s="52">
        <v>3</v>
      </c>
      <c r="D196" s="41">
        <f>81.94*10.764</f>
        <v>882.00215999999989</v>
      </c>
      <c r="E196" s="41">
        <v>0</v>
      </c>
      <c r="F196" s="41">
        <f>D196*(($F$176)+1)+(IF(E196&lt;101,E196,IF(E196&lt;201,E196/2,IF(E196&lt;=301,E196/3,E196/4))))</f>
        <v>1411.203456</v>
      </c>
      <c r="G196" s="177" t="str">
        <f>G195</f>
        <v>5th Podium Floor For Parking &amp; Residential</v>
      </c>
      <c r="H196" s="178"/>
      <c r="I196" s="36"/>
      <c r="N196" s="36"/>
    </row>
    <row r="197" spans="1:14" s="46" customFormat="1" ht="15.75" customHeight="1" x14ac:dyDescent="0.35">
      <c r="A197" s="131">
        <f>A196+1</f>
        <v>4</v>
      </c>
      <c r="B197" s="131"/>
      <c r="C197" s="221" t="s">
        <v>187</v>
      </c>
      <c r="D197" s="222"/>
      <c r="E197" s="222"/>
      <c r="F197" s="223"/>
      <c r="G197" s="177" t="str">
        <f>G196</f>
        <v>5th Podium Floor For Parking &amp; Residential</v>
      </c>
      <c r="H197" s="178"/>
      <c r="I197" s="36"/>
      <c r="N197" s="36"/>
    </row>
    <row r="198" spans="1:14" s="46" customFormat="1" ht="15.75" customHeight="1" x14ac:dyDescent="0.35">
      <c r="A198" s="131">
        <f>A197+1</f>
        <v>5</v>
      </c>
      <c r="B198" s="131"/>
      <c r="C198" s="224" t="s">
        <v>187</v>
      </c>
      <c r="D198" s="225"/>
      <c r="E198" s="225"/>
      <c r="F198" s="226"/>
      <c r="G198" s="177" t="str">
        <f>G197</f>
        <v>5th Podium Floor For Parking &amp; Residential</v>
      </c>
      <c r="H198" s="178"/>
      <c r="I198" s="36"/>
      <c r="N198" s="36"/>
    </row>
    <row r="199" spans="1:14" s="46" customFormat="1" ht="15.75" customHeight="1" x14ac:dyDescent="0.35">
      <c r="A199" s="131">
        <v>6</v>
      </c>
      <c r="B199" s="131"/>
      <c r="C199" s="52">
        <v>2</v>
      </c>
      <c r="D199" s="41">
        <f>67.35*10.764</f>
        <v>724.95539999999994</v>
      </c>
      <c r="E199" s="41">
        <v>0</v>
      </c>
      <c r="F199" s="41">
        <f>D199*(($F$176)+1)+(IF(E199&lt;101,E199,IF(E199&lt;201,E199/2,IF(E199&lt;=301,E199/3,E199/4))))</f>
        <v>1159.9286399999999</v>
      </c>
      <c r="G199" s="179" t="str">
        <f>G197</f>
        <v>5th Podium Floor For Parking &amp; Residential</v>
      </c>
      <c r="H199" s="180"/>
      <c r="I199" s="36"/>
      <c r="N199" s="36"/>
    </row>
    <row r="200" spans="1:14" s="46" customFormat="1" x14ac:dyDescent="0.35">
      <c r="A200" s="170" t="s">
        <v>189</v>
      </c>
      <c r="B200" s="170"/>
      <c r="C200" s="170"/>
      <c r="D200" s="170"/>
      <c r="E200" s="170"/>
      <c r="F200" s="170"/>
      <c r="G200" s="170"/>
      <c r="H200" s="170"/>
      <c r="I200" s="36"/>
      <c r="L200" s="220"/>
      <c r="M200" s="220"/>
    </row>
    <row r="201" spans="1:14" s="46" customFormat="1" ht="15.75" customHeight="1" x14ac:dyDescent="0.35">
      <c r="A201" s="131">
        <v>1</v>
      </c>
      <c r="B201" s="131"/>
      <c r="C201" s="52">
        <v>3</v>
      </c>
      <c r="D201" s="41">
        <f>94.82*10.764</f>
        <v>1020.6424799999999</v>
      </c>
      <c r="E201" s="41">
        <v>0</v>
      </c>
      <c r="F201" s="41">
        <f t="shared" ref="F201:F202" si="4">D201*(($F$176)+1)+(IF(E201&lt;101,E201,IF(E201&lt;201,E201/2,IF(E201&lt;=301,E201/3,E201/4))))</f>
        <v>1633.0279679999999</v>
      </c>
      <c r="G201" s="175" t="str">
        <f>A200</f>
        <v>6th Podium Floor For Parking &amp; Residential</v>
      </c>
      <c r="H201" s="176"/>
      <c r="I201" s="36"/>
      <c r="N201" s="36"/>
    </row>
    <row r="202" spans="1:14" s="46" customFormat="1" ht="15.75" customHeight="1" x14ac:dyDescent="0.35">
      <c r="A202" s="131">
        <f>A201+1</f>
        <v>2</v>
      </c>
      <c r="B202" s="131"/>
      <c r="C202" s="52">
        <v>3</v>
      </c>
      <c r="D202" s="41">
        <f>94.82*10.764</f>
        <v>1020.6424799999999</v>
      </c>
      <c r="E202" s="41">
        <v>0</v>
      </c>
      <c r="F202" s="41">
        <f t="shared" si="4"/>
        <v>1633.0279679999999</v>
      </c>
      <c r="G202" s="177" t="str">
        <f>G201</f>
        <v>6th Podium Floor For Parking &amp; Residential</v>
      </c>
      <c r="H202" s="178"/>
      <c r="I202" s="36"/>
      <c r="L202" s="53"/>
      <c r="N202" s="36"/>
    </row>
    <row r="203" spans="1:14" s="46" customFormat="1" ht="15.75" customHeight="1" x14ac:dyDescent="0.35">
      <c r="A203" s="131">
        <f>A202+1</f>
        <v>3</v>
      </c>
      <c r="B203" s="131"/>
      <c r="C203" s="52">
        <v>3</v>
      </c>
      <c r="D203" s="41">
        <f>81.94*10.764</f>
        <v>882.00215999999989</v>
      </c>
      <c r="E203" s="41">
        <v>0</v>
      </c>
      <c r="F203" s="41">
        <f>D203*(($F$176)+1)+(IF(E203&lt;101,E203,IF(E203&lt;201,E203/2,IF(E203&lt;=301,E203/3,E203/4))))</f>
        <v>1411.203456</v>
      </c>
      <c r="G203" s="177" t="str">
        <f>G202</f>
        <v>6th Podium Floor For Parking &amp; Residential</v>
      </c>
      <c r="H203" s="178"/>
      <c r="I203" s="36"/>
      <c r="N203" s="36"/>
    </row>
    <row r="204" spans="1:14" s="46" customFormat="1" ht="15.75" customHeight="1" x14ac:dyDescent="0.35">
      <c r="A204" s="131">
        <f>A203+1</f>
        <v>4</v>
      </c>
      <c r="B204" s="131"/>
      <c r="C204" s="221" t="s">
        <v>187</v>
      </c>
      <c r="D204" s="222"/>
      <c r="E204" s="222"/>
      <c r="F204" s="223"/>
      <c r="G204" s="177" t="str">
        <f>G203</f>
        <v>6th Podium Floor For Parking &amp; Residential</v>
      </c>
      <c r="H204" s="178"/>
      <c r="I204" s="36"/>
      <c r="N204" s="36"/>
    </row>
    <row r="205" spans="1:14" s="46" customFormat="1" ht="15.75" customHeight="1" x14ac:dyDescent="0.35">
      <c r="A205" s="131">
        <f>A204+1</f>
        <v>5</v>
      </c>
      <c r="B205" s="131"/>
      <c r="C205" s="224"/>
      <c r="D205" s="225"/>
      <c r="E205" s="225"/>
      <c r="F205" s="226"/>
      <c r="G205" s="177" t="str">
        <f>G204</f>
        <v>6th Podium Floor For Parking &amp; Residential</v>
      </c>
      <c r="H205" s="178"/>
      <c r="I205" s="36"/>
      <c r="N205" s="36"/>
    </row>
    <row r="206" spans="1:14" s="46" customFormat="1" ht="15.75" customHeight="1" x14ac:dyDescent="0.35">
      <c r="A206" s="131">
        <v>6</v>
      </c>
      <c r="B206" s="131"/>
      <c r="C206" s="52">
        <v>2</v>
      </c>
      <c r="D206" s="41">
        <f>67.35*10.764</f>
        <v>724.95539999999994</v>
      </c>
      <c r="E206" s="41">
        <v>0</v>
      </c>
      <c r="F206" s="41">
        <f>D206*(($F$176)+1)+(IF(E206&lt;101,E206,IF(E206&lt;201,E206/2,IF(E206&lt;=301,E206/3,E206/4))))</f>
        <v>1159.9286399999999</v>
      </c>
      <c r="G206" s="179" t="str">
        <f>G204</f>
        <v>6th Podium Floor For Parking &amp; Residential</v>
      </c>
      <c r="H206" s="180"/>
      <c r="I206" s="36"/>
      <c r="N206" s="36"/>
    </row>
    <row r="207" spans="1:14" s="46" customFormat="1" x14ac:dyDescent="0.35">
      <c r="A207" s="170" t="s">
        <v>190</v>
      </c>
      <c r="B207" s="170"/>
      <c r="C207" s="170"/>
      <c r="D207" s="170"/>
      <c r="E207" s="170"/>
      <c r="F207" s="170"/>
      <c r="G207" s="170"/>
      <c r="H207" s="170"/>
      <c r="I207" s="36"/>
      <c r="L207" s="220"/>
      <c r="M207" s="220"/>
    </row>
    <row r="208" spans="1:14" s="46" customFormat="1" ht="15.75" customHeight="1" x14ac:dyDescent="0.35">
      <c r="A208" s="131">
        <v>1</v>
      </c>
      <c r="B208" s="131"/>
      <c r="C208" s="52">
        <v>3</v>
      </c>
      <c r="D208" s="41">
        <f>94.82*10.764</f>
        <v>1020.6424799999999</v>
      </c>
      <c r="E208" s="41">
        <v>0</v>
      </c>
      <c r="F208" s="41">
        <f t="shared" ref="F208:F209" si="5">D208*(($F$176)+1)+(IF(E208&lt;101,E208,IF(E208&lt;201,E208/2,IF(E208&lt;=301,E208/3,E208/4))))</f>
        <v>1633.0279679999999</v>
      </c>
      <c r="G208" s="175" t="str">
        <f>A207</f>
        <v>7th Podium Floor For Parking &amp; Residential</v>
      </c>
      <c r="H208" s="176"/>
      <c r="I208" s="36"/>
      <c r="N208" s="36"/>
    </row>
    <row r="209" spans="1:14" s="46" customFormat="1" ht="15.75" customHeight="1" x14ac:dyDescent="0.35">
      <c r="A209" s="131">
        <f>A208+1</f>
        <v>2</v>
      </c>
      <c r="B209" s="131"/>
      <c r="C209" s="52">
        <v>3</v>
      </c>
      <c r="D209" s="41">
        <f>94.82*10.764</f>
        <v>1020.6424799999999</v>
      </c>
      <c r="E209" s="41">
        <v>0</v>
      </c>
      <c r="F209" s="41">
        <f t="shared" si="5"/>
        <v>1633.0279679999999</v>
      </c>
      <c r="G209" s="177" t="str">
        <f>G208</f>
        <v>7th Podium Floor For Parking &amp; Residential</v>
      </c>
      <c r="H209" s="178"/>
      <c r="I209" s="36"/>
      <c r="L209" s="53"/>
      <c r="N209" s="36"/>
    </row>
    <row r="210" spans="1:14" s="46" customFormat="1" ht="15.75" customHeight="1" x14ac:dyDescent="0.35">
      <c r="A210" s="131">
        <f>A209+1</f>
        <v>3</v>
      </c>
      <c r="B210" s="131"/>
      <c r="C210" s="217" t="s">
        <v>217</v>
      </c>
      <c r="D210" s="218">
        <f>81.94*10.764</f>
        <v>882.00215999999989</v>
      </c>
      <c r="E210" s="218">
        <v>0</v>
      </c>
      <c r="F210" s="219">
        <f>D210*(($F$176)+1)+(IF(E210&lt;101,E210,IF(E210&lt;201,E210/2,IF(E210&lt;=301,E210/3,E210/4))))</f>
        <v>1411.203456</v>
      </c>
      <c r="G210" s="177" t="str">
        <f>G209</f>
        <v>7th Podium Floor For Parking &amp; Residential</v>
      </c>
      <c r="H210" s="178"/>
      <c r="I210" s="36"/>
      <c r="N210" s="36"/>
    </row>
    <row r="211" spans="1:14" s="46" customFormat="1" ht="15.75" customHeight="1" x14ac:dyDescent="0.35">
      <c r="A211" s="131">
        <f>A210+1</f>
        <v>4</v>
      </c>
      <c r="B211" s="131"/>
      <c r="C211" s="221" t="s">
        <v>187</v>
      </c>
      <c r="D211" s="222"/>
      <c r="E211" s="222"/>
      <c r="F211" s="223"/>
      <c r="G211" s="177" t="str">
        <f>G210</f>
        <v>7th Podium Floor For Parking &amp; Residential</v>
      </c>
      <c r="H211" s="178"/>
      <c r="I211" s="36"/>
      <c r="N211" s="36"/>
    </row>
    <row r="212" spans="1:14" s="46" customFormat="1" ht="15.75" customHeight="1" x14ac:dyDescent="0.35">
      <c r="A212" s="131">
        <f>A211+1</f>
        <v>5</v>
      </c>
      <c r="B212" s="131"/>
      <c r="C212" s="224" t="s">
        <v>187</v>
      </c>
      <c r="D212" s="225"/>
      <c r="E212" s="225"/>
      <c r="F212" s="226"/>
      <c r="G212" s="177" t="str">
        <f>G211</f>
        <v>7th Podium Floor For Parking &amp; Residential</v>
      </c>
      <c r="H212" s="178"/>
      <c r="I212" s="36"/>
      <c r="N212" s="36"/>
    </row>
    <row r="213" spans="1:14" s="46" customFormat="1" ht="15.75" customHeight="1" x14ac:dyDescent="0.35">
      <c r="A213" s="131">
        <v>6</v>
      </c>
      <c r="B213" s="131"/>
      <c r="C213" s="52">
        <v>2</v>
      </c>
      <c r="D213" s="41">
        <f>67.35*10.764</f>
        <v>724.95539999999994</v>
      </c>
      <c r="E213" s="41">
        <v>0</v>
      </c>
      <c r="F213" s="41">
        <f>D213*(($F$176)+1)+(IF(E213&lt;101,E213,IF(E213&lt;201,E213/2,IF(E213&lt;=301,E213/3,E213/4))))</f>
        <v>1159.9286399999999</v>
      </c>
      <c r="G213" s="179" t="str">
        <f>G211</f>
        <v>7th Podium Floor For Parking &amp; Residential</v>
      </c>
      <c r="H213" s="180"/>
      <c r="I213" s="36"/>
      <c r="N213" s="36"/>
    </row>
    <row r="214" spans="1:14" s="46" customFormat="1" x14ac:dyDescent="0.35">
      <c r="A214" s="170" t="s">
        <v>229</v>
      </c>
      <c r="B214" s="170"/>
      <c r="C214" s="170"/>
      <c r="D214" s="170"/>
      <c r="E214" s="170"/>
      <c r="F214" s="170"/>
      <c r="G214" s="170"/>
      <c r="H214" s="170"/>
      <c r="I214" s="36"/>
      <c r="L214" s="220"/>
      <c r="M214" s="220"/>
    </row>
    <row r="215" spans="1:14" s="46" customFormat="1" x14ac:dyDescent="0.35">
      <c r="A215" s="170" t="s">
        <v>191</v>
      </c>
      <c r="B215" s="170"/>
      <c r="C215" s="170"/>
      <c r="D215" s="170"/>
      <c r="E215" s="170"/>
      <c r="F215" s="170"/>
      <c r="G215" s="170"/>
      <c r="H215" s="170"/>
      <c r="I215" s="36"/>
      <c r="L215" s="220"/>
      <c r="M215" s="220"/>
    </row>
    <row r="216" spans="1:14" s="46" customFormat="1" ht="15.75" customHeight="1" x14ac:dyDescent="0.35">
      <c r="A216" s="131">
        <v>1</v>
      </c>
      <c r="B216" s="131"/>
      <c r="C216" s="52">
        <v>3</v>
      </c>
      <c r="D216" s="41">
        <f>94.82*10.764</f>
        <v>1020.6424799999999</v>
      </c>
      <c r="E216" s="41">
        <v>0</v>
      </c>
      <c r="F216" s="41">
        <f t="shared" ref="F216:F217" si="6">D216*(($F$176)+1)+(IF(E216&lt;101,E216,IF(E216&lt;201,E216/2,IF(E216&lt;=301,E216/3,E216/4))))</f>
        <v>1633.0279679999999</v>
      </c>
      <c r="G216" s="175" t="str">
        <f>A215</f>
        <v>8th Podium Floor For Parking, Residential &amp; Club House</v>
      </c>
      <c r="H216" s="176"/>
      <c r="I216" s="36"/>
      <c r="N216" s="36"/>
    </row>
    <row r="217" spans="1:14" s="46" customFormat="1" ht="15.75" customHeight="1" x14ac:dyDescent="0.35">
      <c r="A217" s="131">
        <f>A216+1</f>
        <v>2</v>
      </c>
      <c r="B217" s="131"/>
      <c r="C217" s="52">
        <v>3</v>
      </c>
      <c r="D217" s="41">
        <f>94.82*10.764</f>
        <v>1020.6424799999999</v>
      </c>
      <c r="E217" s="41">
        <v>0</v>
      </c>
      <c r="F217" s="41">
        <f t="shared" si="6"/>
        <v>1633.0279679999999</v>
      </c>
      <c r="G217" s="179"/>
      <c r="H217" s="180"/>
      <c r="I217" s="36"/>
      <c r="L217" s="53"/>
      <c r="N217" s="36"/>
    </row>
    <row r="218" spans="1:14" s="46" customFormat="1" x14ac:dyDescent="0.35">
      <c r="A218" s="170" t="s">
        <v>192</v>
      </c>
      <c r="B218" s="170"/>
      <c r="C218" s="170"/>
      <c r="D218" s="170"/>
      <c r="E218" s="170"/>
      <c r="F218" s="170"/>
      <c r="G218" s="170"/>
      <c r="H218" s="170"/>
      <c r="I218" s="36"/>
      <c r="L218" s="220"/>
      <c r="M218" s="220"/>
    </row>
    <row r="219" spans="1:14" s="46" customFormat="1" ht="15.75" customHeight="1" x14ac:dyDescent="0.35">
      <c r="A219" s="131">
        <v>1</v>
      </c>
      <c r="B219" s="131"/>
      <c r="C219" s="52">
        <v>3</v>
      </c>
      <c r="D219" s="41">
        <f>94.82*10.764</f>
        <v>1020.6424799999999</v>
      </c>
      <c r="E219" s="41">
        <v>0</v>
      </c>
      <c r="F219" s="41">
        <f t="shared" ref="F219:F220" si="7">D219*(($F$176)+1)+(IF(E219&lt;101,E219,IF(E219&lt;201,E219/2,IF(E219&lt;=301,E219/3,E219/4))))</f>
        <v>1633.0279679999999</v>
      </c>
      <c r="G219" s="175" t="str">
        <f>A218</f>
        <v>9th Podium Floor For Parking, Residential, Steam &amp; Sauna</v>
      </c>
      <c r="H219" s="176"/>
      <c r="I219" s="36"/>
      <c r="N219" s="36"/>
    </row>
    <row r="220" spans="1:14" s="46" customFormat="1" ht="15.75" customHeight="1" x14ac:dyDescent="0.35">
      <c r="A220" s="131">
        <f>A219+1</f>
        <v>2</v>
      </c>
      <c r="B220" s="131"/>
      <c r="C220" s="52">
        <v>3</v>
      </c>
      <c r="D220" s="41">
        <f>94.82*10.764</f>
        <v>1020.6424799999999</v>
      </c>
      <c r="E220" s="41">
        <v>0</v>
      </c>
      <c r="F220" s="41">
        <f t="shared" si="7"/>
        <v>1633.0279679999999</v>
      </c>
      <c r="G220" s="179" t="str">
        <f>G219</f>
        <v>9th Podium Floor For Parking, Residential, Steam &amp; Sauna</v>
      </c>
      <c r="H220" s="180"/>
      <c r="I220" s="36"/>
      <c r="L220" s="53"/>
      <c r="N220" s="36"/>
    </row>
    <row r="221" spans="1:14" s="46" customFormat="1" x14ac:dyDescent="0.35">
      <c r="A221" s="170" t="s">
        <v>193</v>
      </c>
      <c r="B221" s="170"/>
      <c r="C221" s="170"/>
      <c r="D221" s="170"/>
      <c r="E221" s="170"/>
      <c r="F221" s="170"/>
      <c r="G221" s="170"/>
      <c r="H221" s="170"/>
      <c r="I221" s="36"/>
      <c r="L221" s="220"/>
      <c r="M221" s="220"/>
    </row>
    <row r="222" spans="1:14" s="46" customFormat="1" ht="15.75" customHeight="1" x14ac:dyDescent="0.35">
      <c r="A222" s="131">
        <v>1</v>
      </c>
      <c r="B222" s="131"/>
      <c r="C222" s="52">
        <v>3</v>
      </c>
      <c r="D222" s="41">
        <f>94.82*10.764</f>
        <v>1020.6424799999999</v>
      </c>
      <c r="E222" s="41">
        <v>0</v>
      </c>
      <c r="F222" s="41">
        <f t="shared" ref="F222:F223" si="8">D222*(($F$176)+1)+(IF(E222&lt;101,E222,IF(E222&lt;201,E222/2,IF(E222&lt;=301,E222/3,E222/4))))</f>
        <v>1633.0279679999999</v>
      </c>
      <c r="G222" s="175" t="str">
        <f>A221</f>
        <v>10th Floor For Residential &amp; Sauna Area</v>
      </c>
      <c r="H222" s="176"/>
      <c r="I222" s="36"/>
      <c r="N222" s="36"/>
    </row>
    <row r="223" spans="1:14" s="46" customFormat="1" ht="15.75" customHeight="1" x14ac:dyDescent="0.35">
      <c r="A223" s="131">
        <f>A222+1</f>
        <v>2</v>
      </c>
      <c r="B223" s="131"/>
      <c r="C223" s="52">
        <v>3</v>
      </c>
      <c r="D223" s="41">
        <f>94.82*10.764</f>
        <v>1020.6424799999999</v>
      </c>
      <c r="E223" s="41">
        <v>0</v>
      </c>
      <c r="F223" s="41">
        <f t="shared" si="8"/>
        <v>1633.0279679999999</v>
      </c>
      <c r="G223" s="177" t="str">
        <f>G222</f>
        <v>10th Floor For Residential &amp; Sauna Area</v>
      </c>
      <c r="H223" s="178"/>
      <c r="I223" s="36"/>
      <c r="L223" s="53"/>
      <c r="N223" s="36"/>
    </row>
    <row r="224" spans="1:14" s="46" customFormat="1" ht="15.75" customHeight="1" x14ac:dyDescent="0.35">
      <c r="A224" s="131">
        <v>3</v>
      </c>
      <c r="B224" s="131"/>
      <c r="C224" s="221" t="s">
        <v>218</v>
      </c>
      <c r="D224" s="222"/>
      <c r="E224" s="222"/>
      <c r="F224" s="223"/>
      <c r="G224" s="177" t="str">
        <f>G226</f>
        <v>10th Floor For Residential &amp; Sauna Area</v>
      </c>
      <c r="H224" s="178"/>
      <c r="I224" s="36"/>
      <c r="N224" s="36"/>
    </row>
    <row r="225" spans="1:14" s="46" customFormat="1" ht="15.75" customHeight="1" x14ac:dyDescent="0.35">
      <c r="A225" s="131">
        <f>A224+1</f>
        <v>4</v>
      </c>
      <c r="B225" s="131"/>
      <c r="C225" s="224"/>
      <c r="D225" s="225"/>
      <c r="E225" s="225"/>
      <c r="F225" s="226"/>
      <c r="G225" s="177" t="str">
        <f>G224</f>
        <v>10th Floor For Residential &amp; Sauna Area</v>
      </c>
      <c r="H225" s="178"/>
      <c r="I225" s="36"/>
      <c r="N225" s="36"/>
    </row>
    <row r="226" spans="1:14" s="46" customFormat="1" ht="15.75" customHeight="1" x14ac:dyDescent="0.35">
      <c r="A226" s="131">
        <v>5</v>
      </c>
      <c r="B226" s="131"/>
      <c r="C226" s="52">
        <v>2</v>
      </c>
      <c r="D226" s="41">
        <f>67.35*10.764</f>
        <v>724.95539999999994</v>
      </c>
      <c r="E226" s="41">
        <v>0</v>
      </c>
      <c r="F226" s="41">
        <f>D226*(($F$176)+1)+(IF(E226&lt;101,E226,IF(E226&lt;201,E226/2,IF(E226&lt;=301,E226/3,E226/4))))</f>
        <v>1159.9286399999999</v>
      </c>
      <c r="G226" s="177" t="str">
        <f>G223</f>
        <v>10th Floor For Residential &amp; Sauna Area</v>
      </c>
      <c r="H226" s="178"/>
      <c r="I226" s="36"/>
      <c r="N226" s="36"/>
    </row>
    <row r="227" spans="1:14" s="46" customFormat="1" ht="15.75" customHeight="1" x14ac:dyDescent="0.35">
      <c r="A227" s="131">
        <v>6</v>
      </c>
      <c r="B227" s="131"/>
      <c r="C227" s="52">
        <v>2</v>
      </c>
      <c r="D227" s="41">
        <f>67.35*10.764</f>
        <v>724.95539999999994</v>
      </c>
      <c r="E227" s="41">
        <v>0</v>
      </c>
      <c r="F227" s="41">
        <f>D227*(($F$176)+1)+(IF(E227&lt;101,E227,IF(E227&lt;201,E227/2,IF(E227&lt;=301,E227/3,E227/4))))</f>
        <v>1159.9286399999999</v>
      </c>
      <c r="G227" s="179" t="str">
        <f>G224</f>
        <v>10th Floor For Residential &amp; Sauna Area</v>
      </c>
      <c r="H227" s="180"/>
      <c r="I227" s="36"/>
      <c r="N227" s="36"/>
    </row>
    <row r="228" spans="1:14" s="63" customFormat="1" ht="15.75" customHeight="1" x14ac:dyDescent="0.35">
      <c r="A228" s="116" t="s">
        <v>219</v>
      </c>
      <c r="B228" s="117"/>
      <c r="C228" s="117"/>
      <c r="D228" s="117"/>
      <c r="E228" s="117"/>
      <c r="F228" s="117"/>
      <c r="G228" s="117"/>
      <c r="H228" s="118"/>
      <c r="I228" s="62"/>
    </row>
    <row r="229" spans="1:14" s="63" customFormat="1" x14ac:dyDescent="0.35">
      <c r="A229" s="100">
        <v>1</v>
      </c>
      <c r="B229" s="101"/>
      <c r="C229" s="60">
        <v>3</v>
      </c>
      <c r="D229" s="61">
        <f>94.82*10.764</f>
        <v>1020.6424799999999</v>
      </c>
      <c r="E229" s="61">
        <v>0</v>
      </c>
      <c r="F229" s="61">
        <f t="shared" ref="F229:F234" si="9">D229*(($F$176)+1)+(IF(E229&lt;101,E229,IF(E229&lt;201,E229/2,IF(E229&lt;=301,E229/3,E229/4))))</f>
        <v>1633.0279679999999</v>
      </c>
      <c r="G229" s="110" t="str">
        <f>A228</f>
        <v>11th Floor</v>
      </c>
      <c r="H229" s="111"/>
      <c r="I229" s="62"/>
    </row>
    <row r="230" spans="1:14" s="63" customFormat="1" x14ac:dyDescent="0.35">
      <c r="A230" s="100">
        <v>2</v>
      </c>
      <c r="B230" s="101"/>
      <c r="C230" s="60">
        <v>3</v>
      </c>
      <c r="D230" s="61">
        <f>94.82*10.764</f>
        <v>1020.6424799999999</v>
      </c>
      <c r="E230" s="61">
        <v>0</v>
      </c>
      <c r="F230" s="61">
        <f t="shared" si="9"/>
        <v>1633.0279679999999</v>
      </c>
      <c r="G230" s="112" t="str">
        <f>G229</f>
        <v>11th Floor</v>
      </c>
      <c r="H230" s="113"/>
      <c r="I230" s="62"/>
    </row>
    <row r="231" spans="1:14" s="63" customFormat="1" ht="15.75" customHeight="1" x14ac:dyDescent="0.35">
      <c r="A231" s="100">
        <v>3</v>
      </c>
      <c r="B231" s="101"/>
      <c r="C231" s="60">
        <v>3</v>
      </c>
      <c r="D231" s="61">
        <f>82.4*10.764</f>
        <v>886.95360000000005</v>
      </c>
      <c r="E231" s="61">
        <v>0</v>
      </c>
      <c r="F231" s="61">
        <f t="shared" si="9"/>
        <v>1419.1257600000001</v>
      </c>
      <c r="G231" s="112" t="str">
        <f>G230</f>
        <v>11th Floor</v>
      </c>
      <c r="H231" s="113"/>
      <c r="I231" s="62"/>
    </row>
    <row r="232" spans="1:14" s="63" customFormat="1" ht="15.75" customHeight="1" x14ac:dyDescent="0.35">
      <c r="A232" s="100">
        <v>4</v>
      </c>
      <c r="B232" s="101"/>
      <c r="C232" s="60">
        <v>3</v>
      </c>
      <c r="D232" s="61">
        <f>82.4*10.764</f>
        <v>886.95360000000005</v>
      </c>
      <c r="E232" s="61">
        <v>0</v>
      </c>
      <c r="F232" s="61">
        <f t="shared" si="9"/>
        <v>1419.1257600000001</v>
      </c>
      <c r="G232" s="112" t="str">
        <f>G231</f>
        <v>11th Floor</v>
      </c>
      <c r="H232" s="113"/>
      <c r="I232" s="62"/>
    </row>
    <row r="233" spans="1:14" s="63" customFormat="1" ht="15.75" customHeight="1" x14ac:dyDescent="0.35">
      <c r="A233" s="100">
        <v>5</v>
      </c>
      <c r="B233" s="101"/>
      <c r="C233" s="60">
        <v>2</v>
      </c>
      <c r="D233" s="61">
        <f>67.35*10.764</f>
        <v>724.95539999999994</v>
      </c>
      <c r="E233" s="61">
        <v>0</v>
      </c>
      <c r="F233" s="61">
        <f t="shared" si="9"/>
        <v>1159.9286399999999</v>
      </c>
      <c r="G233" s="112" t="str">
        <f>G232</f>
        <v>11th Floor</v>
      </c>
      <c r="H233" s="113"/>
      <c r="I233" s="62"/>
    </row>
    <row r="234" spans="1:14" s="63" customFormat="1" ht="15.75" customHeight="1" x14ac:dyDescent="0.35">
      <c r="A234" s="100">
        <v>6</v>
      </c>
      <c r="B234" s="101"/>
      <c r="C234" s="60">
        <v>2</v>
      </c>
      <c r="D234" s="61">
        <f>67.35*10.764</f>
        <v>724.95539999999994</v>
      </c>
      <c r="E234" s="61">
        <v>0</v>
      </c>
      <c r="F234" s="61">
        <f t="shared" si="9"/>
        <v>1159.9286399999999</v>
      </c>
      <c r="G234" s="114" t="str">
        <f>G233</f>
        <v>11th Floor</v>
      </c>
      <c r="H234" s="115"/>
      <c r="I234" s="62"/>
    </row>
    <row r="235" spans="1:14" s="63" customFormat="1" ht="15.75" customHeight="1" x14ac:dyDescent="0.35">
      <c r="A235" s="116" t="s">
        <v>220</v>
      </c>
      <c r="B235" s="117"/>
      <c r="C235" s="117"/>
      <c r="D235" s="117"/>
      <c r="E235" s="117"/>
      <c r="F235" s="117"/>
      <c r="G235" s="117"/>
      <c r="H235" s="118"/>
      <c r="I235" s="62"/>
    </row>
    <row r="236" spans="1:14" s="63" customFormat="1" x14ac:dyDescent="0.35">
      <c r="A236" s="100">
        <v>1</v>
      </c>
      <c r="B236" s="101"/>
      <c r="C236" s="60">
        <v>3</v>
      </c>
      <c r="D236" s="61">
        <f>94.82*10.764</f>
        <v>1020.6424799999999</v>
      </c>
      <c r="E236" s="61">
        <v>0</v>
      </c>
      <c r="F236" s="61">
        <f t="shared" ref="F236:F241" si="10">D236*(($F$176)+1)+(IF(E236&lt;101,E236,IF(E236&lt;201,E236/2,IF(E236&lt;=301,E236/3,E236/4))))</f>
        <v>1633.0279679999999</v>
      </c>
      <c r="G236" s="110" t="str">
        <f>A235</f>
        <v>12th Floor</v>
      </c>
      <c r="H236" s="111"/>
      <c r="I236" s="62"/>
    </row>
    <row r="237" spans="1:14" s="63" customFormat="1" x14ac:dyDescent="0.35">
      <c r="A237" s="100">
        <v>2</v>
      </c>
      <c r="B237" s="101"/>
      <c r="C237" s="60">
        <v>3</v>
      </c>
      <c r="D237" s="61">
        <f>94.82*10.764</f>
        <v>1020.6424799999999</v>
      </c>
      <c r="E237" s="61">
        <v>0</v>
      </c>
      <c r="F237" s="61">
        <f t="shared" si="10"/>
        <v>1633.0279679999999</v>
      </c>
      <c r="G237" s="112" t="str">
        <f>G236</f>
        <v>12th Floor</v>
      </c>
      <c r="H237" s="113"/>
      <c r="I237" s="62"/>
    </row>
    <row r="238" spans="1:14" s="63" customFormat="1" ht="15.75" customHeight="1" x14ac:dyDescent="0.35">
      <c r="A238" s="100">
        <v>3</v>
      </c>
      <c r="B238" s="101"/>
      <c r="C238" s="60">
        <v>3</v>
      </c>
      <c r="D238" s="61">
        <f>82.4*10.764</f>
        <v>886.95360000000005</v>
      </c>
      <c r="E238" s="61">
        <v>0</v>
      </c>
      <c r="F238" s="61">
        <f t="shared" si="10"/>
        <v>1419.1257600000001</v>
      </c>
      <c r="G238" s="112" t="str">
        <f>G237</f>
        <v>12th Floor</v>
      </c>
      <c r="H238" s="113"/>
      <c r="I238" s="62"/>
    </row>
    <row r="239" spans="1:14" s="63" customFormat="1" ht="15.75" customHeight="1" x14ac:dyDescent="0.35">
      <c r="A239" s="100">
        <v>4</v>
      </c>
      <c r="B239" s="101"/>
      <c r="C239" s="60">
        <v>3</v>
      </c>
      <c r="D239" s="61">
        <f>82.4*10.764</f>
        <v>886.95360000000005</v>
      </c>
      <c r="E239" s="61">
        <v>0</v>
      </c>
      <c r="F239" s="61">
        <f t="shared" si="10"/>
        <v>1419.1257600000001</v>
      </c>
      <c r="G239" s="112" t="str">
        <f>G238</f>
        <v>12th Floor</v>
      </c>
      <c r="H239" s="113"/>
      <c r="I239" s="62"/>
    </row>
    <row r="240" spans="1:14" s="63" customFormat="1" ht="15.75" customHeight="1" x14ac:dyDescent="0.35">
      <c r="A240" s="100">
        <v>5</v>
      </c>
      <c r="B240" s="101"/>
      <c r="C240" s="60">
        <v>2</v>
      </c>
      <c r="D240" s="61">
        <f>67.35*10.764</f>
        <v>724.95539999999994</v>
      </c>
      <c r="E240" s="61">
        <v>0</v>
      </c>
      <c r="F240" s="61">
        <f t="shared" si="10"/>
        <v>1159.9286399999999</v>
      </c>
      <c r="G240" s="112" t="str">
        <f>G239</f>
        <v>12th Floor</v>
      </c>
      <c r="H240" s="113"/>
      <c r="I240" s="62"/>
    </row>
    <row r="241" spans="1:13" s="63" customFormat="1" ht="15.75" customHeight="1" x14ac:dyDescent="0.35">
      <c r="A241" s="100">
        <v>6</v>
      </c>
      <c r="B241" s="101"/>
      <c r="C241" s="60">
        <v>2</v>
      </c>
      <c r="D241" s="61">
        <f>67.35*10.764</f>
        <v>724.95539999999994</v>
      </c>
      <c r="E241" s="61">
        <v>0</v>
      </c>
      <c r="F241" s="61">
        <f t="shared" si="10"/>
        <v>1159.9286399999999</v>
      </c>
      <c r="G241" s="114" t="str">
        <f>G240</f>
        <v>12th Floor</v>
      </c>
      <c r="H241" s="115"/>
      <c r="I241" s="62"/>
    </row>
    <row r="242" spans="1:13" s="63" customFormat="1" ht="15.75" customHeight="1" x14ac:dyDescent="0.35">
      <c r="A242" s="116" t="s">
        <v>281</v>
      </c>
      <c r="B242" s="117"/>
      <c r="C242" s="117"/>
      <c r="D242" s="117"/>
      <c r="E242" s="117"/>
      <c r="F242" s="117"/>
      <c r="G242" s="117"/>
      <c r="H242" s="118"/>
      <c r="I242" s="62">
        <f>1+5+5+5+5+6+4</f>
        <v>31</v>
      </c>
    </row>
    <row r="243" spans="1:13" s="63" customFormat="1" ht="15.75" customHeight="1" x14ac:dyDescent="0.35">
      <c r="A243" s="100">
        <v>1</v>
      </c>
      <c r="B243" s="101"/>
      <c r="C243" s="60">
        <v>3</v>
      </c>
      <c r="D243" s="61">
        <f>94.82*10.764</f>
        <v>1020.6424799999999</v>
      </c>
      <c r="E243" s="61">
        <v>0</v>
      </c>
      <c r="F243" s="61">
        <f t="shared" ref="F243:F248" si="11">D243*(($F$176)+1)+(IF(E243&lt;101,E243,IF(E243&lt;201,E243/2,IF(E243&lt;=301,E243/3,E243/4))))</f>
        <v>1633.0279679999999</v>
      </c>
      <c r="G243" s="110" t="str">
        <f>A242</f>
        <v>13th, 16th to 20th, 23rd to 27th, 30th to 34th, 37th to 41st, 44th to 49th, 51st to 54th Floor</v>
      </c>
      <c r="H243" s="111"/>
      <c r="I243" s="62"/>
    </row>
    <row r="244" spans="1:13" s="63" customFormat="1" ht="15.75" customHeight="1" x14ac:dyDescent="0.35">
      <c r="A244" s="100">
        <v>2</v>
      </c>
      <c r="B244" s="101"/>
      <c r="C244" s="60">
        <v>3</v>
      </c>
      <c r="D244" s="61">
        <f>94.82*10.764</f>
        <v>1020.6424799999999</v>
      </c>
      <c r="E244" s="61">
        <v>0</v>
      </c>
      <c r="F244" s="61">
        <f t="shared" si="11"/>
        <v>1633.0279679999999</v>
      </c>
      <c r="G244" s="112" t="str">
        <f>G243</f>
        <v>13th, 16th to 20th, 23rd to 27th, 30th to 34th, 37th to 41st, 44th to 49th, 51st to 54th Floor</v>
      </c>
      <c r="H244" s="113"/>
      <c r="I244" s="62"/>
    </row>
    <row r="245" spans="1:13" s="63" customFormat="1" ht="15.75" customHeight="1" x14ac:dyDescent="0.35">
      <c r="A245" s="100">
        <v>3</v>
      </c>
      <c r="B245" s="101"/>
      <c r="C245" s="60">
        <v>3</v>
      </c>
      <c r="D245" s="61">
        <f>82.4*10.764</f>
        <v>886.95360000000005</v>
      </c>
      <c r="E245" s="61">
        <v>0</v>
      </c>
      <c r="F245" s="61">
        <f t="shared" si="11"/>
        <v>1419.1257600000001</v>
      </c>
      <c r="G245" s="112" t="str">
        <f>G244</f>
        <v>13th, 16th to 20th, 23rd to 27th, 30th to 34th, 37th to 41st, 44th to 49th, 51st to 54th Floor</v>
      </c>
      <c r="H245" s="113"/>
      <c r="I245" s="62"/>
    </row>
    <row r="246" spans="1:13" s="63" customFormat="1" ht="15.75" customHeight="1" x14ac:dyDescent="0.35">
      <c r="A246" s="100">
        <v>4</v>
      </c>
      <c r="B246" s="101"/>
      <c r="C246" s="60">
        <v>3</v>
      </c>
      <c r="D246" s="61">
        <f>82.4*10.764</f>
        <v>886.95360000000005</v>
      </c>
      <c r="E246" s="61">
        <v>0</v>
      </c>
      <c r="F246" s="61">
        <f t="shared" si="11"/>
        <v>1419.1257600000001</v>
      </c>
      <c r="G246" s="112" t="str">
        <f>G245</f>
        <v>13th, 16th to 20th, 23rd to 27th, 30th to 34th, 37th to 41st, 44th to 49th, 51st to 54th Floor</v>
      </c>
      <c r="H246" s="113"/>
      <c r="I246" s="62"/>
    </row>
    <row r="247" spans="1:13" s="63" customFormat="1" ht="15.75" customHeight="1" x14ac:dyDescent="0.35">
      <c r="A247" s="100">
        <v>5</v>
      </c>
      <c r="B247" s="101"/>
      <c r="C247" s="60">
        <v>2</v>
      </c>
      <c r="D247" s="61">
        <f>67.35*10.764</f>
        <v>724.95539999999994</v>
      </c>
      <c r="E247" s="61">
        <v>0</v>
      </c>
      <c r="F247" s="61">
        <f t="shared" si="11"/>
        <v>1159.9286399999999</v>
      </c>
      <c r="G247" s="112" t="str">
        <f>G246</f>
        <v>13th, 16th to 20th, 23rd to 27th, 30th to 34th, 37th to 41st, 44th to 49th, 51st to 54th Floor</v>
      </c>
      <c r="H247" s="113"/>
      <c r="I247" s="62"/>
    </row>
    <row r="248" spans="1:13" s="63" customFormat="1" ht="15.75" customHeight="1" x14ac:dyDescent="0.35">
      <c r="A248" s="100">
        <v>6</v>
      </c>
      <c r="B248" s="101"/>
      <c r="C248" s="60">
        <v>2</v>
      </c>
      <c r="D248" s="61">
        <f>67.35*10.764</f>
        <v>724.95539999999994</v>
      </c>
      <c r="E248" s="61">
        <v>0</v>
      </c>
      <c r="F248" s="61">
        <f t="shared" si="11"/>
        <v>1159.9286399999999</v>
      </c>
      <c r="G248" s="114" t="str">
        <f>G247</f>
        <v>13th, 16th to 20th, 23rd to 27th, 30th to 34th, 37th to 41st, 44th to 49th, 51st to 54th Floor</v>
      </c>
      <c r="H248" s="115"/>
      <c r="I248" s="62"/>
    </row>
    <row r="249" spans="1:13" s="63" customFormat="1" x14ac:dyDescent="0.35">
      <c r="A249" s="106" t="s">
        <v>230</v>
      </c>
      <c r="B249" s="106"/>
      <c r="C249" s="106"/>
      <c r="D249" s="106"/>
      <c r="E249" s="106"/>
      <c r="F249" s="106"/>
      <c r="G249" s="106"/>
      <c r="H249" s="106"/>
      <c r="I249" s="62"/>
      <c r="L249" s="99"/>
      <c r="M249" s="99"/>
    </row>
    <row r="250" spans="1:13" s="63" customFormat="1" ht="15.75" customHeight="1" x14ac:dyDescent="0.35">
      <c r="A250" s="116" t="s">
        <v>236</v>
      </c>
      <c r="B250" s="117"/>
      <c r="C250" s="117"/>
      <c r="D250" s="117"/>
      <c r="E250" s="117"/>
      <c r="F250" s="117"/>
      <c r="G250" s="117"/>
      <c r="H250" s="118"/>
      <c r="I250" s="62"/>
    </row>
    <row r="251" spans="1:13" s="63" customFormat="1" ht="15.75" customHeight="1" x14ac:dyDescent="0.35">
      <c r="A251" s="100">
        <v>1</v>
      </c>
      <c r="B251" s="101"/>
      <c r="C251" s="60">
        <v>3</v>
      </c>
      <c r="D251" s="61">
        <f>94.82*10.764</f>
        <v>1020.6424799999999</v>
      </c>
      <c r="E251" s="61">
        <v>0</v>
      </c>
      <c r="F251" s="61">
        <f t="shared" ref="F251:F256" si="12">D251*(($F$176)+1)+(IF(E251&lt;101,E251,IF(E251&lt;201,E251/2,IF(E251&lt;=301,E251/3,E251/4))))</f>
        <v>1633.0279679999999</v>
      </c>
      <c r="G251" s="110" t="str">
        <f>A250</f>
        <v>14th, 21st, 28th, 35th &amp; 42nd Floor</v>
      </c>
      <c r="H251" s="111"/>
      <c r="I251" s="62"/>
    </row>
    <row r="252" spans="1:13" s="63" customFormat="1" ht="83.25" customHeight="1" x14ac:dyDescent="0.35">
      <c r="A252" s="100">
        <v>2</v>
      </c>
      <c r="B252" s="101"/>
      <c r="C252" s="60" t="s">
        <v>196</v>
      </c>
      <c r="D252" s="61">
        <f>130.19*10.764</f>
        <v>1401.3651599999998</v>
      </c>
      <c r="E252" s="61">
        <v>0</v>
      </c>
      <c r="F252" s="61">
        <f t="shared" si="12"/>
        <v>2242.184256</v>
      </c>
      <c r="G252" s="112" t="str">
        <f>G251</f>
        <v>14th, 21st, 28th, 35th &amp; 42nd Floor</v>
      </c>
      <c r="H252" s="113"/>
      <c r="I252" s="62"/>
    </row>
    <row r="253" spans="1:13" s="63" customFormat="1" ht="15.75" customHeight="1" x14ac:dyDescent="0.35">
      <c r="A253" s="100">
        <v>3</v>
      </c>
      <c r="B253" s="101"/>
      <c r="C253" s="60">
        <v>3</v>
      </c>
      <c r="D253" s="61">
        <f>82.4*10.764</f>
        <v>886.95360000000005</v>
      </c>
      <c r="E253" s="61">
        <v>0</v>
      </c>
      <c r="F253" s="61">
        <f t="shared" si="12"/>
        <v>1419.1257600000001</v>
      </c>
      <c r="G253" s="112" t="str">
        <f>G252</f>
        <v>14th, 21st, 28th, 35th &amp; 42nd Floor</v>
      </c>
      <c r="H253" s="113"/>
      <c r="I253" s="62"/>
      <c r="K253" s="63">
        <f>1.1*2.84+3.03*5.27+0.92*2.88+2.85*2.44+3.28*1.53+2.44*3.05+1*2.93+2.44*1.53+1.35*2.14+3.8*3.23+3.2*3.95+1.59*2.75+1.5*2.14</f>
        <v>83.204799999999992</v>
      </c>
    </row>
    <row r="254" spans="1:13" s="63" customFormat="1" ht="15.75" customHeight="1" x14ac:dyDescent="0.35">
      <c r="A254" s="100">
        <v>4</v>
      </c>
      <c r="B254" s="101"/>
      <c r="C254" s="60">
        <v>3</v>
      </c>
      <c r="D254" s="61">
        <f>82.4*10.764</f>
        <v>886.95360000000005</v>
      </c>
      <c r="E254" s="61">
        <v>0</v>
      </c>
      <c r="F254" s="61">
        <f t="shared" si="12"/>
        <v>1419.1257600000001</v>
      </c>
      <c r="G254" s="112" t="str">
        <f>G253</f>
        <v>14th, 21st, 28th, 35th &amp; 42nd Floor</v>
      </c>
      <c r="H254" s="113"/>
      <c r="I254" s="62"/>
    </row>
    <row r="255" spans="1:13" s="63" customFormat="1" ht="15.75" customHeight="1" x14ac:dyDescent="0.35">
      <c r="A255" s="100">
        <v>5</v>
      </c>
      <c r="B255" s="101"/>
      <c r="C255" s="60">
        <v>2</v>
      </c>
      <c r="D255" s="61">
        <f>67.35*10.764</f>
        <v>724.95539999999994</v>
      </c>
      <c r="E255" s="61">
        <v>0</v>
      </c>
      <c r="F255" s="61">
        <f t="shared" si="12"/>
        <v>1159.9286399999999</v>
      </c>
      <c r="G255" s="112" t="str">
        <f>G254</f>
        <v>14th, 21st, 28th, 35th &amp; 42nd Floor</v>
      </c>
      <c r="H255" s="113"/>
      <c r="I255" s="62"/>
    </row>
    <row r="256" spans="1:13" s="63" customFormat="1" ht="15.75" customHeight="1" x14ac:dyDescent="0.35">
      <c r="A256" s="100">
        <v>6</v>
      </c>
      <c r="B256" s="101"/>
      <c r="C256" s="60">
        <v>2</v>
      </c>
      <c r="D256" s="61">
        <f>67.35*10.764</f>
        <v>724.95539999999994</v>
      </c>
      <c r="E256" s="61">
        <v>0</v>
      </c>
      <c r="F256" s="61">
        <f t="shared" si="12"/>
        <v>1159.9286399999999</v>
      </c>
      <c r="G256" s="114" t="str">
        <f>G255</f>
        <v>14th, 21st, 28th, 35th &amp; 42nd Floor</v>
      </c>
      <c r="H256" s="115"/>
      <c r="I256" s="62"/>
    </row>
    <row r="257" spans="1:10" s="63" customFormat="1" ht="15.75" customHeight="1" x14ac:dyDescent="0.35">
      <c r="A257" s="116" t="s">
        <v>235</v>
      </c>
      <c r="B257" s="117"/>
      <c r="C257" s="117"/>
      <c r="D257" s="117"/>
      <c r="E257" s="117"/>
      <c r="F257" s="117"/>
      <c r="G257" s="117"/>
      <c r="H257" s="118"/>
      <c r="I257" s="62"/>
    </row>
    <row r="258" spans="1:10" s="63" customFormat="1" ht="15.75" customHeight="1" x14ac:dyDescent="0.35">
      <c r="A258" s="100">
        <v>1</v>
      </c>
      <c r="B258" s="101"/>
      <c r="C258" s="100" t="s">
        <v>221</v>
      </c>
      <c r="D258" s="216"/>
      <c r="E258" s="216"/>
      <c r="F258" s="101"/>
      <c r="G258" s="110" t="str">
        <f>A257</f>
        <v>15th, 22nd, 29th, 36th &amp; 43rd Floor (Part Refuge Area)</v>
      </c>
      <c r="H258" s="111"/>
      <c r="I258" s="62"/>
    </row>
    <row r="259" spans="1:10" s="63" customFormat="1" ht="15.75" customHeight="1" x14ac:dyDescent="0.35">
      <c r="A259" s="100">
        <v>2</v>
      </c>
      <c r="B259" s="101"/>
      <c r="C259" s="107" t="s">
        <v>232</v>
      </c>
      <c r="D259" s="108"/>
      <c r="E259" s="108"/>
      <c r="F259" s="109"/>
      <c r="G259" s="112" t="str">
        <f>G258</f>
        <v>15th, 22nd, 29th, 36th &amp; 43rd Floor (Part Refuge Area)</v>
      </c>
      <c r="H259" s="113"/>
      <c r="I259" s="62"/>
    </row>
    <row r="260" spans="1:10" s="63" customFormat="1" ht="15.75" customHeight="1" x14ac:dyDescent="0.35">
      <c r="A260" s="100">
        <v>3</v>
      </c>
      <c r="B260" s="101"/>
      <c r="C260" s="60">
        <v>3</v>
      </c>
      <c r="D260" s="61">
        <f>82.4*10.764</f>
        <v>886.95360000000005</v>
      </c>
      <c r="E260" s="61">
        <v>0</v>
      </c>
      <c r="F260" s="61">
        <f t="shared" ref="F260:F263" si="13">D260*(($F$176)+1)+(IF(E260&lt;101,E260,IF(E260&lt;201,E260/2,IF(E260&lt;=301,E260/3,E260/4))))</f>
        <v>1419.1257600000001</v>
      </c>
      <c r="G260" s="112" t="str">
        <f>G259</f>
        <v>15th, 22nd, 29th, 36th &amp; 43rd Floor (Part Refuge Area)</v>
      </c>
      <c r="H260" s="113"/>
      <c r="I260" s="62"/>
    </row>
    <row r="261" spans="1:10" s="63" customFormat="1" ht="15.75" customHeight="1" x14ac:dyDescent="0.35">
      <c r="A261" s="100">
        <v>4</v>
      </c>
      <c r="B261" s="101"/>
      <c r="C261" s="60">
        <v>3</v>
      </c>
      <c r="D261" s="61">
        <f>82.4*10.764</f>
        <v>886.95360000000005</v>
      </c>
      <c r="E261" s="61">
        <v>0</v>
      </c>
      <c r="F261" s="61">
        <f t="shared" si="13"/>
        <v>1419.1257600000001</v>
      </c>
      <c r="G261" s="112" t="str">
        <f>G260</f>
        <v>15th, 22nd, 29th, 36th &amp; 43rd Floor (Part Refuge Area)</v>
      </c>
      <c r="H261" s="113"/>
      <c r="I261" s="62"/>
    </row>
    <row r="262" spans="1:10" s="63" customFormat="1" ht="15.75" customHeight="1" x14ac:dyDescent="0.35">
      <c r="A262" s="100">
        <v>5</v>
      </c>
      <c r="B262" s="101"/>
      <c r="C262" s="60">
        <v>2</v>
      </c>
      <c r="D262" s="61">
        <f>67.35*10.764</f>
        <v>724.95539999999994</v>
      </c>
      <c r="E262" s="61">
        <v>0</v>
      </c>
      <c r="F262" s="61">
        <f t="shared" si="13"/>
        <v>1159.9286399999999</v>
      </c>
      <c r="G262" s="112" t="str">
        <f>G261</f>
        <v>15th, 22nd, 29th, 36th &amp; 43rd Floor (Part Refuge Area)</v>
      </c>
      <c r="H262" s="113"/>
      <c r="I262" s="62"/>
    </row>
    <row r="263" spans="1:10" s="63" customFormat="1" ht="15.75" customHeight="1" x14ac:dyDescent="0.35">
      <c r="A263" s="100">
        <v>6</v>
      </c>
      <c r="B263" s="101"/>
      <c r="C263" s="60">
        <v>2</v>
      </c>
      <c r="D263" s="61">
        <f>67.35*10.764</f>
        <v>724.95539999999994</v>
      </c>
      <c r="E263" s="61">
        <v>0</v>
      </c>
      <c r="F263" s="61">
        <f t="shared" si="13"/>
        <v>1159.9286399999999</v>
      </c>
      <c r="G263" s="114" t="str">
        <f>G262</f>
        <v>15th, 22nd, 29th, 36th &amp; 43rd Floor (Part Refuge Area)</v>
      </c>
      <c r="H263" s="115"/>
      <c r="I263" s="62"/>
    </row>
    <row r="264" spans="1:10" s="63" customFormat="1" ht="15.75" customHeight="1" x14ac:dyDescent="0.35">
      <c r="A264" s="116" t="s">
        <v>234</v>
      </c>
      <c r="B264" s="117"/>
      <c r="C264" s="117"/>
      <c r="D264" s="117"/>
      <c r="E264" s="117"/>
      <c r="F264" s="117"/>
      <c r="G264" s="117"/>
      <c r="H264" s="118"/>
      <c r="I264" s="62"/>
    </row>
    <row r="265" spans="1:10" s="63" customFormat="1" ht="15.75" customHeight="1" x14ac:dyDescent="0.35">
      <c r="A265" s="100">
        <v>1</v>
      </c>
      <c r="B265" s="101"/>
      <c r="C265" s="100" t="s">
        <v>221</v>
      </c>
      <c r="D265" s="216"/>
      <c r="E265" s="216"/>
      <c r="F265" s="101"/>
      <c r="G265" s="110" t="str">
        <f>A264</f>
        <v>50th Floor (Part Refuge Area)</v>
      </c>
      <c r="H265" s="111"/>
      <c r="I265" s="62"/>
    </row>
    <row r="266" spans="1:10" s="63" customFormat="1" ht="15.75" customHeight="1" x14ac:dyDescent="0.35">
      <c r="A266" s="100">
        <v>2</v>
      </c>
      <c r="B266" s="101"/>
      <c r="C266" s="60">
        <v>3</v>
      </c>
      <c r="D266" s="61">
        <f>94.82*10.764</f>
        <v>1020.6424799999999</v>
      </c>
      <c r="E266" s="61">
        <v>0</v>
      </c>
      <c r="F266" s="61">
        <f t="shared" ref="F266:F270" si="14">D266*(($F$176)+1)+(IF(E266&lt;101,E266,IF(E266&lt;201,E266/2,IF(E266&lt;=301,E266/3,E266/4))))</f>
        <v>1633.0279679999999</v>
      </c>
      <c r="G266" s="112" t="str">
        <f>G265</f>
        <v>50th Floor (Part Refuge Area)</v>
      </c>
      <c r="H266" s="113"/>
      <c r="I266" s="62"/>
    </row>
    <row r="267" spans="1:10" s="63" customFormat="1" ht="15.75" customHeight="1" x14ac:dyDescent="0.35">
      <c r="A267" s="100">
        <v>3</v>
      </c>
      <c r="B267" s="101"/>
      <c r="C267" s="60">
        <v>3</v>
      </c>
      <c r="D267" s="61">
        <f>82.4*10.764</f>
        <v>886.95360000000005</v>
      </c>
      <c r="E267" s="61">
        <v>0</v>
      </c>
      <c r="F267" s="61">
        <f t="shared" si="14"/>
        <v>1419.1257600000001</v>
      </c>
      <c r="G267" s="112" t="str">
        <f>G266</f>
        <v>50th Floor (Part Refuge Area)</v>
      </c>
      <c r="H267" s="113"/>
      <c r="I267" s="62"/>
    </row>
    <row r="268" spans="1:10" s="63" customFormat="1" ht="15.75" customHeight="1" x14ac:dyDescent="0.35">
      <c r="A268" s="100">
        <v>4</v>
      </c>
      <c r="B268" s="101"/>
      <c r="C268" s="60">
        <v>3</v>
      </c>
      <c r="D268" s="61">
        <f>82.4*10.764</f>
        <v>886.95360000000005</v>
      </c>
      <c r="E268" s="61">
        <v>0</v>
      </c>
      <c r="F268" s="61">
        <f t="shared" si="14"/>
        <v>1419.1257600000001</v>
      </c>
      <c r="G268" s="112" t="str">
        <f>G267</f>
        <v>50th Floor (Part Refuge Area)</v>
      </c>
      <c r="H268" s="113"/>
      <c r="I268" s="62"/>
    </row>
    <row r="269" spans="1:10" s="63" customFormat="1" ht="15.75" customHeight="1" x14ac:dyDescent="0.35">
      <c r="A269" s="100">
        <v>5</v>
      </c>
      <c r="B269" s="101"/>
      <c r="C269" s="60">
        <v>2</v>
      </c>
      <c r="D269" s="61">
        <f>67.35*10.764</f>
        <v>724.95539999999994</v>
      </c>
      <c r="E269" s="61">
        <v>0</v>
      </c>
      <c r="F269" s="61">
        <f t="shared" si="14"/>
        <v>1159.9286399999999</v>
      </c>
      <c r="G269" s="112" t="str">
        <f>G268</f>
        <v>50th Floor (Part Refuge Area)</v>
      </c>
      <c r="H269" s="113"/>
      <c r="I269" s="62"/>
    </row>
    <row r="270" spans="1:10" s="63" customFormat="1" ht="15.75" customHeight="1" x14ac:dyDescent="0.35">
      <c r="A270" s="100">
        <v>6</v>
      </c>
      <c r="B270" s="101"/>
      <c r="C270" s="60">
        <v>2</v>
      </c>
      <c r="D270" s="61">
        <f>67.35*10.764</f>
        <v>724.95539999999994</v>
      </c>
      <c r="E270" s="61">
        <v>0</v>
      </c>
      <c r="F270" s="61">
        <f t="shared" si="14"/>
        <v>1159.9286399999999</v>
      </c>
      <c r="G270" s="114" t="str">
        <f>G269</f>
        <v>50th Floor (Part Refuge Area)</v>
      </c>
      <c r="H270" s="115"/>
      <c r="I270" s="62"/>
    </row>
    <row r="271" spans="1:10" s="63" customFormat="1" x14ac:dyDescent="0.35">
      <c r="A271" s="119" t="s">
        <v>194</v>
      </c>
      <c r="B271" s="120"/>
      <c r="C271" s="120"/>
      <c r="D271" s="120"/>
      <c r="E271" s="120"/>
      <c r="F271" s="120"/>
      <c r="G271" s="120"/>
      <c r="H271" s="121"/>
      <c r="J271" s="62"/>
    </row>
    <row r="272" spans="1:10" s="63" customFormat="1" ht="15.75" customHeight="1" x14ac:dyDescent="0.35">
      <c r="A272" s="116" t="s">
        <v>223</v>
      </c>
      <c r="B272" s="117"/>
      <c r="C272" s="117"/>
      <c r="D272" s="117"/>
      <c r="E272" s="117"/>
      <c r="F272" s="117"/>
      <c r="G272" s="117"/>
      <c r="H272" s="118"/>
      <c r="J272" s="62"/>
    </row>
    <row r="273" spans="1:14" s="63" customFormat="1" x14ac:dyDescent="0.35">
      <c r="A273" s="116" t="s">
        <v>182</v>
      </c>
      <c r="B273" s="117"/>
      <c r="C273" s="117"/>
      <c r="D273" s="117"/>
      <c r="E273" s="117"/>
      <c r="F273" s="117"/>
      <c r="G273" s="117"/>
      <c r="H273" s="118"/>
      <c r="J273" s="62"/>
    </row>
    <row r="274" spans="1:14" s="63" customFormat="1" x14ac:dyDescent="0.35">
      <c r="A274" s="116" t="s">
        <v>183</v>
      </c>
      <c r="B274" s="117"/>
      <c r="C274" s="117"/>
      <c r="D274" s="117"/>
      <c r="E274" s="117"/>
      <c r="F274" s="117"/>
      <c r="G274" s="117"/>
      <c r="H274" s="118"/>
      <c r="J274" s="62"/>
    </row>
    <row r="275" spans="1:14" s="63" customFormat="1" x14ac:dyDescent="0.35">
      <c r="A275" s="116" t="s">
        <v>184</v>
      </c>
      <c r="B275" s="117"/>
      <c r="C275" s="117"/>
      <c r="D275" s="117"/>
      <c r="E275" s="117"/>
      <c r="F275" s="117"/>
      <c r="G275" s="117"/>
      <c r="H275" s="118"/>
      <c r="J275" s="62"/>
    </row>
    <row r="276" spans="1:14" s="63" customFormat="1" x14ac:dyDescent="0.35">
      <c r="A276" s="116" t="s">
        <v>185</v>
      </c>
      <c r="B276" s="117"/>
      <c r="C276" s="117"/>
      <c r="D276" s="117"/>
      <c r="E276" s="117"/>
      <c r="F276" s="117"/>
      <c r="G276" s="117"/>
      <c r="H276" s="118"/>
      <c r="J276" s="62"/>
    </row>
    <row r="277" spans="1:14" s="63" customFormat="1" ht="15.75" customHeight="1" x14ac:dyDescent="0.35">
      <c r="A277" s="100">
        <v>1</v>
      </c>
      <c r="B277" s="101"/>
      <c r="C277" s="60">
        <v>3</v>
      </c>
      <c r="D277" s="61">
        <f>97.15*10.764</f>
        <v>1045.7226000000001</v>
      </c>
      <c r="E277" s="61">
        <v>0</v>
      </c>
      <c r="F277" s="61">
        <f>D277*(($F$176)+1)+(IF(E277&lt;101,E277,IF(E277&lt;201,E277/2,IF(E277&lt;=301,E277/3,E277/4))))</f>
        <v>1673.1561600000002</v>
      </c>
      <c r="G277" s="110" t="str">
        <f>A276</f>
        <v>3rd Podium Floor For Parking &amp; Residential</v>
      </c>
      <c r="H277" s="111"/>
      <c r="I277" s="62"/>
      <c r="J277" s="63">
        <f>2.5*1.22+3.35*5.43+2.99*0.99+3.1*2.44+3.05*3.36+3.36*4.27+1.53*2.75+3.33*3.39+1.53*2.44+2.44*1.53+4.5*1+3.6*1.61+1.2*1.98</f>
        <v>91.994399999999999</v>
      </c>
      <c r="L277" s="99"/>
      <c r="M277" s="99"/>
      <c r="N277" s="62"/>
    </row>
    <row r="278" spans="1:14" s="63" customFormat="1" ht="15.75" customHeight="1" x14ac:dyDescent="0.35">
      <c r="A278" s="100">
        <f t="shared" ref="A278" si="15">A277+1</f>
        <v>2</v>
      </c>
      <c r="B278" s="101"/>
      <c r="C278" s="60">
        <v>3</v>
      </c>
      <c r="D278" s="61">
        <f>97.15*10.764</f>
        <v>1045.7226000000001</v>
      </c>
      <c r="E278" s="61">
        <v>0</v>
      </c>
      <c r="F278" s="61">
        <f>D278*(($F$176)+1)+(IF(E278&lt;101,E278,IF(E278&lt;201,E278/2,IF(E278&lt;=301,E278/3,E278/4))))</f>
        <v>1673.1561600000002</v>
      </c>
      <c r="G278" s="112" t="str">
        <f t="shared" ref="G278" si="16">G277</f>
        <v>3rd Podium Floor For Parking &amp; Residential</v>
      </c>
      <c r="H278" s="113"/>
      <c r="I278" s="62"/>
      <c r="L278" s="99"/>
      <c r="M278" s="99"/>
      <c r="N278" s="62"/>
    </row>
    <row r="279" spans="1:14" s="63" customFormat="1" x14ac:dyDescent="0.35">
      <c r="A279" s="106" t="s">
        <v>186</v>
      </c>
      <c r="B279" s="106"/>
      <c r="C279" s="106"/>
      <c r="D279" s="106"/>
      <c r="E279" s="106"/>
      <c r="F279" s="106"/>
      <c r="G279" s="106"/>
      <c r="H279" s="106"/>
      <c r="I279" s="62"/>
      <c r="L279" s="99"/>
      <c r="M279" s="99"/>
    </row>
    <row r="280" spans="1:14" s="63" customFormat="1" ht="15.75" customHeight="1" x14ac:dyDescent="0.35">
      <c r="A280" s="105">
        <v>1</v>
      </c>
      <c r="B280" s="105"/>
      <c r="C280" s="60">
        <v>3</v>
      </c>
      <c r="D280" s="61">
        <f>97.15*10.764</f>
        <v>1045.7226000000001</v>
      </c>
      <c r="E280" s="61">
        <v>0</v>
      </c>
      <c r="F280" s="61">
        <f t="shared" ref="F280:F281" si="17">D280*(($F$176)+1)+(IF(E280&lt;101,E280,IF(E280&lt;201,E280/2,IF(E280&lt;=301,E280/3,E280/4))))</f>
        <v>1673.1561600000002</v>
      </c>
      <c r="G280" s="110" t="str">
        <f>A279</f>
        <v>4th Podium Floor For Parking &amp; Residential</v>
      </c>
      <c r="H280" s="111"/>
      <c r="I280" s="62"/>
      <c r="N280" s="62"/>
    </row>
    <row r="281" spans="1:14" s="63" customFormat="1" ht="15.75" customHeight="1" x14ac:dyDescent="0.35">
      <c r="A281" s="105">
        <f>A280+1</f>
        <v>2</v>
      </c>
      <c r="B281" s="105"/>
      <c r="C281" s="60">
        <v>3</v>
      </c>
      <c r="D281" s="61">
        <f>97.15*10.764</f>
        <v>1045.7226000000001</v>
      </c>
      <c r="E281" s="61">
        <v>0</v>
      </c>
      <c r="F281" s="61">
        <f t="shared" si="17"/>
        <v>1673.1561600000002</v>
      </c>
      <c r="G281" s="112" t="str">
        <f>G280</f>
        <v>4th Podium Floor For Parking &amp; Residential</v>
      </c>
      <c r="H281" s="113"/>
      <c r="I281" s="62"/>
      <c r="L281" s="64"/>
      <c r="N281" s="62"/>
    </row>
    <row r="282" spans="1:14" s="63" customFormat="1" ht="15.75" customHeight="1" x14ac:dyDescent="0.35">
      <c r="A282" s="105">
        <f>A281+1</f>
        <v>3</v>
      </c>
      <c r="B282" s="105"/>
      <c r="C282" s="60">
        <v>2</v>
      </c>
      <c r="D282" s="61">
        <f>70.42*10.764</f>
        <v>758.00087999999994</v>
      </c>
      <c r="E282" s="61">
        <v>0</v>
      </c>
      <c r="F282" s="61">
        <f>D282*(($F$176)+1)+(IF(E282&lt;101,E282,IF(E282&lt;201,E282/2,IF(E282&lt;=301,E282/3,E282/4))))</f>
        <v>1212.801408</v>
      </c>
      <c r="G282" s="112" t="str">
        <f>G281</f>
        <v>4th Podium Floor For Parking &amp; Residential</v>
      </c>
      <c r="H282" s="113"/>
      <c r="I282" s="62"/>
      <c r="J282" s="63">
        <f>3.05*3.1+3.05*1.22+3.05*5.83+2.99*0.99+3.05*3.36+3.05*4.45+2*(1.53*2.44)+2.7*1+1.69*1.35</f>
        <v>70.185999999999993</v>
      </c>
      <c r="N282" s="62"/>
    </row>
    <row r="283" spans="1:14" s="63" customFormat="1" ht="15.75" customHeight="1" x14ac:dyDescent="0.35">
      <c r="A283" s="105">
        <f>A282+1</f>
        <v>4</v>
      </c>
      <c r="B283" s="105"/>
      <c r="C283" s="122" t="s">
        <v>187</v>
      </c>
      <c r="D283" s="123"/>
      <c r="E283" s="123"/>
      <c r="F283" s="124"/>
      <c r="G283" s="112" t="str">
        <f>G282</f>
        <v>4th Podium Floor For Parking &amp; Residential</v>
      </c>
      <c r="H283" s="113"/>
      <c r="I283" s="62"/>
      <c r="N283" s="62"/>
    </row>
    <row r="284" spans="1:14" s="63" customFormat="1" ht="15.75" customHeight="1" x14ac:dyDescent="0.35">
      <c r="A284" s="105">
        <f>A283+1</f>
        <v>5</v>
      </c>
      <c r="B284" s="105"/>
      <c r="C284" s="125"/>
      <c r="D284" s="126"/>
      <c r="E284" s="126"/>
      <c r="F284" s="127"/>
      <c r="G284" s="112" t="str">
        <f>G283</f>
        <v>4th Podium Floor For Parking &amp; Residential</v>
      </c>
      <c r="H284" s="113"/>
      <c r="I284" s="62"/>
      <c r="N284" s="62"/>
    </row>
    <row r="285" spans="1:14" s="63" customFormat="1" ht="15.75" customHeight="1" x14ac:dyDescent="0.35">
      <c r="A285" s="105">
        <v>6</v>
      </c>
      <c r="B285" s="105"/>
      <c r="C285" s="60">
        <v>2</v>
      </c>
      <c r="D285" s="61">
        <f>70.42*10.764</f>
        <v>758.00087999999994</v>
      </c>
      <c r="E285" s="61">
        <v>0</v>
      </c>
      <c r="F285" s="61">
        <f>D285*(($F$176)+1)+(IF(E285&lt;101,E285,IF(E285&lt;201,E285/2,IF(E285&lt;=301,E285/3,E285/4))))</f>
        <v>1212.801408</v>
      </c>
      <c r="G285" s="114" t="str">
        <f>G283</f>
        <v>4th Podium Floor For Parking &amp; Residential</v>
      </c>
      <c r="H285" s="115"/>
      <c r="I285" s="62"/>
      <c r="J285" s="63">
        <f>3.11*2.14+2.14*1.22+5.83*3.05+3.54*0.76+3.36*3.05+4.46*3.05+1.53*2.44+2.44*1.53+2.7*1+1.69*1.35</f>
        <v>66.036999999999992</v>
      </c>
      <c r="N285" s="62"/>
    </row>
    <row r="286" spans="1:14" s="63" customFormat="1" x14ac:dyDescent="0.35">
      <c r="A286" s="106" t="s">
        <v>227</v>
      </c>
      <c r="B286" s="106"/>
      <c r="C286" s="106"/>
      <c r="D286" s="106"/>
      <c r="E286" s="106"/>
      <c r="F286" s="106"/>
      <c r="G286" s="106"/>
      <c r="H286" s="106"/>
      <c r="I286" s="62"/>
      <c r="L286" s="99"/>
      <c r="M286" s="99"/>
    </row>
    <row r="287" spans="1:14" s="63" customFormat="1" ht="15.75" customHeight="1" x14ac:dyDescent="0.35">
      <c r="A287" s="105">
        <v>1</v>
      </c>
      <c r="B287" s="105"/>
      <c r="C287" s="60">
        <v>3</v>
      </c>
      <c r="D287" s="61">
        <f>97.15*10.764</f>
        <v>1045.7226000000001</v>
      </c>
      <c r="E287" s="61">
        <v>0</v>
      </c>
      <c r="F287" s="61">
        <f t="shared" ref="F287:F288" si="18">D287*(($F$176)+1)+(IF(E287&lt;101,E287,IF(E287&lt;201,E287/2,IF(E287&lt;=301,E287/3,E287/4))))</f>
        <v>1673.1561600000002</v>
      </c>
      <c r="G287" s="110" t="str">
        <f>A286</f>
        <v>5th Podium Floor For Parking, Residential &amp; Society Office</v>
      </c>
      <c r="H287" s="111"/>
      <c r="I287" s="62"/>
      <c r="N287" s="62"/>
    </row>
    <row r="288" spans="1:14" s="63" customFormat="1" ht="15.75" customHeight="1" x14ac:dyDescent="0.35">
      <c r="A288" s="105">
        <f>A287+1</f>
        <v>2</v>
      </c>
      <c r="B288" s="105"/>
      <c r="C288" s="60">
        <v>3</v>
      </c>
      <c r="D288" s="61">
        <f>97.15*10.764</f>
        <v>1045.7226000000001</v>
      </c>
      <c r="E288" s="61">
        <v>0</v>
      </c>
      <c r="F288" s="61">
        <f t="shared" si="18"/>
        <v>1673.1561600000002</v>
      </c>
      <c r="G288" s="112" t="str">
        <f>G287</f>
        <v>5th Podium Floor For Parking, Residential &amp; Society Office</v>
      </c>
      <c r="H288" s="113"/>
      <c r="I288" s="62"/>
      <c r="L288" s="64"/>
      <c r="N288" s="62"/>
    </row>
    <row r="289" spans="1:14" s="63" customFormat="1" ht="15.75" customHeight="1" x14ac:dyDescent="0.35">
      <c r="A289" s="105">
        <f>A288+1</f>
        <v>3</v>
      </c>
      <c r="B289" s="105"/>
      <c r="C289" s="60">
        <v>2</v>
      </c>
      <c r="D289" s="61">
        <f>70.42*10.764</f>
        <v>758.00087999999994</v>
      </c>
      <c r="E289" s="61">
        <v>0</v>
      </c>
      <c r="F289" s="61">
        <f>D289*(($F$176)+1)+(IF(E289&lt;101,E289,IF(E289&lt;201,E289/2,IF(E289&lt;=301,E289/3,E289/4))))</f>
        <v>1212.801408</v>
      </c>
      <c r="G289" s="112" t="str">
        <f>G288</f>
        <v>5th Podium Floor For Parking, Residential &amp; Society Office</v>
      </c>
      <c r="H289" s="113"/>
      <c r="I289" s="62"/>
      <c r="N289" s="62"/>
    </row>
    <row r="290" spans="1:14" s="63" customFormat="1" ht="15.75" customHeight="1" x14ac:dyDescent="0.35">
      <c r="A290" s="105">
        <f>A289+1</f>
        <v>4</v>
      </c>
      <c r="B290" s="105"/>
      <c r="C290" s="107" t="s">
        <v>187</v>
      </c>
      <c r="D290" s="108"/>
      <c r="E290" s="108"/>
      <c r="F290" s="109"/>
      <c r="G290" s="112" t="str">
        <f>G289</f>
        <v>5th Podium Floor For Parking, Residential &amp; Society Office</v>
      </c>
      <c r="H290" s="113"/>
      <c r="I290" s="62"/>
      <c r="N290" s="62"/>
    </row>
    <row r="291" spans="1:14" s="63" customFormat="1" ht="15.75" customHeight="1" x14ac:dyDescent="0.35">
      <c r="A291" s="105">
        <f>A290+1</f>
        <v>5</v>
      </c>
      <c r="B291" s="105"/>
      <c r="C291" s="107" t="s">
        <v>226</v>
      </c>
      <c r="D291" s="108"/>
      <c r="E291" s="108"/>
      <c r="F291" s="109"/>
      <c r="G291" s="112" t="str">
        <f>G290</f>
        <v>5th Podium Floor For Parking, Residential &amp; Society Office</v>
      </c>
      <c r="H291" s="113"/>
      <c r="I291" s="62"/>
      <c r="N291" s="62"/>
    </row>
    <row r="292" spans="1:14" s="63" customFormat="1" ht="15.75" customHeight="1" x14ac:dyDescent="0.35">
      <c r="A292" s="105">
        <v>6</v>
      </c>
      <c r="B292" s="105"/>
      <c r="C292" s="60">
        <v>2</v>
      </c>
      <c r="D292" s="61">
        <f>70.42*10.764</f>
        <v>758.00087999999994</v>
      </c>
      <c r="E292" s="61">
        <v>0</v>
      </c>
      <c r="F292" s="61">
        <f>D292*(($F$176)+1)+(IF(E292&lt;101,E292,IF(E292&lt;201,E292/2,IF(E292&lt;=301,E292/3,E292/4))))</f>
        <v>1212.801408</v>
      </c>
      <c r="G292" s="114" t="str">
        <f>G290</f>
        <v>5th Podium Floor For Parking, Residential &amp; Society Office</v>
      </c>
      <c r="H292" s="115"/>
      <c r="I292" s="62"/>
      <c r="N292" s="62"/>
    </row>
    <row r="293" spans="1:14" s="63" customFormat="1" x14ac:dyDescent="0.35">
      <c r="A293" s="106" t="s">
        <v>189</v>
      </c>
      <c r="B293" s="106"/>
      <c r="C293" s="106"/>
      <c r="D293" s="106"/>
      <c r="E293" s="106"/>
      <c r="F293" s="106"/>
      <c r="G293" s="106"/>
      <c r="H293" s="106"/>
      <c r="I293" s="62"/>
      <c r="L293" s="99"/>
      <c r="M293" s="99"/>
    </row>
    <row r="294" spans="1:14" s="63" customFormat="1" ht="15.75" customHeight="1" x14ac:dyDescent="0.35">
      <c r="A294" s="105">
        <v>1</v>
      </c>
      <c r="B294" s="105"/>
      <c r="C294" s="60">
        <v>3</v>
      </c>
      <c r="D294" s="61">
        <f>97.15*10.764</f>
        <v>1045.7226000000001</v>
      </c>
      <c r="E294" s="61">
        <v>0</v>
      </c>
      <c r="F294" s="61">
        <f t="shared" ref="F294:F295" si="19">D294*(($F$176)+1)+(IF(E294&lt;101,E294,IF(E294&lt;201,E294/2,IF(E294&lt;=301,E294/3,E294/4))))</f>
        <v>1673.1561600000002</v>
      </c>
      <c r="G294" s="110" t="str">
        <f>A293</f>
        <v>6th Podium Floor For Parking &amp; Residential</v>
      </c>
      <c r="H294" s="111"/>
      <c r="I294" s="62"/>
      <c r="N294" s="62"/>
    </row>
    <row r="295" spans="1:14" s="63" customFormat="1" ht="15.75" customHeight="1" x14ac:dyDescent="0.35">
      <c r="A295" s="105">
        <f>A294+1</f>
        <v>2</v>
      </c>
      <c r="B295" s="105"/>
      <c r="C295" s="60">
        <v>3</v>
      </c>
      <c r="D295" s="61">
        <f>97.15*10.764</f>
        <v>1045.7226000000001</v>
      </c>
      <c r="E295" s="61">
        <v>0</v>
      </c>
      <c r="F295" s="61">
        <f t="shared" si="19"/>
        <v>1673.1561600000002</v>
      </c>
      <c r="G295" s="112" t="str">
        <f>G294</f>
        <v>6th Podium Floor For Parking &amp; Residential</v>
      </c>
      <c r="H295" s="113"/>
      <c r="I295" s="62"/>
      <c r="L295" s="64"/>
      <c r="N295" s="62"/>
    </row>
    <row r="296" spans="1:14" s="63" customFormat="1" ht="15.75" customHeight="1" x14ac:dyDescent="0.35">
      <c r="A296" s="105">
        <f>A295+1</f>
        <v>3</v>
      </c>
      <c r="B296" s="105"/>
      <c r="C296" s="60">
        <v>2</v>
      </c>
      <c r="D296" s="61">
        <f>70.42*10.764</f>
        <v>758.00087999999994</v>
      </c>
      <c r="E296" s="61">
        <v>0</v>
      </c>
      <c r="F296" s="61">
        <f>D296*(($F$176)+1)+(IF(E296&lt;101,E296,IF(E296&lt;201,E296/2,IF(E296&lt;=301,E296/3,E296/4))))</f>
        <v>1212.801408</v>
      </c>
      <c r="G296" s="112" t="str">
        <f>G295</f>
        <v>6th Podium Floor For Parking &amp; Residential</v>
      </c>
      <c r="H296" s="113"/>
      <c r="I296" s="62"/>
      <c r="N296" s="62"/>
    </row>
    <row r="297" spans="1:14" s="63" customFormat="1" ht="15.75" customHeight="1" x14ac:dyDescent="0.35">
      <c r="A297" s="105">
        <f>A296+1</f>
        <v>4</v>
      </c>
      <c r="B297" s="105"/>
      <c r="C297" s="122" t="s">
        <v>187</v>
      </c>
      <c r="D297" s="123"/>
      <c r="E297" s="123"/>
      <c r="F297" s="124"/>
      <c r="G297" s="112" t="str">
        <f>G296</f>
        <v>6th Podium Floor For Parking &amp; Residential</v>
      </c>
      <c r="H297" s="113"/>
      <c r="I297" s="62"/>
      <c r="N297" s="62"/>
    </row>
    <row r="298" spans="1:14" s="63" customFormat="1" ht="15.75" customHeight="1" x14ac:dyDescent="0.35">
      <c r="A298" s="105">
        <f>A297+1</f>
        <v>5</v>
      </c>
      <c r="B298" s="105"/>
      <c r="C298" s="125" t="s">
        <v>187</v>
      </c>
      <c r="D298" s="126"/>
      <c r="E298" s="126"/>
      <c r="F298" s="127"/>
      <c r="G298" s="112" t="str">
        <f>G297</f>
        <v>6th Podium Floor For Parking &amp; Residential</v>
      </c>
      <c r="H298" s="113"/>
      <c r="I298" s="62"/>
      <c r="N298" s="62"/>
    </row>
    <row r="299" spans="1:14" s="63" customFormat="1" ht="15.75" customHeight="1" x14ac:dyDescent="0.35">
      <c r="A299" s="105">
        <v>6</v>
      </c>
      <c r="B299" s="105"/>
      <c r="C299" s="60">
        <v>2</v>
      </c>
      <c r="D299" s="61">
        <f>70.42*10.764</f>
        <v>758.00087999999994</v>
      </c>
      <c r="E299" s="61">
        <v>0</v>
      </c>
      <c r="F299" s="61">
        <f>D299*(($F$176)+1)+(IF(E299&lt;101,E299,IF(E299&lt;201,E299/2,IF(E299&lt;=301,E299/3,E299/4))))</f>
        <v>1212.801408</v>
      </c>
      <c r="G299" s="114" t="str">
        <f>G297</f>
        <v>6th Podium Floor For Parking &amp; Residential</v>
      </c>
      <c r="H299" s="115"/>
      <c r="I299" s="62"/>
      <c r="N299" s="62"/>
    </row>
    <row r="300" spans="1:14" s="63" customFormat="1" x14ac:dyDescent="0.35">
      <c r="A300" s="106" t="s">
        <v>190</v>
      </c>
      <c r="B300" s="106"/>
      <c r="C300" s="106"/>
      <c r="D300" s="106"/>
      <c r="E300" s="106"/>
      <c r="F300" s="106"/>
      <c r="G300" s="106"/>
      <c r="H300" s="106"/>
      <c r="I300" s="62"/>
      <c r="L300" s="99"/>
      <c r="M300" s="99"/>
    </row>
    <row r="301" spans="1:14" s="63" customFormat="1" ht="15.75" customHeight="1" x14ac:dyDescent="0.35">
      <c r="A301" s="105">
        <v>1</v>
      </c>
      <c r="B301" s="105"/>
      <c r="C301" s="60">
        <v>3</v>
      </c>
      <c r="D301" s="61">
        <f>97.15*10.764</f>
        <v>1045.7226000000001</v>
      </c>
      <c r="E301" s="61">
        <v>0</v>
      </c>
      <c r="F301" s="61">
        <f t="shared" ref="F301:F302" si="20">D301*(($F$176)+1)+(IF(E301&lt;101,E301,IF(E301&lt;201,E301/2,IF(E301&lt;=301,E301/3,E301/4))))</f>
        <v>1673.1561600000002</v>
      </c>
      <c r="G301" s="110" t="str">
        <f>A300</f>
        <v>7th Podium Floor For Parking &amp; Residential</v>
      </c>
      <c r="H301" s="111"/>
      <c r="I301" s="62">
        <f>21400000/F301</f>
        <v>12790.198853883428</v>
      </c>
      <c r="N301" s="62"/>
    </row>
    <row r="302" spans="1:14" s="63" customFormat="1" ht="15.75" customHeight="1" x14ac:dyDescent="0.35">
      <c r="A302" s="105">
        <f>A301+1</f>
        <v>2</v>
      </c>
      <c r="B302" s="105"/>
      <c r="C302" s="60">
        <v>3</v>
      </c>
      <c r="D302" s="61">
        <f>97.15*10.764</f>
        <v>1045.7226000000001</v>
      </c>
      <c r="E302" s="61">
        <v>0</v>
      </c>
      <c r="F302" s="61">
        <f t="shared" si="20"/>
        <v>1673.1561600000002</v>
      </c>
      <c r="G302" s="112" t="str">
        <f>G301</f>
        <v>7th Podium Floor For Parking &amp; Residential</v>
      </c>
      <c r="H302" s="113"/>
      <c r="I302" s="62"/>
      <c r="L302" s="64"/>
      <c r="N302" s="62"/>
    </row>
    <row r="303" spans="1:14" s="63" customFormat="1" ht="15.75" customHeight="1" x14ac:dyDescent="0.35">
      <c r="A303" s="105">
        <f>A302+1</f>
        <v>3</v>
      </c>
      <c r="B303" s="105"/>
      <c r="C303" s="60">
        <v>2</v>
      </c>
      <c r="D303" s="61">
        <f>70.42*10.764</f>
        <v>758.00087999999994</v>
      </c>
      <c r="E303" s="61">
        <v>0</v>
      </c>
      <c r="F303" s="61">
        <f>D303*(($F$176)+1)+(IF(E303&lt;101,E303,IF(E303&lt;201,E303/2,IF(E303&lt;=301,E303/3,E303/4))))</f>
        <v>1212.801408</v>
      </c>
      <c r="G303" s="112" t="str">
        <f>G302</f>
        <v>7th Podium Floor For Parking &amp; Residential</v>
      </c>
      <c r="H303" s="113"/>
      <c r="I303" s="62"/>
      <c r="N303" s="62"/>
    </row>
    <row r="304" spans="1:14" s="63" customFormat="1" ht="15.75" customHeight="1" x14ac:dyDescent="0.35">
      <c r="A304" s="105">
        <f>A303+1</f>
        <v>4</v>
      </c>
      <c r="B304" s="105"/>
      <c r="C304" s="122" t="s">
        <v>187</v>
      </c>
      <c r="D304" s="123"/>
      <c r="E304" s="123"/>
      <c r="F304" s="124"/>
      <c r="G304" s="112" t="str">
        <f>G303</f>
        <v>7th Podium Floor For Parking &amp; Residential</v>
      </c>
      <c r="H304" s="113"/>
      <c r="I304" s="62"/>
      <c r="N304" s="62"/>
    </row>
    <row r="305" spans="1:14" s="63" customFormat="1" ht="15.75" customHeight="1" x14ac:dyDescent="0.35">
      <c r="A305" s="105">
        <f>A304+1</f>
        <v>5</v>
      </c>
      <c r="B305" s="105"/>
      <c r="C305" s="125"/>
      <c r="D305" s="126"/>
      <c r="E305" s="126"/>
      <c r="F305" s="127"/>
      <c r="G305" s="112" t="str">
        <f>G304</f>
        <v>7th Podium Floor For Parking &amp; Residential</v>
      </c>
      <c r="H305" s="113"/>
      <c r="I305" s="62"/>
      <c r="N305" s="62"/>
    </row>
    <row r="306" spans="1:14" s="63" customFormat="1" ht="15.75" customHeight="1" x14ac:dyDescent="0.35">
      <c r="A306" s="105">
        <v>6</v>
      </c>
      <c r="B306" s="105"/>
      <c r="C306" s="60">
        <v>2</v>
      </c>
      <c r="D306" s="61">
        <f>70.42*10.764</f>
        <v>758.00087999999994</v>
      </c>
      <c r="E306" s="61">
        <v>0</v>
      </c>
      <c r="F306" s="61">
        <f>D306*(($F$176)+1)+(IF(E306&lt;101,E306,IF(E306&lt;201,E306/2,IF(E306&lt;=301,E306/3,E306/4))))</f>
        <v>1212.801408</v>
      </c>
      <c r="G306" s="114" t="str">
        <f>G304</f>
        <v>7th Podium Floor For Parking &amp; Residential</v>
      </c>
      <c r="H306" s="115"/>
      <c r="I306" s="62"/>
      <c r="N306" s="62"/>
    </row>
    <row r="307" spans="1:14" s="63" customFormat="1" x14ac:dyDescent="0.35">
      <c r="A307" s="106" t="s">
        <v>229</v>
      </c>
      <c r="B307" s="106"/>
      <c r="C307" s="106"/>
      <c r="D307" s="106"/>
      <c r="E307" s="106"/>
      <c r="F307" s="106"/>
      <c r="G307" s="106"/>
      <c r="H307" s="106"/>
      <c r="I307" s="62"/>
      <c r="L307" s="99"/>
      <c r="M307" s="99"/>
    </row>
    <row r="308" spans="1:14" s="63" customFormat="1" x14ac:dyDescent="0.35">
      <c r="A308" s="106" t="s">
        <v>191</v>
      </c>
      <c r="B308" s="106"/>
      <c r="C308" s="106"/>
      <c r="D308" s="106"/>
      <c r="E308" s="106"/>
      <c r="F308" s="106"/>
      <c r="G308" s="106"/>
      <c r="H308" s="106"/>
      <c r="I308" s="62"/>
      <c r="L308" s="99"/>
      <c r="M308" s="99"/>
    </row>
    <row r="309" spans="1:14" s="63" customFormat="1" ht="15.75" customHeight="1" x14ac:dyDescent="0.35">
      <c r="A309" s="105">
        <v>1</v>
      </c>
      <c r="B309" s="105"/>
      <c r="C309" s="60">
        <v>3</v>
      </c>
      <c r="D309" s="61">
        <f>97.15*10.764</f>
        <v>1045.7226000000001</v>
      </c>
      <c r="E309" s="61">
        <v>0</v>
      </c>
      <c r="F309" s="61">
        <f t="shared" ref="F309:F310" si="21">D309*(($F$176)+1)+(IF(E309&lt;101,E309,IF(E309&lt;201,E309/2,IF(E309&lt;=301,E309/3,E309/4))))</f>
        <v>1673.1561600000002</v>
      </c>
      <c r="G309" s="110" t="str">
        <f>A308</f>
        <v>8th Podium Floor For Parking, Residential &amp; Club House</v>
      </c>
      <c r="H309" s="111"/>
      <c r="I309" s="62"/>
      <c r="N309" s="62"/>
    </row>
    <row r="310" spans="1:14" s="63" customFormat="1" ht="15.75" customHeight="1" x14ac:dyDescent="0.35">
      <c r="A310" s="105">
        <f>A309+1</f>
        <v>2</v>
      </c>
      <c r="B310" s="105"/>
      <c r="C310" s="60">
        <v>3</v>
      </c>
      <c r="D310" s="61">
        <f>97.15*10.764</f>
        <v>1045.7226000000001</v>
      </c>
      <c r="E310" s="61">
        <v>0</v>
      </c>
      <c r="F310" s="61">
        <f t="shared" si="21"/>
        <v>1673.1561600000002</v>
      </c>
      <c r="G310" s="112" t="str">
        <f>G309</f>
        <v>8th Podium Floor For Parking, Residential &amp; Club House</v>
      </c>
      <c r="H310" s="113"/>
      <c r="I310" s="62"/>
      <c r="L310" s="64"/>
      <c r="N310" s="62"/>
    </row>
    <row r="311" spans="1:14" s="63" customFormat="1" x14ac:dyDescent="0.35">
      <c r="A311" s="106" t="s">
        <v>192</v>
      </c>
      <c r="B311" s="106"/>
      <c r="C311" s="106"/>
      <c r="D311" s="106"/>
      <c r="E311" s="106"/>
      <c r="F311" s="106"/>
      <c r="G311" s="106"/>
      <c r="H311" s="106"/>
      <c r="I311" s="62"/>
      <c r="L311" s="99"/>
      <c r="M311" s="99"/>
    </row>
    <row r="312" spans="1:14" s="63" customFormat="1" ht="15.75" customHeight="1" x14ac:dyDescent="0.35">
      <c r="A312" s="105">
        <v>1</v>
      </c>
      <c r="B312" s="105"/>
      <c r="C312" s="60">
        <v>3</v>
      </c>
      <c r="D312" s="61">
        <f>97.15*10.764</f>
        <v>1045.7226000000001</v>
      </c>
      <c r="E312" s="61">
        <v>0</v>
      </c>
      <c r="F312" s="61">
        <f t="shared" ref="F312:F313" si="22">D312*(($F$176)+1)+(IF(E312&lt;101,E312,IF(E312&lt;201,E312/2,IF(E312&lt;=301,E312/3,E312/4))))</f>
        <v>1673.1561600000002</v>
      </c>
      <c r="G312" s="110" t="str">
        <f>A311</f>
        <v>9th Podium Floor For Parking, Residential, Steam &amp; Sauna</v>
      </c>
      <c r="H312" s="111"/>
      <c r="I312" s="62"/>
      <c r="N312" s="62"/>
    </row>
    <row r="313" spans="1:14" s="63" customFormat="1" ht="15.75" customHeight="1" x14ac:dyDescent="0.35">
      <c r="A313" s="105">
        <f>A312+1</f>
        <v>2</v>
      </c>
      <c r="B313" s="105"/>
      <c r="C313" s="60">
        <v>3</v>
      </c>
      <c r="D313" s="61">
        <f>97.15*10.764</f>
        <v>1045.7226000000001</v>
      </c>
      <c r="E313" s="61">
        <v>0</v>
      </c>
      <c r="F313" s="61">
        <f t="shared" si="22"/>
        <v>1673.1561600000002</v>
      </c>
      <c r="G313" s="112" t="str">
        <f>G312</f>
        <v>9th Podium Floor For Parking, Residential, Steam &amp; Sauna</v>
      </c>
      <c r="H313" s="113"/>
      <c r="I313" s="62"/>
      <c r="L313" s="64"/>
      <c r="N313" s="62"/>
    </row>
    <row r="314" spans="1:14" s="63" customFormat="1" x14ac:dyDescent="0.35">
      <c r="A314" s="106" t="s">
        <v>237</v>
      </c>
      <c r="B314" s="106"/>
      <c r="C314" s="106"/>
      <c r="D314" s="106"/>
      <c r="E314" s="106"/>
      <c r="F314" s="106"/>
      <c r="G314" s="106"/>
      <c r="H314" s="106"/>
      <c r="I314" s="62"/>
      <c r="L314" s="99"/>
      <c r="M314" s="99"/>
    </row>
    <row r="315" spans="1:14" s="63" customFormat="1" ht="15.75" customHeight="1" x14ac:dyDescent="0.35">
      <c r="A315" s="105">
        <v>1</v>
      </c>
      <c r="B315" s="105"/>
      <c r="C315" s="60">
        <v>3</v>
      </c>
      <c r="D315" s="61">
        <f>97.15*10.764</f>
        <v>1045.7226000000001</v>
      </c>
      <c r="E315" s="61">
        <v>0</v>
      </c>
      <c r="F315" s="61">
        <f t="shared" ref="F315:F318" si="23">D315*(($F$176)+1)+(IF(E315&lt;101,E315,IF(E315&lt;201,E315/2,IF(E315&lt;=301,E315/3,E315/4))))</f>
        <v>1673.1561600000002</v>
      </c>
      <c r="G315" s="110" t="str">
        <f>A314</f>
        <v>10th Floor</v>
      </c>
      <c r="H315" s="111"/>
      <c r="I315" s="62"/>
      <c r="N315" s="62"/>
    </row>
    <row r="316" spans="1:14" s="63" customFormat="1" ht="15.75" customHeight="1" x14ac:dyDescent="0.35">
      <c r="A316" s="105">
        <f>A315+1</f>
        <v>2</v>
      </c>
      <c r="B316" s="105"/>
      <c r="C316" s="60">
        <v>3</v>
      </c>
      <c r="D316" s="61">
        <f>97.15*10.764</f>
        <v>1045.7226000000001</v>
      </c>
      <c r="E316" s="61">
        <v>0</v>
      </c>
      <c r="F316" s="61">
        <f t="shared" si="23"/>
        <v>1673.1561600000002</v>
      </c>
      <c r="G316" s="112" t="str">
        <f>G315</f>
        <v>10th Floor</v>
      </c>
      <c r="H316" s="113"/>
      <c r="I316" s="62"/>
      <c r="L316" s="64"/>
      <c r="N316" s="62"/>
    </row>
    <row r="317" spans="1:14" s="63" customFormat="1" ht="15.75" customHeight="1" x14ac:dyDescent="0.35">
      <c r="A317" s="105">
        <v>3</v>
      </c>
      <c r="B317" s="105"/>
      <c r="C317" s="60">
        <v>2</v>
      </c>
      <c r="D317" s="61">
        <f>70.42*10.764</f>
        <v>758.00087999999994</v>
      </c>
      <c r="E317" s="61">
        <v>0</v>
      </c>
      <c r="F317" s="61">
        <f t="shared" si="23"/>
        <v>1212.801408</v>
      </c>
      <c r="G317" s="112" t="str">
        <f>G319</f>
        <v>10th Floor</v>
      </c>
      <c r="H317" s="113"/>
      <c r="I317" s="62"/>
      <c r="N317" s="62"/>
    </row>
    <row r="318" spans="1:14" s="63" customFormat="1" ht="15.75" customHeight="1" x14ac:dyDescent="0.35">
      <c r="A318" s="105">
        <f>A317+1</f>
        <v>4</v>
      </c>
      <c r="B318" s="105"/>
      <c r="C318" s="60">
        <v>2</v>
      </c>
      <c r="D318" s="61">
        <f t="shared" ref="D318:D320" si="24">70.42*10.764</f>
        <v>758.00087999999994</v>
      </c>
      <c r="E318" s="61">
        <v>0</v>
      </c>
      <c r="F318" s="61">
        <f t="shared" si="23"/>
        <v>1212.801408</v>
      </c>
      <c r="G318" s="112" t="str">
        <f>G317</f>
        <v>10th Floor</v>
      </c>
      <c r="H318" s="113"/>
      <c r="I318" s="62"/>
      <c r="N318" s="62"/>
    </row>
    <row r="319" spans="1:14" s="63" customFormat="1" ht="15.75" customHeight="1" x14ac:dyDescent="0.35">
      <c r="A319" s="105">
        <v>5</v>
      </c>
      <c r="B319" s="105"/>
      <c r="C319" s="60">
        <v>2</v>
      </c>
      <c r="D319" s="61">
        <f t="shared" si="24"/>
        <v>758.00087999999994</v>
      </c>
      <c r="E319" s="61">
        <v>0</v>
      </c>
      <c r="F319" s="61">
        <f>D319*(($F$176)+1)+(IF(E319&lt;101,E319,IF(E319&lt;201,E319/2,IF(E319&lt;=301,E319/3,E319/4))))</f>
        <v>1212.801408</v>
      </c>
      <c r="G319" s="112" t="str">
        <f>G316</f>
        <v>10th Floor</v>
      </c>
      <c r="H319" s="113"/>
      <c r="I319" s="62"/>
      <c r="N319" s="62"/>
    </row>
    <row r="320" spans="1:14" s="63" customFormat="1" ht="15.75" customHeight="1" x14ac:dyDescent="0.35">
      <c r="A320" s="105">
        <v>6</v>
      </c>
      <c r="B320" s="105"/>
      <c r="C320" s="60">
        <v>2</v>
      </c>
      <c r="D320" s="61">
        <f t="shared" si="24"/>
        <v>758.00087999999994</v>
      </c>
      <c r="E320" s="61">
        <v>0</v>
      </c>
      <c r="F320" s="61">
        <f>D320*(($F$176)+1)+(IF(E320&lt;101,E320,IF(E320&lt;201,E320/2,IF(E320&lt;=301,E320/3,E320/4))))</f>
        <v>1212.801408</v>
      </c>
      <c r="G320" s="114" t="str">
        <f>G317</f>
        <v>10th Floor</v>
      </c>
      <c r="H320" s="115"/>
      <c r="I320" s="62"/>
      <c r="N320" s="62"/>
    </row>
    <row r="321" spans="1:9" s="63" customFormat="1" ht="15.75" customHeight="1" x14ac:dyDescent="0.35">
      <c r="A321" s="116" t="s">
        <v>219</v>
      </c>
      <c r="B321" s="117"/>
      <c r="C321" s="117"/>
      <c r="D321" s="117"/>
      <c r="E321" s="117"/>
      <c r="F321" s="117"/>
      <c r="G321" s="117"/>
      <c r="H321" s="118"/>
      <c r="I321" s="62"/>
    </row>
    <row r="322" spans="1:9" s="63" customFormat="1" x14ac:dyDescent="0.35">
      <c r="A322" s="100">
        <v>1</v>
      </c>
      <c r="B322" s="101"/>
      <c r="C322" s="60">
        <v>3</v>
      </c>
      <c r="D322" s="61">
        <f>97.15*10.764</f>
        <v>1045.7226000000001</v>
      </c>
      <c r="E322" s="61">
        <v>0</v>
      </c>
      <c r="F322" s="61">
        <f t="shared" ref="F322:F327" si="25">D322*(($F$176)+1)+(IF(E322&lt;101,E322,IF(E322&lt;201,E322/2,IF(E322&lt;=301,E322/3,E322/4))))</f>
        <v>1673.1561600000002</v>
      </c>
      <c r="G322" s="110" t="str">
        <f>A321</f>
        <v>11th Floor</v>
      </c>
      <c r="H322" s="111"/>
      <c r="I322" s="62"/>
    </row>
    <row r="323" spans="1:9" s="63" customFormat="1" x14ac:dyDescent="0.35">
      <c r="A323" s="100">
        <v>2</v>
      </c>
      <c r="B323" s="101"/>
      <c r="C323" s="60">
        <v>3</v>
      </c>
      <c r="D323" s="61">
        <f>97.15*10.764</f>
        <v>1045.7226000000001</v>
      </c>
      <c r="E323" s="61">
        <v>0</v>
      </c>
      <c r="F323" s="61">
        <f t="shared" si="25"/>
        <v>1673.1561600000002</v>
      </c>
      <c r="G323" s="112" t="str">
        <f>G322</f>
        <v>11th Floor</v>
      </c>
      <c r="H323" s="113"/>
      <c r="I323" s="62"/>
    </row>
    <row r="324" spans="1:9" s="63" customFormat="1" ht="15.75" customHeight="1" x14ac:dyDescent="0.35">
      <c r="A324" s="100">
        <v>3</v>
      </c>
      <c r="B324" s="101"/>
      <c r="C324" s="60">
        <v>2</v>
      </c>
      <c r="D324" s="61">
        <f>70.42*10.764</f>
        <v>758.00087999999994</v>
      </c>
      <c r="E324" s="61">
        <v>0</v>
      </c>
      <c r="F324" s="61">
        <f t="shared" si="25"/>
        <v>1212.801408</v>
      </c>
      <c r="G324" s="112" t="str">
        <f>G323</f>
        <v>11th Floor</v>
      </c>
      <c r="H324" s="113"/>
      <c r="I324" s="62"/>
    </row>
    <row r="325" spans="1:9" s="63" customFormat="1" ht="15.75" customHeight="1" x14ac:dyDescent="0.35">
      <c r="A325" s="100">
        <v>4</v>
      </c>
      <c r="B325" s="101"/>
      <c r="C325" s="60">
        <v>2</v>
      </c>
      <c r="D325" s="61">
        <f t="shared" ref="D325:D327" si="26">70.42*10.764</f>
        <v>758.00087999999994</v>
      </c>
      <c r="E325" s="61">
        <v>0</v>
      </c>
      <c r="F325" s="61">
        <f t="shared" si="25"/>
        <v>1212.801408</v>
      </c>
      <c r="G325" s="112" t="str">
        <f>G324</f>
        <v>11th Floor</v>
      </c>
      <c r="H325" s="113"/>
      <c r="I325" s="62"/>
    </row>
    <row r="326" spans="1:9" s="63" customFormat="1" ht="15.75" customHeight="1" x14ac:dyDescent="0.35">
      <c r="A326" s="100">
        <v>5</v>
      </c>
      <c r="B326" s="101"/>
      <c r="C326" s="60">
        <v>2</v>
      </c>
      <c r="D326" s="61">
        <f t="shared" si="26"/>
        <v>758.00087999999994</v>
      </c>
      <c r="E326" s="61">
        <v>0</v>
      </c>
      <c r="F326" s="61">
        <f t="shared" si="25"/>
        <v>1212.801408</v>
      </c>
      <c r="G326" s="112" t="str">
        <f>G325</f>
        <v>11th Floor</v>
      </c>
      <c r="H326" s="113"/>
      <c r="I326" s="62"/>
    </row>
    <row r="327" spans="1:9" s="63" customFormat="1" ht="15.75" customHeight="1" x14ac:dyDescent="0.35">
      <c r="A327" s="100">
        <v>6</v>
      </c>
      <c r="B327" s="101"/>
      <c r="C327" s="60">
        <v>2</v>
      </c>
      <c r="D327" s="61">
        <f t="shared" si="26"/>
        <v>758.00087999999994</v>
      </c>
      <c r="E327" s="61">
        <v>0</v>
      </c>
      <c r="F327" s="61">
        <f t="shared" si="25"/>
        <v>1212.801408</v>
      </c>
      <c r="G327" s="114" t="str">
        <f>G326</f>
        <v>11th Floor</v>
      </c>
      <c r="H327" s="115"/>
      <c r="I327" s="62"/>
    </row>
    <row r="328" spans="1:9" s="63" customFormat="1" ht="15.75" customHeight="1" x14ac:dyDescent="0.35">
      <c r="A328" s="116" t="s">
        <v>220</v>
      </c>
      <c r="B328" s="117"/>
      <c r="C328" s="117"/>
      <c r="D328" s="117"/>
      <c r="E328" s="117"/>
      <c r="F328" s="117"/>
      <c r="G328" s="117"/>
      <c r="H328" s="118"/>
      <c r="I328" s="62"/>
    </row>
    <row r="329" spans="1:9" s="63" customFormat="1" x14ac:dyDescent="0.35">
      <c r="A329" s="100">
        <v>1</v>
      </c>
      <c r="B329" s="101"/>
      <c r="C329" s="60">
        <v>3</v>
      </c>
      <c r="D329" s="61">
        <f>97.15*10.764</f>
        <v>1045.7226000000001</v>
      </c>
      <c r="E329" s="61">
        <v>0</v>
      </c>
      <c r="F329" s="61">
        <f t="shared" ref="F329:F334" si="27">D329*(($F$176)+1)+(IF(E329&lt;101,E329,IF(E329&lt;201,E329/2,IF(E329&lt;=301,E329/3,E329/4))))</f>
        <v>1673.1561600000002</v>
      </c>
      <c r="G329" s="110" t="str">
        <f>A328</f>
        <v>12th Floor</v>
      </c>
      <c r="H329" s="111"/>
      <c r="I329" s="62"/>
    </row>
    <row r="330" spans="1:9" s="63" customFormat="1" x14ac:dyDescent="0.35">
      <c r="A330" s="100">
        <v>2</v>
      </c>
      <c r="B330" s="101"/>
      <c r="C330" s="60">
        <v>3</v>
      </c>
      <c r="D330" s="61">
        <f>97.15*10.764</f>
        <v>1045.7226000000001</v>
      </c>
      <c r="E330" s="61">
        <v>0</v>
      </c>
      <c r="F330" s="61">
        <f t="shared" si="27"/>
        <v>1673.1561600000002</v>
      </c>
      <c r="G330" s="112" t="str">
        <f>G329</f>
        <v>12th Floor</v>
      </c>
      <c r="H330" s="113"/>
      <c r="I330" s="62"/>
    </row>
    <row r="331" spans="1:9" s="63" customFormat="1" ht="15.75" customHeight="1" x14ac:dyDescent="0.35">
      <c r="A331" s="100">
        <v>3</v>
      </c>
      <c r="B331" s="101"/>
      <c r="C331" s="60">
        <v>2</v>
      </c>
      <c r="D331" s="61">
        <f>70.42*10.764</f>
        <v>758.00087999999994</v>
      </c>
      <c r="E331" s="61">
        <v>0</v>
      </c>
      <c r="F331" s="61">
        <f t="shared" si="27"/>
        <v>1212.801408</v>
      </c>
      <c r="G331" s="112" t="str">
        <f>G330</f>
        <v>12th Floor</v>
      </c>
      <c r="H331" s="113"/>
      <c r="I331" s="62"/>
    </row>
    <row r="332" spans="1:9" s="63" customFormat="1" ht="15.75" customHeight="1" x14ac:dyDescent="0.35">
      <c r="A332" s="100">
        <v>4</v>
      </c>
      <c r="B332" s="101"/>
      <c r="C332" s="60">
        <v>2</v>
      </c>
      <c r="D332" s="61">
        <f t="shared" ref="D332:D334" si="28">70.42*10.764</f>
        <v>758.00087999999994</v>
      </c>
      <c r="E332" s="61">
        <v>0</v>
      </c>
      <c r="F332" s="61">
        <f t="shared" si="27"/>
        <v>1212.801408</v>
      </c>
      <c r="G332" s="112" t="str">
        <f>G331</f>
        <v>12th Floor</v>
      </c>
      <c r="H332" s="113"/>
      <c r="I332" s="62"/>
    </row>
    <row r="333" spans="1:9" s="63" customFormat="1" ht="15.75" customHeight="1" x14ac:dyDescent="0.35">
      <c r="A333" s="100">
        <v>5</v>
      </c>
      <c r="B333" s="101"/>
      <c r="C333" s="60">
        <v>2</v>
      </c>
      <c r="D333" s="61">
        <f t="shared" si="28"/>
        <v>758.00087999999994</v>
      </c>
      <c r="E333" s="61">
        <v>0</v>
      </c>
      <c r="F333" s="61">
        <f t="shared" si="27"/>
        <v>1212.801408</v>
      </c>
      <c r="G333" s="112" t="str">
        <f>G332</f>
        <v>12th Floor</v>
      </c>
      <c r="H333" s="113"/>
      <c r="I333" s="62"/>
    </row>
    <row r="334" spans="1:9" s="63" customFormat="1" ht="15.75" customHeight="1" x14ac:dyDescent="0.35">
      <c r="A334" s="100">
        <v>6</v>
      </c>
      <c r="B334" s="101"/>
      <c r="C334" s="60">
        <v>2</v>
      </c>
      <c r="D334" s="61">
        <f t="shared" si="28"/>
        <v>758.00087999999994</v>
      </c>
      <c r="E334" s="61">
        <v>0</v>
      </c>
      <c r="F334" s="61">
        <f t="shared" si="27"/>
        <v>1212.801408</v>
      </c>
      <c r="G334" s="114" t="str">
        <f>G333</f>
        <v>12th Floor</v>
      </c>
      <c r="H334" s="115"/>
      <c r="I334" s="62"/>
    </row>
    <row r="335" spans="1:9" s="63" customFormat="1" ht="15.75" customHeight="1" x14ac:dyDescent="0.35">
      <c r="A335" s="116" t="s">
        <v>281</v>
      </c>
      <c r="B335" s="117"/>
      <c r="C335" s="117"/>
      <c r="D335" s="117"/>
      <c r="E335" s="117"/>
      <c r="F335" s="117"/>
      <c r="G335" s="117"/>
      <c r="H335" s="118"/>
      <c r="I335" s="62"/>
    </row>
    <row r="336" spans="1:9" s="63" customFormat="1" ht="15.75" customHeight="1" x14ac:dyDescent="0.35">
      <c r="A336" s="100">
        <v>1</v>
      </c>
      <c r="B336" s="101"/>
      <c r="C336" s="60">
        <v>3</v>
      </c>
      <c r="D336" s="61">
        <f>97.15*10.764</f>
        <v>1045.7226000000001</v>
      </c>
      <c r="E336" s="61">
        <v>0</v>
      </c>
      <c r="F336" s="61">
        <f t="shared" ref="F336:F341" si="29">D336*(($F$176)+1)+(IF(E336&lt;101,E336,IF(E336&lt;201,E336/2,IF(E336&lt;=301,E336/3,E336/4))))</f>
        <v>1673.1561600000002</v>
      </c>
      <c r="G336" s="110" t="str">
        <f>A335</f>
        <v>13th, 16th to 20th, 23rd to 27th, 30th to 34th, 37th to 41st, 44th to 49th, 51st to 54th Floor</v>
      </c>
      <c r="H336" s="111"/>
      <c r="I336" s="62"/>
    </row>
    <row r="337" spans="1:13" s="63" customFormat="1" ht="15.75" customHeight="1" x14ac:dyDescent="0.35">
      <c r="A337" s="100">
        <v>2</v>
      </c>
      <c r="B337" s="101"/>
      <c r="C337" s="60">
        <v>3</v>
      </c>
      <c r="D337" s="61">
        <f>97.15*10.764</f>
        <v>1045.7226000000001</v>
      </c>
      <c r="E337" s="61">
        <v>0</v>
      </c>
      <c r="F337" s="61">
        <f t="shared" si="29"/>
        <v>1673.1561600000002</v>
      </c>
      <c r="G337" s="112" t="str">
        <f>G336</f>
        <v>13th, 16th to 20th, 23rd to 27th, 30th to 34th, 37th to 41st, 44th to 49th, 51st to 54th Floor</v>
      </c>
      <c r="H337" s="113"/>
      <c r="I337" s="62"/>
    </row>
    <row r="338" spans="1:13" s="63" customFormat="1" ht="15.75" customHeight="1" x14ac:dyDescent="0.35">
      <c r="A338" s="100">
        <v>3</v>
      </c>
      <c r="B338" s="101"/>
      <c r="C338" s="60">
        <v>2</v>
      </c>
      <c r="D338" s="61">
        <f>70.42*10.764</f>
        <v>758.00087999999994</v>
      </c>
      <c r="E338" s="61">
        <v>0</v>
      </c>
      <c r="F338" s="61">
        <f t="shared" si="29"/>
        <v>1212.801408</v>
      </c>
      <c r="G338" s="112" t="str">
        <f>G337</f>
        <v>13th, 16th to 20th, 23rd to 27th, 30th to 34th, 37th to 41st, 44th to 49th, 51st to 54th Floor</v>
      </c>
      <c r="H338" s="113"/>
      <c r="I338" s="62"/>
    </row>
    <row r="339" spans="1:13" s="63" customFormat="1" ht="15.75" customHeight="1" x14ac:dyDescent="0.35">
      <c r="A339" s="100">
        <v>4</v>
      </c>
      <c r="B339" s="101"/>
      <c r="C339" s="60">
        <v>2</v>
      </c>
      <c r="D339" s="61">
        <f t="shared" ref="D339:D341" si="30">70.42*10.764</f>
        <v>758.00087999999994</v>
      </c>
      <c r="E339" s="61">
        <v>0</v>
      </c>
      <c r="F339" s="61">
        <f t="shared" si="29"/>
        <v>1212.801408</v>
      </c>
      <c r="G339" s="112" t="str">
        <f>G338</f>
        <v>13th, 16th to 20th, 23rd to 27th, 30th to 34th, 37th to 41st, 44th to 49th, 51st to 54th Floor</v>
      </c>
      <c r="H339" s="113"/>
      <c r="I339" s="62"/>
    </row>
    <row r="340" spans="1:13" s="63" customFormat="1" ht="15.75" customHeight="1" x14ac:dyDescent="0.35">
      <c r="A340" s="100">
        <v>5</v>
      </c>
      <c r="B340" s="101"/>
      <c r="C340" s="60">
        <v>2</v>
      </c>
      <c r="D340" s="61">
        <f t="shared" si="30"/>
        <v>758.00087999999994</v>
      </c>
      <c r="E340" s="61">
        <v>0</v>
      </c>
      <c r="F340" s="61">
        <f t="shared" si="29"/>
        <v>1212.801408</v>
      </c>
      <c r="G340" s="112" t="str">
        <f>G339</f>
        <v>13th, 16th to 20th, 23rd to 27th, 30th to 34th, 37th to 41st, 44th to 49th, 51st to 54th Floor</v>
      </c>
      <c r="H340" s="113"/>
      <c r="I340" s="62"/>
    </row>
    <row r="341" spans="1:13" s="63" customFormat="1" ht="15.75" customHeight="1" x14ac:dyDescent="0.35">
      <c r="A341" s="100">
        <v>6</v>
      </c>
      <c r="B341" s="101"/>
      <c r="C341" s="60">
        <v>2</v>
      </c>
      <c r="D341" s="61">
        <f t="shared" si="30"/>
        <v>758.00087999999994</v>
      </c>
      <c r="E341" s="61">
        <v>0</v>
      </c>
      <c r="F341" s="61">
        <f t="shared" si="29"/>
        <v>1212.801408</v>
      </c>
      <c r="G341" s="114" t="str">
        <f>G340</f>
        <v>13th, 16th to 20th, 23rd to 27th, 30th to 34th, 37th to 41st, 44th to 49th, 51st to 54th Floor</v>
      </c>
      <c r="H341" s="115"/>
      <c r="I341" s="62"/>
    </row>
    <row r="342" spans="1:13" s="63" customFormat="1" x14ac:dyDescent="0.35">
      <c r="A342" s="106" t="s">
        <v>230</v>
      </c>
      <c r="B342" s="106"/>
      <c r="C342" s="106"/>
      <c r="D342" s="106"/>
      <c r="E342" s="106"/>
      <c r="F342" s="106"/>
      <c r="G342" s="106"/>
      <c r="H342" s="106"/>
      <c r="I342" s="62"/>
      <c r="L342" s="99"/>
      <c r="M342" s="99"/>
    </row>
    <row r="343" spans="1:13" s="63" customFormat="1" ht="15.75" customHeight="1" x14ac:dyDescent="0.35">
      <c r="A343" s="116" t="s">
        <v>236</v>
      </c>
      <c r="B343" s="117"/>
      <c r="C343" s="117"/>
      <c r="D343" s="117"/>
      <c r="E343" s="117"/>
      <c r="F343" s="117"/>
      <c r="G343" s="117"/>
      <c r="H343" s="118"/>
      <c r="I343" s="62"/>
    </row>
    <row r="344" spans="1:13" s="63" customFormat="1" ht="77.5" x14ac:dyDescent="0.35">
      <c r="A344" s="100">
        <v>1</v>
      </c>
      <c r="B344" s="101"/>
      <c r="C344" s="60" t="s">
        <v>196</v>
      </c>
      <c r="D344" s="61">
        <f>142.79*10.764</f>
        <v>1536.9915599999997</v>
      </c>
      <c r="E344" s="61">
        <v>0</v>
      </c>
      <c r="F344" s="61">
        <f t="shared" ref="F344:F349" si="31">D344*(($F$176)+1)+(IF(E344&lt;101,E344,IF(E344&lt;201,E344/2,IF(E344&lt;=301,E344/3,E344/4))))</f>
        <v>2459.1864959999998</v>
      </c>
      <c r="G344" s="110" t="str">
        <f>A343</f>
        <v>14th, 21st, 28th, 35th &amp; 42nd Floor</v>
      </c>
      <c r="H344" s="111"/>
      <c r="I344" s="62"/>
      <c r="J344" s="63">
        <f>1.22*2.84+3.12*2.44+3.35*5.43+2.99*0.99+3.05*3.46+2.44*1.65+0.9*2.8+3.36*4.27+1.53*2.75+3.33*3.39+2.44*1.53+1.53*0.9+3.75*1.76+1.35*1.84+3.33*3.39+2.44*1.53+1.53*0.9+1.53*2.75+3.36*4.27+3.05*3.46+0.9*4.53+0.9*3.25+1.5*1.84</f>
        <v>148.63339999999997</v>
      </c>
    </row>
    <row r="345" spans="1:13" s="63" customFormat="1" ht="15.75" customHeight="1" x14ac:dyDescent="0.35">
      <c r="A345" s="100">
        <v>2</v>
      </c>
      <c r="B345" s="101"/>
      <c r="C345" s="60">
        <v>3</v>
      </c>
      <c r="D345" s="61">
        <f>97.15*10.764</f>
        <v>1045.7226000000001</v>
      </c>
      <c r="E345" s="61">
        <v>0</v>
      </c>
      <c r="F345" s="61">
        <f t="shared" si="31"/>
        <v>1673.1561600000002</v>
      </c>
      <c r="G345" s="112" t="str">
        <f>G344</f>
        <v>14th, 21st, 28th, 35th &amp; 42nd Floor</v>
      </c>
      <c r="H345" s="113"/>
      <c r="I345" s="62"/>
    </row>
    <row r="346" spans="1:13" s="63" customFormat="1" ht="15.75" customHeight="1" x14ac:dyDescent="0.35">
      <c r="A346" s="100">
        <v>3</v>
      </c>
      <c r="B346" s="101"/>
      <c r="C346" s="60">
        <v>2</v>
      </c>
      <c r="D346" s="61">
        <f>70.42*10.764</f>
        <v>758.00087999999994</v>
      </c>
      <c r="E346" s="61">
        <v>0</v>
      </c>
      <c r="F346" s="61">
        <f t="shared" si="31"/>
        <v>1212.801408</v>
      </c>
      <c r="G346" s="112" t="str">
        <f>G345</f>
        <v>14th, 21st, 28th, 35th &amp; 42nd Floor</v>
      </c>
      <c r="H346" s="113"/>
      <c r="I346" s="62"/>
    </row>
    <row r="347" spans="1:13" s="63" customFormat="1" ht="15.75" customHeight="1" x14ac:dyDescent="0.35">
      <c r="A347" s="100">
        <v>4</v>
      </c>
      <c r="B347" s="101"/>
      <c r="C347" s="60">
        <v>2</v>
      </c>
      <c r="D347" s="61">
        <f t="shared" ref="D347:D349" si="32">70.42*10.764</f>
        <v>758.00087999999994</v>
      </c>
      <c r="E347" s="61">
        <v>0</v>
      </c>
      <c r="F347" s="61">
        <f t="shared" si="31"/>
        <v>1212.801408</v>
      </c>
      <c r="G347" s="112" t="str">
        <f>G346</f>
        <v>14th, 21st, 28th, 35th &amp; 42nd Floor</v>
      </c>
      <c r="H347" s="113"/>
      <c r="I347" s="62"/>
    </row>
    <row r="348" spans="1:13" s="63" customFormat="1" ht="15.75" customHeight="1" x14ac:dyDescent="0.35">
      <c r="A348" s="100">
        <v>5</v>
      </c>
      <c r="B348" s="101"/>
      <c r="C348" s="60">
        <v>2</v>
      </c>
      <c r="D348" s="61">
        <f t="shared" si="32"/>
        <v>758.00087999999994</v>
      </c>
      <c r="E348" s="61">
        <v>0</v>
      </c>
      <c r="F348" s="61">
        <f t="shared" si="31"/>
        <v>1212.801408</v>
      </c>
      <c r="G348" s="112" t="str">
        <f>G347</f>
        <v>14th, 21st, 28th, 35th &amp; 42nd Floor</v>
      </c>
      <c r="H348" s="113"/>
      <c r="I348" s="62"/>
    </row>
    <row r="349" spans="1:13" s="63" customFormat="1" ht="15.75" customHeight="1" x14ac:dyDescent="0.35">
      <c r="A349" s="100">
        <v>6</v>
      </c>
      <c r="B349" s="101"/>
      <c r="C349" s="60">
        <v>2</v>
      </c>
      <c r="D349" s="61">
        <f t="shared" si="32"/>
        <v>758.00087999999994</v>
      </c>
      <c r="E349" s="61">
        <v>0</v>
      </c>
      <c r="F349" s="61">
        <f t="shared" si="31"/>
        <v>1212.801408</v>
      </c>
      <c r="G349" s="114" t="str">
        <f>G348</f>
        <v>14th, 21st, 28th, 35th &amp; 42nd Floor</v>
      </c>
      <c r="H349" s="115"/>
      <c r="I349" s="62"/>
    </row>
    <row r="350" spans="1:13" s="63" customFormat="1" ht="15.75" customHeight="1" x14ac:dyDescent="0.35">
      <c r="A350" s="116" t="s">
        <v>235</v>
      </c>
      <c r="B350" s="117"/>
      <c r="C350" s="117"/>
      <c r="D350" s="117"/>
      <c r="E350" s="117"/>
      <c r="F350" s="117"/>
      <c r="G350" s="117"/>
      <c r="H350" s="118"/>
      <c r="I350" s="62"/>
    </row>
    <row r="351" spans="1:13" s="63" customFormat="1" ht="15.75" customHeight="1" x14ac:dyDescent="0.35">
      <c r="A351" s="100">
        <v>1</v>
      </c>
      <c r="B351" s="101"/>
      <c r="C351" s="107" t="s">
        <v>232</v>
      </c>
      <c r="D351" s="108"/>
      <c r="E351" s="108"/>
      <c r="F351" s="109"/>
      <c r="G351" s="110" t="str">
        <f>A350</f>
        <v>15th, 22nd, 29th, 36th &amp; 43rd Floor (Part Refuge Area)</v>
      </c>
      <c r="H351" s="111"/>
      <c r="I351" s="62"/>
    </row>
    <row r="352" spans="1:13" s="63" customFormat="1" ht="15.75" customHeight="1" x14ac:dyDescent="0.35">
      <c r="A352" s="100">
        <v>2</v>
      </c>
      <c r="B352" s="101"/>
      <c r="C352" s="107" t="s">
        <v>197</v>
      </c>
      <c r="D352" s="108">
        <f>15.89*10.764</f>
        <v>171.03996000000001</v>
      </c>
      <c r="E352" s="108">
        <v>0</v>
      </c>
      <c r="F352" s="109">
        <f>D352*(($F$176)+1)+(IF(E352&lt;101,E352,IF(E352&lt;201,E352/2,IF(E352&lt;=301,E352/3,E352/4))))</f>
        <v>273.66393600000004</v>
      </c>
      <c r="G352" s="112" t="str">
        <f>G351</f>
        <v>15th, 22nd, 29th, 36th &amp; 43rd Floor (Part Refuge Area)</v>
      </c>
      <c r="H352" s="113"/>
      <c r="I352" s="62"/>
    </row>
    <row r="353" spans="1:10" s="63" customFormat="1" ht="15.75" customHeight="1" x14ac:dyDescent="0.35">
      <c r="A353" s="100">
        <v>3</v>
      </c>
      <c r="B353" s="101"/>
      <c r="C353" s="60">
        <v>2</v>
      </c>
      <c r="D353" s="61">
        <f>70.42*10.764</f>
        <v>758.00087999999994</v>
      </c>
      <c r="E353" s="61">
        <v>0</v>
      </c>
      <c r="F353" s="61">
        <f>D353*(($F$176)+1)+(IF(E353&lt;101,E353,IF(E353&lt;201,E353/2,IF(E353&lt;=301,E353/3,E353/4))))</f>
        <v>1212.801408</v>
      </c>
      <c r="G353" s="112" t="str">
        <f>G352</f>
        <v>15th, 22nd, 29th, 36th &amp; 43rd Floor (Part Refuge Area)</v>
      </c>
      <c r="H353" s="113"/>
      <c r="I353" s="62"/>
    </row>
    <row r="354" spans="1:10" s="63" customFormat="1" ht="15.75" customHeight="1" x14ac:dyDescent="0.35">
      <c r="A354" s="100">
        <v>4</v>
      </c>
      <c r="B354" s="101"/>
      <c r="C354" s="60">
        <v>2</v>
      </c>
      <c r="D354" s="61">
        <f t="shared" ref="D354:D356" si="33">70.42*10.764</f>
        <v>758.00087999999994</v>
      </c>
      <c r="E354" s="61">
        <v>0</v>
      </c>
      <c r="F354" s="61">
        <f>D354*(($F$176)+1)+(IF(E354&lt;101,E354,IF(E354&lt;201,E354/2,IF(E354&lt;=301,E354/3,E354/4))))</f>
        <v>1212.801408</v>
      </c>
      <c r="G354" s="112" t="str">
        <f>G353</f>
        <v>15th, 22nd, 29th, 36th &amp; 43rd Floor (Part Refuge Area)</v>
      </c>
      <c r="H354" s="113"/>
      <c r="I354" s="62"/>
    </row>
    <row r="355" spans="1:10" s="63" customFormat="1" ht="15.75" customHeight="1" x14ac:dyDescent="0.35">
      <c r="A355" s="100">
        <v>5</v>
      </c>
      <c r="B355" s="101"/>
      <c r="C355" s="60">
        <v>2</v>
      </c>
      <c r="D355" s="61">
        <f t="shared" si="33"/>
        <v>758.00087999999994</v>
      </c>
      <c r="E355" s="61">
        <v>0</v>
      </c>
      <c r="F355" s="61">
        <f>D355*(($F$176)+1)+(IF(E355&lt;101,E355,IF(E355&lt;201,E355/2,IF(E355&lt;=301,E355/3,E355/4))))</f>
        <v>1212.801408</v>
      </c>
      <c r="G355" s="112" t="str">
        <f>G354</f>
        <v>15th, 22nd, 29th, 36th &amp; 43rd Floor (Part Refuge Area)</v>
      </c>
      <c r="H355" s="113"/>
      <c r="I355" s="62"/>
    </row>
    <row r="356" spans="1:10" s="63" customFormat="1" ht="15.75" customHeight="1" x14ac:dyDescent="0.35">
      <c r="A356" s="100">
        <v>6</v>
      </c>
      <c r="B356" s="101"/>
      <c r="C356" s="60">
        <v>2</v>
      </c>
      <c r="D356" s="61">
        <f t="shared" si="33"/>
        <v>758.00087999999994</v>
      </c>
      <c r="E356" s="61">
        <v>0</v>
      </c>
      <c r="F356" s="61">
        <f>D356*(($F$176)+1)+(IF(E356&lt;101,E356,IF(E356&lt;201,E356/2,IF(E356&lt;=301,E356/3,E356/4))))</f>
        <v>1212.801408</v>
      </c>
      <c r="G356" s="114" t="str">
        <f>G355</f>
        <v>15th, 22nd, 29th, 36th &amp; 43rd Floor (Part Refuge Area)</v>
      </c>
      <c r="H356" s="115"/>
      <c r="I356" s="62"/>
    </row>
    <row r="357" spans="1:10" s="63" customFormat="1" ht="15.75" customHeight="1" x14ac:dyDescent="0.35">
      <c r="A357" s="116" t="s">
        <v>234</v>
      </c>
      <c r="B357" s="117"/>
      <c r="C357" s="117"/>
      <c r="D357" s="117"/>
      <c r="E357" s="117"/>
      <c r="F357" s="117"/>
      <c r="G357" s="117"/>
      <c r="H357" s="118"/>
      <c r="I357" s="62"/>
    </row>
    <row r="358" spans="1:10" s="63" customFormat="1" ht="15.75" customHeight="1" x14ac:dyDescent="0.35">
      <c r="A358" s="100">
        <v>1</v>
      </c>
      <c r="B358" s="101"/>
      <c r="C358" s="60">
        <v>3</v>
      </c>
      <c r="D358" s="61">
        <f>120.22*10.764</f>
        <v>1294.0480799999998</v>
      </c>
      <c r="E358" s="61">
        <v>0</v>
      </c>
      <c r="F358" s="61">
        <f t="shared" ref="F358:F363" si="34">D358*(($F$176)+1)+(IF(E358&lt;101,E358,IF(E358&lt;201,E358/2,IF(E358&lt;=301,E358/3,E358/4))))</f>
        <v>2070.4769279999996</v>
      </c>
      <c r="G358" s="110" t="str">
        <f>A357</f>
        <v>50th Floor (Part Refuge Area)</v>
      </c>
      <c r="H358" s="111"/>
      <c r="I358" s="62"/>
    </row>
    <row r="359" spans="1:10" s="63" customFormat="1" ht="15.75" customHeight="1" x14ac:dyDescent="0.35">
      <c r="A359" s="100">
        <v>2</v>
      </c>
      <c r="B359" s="101"/>
      <c r="C359" s="107" t="s">
        <v>197</v>
      </c>
      <c r="D359" s="108">
        <f>15.89*10.764</f>
        <v>171.03996000000001</v>
      </c>
      <c r="E359" s="108">
        <v>0</v>
      </c>
      <c r="F359" s="109">
        <f t="shared" si="34"/>
        <v>273.66393600000004</v>
      </c>
      <c r="G359" s="112" t="str">
        <f>G358</f>
        <v>50th Floor (Part Refuge Area)</v>
      </c>
      <c r="H359" s="113"/>
      <c r="I359" s="62"/>
    </row>
    <row r="360" spans="1:10" s="63" customFormat="1" ht="15.75" customHeight="1" x14ac:dyDescent="0.35">
      <c r="A360" s="100">
        <v>3</v>
      </c>
      <c r="B360" s="101"/>
      <c r="C360" s="60">
        <v>2</v>
      </c>
      <c r="D360" s="61">
        <f>70.42*10.764</f>
        <v>758.00087999999994</v>
      </c>
      <c r="E360" s="61">
        <v>0</v>
      </c>
      <c r="F360" s="61">
        <f t="shared" si="34"/>
        <v>1212.801408</v>
      </c>
      <c r="G360" s="112" t="str">
        <f>G359</f>
        <v>50th Floor (Part Refuge Area)</v>
      </c>
      <c r="H360" s="113"/>
      <c r="I360" s="62"/>
    </row>
    <row r="361" spans="1:10" s="63" customFormat="1" ht="15.75" customHeight="1" x14ac:dyDescent="0.35">
      <c r="A361" s="100">
        <v>4</v>
      </c>
      <c r="B361" s="101"/>
      <c r="C361" s="60">
        <v>2</v>
      </c>
      <c r="D361" s="61">
        <f t="shared" ref="D361:D363" si="35">70.42*10.764</f>
        <v>758.00087999999994</v>
      </c>
      <c r="E361" s="61">
        <v>0</v>
      </c>
      <c r="F361" s="61">
        <f t="shared" si="34"/>
        <v>1212.801408</v>
      </c>
      <c r="G361" s="112" t="str">
        <f>G360</f>
        <v>50th Floor (Part Refuge Area)</v>
      </c>
      <c r="H361" s="113"/>
      <c r="I361" s="62"/>
    </row>
    <row r="362" spans="1:10" s="63" customFormat="1" ht="15.75" customHeight="1" x14ac:dyDescent="0.35">
      <c r="A362" s="100">
        <v>5</v>
      </c>
      <c r="B362" s="101"/>
      <c r="C362" s="60">
        <v>2</v>
      </c>
      <c r="D362" s="61">
        <f t="shared" si="35"/>
        <v>758.00087999999994</v>
      </c>
      <c r="E362" s="61">
        <v>0</v>
      </c>
      <c r="F362" s="61">
        <f t="shared" si="34"/>
        <v>1212.801408</v>
      </c>
      <c r="G362" s="112" t="str">
        <f>G361</f>
        <v>50th Floor (Part Refuge Area)</v>
      </c>
      <c r="H362" s="113"/>
      <c r="I362" s="62"/>
    </row>
    <row r="363" spans="1:10" s="63" customFormat="1" ht="15.75" customHeight="1" x14ac:dyDescent="0.35">
      <c r="A363" s="100">
        <v>6</v>
      </c>
      <c r="B363" s="101"/>
      <c r="C363" s="60">
        <v>2</v>
      </c>
      <c r="D363" s="61">
        <f t="shared" si="35"/>
        <v>758.00087999999994</v>
      </c>
      <c r="E363" s="61">
        <v>0</v>
      </c>
      <c r="F363" s="61">
        <f t="shared" si="34"/>
        <v>1212.801408</v>
      </c>
      <c r="G363" s="114" t="str">
        <f>G362</f>
        <v>50th Floor (Part Refuge Area)</v>
      </c>
      <c r="H363" s="115"/>
      <c r="I363" s="62"/>
    </row>
    <row r="364" spans="1:10" s="63" customFormat="1" x14ac:dyDescent="0.35">
      <c r="A364" s="116" t="s">
        <v>198</v>
      </c>
      <c r="B364" s="117"/>
      <c r="C364" s="117"/>
      <c r="D364" s="117"/>
      <c r="E364" s="117"/>
      <c r="F364" s="117"/>
      <c r="G364" s="117"/>
      <c r="H364" s="118"/>
      <c r="J364" s="62"/>
    </row>
    <row r="365" spans="1:10" s="63" customFormat="1" ht="15.75" customHeight="1" x14ac:dyDescent="0.35">
      <c r="A365" s="116" t="s">
        <v>224</v>
      </c>
      <c r="B365" s="117"/>
      <c r="C365" s="117"/>
      <c r="D365" s="117"/>
      <c r="E365" s="117"/>
      <c r="F365" s="117"/>
      <c r="G365" s="117"/>
      <c r="H365" s="118"/>
      <c r="J365" s="62"/>
    </row>
    <row r="366" spans="1:10" s="63" customFormat="1" x14ac:dyDescent="0.35">
      <c r="A366" s="116" t="s">
        <v>182</v>
      </c>
      <c r="B366" s="117"/>
      <c r="C366" s="117"/>
      <c r="D366" s="117"/>
      <c r="E366" s="117"/>
      <c r="F366" s="117"/>
      <c r="G366" s="117"/>
      <c r="H366" s="118"/>
      <c r="J366" s="62"/>
    </row>
    <row r="367" spans="1:10" s="63" customFormat="1" x14ac:dyDescent="0.35">
      <c r="A367" s="116" t="s">
        <v>183</v>
      </c>
      <c r="B367" s="117"/>
      <c r="C367" s="117"/>
      <c r="D367" s="117"/>
      <c r="E367" s="117"/>
      <c r="F367" s="117"/>
      <c r="G367" s="117"/>
      <c r="H367" s="118"/>
      <c r="J367" s="62"/>
    </row>
    <row r="368" spans="1:10" s="63" customFormat="1" x14ac:dyDescent="0.35">
      <c r="A368" s="116" t="s">
        <v>184</v>
      </c>
      <c r="B368" s="117"/>
      <c r="C368" s="117"/>
      <c r="D368" s="117"/>
      <c r="E368" s="117"/>
      <c r="F368" s="117"/>
      <c r="G368" s="117"/>
      <c r="H368" s="118"/>
      <c r="J368" s="62"/>
    </row>
    <row r="369" spans="1:14" s="63" customFormat="1" x14ac:dyDescent="0.35">
      <c r="A369" s="116" t="s">
        <v>185</v>
      </c>
      <c r="B369" s="117"/>
      <c r="C369" s="117"/>
      <c r="D369" s="117"/>
      <c r="E369" s="117"/>
      <c r="F369" s="117"/>
      <c r="G369" s="117"/>
      <c r="H369" s="118"/>
      <c r="J369" s="62"/>
    </row>
    <row r="370" spans="1:14" s="63" customFormat="1" ht="15.75" customHeight="1" x14ac:dyDescent="0.35">
      <c r="A370" s="100">
        <v>1</v>
      </c>
      <c r="B370" s="101"/>
      <c r="C370" s="60">
        <v>3</v>
      </c>
      <c r="D370" s="61">
        <f>97.15*10.764</f>
        <v>1045.7226000000001</v>
      </c>
      <c r="E370" s="61">
        <v>0</v>
      </c>
      <c r="F370" s="61">
        <f>D370*(($F$176)+1)+(IF(E370&lt;101,E370,IF(E370&lt;201,E370/2,IF(E370&lt;=301,E370/3,E370/4))))</f>
        <v>1673.1561600000002</v>
      </c>
      <c r="G370" s="110" t="str">
        <f>A369</f>
        <v>3rd Podium Floor For Parking &amp; Residential</v>
      </c>
      <c r="H370" s="111"/>
      <c r="J370" s="62"/>
    </row>
    <row r="371" spans="1:14" s="63" customFormat="1" ht="15.75" customHeight="1" x14ac:dyDescent="0.35">
      <c r="A371" s="100">
        <f t="shared" ref="A371" si="36">A370+1</f>
        <v>2</v>
      </c>
      <c r="B371" s="101"/>
      <c r="C371" s="60">
        <v>3</v>
      </c>
      <c r="D371" s="61">
        <f>97.15*10.764</f>
        <v>1045.7226000000001</v>
      </c>
      <c r="E371" s="61">
        <v>0</v>
      </c>
      <c r="F371" s="61">
        <f>D371*(($F$176)+1)+(IF(E371&lt;101,E371,IF(E371&lt;201,E371/2,IF(E371&lt;=301,E371/3,E371/4))))</f>
        <v>1673.1561600000002</v>
      </c>
      <c r="G371" s="114"/>
      <c r="H371" s="115"/>
      <c r="I371" s="62"/>
      <c r="L371" s="99"/>
      <c r="M371" s="99"/>
      <c r="N371" s="62"/>
    </row>
    <row r="372" spans="1:14" s="63" customFormat="1" x14ac:dyDescent="0.35">
      <c r="A372" s="106" t="s">
        <v>186</v>
      </c>
      <c r="B372" s="106"/>
      <c r="C372" s="106"/>
      <c r="D372" s="106"/>
      <c r="E372" s="106"/>
      <c r="F372" s="106"/>
      <c r="G372" s="106"/>
      <c r="H372" s="106"/>
      <c r="I372" s="62"/>
      <c r="L372" s="99"/>
      <c r="M372" s="99"/>
      <c r="N372" s="62"/>
    </row>
    <row r="373" spans="1:14" s="63" customFormat="1" ht="15.75" customHeight="1" x14ac:dyDescent="0.35">
      <c r="A373" s="105">
        <v>1</v>
      </c>
      <c r="B373" s="105"/>
      <c r="C373" s="60">
        <v>3</v>
      </c>
      <c r="D373" s="61">
        <f>97.15*10.764</f>
        <v>1045.7226000000001</v>
      </c>
      <c r="E373" s="61">
        <v>0</v>
      </c>
      <c r="F373" s="61">
        <f t="shared" ref="F373:F374" si="37">D373*(($F$176)+1)+(IF(E373&lt;101,E373,IF(E373&lt;201,E373/2,IF(E373&lt;=301,E373/3,E373/4))))</f>
        <v>1673.1561600000002</v>
      </c>
      <c r="G373" s="110" t="str">
        <f>A372</f>
        <v>4th Podium Floor For Parking &amp; Residential</v>
      </c>
      <c r="H373" s="111"/>
      <c r="I373" s="62"/>
      <c r="L373" s="99"/>
      <c r="M373" s="99"/>
    </row>
    <row r="374" spans="1:14" s="63" customFormat="1" ht="15.75" customHeight="1" x14ac:dyDescent="0.35">
      <c r="A374" s="105">
        <f>A373+1</f>
        <v>2</v>
      </c>
      <c r="B374" s="105"/>
      <c r="C374" s="60">
        <v>3</v>
      </c>
      <c r="D374" s="61">
        <f>97.15*10.764</f>
        <v>1045.7226000000001</v>
      </c>
      <c r="E374" s="61">
        <v>0</v>
      </c>
      <c r="F374" s="61">
        <f t="shared" si="37"/>
        <v>1673.1561600000002</v>
      </c>
      <c r="G374" s="112" t="str">
        <f>G373</f>
        <v>4th Podium Floor For Parking &amp; Residential</v>
      </c>
      <c r="H374" s="113"/>
      <c r="I374" s="62"/>
      <c r="N374" s="62"/>
    </row>
    <row r="375" spans="1:14" s="63" customFormat="1" ht="15.75" customHeight="1" x14ac:dyDescent="0.35">
      <c r="A375" s="105">
        <f>A374+1</f>
        <v>3</v>
      </c>
      <c r="B375" s="105"/>
      <c r="C375" s="122" t="s">
        <v>187</v>
      </c>
      <c r="D375" s="123"/>
      <c r="E375" s="123"/>
      <c r="F375" s="124"/>
      <c r="G375" s="112" t="str">
        <f>G374</f>
        <v>4th Podium Floor For Parking &amp; Residential</v>
      </c>
      <c r="H375" s="113"/>
      <c r="I375" s="62"/>
      <c r="N375" s="62"/>
    </row>
    <row r="376" spans="1:14" s="63" customFormat="1" ht="15.75" customHeight="1" x14ac:dyDescent="0.35">
      <c r="A376" s="105">
        <v>4</v>
      </c>
      <c r="B376" s="105"/>
      <c r="C376" s="235" t="s">
        <v>187</v>
      </c>
      <c r="D376" s="236"/>
      <c r="E376" s="236"/>
      <c r="F376" s="237"/>
      <c r="G376" s="112" t="str">
        <f t="shared" ref="G376:G378" si="38">G375</f>
        <v>4th Podium Floor For Parking &amp; Residential</v>
      </c>
      <c r="H376" s="113"/>
      <c r="I376" s="62"/>
      <c r="N376" s="62"/>
    </row>
    <row r="377" spans="1:14" s="63" customFormat="1" ht="15.75" customHeight="1" x14ac:dyDescent="0.35">
      <c r="A377" s="105">
        <f>A376+1</f>
        <v>5</v>
      </c>
      <c r="B377" s="105"/>
      <c r="C377" s="125" t="s">
        <v>187</v>
      </c>
      <c r="D377" s="126"/>
      <c r="E377" s="126"/>
      <c r="F377" s="127"/>
      <c r="G377" s="112" t="str">
        <f t="shared" si="38"/>
        <v>4th Podium Floor For Parking &amp; Residential</v>
      </c>
      <c r="H377" s="113"/>
      <c r="I377" s="62"/>
      <c r="N377" s="62"/>
    </row>
    <row r="378" spans="1:14" s="63" customFormat="1" ht="15.75" customHeight="1" x14ac:dyDescent="0.35">
      <c r="A378" s="105">
        <v>6</v>
      </c>
      <c r="B378" s="105"/>
      <c r="C378" s="60">
        <v>2</v>
      </c>
      <c r="D378" s="61">
        <f>70.42*10.764</f>
        <v>758.00087999999994</v>
      </c>
      <c r="E378" s="61">
        <v>0</v>
      </c>
      <c r="F378" s="61">
        <f>D378*(($F$176)+1)+(IF(E378&lt;101,E378,IF(E378&lt;201,E378/2,IF(E378&lt;=301,E378/3,E378/4))))</f>
        <v>1212.801408</v>
      </c>
      <c r="G378" s="114" t="str">
        <f t="shared" si="38"/>
        <v>4th Podium Floor For Parking &amp; Residential</v>
      </c>
      <c r="H378" s="115"/>
      <c r="I378" s="62"/>
      <c r="N378" s="62"/>
    </row>
    <row r="379" spans="1:14" s="63" customFormat="1" x14ac:dyDescent="0.35">
      <c r="A379" s="106" t="s">
        <v>188</v>
      </c>
      <c r="B379" s="106"/>
      <c r="C379" s="106"/>
      <c r="D379" s="106"/>
      <c r="E379" s="106"/>
      <c r="F379" s="106"/>
      <c r="G379" s="106"/>
      <c r="H379" s="106"/>
      <c r="I379" s="62"/>
      <c r="L379" s="99"/>
      <c r="M379" s="99"/>
      <c r="N379" s="62"/>
    </row>
    <row r="380" spans="1:14" s="63" customFormat="1" ht="15.75" customHeight="1" x14ac:dyDescent="0.35">
      <c r="A380" s="105">
        <v>1</v>
      </c>
      <c r="B380" s="105"/>
      <c r="C380" s="60">
        <v>3</v>
      </c>
      <c r="D380" s="61">
        <f>97.15*10.764</f>
        <v>1045.7226000000001</v>
      </c>
      <c r="E380" s="61">
        <v>0</v>
      </c>
      <c r="F380" s="61">
        <f t="shared" ref="F380:F381" si="39">D380*(($F$176)+1)+(IF(E380&lt;101,E380,IF(E380&lt;201,E380/2,IF(E380&lt;=301,E380/3,E380/4))))</f>
        <v>1673.1561600000002</v>
      </c>
      <c r="G380" s="110" t="str">
        <f>A379</f>
        <v>5th Podium Floor For Parking &amp; Residential</v>
      </c>
      <c r="H380" s="111"/>
      <c r="I380" s="62"/>
      <c r="L380" s="99"/>
      <c r="M380" s="99"/>
    </row>
    <row r="381" spans="1:14" s="63" customFormat="1" ht="15.75" customHeight="1" x14ac:dyDescent="0.35">
      <c r="A381" s="105">
        <f>A380+1</f>
        <v>2</v>
      </c>
      <c r="B381" s="105"/>
      <c r="C381" s="60">
        <v>3</v>
      </c>
      <c r="D381" s="61">
        <f>97.15*10.764</f>
        <v>1045.7226000000001</v>
      </c>
      <c r="E381" s="61">
        <v>0</v>
      </c>
      <c r="F381" s="61">
        <f t="shared" si="39"/>
        <v>1673.1561600000002</v>
      </c>
      <c r="G381" s="112" t="str">
        <f>G380</f>
        <v>5th Podium Floor For Parking &amp; Residential</v>
      </c>
      <c r="H381" s="113"/>
      <c r="I381" s="62"/>
      <c r="N381" s="62"/>
    </row>
    <row r="382" spans="1:14" s="63" customFormat="1" ht="15.75" customHeight="1" x14ac:dyDescent="0.35">
      <c r="A382" s="105">
        <f>A381+1</f>
        <v>3</v>
      </c>
      <c r="B382" s="105"/>
      <c r="C382" s="122" t="s">
        <v>187</v>
      </c>
      <c r="D382" s="123"/>
      <c r="E382" s="123"/>
      <c r="F382" s="124"/>
      <c r="G382" s="112" t="str">
        <f>G381</f>
        <v>5th Podium Floor For Parking &amp; Residential</v>
      </c>
      <c r="H382" s="113"/>
      <c r="I382" s="62"/>
      <c r="N382" s="62"/>
    </row>
    <row r="383" spans="1:14" s="63" customFormat="1" ht="15.75" customHeight="1" x14ac:dyDescent="0.35">
      <c r="A383" s="105">
        <v>4</v>
      </c>
      <c r="B383" s="105"/>
      <c r="C383" s="235" t="s">
        <v>187</v>
      </c>
      <c r="D383" s="236"/>
      <c r="E383" s="236"/>
      <c r="F383" s="237"/>
      <c r="G383" s="112" t="str">
        <f t="shared" ref="G383:G385" si="40">G382</f>
        <v>5th Podium Floor For Parking &amp; Residential</v>
      </c>
      <c r="H383" s="113"/>
      <c r="I383" s="62"/>
      <c r="N383" s="62"/>
    </row>
    <row r="384" spans="1:14" s="63" customFormat="1" ht="15.75" customHeight="1" x14ac:dyDescent="0.35">
      <c r="A384" s="105">
        <f>A383+1</f>
        <v>5</v>
      </c>
      <c r="B384" s="105"/>
      <c r="C384" s="125" t="s">
        <v>187</v>
      </c>
      <c r="D384" s="126"/>
      <c r="E384" s="126"/>
      <c r="F384" s="127"/>
      <c r="G384" s="112" t="str">
        <f t="shared" si="40"/>
        <v>5th Podium Floor For Parking &amp; Residential</v>
      </c>
      <c r="H384" s="113"/>
      <c r="I384" s="62"/>
      <c r="N384" s="62"/>
    </row>
    <row r="385" spans="1:14" s="63" customFormat="1" ht="15.75" customHeight="1" x14ac:dyDescent="0.35">
      <c r="A385" s="105">
        <v>6</v>
      </c>
      <c r="B385" s="105"/>
      <c r="C385" s="60">
        <v>2</v>
      </c>
      <c r="D385" s="61">
        <f>70.42*10.764</f>
        <v>758.00087999999994</v>
      </c>
      <c r="E385" s="61">
        <v>0</v>
      </c>
      <c r="F385" s="61">
        <f>D385*(($F$176)+1)+(IF(E385&lt;101,E385,IF(E385&lt;201,E385/2,IF(E385&lt;=301,E385/3,E385/4))))</f>
        <v>1212.801408</v>
      </c>
      <c r="G385" s="114" t="str">
        <f t="shared" si="40"/>
        <v>5th Podium Floor For Parking &amp; Residential</v>
      </c>
      <c r="H385" s="115"/>
      <c r="I385" s="62"/>
      <c r="N385" s="62"/>
    </row>
    <row r="386" spans="1:14" s="63" customFormat="1" x14ac:dyDescent="0.35">
      <c r="A386" s="106" t="s">
        <v>189</v>
      </c>
      <c r="B386" s="106"/>
      <c r="C386" s="106"/>
      <c r="D386" s="106"/>
      <c r="E386" s="106"/>
      <c r="F386" s="106"/>
      <c r="G386" s="106"/>
      <c r="H386" s="106"/>
      <c r="I386" s="62"/>
      <c r="L386" s="99"/>
      <c r="M386" s="99"/>
      <c r="N386" s="62"/>
    </row>
    <row r="387" spans="1:14" s="63" customFormat="1" ht="15.75" customHeight="1" x14ac:dyDescent="0.35">
      <c r="A387" s="105">
        <v>1</v>
      </c>
      <c r="B387" s="105"/>
      <c r="C387" s="60">
        <v>3</v>
      </c>
      <c r="D387" s="61">
        <f>97.15*10.764</f>
        <v>1045.7226000000001</v>
      </c>
      <c r="E387" s="61">
        <v>0</v>
      </c>
      <c r="F387" s="61">
        <f t="shared" ref="F387:F388" si="41">D387*(($F$176)+1)+(IF(E387&lt;101,E387,IF(E387&lt;201,E387/2,IF(E387&lt;=301,E387/3,E387/4))))</f>
        <v>1673.1561600000002</v>
      </c>
      <c r="G387" s="110" t="str">
        <f>A386</f>
        <v>6th Podium Floor For Parking &amp; Residential</v>
      </c>
      <c r="H387" s="111"/>
      <c r="I387" s="62"/>
      <c r="L387" s="99"/>
      <c r="M387" s="99"/>
    </row>
    <row r="388" spans="1:14" s="63" customFormat="1" ht="15.75" customHeight="1" x14ac:dyDescent="0.35">
      <c r="A388" s="105">
        <f>A387+1</f>
        <v>2</v>
      </c>
      <c r="B388" s="105"/>
      <c r="C388" s="60">
        <v>3</v>
      </c>
      <c r="D388" s="61">
        <f>97.15*10.764</f>
        <v>1045.7226000000001</v>
      </c>
      <c r="E388" s="61">
        <v>0</v>
      </c>
      <c r="F388" s="61">
        <f t="shared" si="41"/>
        <v>1673.1561600000002</v>
      </c>
      <c r="G388" s="112" t="str">
        <f>G387</f>
        <v>6th Podium Floor For Parking &amp; Residential</v>
      </c>
      <c r="H388" s="113"/>
      <c r="I388" s="62"/>
      <c r="N388" s="62"/>
    </row>
    <row r="389" spans="1:14" s="63" customFormat="1" ht="15.75" customHeight="1" x14ac:dyDescent="0.35">
      <c r="A389" s="105">
        <f>A388+1</f>
        <v>3</v>
      </c>
      <c r="B389" s="105"/>
      <c r="C389" s="122" t="s">
        <v>187</v>
      </c>
      <c r="D389" s="123"/>
      <c r="E389" s="123"/>
      <c r="F389" s="124"/>
      <c r="G389" s="112" t="str">
        <f>G388</f>
        <v>6th Podium Floor For Parking &amp; Residential</v>
      </c>
      <c r="H389" s="113"/>
      <c r="I389" s="62"/>
      <c r="N389" s="62"/>
    </row>
    <row r="390" spans="1:14" s="63" customFormat="1" ht="15.75" customHeight="1" x14ac:dyDescent="0.35">
      <c r="A390" s="105">
        <v>4</v>
      </c>
      <c r="B390" s="105"/>
      <c r="C390" s="235" t="s">
        <v>187</v>
      </c>
      <c r="D390" s="236"/>
      <c r="E390" s="236"/>
      <c r="F390" s="237"/>
      <c r="G390" s="112" t="str">
        <f t="shared" ref="G390:G392" si="42">G389</f>
        <v>6th Podium Floor For Parking &amp; Residential</v>
      </c>
      <c r="H390" s="113"/>
      <c r="I390" s="62"/>
      <c r="N390" s="62"/>
    </row>
    <row r="391" spans="1:14" s="63" customFormat="1" ht="15.75" customHeight="1" x14ac:dyDescent="0.35">
      <c r="A391" s="105">
        <f>A390+1</f>
        <v>5</v>
      </c>
      <c r="B391" s="105"/>
      <c r="C391" s="125" t="s">
        <v>187</v>
      </c>
      <c r="D391" s="126"/>
      <c r="E391" s="126"/>
      <c r="F391" s="127"/>
      <c r="G391" s="112" t="str">
        <f t="shared" si="42"/>
        <v>6th Podium Floor For Parking &amp; Residential</v>
      </c>
      <c r="H391" s="113"/>
      <c r="I391" s="62"/>
      <c r="N391" s="62"/>
    </row>
    <row r="392" spans="1:14" s="63" customFormat="1" ht="15.75" customHeight="1" x14ac:dyDescent="0.35">
      <c r="A392" s="105">
        <v>6</v>
      </c>
      <c r="B392" s="105"/>
      <c r="C392" s="60">
        <v>2</v>
      </c>
      <c r="D392" s="61">
        <f>70.42*10.764</f>
        <v>758.00087999999994</v>
      </c>
      <c r="E392" s="61">
        <v>0</v>
      </c>
      <c r="F392" s="61">
        <f>D392*(($F$176)+1)+(IF(E392&lt;101,E392,IF(E392&lt;201,E392/2,IF(E392&lt;=301,E392/3,E392/4))))</f>
        <v>1212.801408</v>
      </c>
      <c r="G392" s="114" t="str">
        <f t="shared" si="42"/>
        <v>6th Podium Floor For Parking &amp; Residential</v>
      </c>
      <c r="H392" s="115"/>
      <c r="I392" s="62"/>
      <c r="N392" s="62"/>
    </row>
    <row r="393" spans="1:14" s="63" customFormat="1" x14ac:dyDescent="0.35">
      <c r="A393" s="106" t="s">
        <v>190</v>
      </c>
      <c r="B393" s="106"/>
      <c r="C393" s="106"/>
      <c r="D393" s="106"/>
      <c r="E393" s="106"/>
      <c r="F393" s="106"/>
      <c r="G393" s="106"/>
      <c r="H393" s="106"/>
      <c r="I393" s="62"/>
      <c r="L393" s="99"/>
      <c r="M393" s="99"/>
      <c r="N393" s="62"/>
    </row>
    <row r="394" spans="1:14" s="63" customFormat="1" ht="15.75" customHeight="1" x14ac:dyDescent="0.35">
      <c r="A394" s="105">
        <v>1</v>
      </c>
      <c r="B394" s="105"/>
      <c r="C394" s="60">
        <v>3</v>
      </c>
      <c r="D394" s="61">
        <f>97.15*10.764</f>
        <v>1045.7226000000001</v>
      </c>
      <c r="E394" s="61">
        <v>0</v>
      </c>
      <c r="F394" s="61">
        <f t="shared" ref="F394:F395" si="43">D394*(($F$176)+1)+(IF(E394&lt;101,E394,IF(E394&lt;201,E394/2,IF(E394&lt;=301,E394/3,E394/4))))</f>
        <v>1673.1561600000002</v>
      </c>
      <c r="G394" s="110" t="str">
        <f>A393</f>
        <v>7th Podium Floor For Parking &amp; Residential</v>
      </c>
      <c r="H394" s="111"/>
      <c r="I394" s="62"/>
      <c r="L394" s="99"/>
      <c r="M394" s="99"/>
    </row>
    <row r="395" spans="1:14" s="63" customFormat="1" ht="15.75" customHeight="1" x14ac:dyDescent="0.35">
      <c r="A395" s="105">
        <f>A394+1</f>
        <v>2</v>
      </c>
      <c r="B395" s="105"/>
      <c r="C395" s="60">
        <v>3</v>
      </c>
      <c r="D395" s="61">
        <f>97.15*10.764</f>
        <v>1045.7226000000001</v>
      </c>
      <c r="E395" s="61">
        <v>0</v>
      </c>
      <c r="F395" s="61">
        <f t="shared" si="43"/>
        <v>1673.1561600000002</v>
      </c>
      <c r="G395" s="112" t="str">
        <f>G394</f>
        <v>7th Podium Floor For Parking &amp; Residential</v>
      </c>
      <c r="H395" s="113"/>
      <c r="I395" s="62"/>
      <c r="N395" s="62"/>
    </row>
    <row r="396" spans="1:14" s="63" customFormat="1" ht="15.75" customHeight="1" x14ac:dyDescent="0.35">
      <c r="A396" s="105">
        <f>A395+1</f>
        <v>3</v>
      </c>
      <c r="B396" s="105"/>
      <c r="C396" s="122" t="s">
        <v>187</v>
      </c>
      <c r="D396" s="123"/>
      <c r="E396" s="123"/>
      <c r="F396" s="124"/>
      <c r="G396" s="112" t="str">
        <f>G395</f>
        <v>7th Podium Floor For Parking &amp; Residential</v>
      </c>
      <c r="H396" s="113"/>
      <c r="I396" s="62"/>
      <c r="N396" s="62"/>
    </row>
    <row r="397" spans="1:14" s="63" customFormat="1" ht="15.75" customHeight="1" x14ac:dyDescent="0.35">
      <c r="A397" s="105">
        <v>4</v>
      </c>
      <c r="B397" s="105"/>
      <c r="C397" s="235"/>
      <c r="D397" s="236"/>
      <c r="E397" s="236"/>
      <c r="F397" s="237"/>
      <c r="G397" s="112" t="str">
        <f t="shared" ref="G397:G399" si="44">G396</f>
        <v>7th Podium Floor For Parking &amp; Residential</v>
      </c>
      <c r="H397" s="113"/>
      <c r="I397" s="62"/>
      <c r="N397" s="62"/>
    </row>
    <row r="398" spans="1:14" s="63" customFormat="1" ht="15.75" customHeight="1" x14ac:dyDescent="0.35">
      <c r="A398" s="105">
        <f>A397+1</f>
        <v>5</v>
      </c>
      <c r="B398" s="105"/>
      <c r="C398" s="125"/>
      <c r="D398" s="126"/>
      <c r="E398" s="126"/>
      <c r="F398" s="127"/>
      <c r="G398" s="112" t="str">
        <f t="shared" si="44"/>
        <v>7th Podium Floor For Parking &amp; Residential</v>
      </c>
      <c r="H398" s="113"/>
      <c r="I398" s="62"/>
      <c r="N398" s="62"/>
    </row>
    <row r="399" spans="1:14" s="63" customFormat="1" ht="15.75" customHeight="1" x14ac:dyDescent="0.35">
      <c r="A399" s="105">
        <v>6</v>
      </c>
      <c r="B399" s="105"/>
      <c r="C399" s="60">
        <v>2</v>
      </c>
      <c r="D399" s="61">
        <f>70.42*10.764</f>
        <v>758.00087999999994</v>
      </c>
      <c r="E399" s="61">
        <v>0</v>
      </c>
      <c r="F399" s="61">
        <f>D399*(($F$176)+1)+(IF(E399&lt;101,E399,IF(E399&lt;201,E399/2,IF(E399&lt;=301,E399/3,E399/4))))</f>
        <v>1212.801408</v>
      </c>
      <c r="G399" s="114" t="str">
        <f t="shared" si="44"/>
        <v>7th Podium Floor For Parking &amp; Residential</v>
      </c>
      <c r="H399" s="115"/>
      <c r="I399" s="62"/>
      <c r="N399" s="62"/>
    </row>
    <row r="400" spans="1:14" s="63" customFormat="1" x14ac:dyDescent="0.35">
      <c r="A400" s="106" t="s">
        <v>229</v>
      </c>
      <c r="B400" s="106"/>
      <c r="C400" s="106"/>
      <c r="D400" s="106"/>
      <c r="E400" s="106"/>
      <c r="F400" s="106"/>
      <c r="G400" s="106"/>
      <c r="H400" s="106"/>
      <c r="I400" s="62"/>
      <c r="L400" s="99"/>
      <c r="M400" s="99"/>
    </row>
    <row r="401" spans="1:14" s="63" customFormat="1" x14ac:dyDescent="0.35">
      <c r="A401" s="106" t="s">
        <v>191</v>
      </c>
      <c r="B401" s="106"/>
      <c r="C401" s="106"/>
      <c r="D401" s="106"/>
      <c r="E401" s="106"/>
      <c r="F401" s="106"/>
      <c r="G401" s="106"/>
      <c r="H401" s="106"/>
      <c r="I401" s="62"/>
      <c r="N401" s="62"/>
    </row>
    <row r="402" spans="1:14" s="63" customFormat="1" ht="15.75" customHeight="1" x14ac:dyDescent="0.35">
      <c r="A402" s="105">
        <v>1</v>
      </c>
      <c r="B402" s="105"/>
      <c r="C402" s="60">
        <v>3</v>
      </c>
      <c r="D402" s="61">
        <f>97.15*10.764</f>
        <v>1045.7226000000001</v>
      </c>
      <c r="E402" s="61">
        <v>0</v>
      </c>
      <c r="F402" s="61">
        <f t="shared" ref="F402:F403" si="45">D402*(($F$176)+1)+(IF(E402&lt;101,E402,IF(E402&lt;201,E402/2,IF(E402&lt;=301,E402/3,E402/4))))</f>
        <v>1673.1561600000002</v>
      </c>
      <c r="G402" s="110" t="str">
        <f>A401</f>
        <v>8th Podium Floor For Parking, Residential &amp; Club House</v>
      </c>
      <c r="H402" s="111"/>
      <c r="I402" s="62"/>
      <c r="L402" s="99"/>
      <c r="M402" s="99"/>
    </row>
    <row r="403" spans="1:14" s="63" customFormat="1" ht="15.75" customHeight="1" x14ac:dyDescent="0.35">
      <c r="A403" s="105">
        <f>A402+1</f>
        <v>2</v>
      </c>
      <c r="B403" s="105"/>
      <c r="C403" s="60">
        <v>3</v>
      </c>
      <c r="D403" s="61">
        <f>97.15*10.764</f>
        <v>1045.7226000000001</v>
      </c>
      <c r="E403" s="61">
        <v>0</v>
      </c>
      <c r="F403" s="61">
        <f t="shared" si="45"/>
        <v>1673.1561600000002</v>
      </c>
      <c r="G403" s="112" t="str">
        <f>G402</f>
        <v>8th Podium Floor For Parking, Residential &amp; Club House</v>
      </c>
      <c r="H403" s="113"/>
      <c r="I403" s="62"/>
      <c r="N403" s="62"/>
    </row>
    <row r="404" spans="1:14" s="63" customFormat="1" x14ac:dyDescent="0.35">
      <c r="A404" s="106" t="s">
        <v>192</v>
      </c>
      <c r="B404" s="106"/>
      <c r="C404" s="106"/>
      <c r="D404" s="106"/>
      <c r="E404" s="106"/>
      <c r="F404" s="106"/>
      <c r="G404" s="106"/>
      <c r="H404" s="106"/>
      <c r="I404" s="62"/>
      <c r="L404" s="64"/>
      <c r="N404" s="62"/>
    </row>
    <row r="405" spans="1:14" s="63" customFormat="1" ht="15.75" customHeight="1" x14ac:dyDescent="0.35">
      <c r="A405" s="105">
        <v>1</v>
      </c>
      <c r="B405" s="105"/>
      <c r="C405" s="60">
        <v>3</v>
      </c>
      <c r="D405" s="61">
        <f>97.15*10.764</f>
        <v>1045.7226000000001</v>
      </c>
      <c r="E405" s="61">
        <v>0</v>
      </c>
      <c r="F405" s="61">
        <f t="shared" ref="F405:F406" si="46">D405*(($F$176)+1)+(IF(E405&lt;101,E405,IF(E405&lt;201,E405/2,IF(E405&lt;=301,E405/3,E405/4))))</f>
        <v>1673.1561600000002</v>
      </c>
      <c r="G405" s="110" t="str">
        <f>A404</f>
        <v>9th Podium Floor For Parking, Residential, Steam &amp; Sauna</v>
      </c>
      <c r="H405" s="111"/>
      <c r="I405" s="62"/>
      <c r="L405" s="99"/>
      <c r="M405" s="99"/>
    </row>
    <row r="406" spans="1:14" s="63" customFormat="1" ht="15.75" customHeight="1" x14ac:dyDescent="0.35">
      <c r="A406" s="105">
        <f>A405+1</f>
        <v>2</v>
      </c>
      <c r="B406" s="105"/>
      <c r="C406" s="60">
        <v>3</v>
      </c>
      <c r="D406" s="61">
        <f>97.15*10.764</f>
        <v>1045.7226000000001</v>
      </c>
      <c r="E406" s="61">
        <v>0</v>
      </c>
      <c r="F406" s="61">
        <f t="shared" si="46"/>
        <v>1673.1561600000002</v>
      </c>
      <c r="G406" s="112" t="str">
        <f>G405</f>
        <v>9th Podium Floor For Parking, Residential, Steam &amp; Sauna</v>
      </c>
      <c r="H406" s="113"/>
      <c r="I406" s="62"/>
      <c r="N406" s="62"/>
    </row>
    <row r="407" spans="1:14" s="63" customFormat="1" x14ac:dyDescent="0.35">
      <c r="A407" s="106" t="s">
        <v>195</v>
      </c>
      <c r="B407" s="106"/>
      <c r="C407" s="106"/>
      <c r="D407" s="106"/>
      <c r="E407" s="106"/>
      <c r="F407" s="106"/>
      <c r="G407" s="106"/>
      <c r="H407" s="106"/>
      <c r="I407" s="62"/>
      <c r="L407" s="64"/>
      <c r="N407" s="62"/>
    </row>
    <row r="408" spans="1:14" s="63" customFormat="1" ht="15.75" customHeight="1" x14ac:dyDescent="0.35">
      <c r="A408" s="105">
        <v>1</v>
      </c>
      <c r="B408" s="105"/>
      <c r="C408" s="60">
        <v>3</v>
      </c>
      <c r="D408" s="61">
        <f>97.15*10.764</f>
        <v>1045.7226000000001</v>
      </c>
      <c r="E408" s="61">
        <v>0</v>
      </c>
      <c r="F408" s="61">
        <f t="shared" ref="F408:F411" si="47">D408*(($F$176)+1)+(IF(E408&lt;101,E408,IF(E408&lt;201,E408/2,IF(E408&lt;=301,E408/3,E408/4))))</f>
        <v>1673.1561600000002</v>
      </c>
      <c r="G408" s="110" t="str">
        <f>A407</f>
        <v>10th Floor For Residential</v>
      </c>
      <c r="H408" s="111"/>
      <c r="I408" s="62"/>
      <c r="L408" s="99"/>
      <c r="M408" s="99"/>
    </row>
    <row r="409" spans="1:14" s="63" customFormat="1" ht="15.75" customHeight="1" x14ac:dyDescent="0.35">
      <c r="A409" s="105">
        <f>A408+1</f>
        <v>2</v>
      </c>
      <c r="B409" s="105"/>
      <c r="C409" s="60">
        <v>3</v>
      </c>
      <c r="D409" s="61">
        <f>97.15*10.764</f>
        <v>1045.7226000000001</v>
      </c>
      <c r="E409" s="61">
        <v>0</v>
      </c>
      <c r="F409" s="61">
        <f t="shared" si="47"/>
        <v>1673.1561600000002</v>
      </c>
      <c r="G409" s="112" t="str">
        <f>G408</f>
        <v>10th Floor For Residential</v>
      </c>
      <c r="H409" s="113"/>
      <c r="I409" s="62"/>
      <c r="N409" s="62"/>
    </row>
    <row r="410" spans="1:14" s="63" customFormat="1" ht="15.75" customHeight="1" x14ac:dyDescent="0.35">
      <c r="A410" s="105">
        <v>3</v>
      </c>
      <c r="B410" s="105"/>
      <c r="C410" s="60">
        <v>3</v>
      </c>
      <c r="D410" s="61">
        <f>83.9*10.764</f>
        <v>903.09960000000001</v>
      </c>
      <c r="E410" s="61">
        <v>0</v>
      </c>
      <c r="F410" s="61">
        <f t="shared" si="47"/>
        <v>1444.9593600000001</v>
      </c>
      <c r="G410" s="112" t="str">
        <f>G412</f>
        <v>10th Floor For Residential</v>
      </c>
      <c r="H410" s="113"/>
      <c r="I410" s="62"/>
      <c r="L410" s="64"/>
      <c r="N410" s="62"/>
    </row>
    <row r="411" spans="1:14" s="63" customFormat="1" ht="15.75" customHeight="1" x14ac:dyDescent="0.35">
      <c r="A411" s="105">
        <f>A410+1</f>
        <v>4</v>
      </c>
      <c r="B411" s="105"/>
      <c r="C411" s="60">
        <v>3</v>
      </c>
      <c r="D411" s="61">
        <f>83.9*10.764</f>
        <v>903.09960000000001</v>
      </c>
      <c r="E411" s="61">
        <v>0</v>
      </c>
      <c r="F411" s="61">
        <f t="shared" si="47"/>
        <v>1444.9593600000001</v>
      </c>
      <c r="G411" s="112" t="str">
        <f>G410</f>
        <v>10th Floor For Residential</v>
      </c>
      <c r="H411" s="113"/>
      <c r="I411" s="62"/>
      <c r="N411" s="62"/>
    </row>
    <row r="412" spans="1:14" s="63" customFormat="1" ht="15.75" customHeight="1" x14ac:dyDescent="0.35">
      <c r="A412" s="105">
        <v>5</v>
      </c>
      <c r="B412" s="105"/>
      <c r="C412" s="60">
        <v>2</v>
      </c>
      <c r="D412" s="61">
        <f t="shared" ref="D412:D413" si="48">70.42*10.764</f>
        <v>758.00087999999994</v>
      </c>
      <c r="E412" s="61">
        <v>0</v>
      </c>
      <c r="F412" s="61">
        <f>D412*(($F$176)+1)+(IF(E412&lt;101,E412,IF(E412&lt;201,E412/2,IF(E412&lt;=301,E412/3,E412/4))))</f>
        <v>1212.801408</v>
      </c>
      <c r="G412" s="112" t="str">
        <f>G409</f>
        <v>10th Floor For Residential</v>
      </c>
      <c r="H412" s="113"/>
      <c r="I412" s="62"/>
      <c r="N412" s="62"/>
    </row>
    <row r="413" spans="1:14" s="63" customFormat="1" ht="15.75" customHeight="1" x14ac:dyDescent="0.35">
      <c r="A413" s="105">
        <v>6</v>
      </c>
      <c r="B413" s="105"/>
      <c r="C413" s="60">
        <v>2</v>
      </c>
      <c r="D413" s="61">
        <f t="shared" si="48"/>
        <v>758.00087999999994</v>
      </c>
      <c r="E413" s="61">
        <v>0</v>
      </c>
      <c r="F413" s="61">
        <f>D413*(($F$176)+1)+(IF(E413&lt;101,E413,IF(E413&lt;201,E413/2,IF(E413&lt;=301,E413/3,E413/4))))</f>
        <v>1212.801408</v>
      </c>
      <c r="G413" s="114" t="str">
        <f>G410</f>
        <v>10th Floor For Residential</v>
      </c>
      <c r="H413" s="115"/>
      <c r="I413" s="62"/>
      <c r="N413" s="62"/>
    </row>
    <row r="414" spans="1:14" s="63" customFormat="1" x14ac:dyDescent="0.35">
      <c r="A414" s="116" t="s">
        <v>219</v>
      </c>
      <c r="B414" s="117"/>
      <c r="C414" s="117"/>
      <c r="D414" s="117"/>
      <c r="E414" s="117"/>
      <c r="F414" s="117"/>
      <c r="G414" s="117"/>
      <c r="H414" s="118"/>
      <c r="I414" s="62"/>
      <c r="N414" s="62"/>
    </row>
    <row r="415" spans="1:14" s="63" customFormat="1" ht="15.75" customHeight="1" x14ac:dyDescent="0.35">
      <c r="A415" s="100">
        <v>1</v>
      </c>
      <c r="B415" s="101"/>
      <c r="C415" s="60">
        <v>3</v>
      </c>
      <c r="D415" s="61">
        <f>97.15*10.764</f>
        <v>1045.7226000000001</v>
      </c>
      <c r="E415" s="61">
        <v>0</v>
      </c>
      <c r="F415" s="61">
        <f t="shared" ref="F415:F420" si="49">D415*(($F$176)+1)+(IF(E415&lt;101,E415,IF(E415&lt;201,E415/2,IF(E415&lt;=301,E415/3,E415/4))))</f>
        <v>1673.1561600000002</v>
      </c>
      <c r="G415" s="110" t="str">
        <f>A414</f>
        <v>11th Floor</v>
      </c>
      <c r="H415" s="111"/>
      <c r="I415" s="62"/>
    </row>
    <row r="416" spans="1:14" s="63" customFormat="1" x14ac:dyDescent="0.35">
      <c r="A416" s="100">
        <v>2</v>
      </c>
      <c r="B416" s="101"/>
      <c r="C416" s="60">
        <v>3</v>
      </c>
      <c r="D416" s="61">
        <f>97.15*10.764</f>
        <v>1045.7226000000001</v>
      </c>
      <c r="E416" s="61">
        <v>0</v>
      </c>
      <c r="F416" s="61">
        <f t="shared" si="49"/>
        <v>1673.1561600000002</v>
      </c>
      <c r="G416" s="112" t="str">
        <f>G415</f>
        <v>11th Floor</v>
      </c>
      <c r="H416" s="113"/>
      <c r="I416" s="62"/>
    </row>
    <row r="417" spans="1:14" s="63" customFormat="1" x14ac:dyDescent="0.35">
      <c r="A417" s="100">
        <v>3</v>
      </c>
      <c r="B417" s="101"/>
      <c r="C417" s="60">
        <v>3</v>
      </c>
      <c r="D417" s="61">
        <f>83.9*10.764</f>
        <v>903.09960000000001</v>
      </c>
      <c r="E417" s="61">
        <v>0</v>
      </c>
      <c r="F417" s="61">
        <f t="shared" si="49"/>
        <v>1444.9593600000001</v>
      </c>
      <c r="G417" s="112" t="str">
        <f>G416</f>
        <v>11th Floor</v>
      </c>
      <c r="H417" s="113"/>
      <c r="I417" s="62"/>
    </row>
    <row r="418" spans="1:14" s="63" customFormat="1" ht="15.75" customHeight="1" x14ac:dyDescent="0.35">
      <c r="A418" s="100">
        <v>4</v>
      </c>
      <c r="B418" s="101"/>
      <c r="C418" s="60">
        <v>3</v>
      </c>
      <c r="D418" s="61">
        <f>83.9*10.764</f>
        <v>903.09960000000001</v>
      </c>
      <c r="E418" s="61">
        <v>0</v>
      </c>
      <c r="F418" s="61">
        <f t="shared" si="49"/>
        <v>1444.9593600000001</v>
      </c>
      <c r="G418" s="112" t="str">
        <f>G417</f>
        <v>11th Floor</v>
      </c>
      <c r="H418" s="113"/>
      <c r="I418" s="62"/>
    </row>
    <row r="419" spans="1:14" s="63" customFormat="1" ht="15.75" customHeight="1" x14ac:dyDescent="0.35">
      <c r="A419" s="100">
        <v>5</v>
      </c>
      <c r="B419" s="101"/>
      <c r="C419" s="60">
        <v>2</v>
      </c>
      <c r="D419" s="61">
        <f t="shared" ref="D419:D420" si="50">70.42*10.764</f>
        <v>758.00087999999994</v>
      </c>
      <c r="E419" s="61">
        <v>0</v>
      </c>
      <c r="F419" s="61">
        <f t="shared" si="49"/>
        <v>1212.801408</v>
      </c>
      <c r="G419" s="112" t="str">
        <f>G418</f>
        <v>11th Floor</v>
      </c>
      <c r="H419" s="113"/>
      <c r="I419" s="62"/>
    </row>
    <row r="420" spans="1:14" s="63" customFormat="1" ht="15.75" customHeight="1" x14ac:dyDescent="0.35">
      <c r="A420" s="100">
        <v>6</v>
      </c>
      <c r="B420" s="101"/>
      <c r="C420" s="60">
        <v>2</v>
      </c>
      <c r="D420" s="61">
        <f t="shared" si="50"/>
        <v>758.00087999999994</v>
      </c>
      <c r="E420" s="61">
        <v>0</v>
      </c>
      <c r="F420" s="61">
        <f t="shared" si="49"/>
        <v>1212.801408</v>
      </c>
      <c r="G420" s="114" t="str">
        <f>G419</f>
        <v>11th Floor</v>
      </c>
      <c r="H420" s="115"/>
      <c r="I420" s="62"/>
    </row>
    <row r="421" spans="1:14" s="63" customFormat="1" x14ac:dyDescent="0.35">
      <c r="A421" s="116" t="s">
        <v>220</v>
      </c>
      <c r="B421" s="117"/>
      <c r="C421" s="117"/>
      <c r="D421" s="117"/>
      <c r="E421" s="117"/>
      <c r="F421" s="117"/>
      <c r="G421" s="117"/>
      <c r="H421" s="118"/>
      <c r="I421" s="62"/>
      <c r="N421" s="62"/>
    </row>
    <row r="422" spans="1:14" s="63" customFormat="1" ht="15.75" customHeight="1" x14ac:dyDescent="0.35">
      <c r="A422" s="100">
        <v>1</v>
      </c>
      <c r="B422" s="101"/>
      <c r="C422" s="60">
        <v>3</v>
      </c>
      <c r="D422" s="61">
        <f>97.15*10.764</f>
        <v>1045.7226000000001</v>
      </c>
      <c r="E422" s="61">
        <v>0</v>
      </c>
      <c r="F422" s="61">
        <f t="shared" ref="F422:F427" si="51">D422*(($F$176)+1)+(IF(E422&lt;101,E422,IF(E422&lt;201,E422/2,IF(E422&lt;=301,E422/3,E422/4))))</f>
        <v>1673.1561600000002</v>
      </c>
      <c r="G422" s="110" t="str">
        <f>A421</f>
        <v>12th Floor</v>
      </c>
      <c r="H422" s="111"/>
      <c r="I422" s="62"/>
    </row>
    <row r="423" spans="1:14" s="63" customFormat="1" x14ac:dyDescent="0.35">
      <c r="A423" s="100">
        <v>2</v>
      </c>
      <c r="B423" s="101"/>
      <c r="C423" s="60">
        <v>3</v>
      </c>
      <c r="D423" s="61">
        <f>97.15*10.764</f>
        <v>1045.7226000000001</v>
      </c>
      <c r="E423" s="61">
        <v>0</v>
      </c>
      <c r="F423" s="61">
        <f t="shared" si="51"/>
        <v>1673.1561600000002</v>
      </c>
      <c r="G423" s="112" t="str">
        <f>G422</f>
        <v>12th Floor</v>
      </c>
      <c r="H423" s="113"/>
      <c r="I423" s="62"/>
    </row>
    <row r="424" spans="1:14" s="63" customFormat="1" x14ac:dyDescent="0.35">
      <c r="A424" s="100">
        <v>3</v>
      </c>
      <c r="B424" s="101"/>
      <c r="C424" s="60">
        <v>3</v>
      </c>
      <c r="D424" s="61">
        <f>83.9*10.764</f>
        <v>903.09960000000001</v>
      </c>
      <c r="E424" s="61">
        <v>0</v>
      </c>
      <c r="F424" s="61">
        <f t="shared" si="51"/>
        <v>1444.9593600000001</v>
      </c>
      <c r="G424" s="112" t="str">
        <f>G423</f>
        <v>12th Floor</v>
      </c>
      <c r="H424" s="113"/>
      <c r="I424" s="62"/>
    </row>
    <row r="425" spans="1:14" s="63" customFormat="1" ht="15.75" customHeight="1" x14ac:dyDescent="0.35">
      <c r="A425" s="100">
        <v>4</v>
      </c>
      <c r="B425" s="101"/>
      <c r="C425" s="60">
        <v>3</v>
      </c>
      <c r="D425" s="61">
        <f>83.9*10.764</f>
        <v>903.09960000000001</v>
      </c>
      <c r="E425" s="61">
        <v>0</v>
      </c>
      <c r="F425" s="61">
        <f t="shared" si="51"/>
        <v>1444.9593600000001</v>
      </c>
      <c r="G425" s="112" t="str">
        <f>G424</f>
        <v>12th Floor</v>
      </c>
      <c r="H425" s="113"/>
      <c r="I425" s="62"/>
    </row>
    <row r="426" spans="1:14" s="63" customFormat="1" ht="15.75" customHeight="1" x14ac:dyDescent="0.35">
      <c r="A426" s="100">
        <v>5</v>
      </c>
      <c r="B426" s="101"/>
      <c r="C426" s="60">
        <v>2</v>
      </c>
      <c r="D426" s="61">
        <f t="shared" ref="D426:D427" si="52">70.42*10.764</f>
        <v>758.00087999999994</v>
      </c>
      <c r="E426" s="61">
        <v>0</v>
      </c>
      <c r="F426" s="61">
        <f t="shared" si="51"/>
        <v>1212.801408</v>
      </c>
      <c r="G426" s="112" t="str">
        <f>G425</f>
        <v>12th Floor</v>
      </c>
      <c r="H426" s="113"/>
      <c r="I426" s="62"/>
    </row>
    <row r="427" spans="1:14" s="63" customFormat="1" ht="15.75" customHeight="1" x14ac:dyDescent="0.35">
      <c r="A427" s="100">
        <v>6</v>
      </c>
      <c r="B427" s="101"/>
      <c r="C427" s="60">
        <v>2</v>
      </c>
      <c r="D427" s="61">
        <f t="shared" si="52"/>
        <v>758.00087999999994</v>
      </c>
      <c r="E427" s="61">
        <v>0</v>
      </c>
      <c r="F427" s="61">
        <f t="shared" si="51"/>
        <v>1212.801408</v>
      </c>
      <c r="G427" s="114" t="str">
        <f>G426</f>
        <v>12th Floor</v>
      </c>
      <c r="H427" s="115"/>
      <c r="I427" s="62"/>
    </row>
    <row r="428" spans="1:14" s="63" customFormat="1" ht="15.75" customHeight="1" x14ac:dyDescent="0.35">
      <c r="A428" s="116" t="s">
        <v>281</v>
      </c>
      <c r="B428" s="117"/>
      <c r="C428" s="117"/>
      <c r="D428" s="117"/>
      <c r="E428" s="117"/>
      <c r="F428" s="117"/>
      <c r="G428" s="117"/>
      <c r="H428" s="118"/>
      <c r="I428" s="62"/>
      <c r="N428" s="62"/>
    </row>
    <row r="429" spans="1:14" s="63" customFormat="1" ht="15.75" customHeight="1" x14ac:dyDescent="0.35">
      <c r="A429" s="100">
        <v>1</v>
      </c>
      <c r="B429" s="101"/>
      <c r="C429" s="60">
        <v>3</v>
      </c>
      <c r="D429" s="61">
        <f>97.15*10.764</f>
        <v>1045.7226000000001</v>
      </c>
      <c r="E429" s="61">
        <v>0</v>
      </c>
      <c r="F429" s="61">
        <f t="shared" ref="F429:F434" si="53">D429*(($F$176)+1)+(IF(E429&lt;101,E429,IF(E429&lt;201,E429/2,IF(E429&lt;=301,E429/3,E429/4))))</f>
        <v>1673.1561600000002</v>
      </c>
      <c r="G429" s="110" t="str">
        <f>A428</f>
        <v>13th, 16th to 20th, 23rd to 27th, 30th to 34th, 37th to 41st, 44th to 49th, 51st to 54th Floor</v>
      </c>
      <c r="H429" s="111"/>
      <c r="I429" s="62"/>
    </row>
    <row r="430" spans="1:14" s="63" customFormat="1" ht="15.75" customHeight="1" x14ac:dyDescent="0.35">
      <c r="A430" s="100">
        <v>2</v>
      </c>
      <c r="B430" s="101"/>
      <c r="C430" s="60">
        <v>3</v>
      </c>
      <c r="D430" s="61">
        <f>97.15*10.764</f>
        <v>1045.7226000000001</v>
      </c>
      <c r="E430" s="61">
        <v>0</v>
      </c>
      <c r="F430" s="61">
        <f t="shared" si="53"/>
        <v>1673.1561600000002</v>
      </c>
      <c r="G430" s="112" t="str">
        <f>G429</f>
        <v>13th, 16th to 20th, 23rd to 27th, 30th to 34th, 37th to 41st, 44th to 49th, 51st to 54th Floor</v>
      </c>
      <c r="H430" s="113"/>
      <c r="I430" s="62"/>
    </row>
    <row r="431" spans="1:14" s="63" customFormat="1" ht="15.75" customHeight="1" x14ac:dyDescent="0.35">
      <c r="A431" s="100">
        <v>3</v>
      </c>
      <c r="B431" s="101"/>
      <c r="C431" s="60">
        <v>3</v>
      </c>
      <c r="D431" s="61">
        <f>83.9*10.764</f>
        <v>903.09960000000001</v>
      </c>
      <c r="E431" s="61">
        <v>0</v>
      </c>
      <c r="F431" s="61">
        <f t="shared" si="53"/>
        <v>1444.9593600000001</v>
      </c>
      <c r="G431" s="112" t="str">
        <f>G430</f>
        <v>13th, 16th to 20th, 23rd to 27th, 30th to 34th, 37th to 41st, 44th to 49th, 51st to 54th Floor</v>
      </c>
      <c r="H431" s="113"/>
      <c r="I431" s="62"/>
    </row>
    <row r="432" spans="1:14" s="63" customFormat="1" ht="15.75" customHeight="1" x14ac:dyDescent="0.35">
      <c r="A432" s="100">
        <v>4</v>
      </c>
      <c r="B432" s="101"/>
      <c r="C432" s="60">
        <v>3</v>
      </c>
      <c r="D432" s="61">
        <f>83.9*10.764</f>
        <v>903.09960000000001</v>
      </c>
      <c r="E432" s="61">
        <v>0</v>
      </c>
      <c r="F432" s="61">
        <f t="shared" si="53"/>
        <v>1444.9593600000001</v>
      </c>
      <c r="G432" s="112" t="str">
        <f>G431</f>
        <v>13th, 16th to 20th, 23rd to 27th, 30th to 34th, 37th to 41st, 44th to 49th, 51st to 54th Floor</v>
      </c>
      <c r="H432" s="113"/>
      <c r="I432" s="62"/>
    </row>
    <row r="433" spans="1:13" s="63" customFormat="1" ht="15.75" customHeight="1" x14ac:dyDescent="0.35">
      <c r="A433" s="100">
        <v>5</v>
      </c>
      <c r="B433" s="101"/>
      <c r="C433" s="60">
        <v>2</v>
      </c>
      <c r="D433" s="61">
        <f t="shared" ref="D433:D434" si="54">70.42*10.764</f>
        <v>758.00087999999994</v>
      </c>
      <c r="E433" s="61">
        <v>0</v>
      </c>
      <c r="F433" s="61">
        <f t="shared" si="53"/>
        <v>1212.801408</v>
      </c>
      <c r="G433" s="112" t="str">
        <f>G432</f>
        <v>13th, 16th to 20th, 23rd to 27th, 30th to 34th, 37th to 41st, 44th to 49th, 51st to 54th Floor</v>
      </c>
      <c r="H433" s="113"/>
      <c r="I433" s="62"/>
    </row>
    <row r="434" spans="1:13" s="63" customFormat="1" ht="15.75" customHeight="1" x14ac:dyDescent="0.35">
      <c r="A434" s="100">
        <v>6</v>
      </c>
      <c r="B434" s="101"/>
      <c r="C434" s="60">
        <v>2</v>
      </c>
      <c r="D434" s="61">
        <f t="shared" si="54"/>
        <v>758.00087999999994</v>
      </c>
      <c r="E434" s="61">
        <v>0</v>
      </c>
      <c r="F434" s="61">
        <f t="shared" si="53"/>
        <v>1212.801408</v>
      </c>
      <c r="G434" s="114" t="str">
        <f>G433</f>
        <v>13th, 16th to 20th, 23rd to 27th, 30th to 34th, 37th to 41st, 44th to 49th, 51st to 54th Floor</v>
      </c>
      <c r="H434" s="115"/>
      <c r="I434" s="62"/>
    </row>
    <row r="435" spans="1:13" s="63" customFormat="1" x14ac:dyDescent="0.35">
      <c r="A435" s="106" t="s">
        <v>230</v>
      </c>
      <c r="B435" s="106"/>
      <c r="C435" s="106"/>
      <c r="D435" s="106"/>
      <c r="E435" s="106"/>
      <c r="F435" s="106"/>
      <c r="G435" s="106"/>
      <c r="H435" s="106"/>
      <c r="I435" s="62"/>
      <c r="L435" s="99"/>
      <c r="M435" s="99"/>
    </row>
    <row r="436" spans="1:13" s="63" customFormat="1" ht="15.75" customHeight="1" x14ac:dyDescent="0.35">
      <c r="A436" s="116" t="s">
        <v>236</v>
      </c>
      <c r="B436" s="117"/>
      <c r="C436" s="117"/>
      <c r="D436" s="117"/>
      <c r="E436" s="117"/>
      <c r="F436" s="117"/>
      <c r="G436" s="117"/>
      <c r="H436" s="118"/>
      <c r="I436" s="62"/>
    </row>
    <row r="437" spans="1:13" s="63" customFormat="1" ht="77.25" customHeight="1" x14ac:dyDescent="0.35">
      <c r="A437" s="100">
        <v>1</v>
      </c>
      <c r="B437" s="101"/>
      <c r="C437" s="60" t="s">
        <v>196</v>
      </c>
      <c r="D437" s="61">
        <f>142.79*10.764</f>
        <v>1536.9915599999997</v>
      </c>
      <c r="E437" s="61">
        <v>0</v>
      </c>
      <c r="F437" s="61">
        <f t="shared" ref="F437:F442" si="55">D437*(($F$176)+1)+(IF(E437&lt;101,E437,IF(E437&lt;201,E437/2,IF(E437&lt;=301,E437/3,E437/4))))</f>
        <v>2459.1864959999998</v>
      </c>
      <c r="G437" s="110" t="str">
        <f>A436</f>
        <v>14th, 21st, 28th, 35th &amp; 42nd Floor</v>
      </c>
      <c r="H437" s="111"/>
      <c r="I437" s="62"/>
    </row>
    <row r="438" spans="1:13" s="63" customFormat="1" ht="15.75" customHeight="1" x14ac:dyDescent="0.35">
      <c r="A438" s="100">
        <v>2</v>
      </c>
      <c r="B438" s="101"/>
      <c r="C438" s="60">
        <v>3</v>
      </c>
      <c r="D438" s="61">
        <f>97.15*10.764</f>
        <v>1045.7226000000001</v>
      </c>
      <c r="E438" s="61">
        <v>0</v>
      </c>
      <c r="F438" s="61">
        <f t="shared" si="55"/>
        <v>1673.1561600000002</v>
      </c>
      <c r="G438" s="112" t="str">
        <f>G437</f>
        <v>14th, 21st, 28th, 35th &amp; 42nd Floor</v>
      </c>
      <c r="H438" s="113"/>
      <c r="I438" s="62"/>
    </row>
    <row r="439" spans="1:13" s="63" customFormat="1" ht="15.75" customHeight="1" x14ac:dyDescent="0.35">
      <c r="A439" s="100">
        <v>3</v>
      </c>
      <c r="B439" s="101"/>
      <c r="C439" s="60">
        <v>3</v>
      </c>
      <c r="D439" s="61">
        <f>83.9*10.764</f>
        <v>903.09960000000001</v>
      </c>
      <c r="E439" s="61">
        <v>0</v>
      </c>
      <c r="F439" s="61">
        <f t="shared" si="55"/>
        <v>1444.9593600000001</v>
      </c>
      <c r="G439" s="112" t="str">
        <f>G438</f>
        <v>14th, 21st, 28th, 35th &amp; 42nd Floor</v>
      </c>
      <c r="H439" s="113"/>
      <c r="I439" s="62"/>
    </row>
    <row r="440" spans="1:13" s="63" customFormat="1" ht="15.75" customHeight="1" x14ac:dyDescent="0.35">
      <c r="A440" s="100">
        <v>4</v>
      </c>
      <c r="B440" s="101"/>
      <c r="C440" s="60">
        <v>3</v>
      </c>
      <c r="D440" s="61">
        <f>83.9*10.764</f>
        <v>903.09960000000001</v>
      </c>
      <c r="E440" s="61">
        <v>0</v>
      </c>
      <c r="F440" s="61">
        <f t="shared" si="55"/>
        <v>1444.9593600000001</v>
      </c>
      <c r="G440" s="112" t="str">
        <f>G439</f>
        <v>14th, 21st, 28th, 35th &amp; 42nd Floor</v>
      </c>
      <c r="H440" s="113"/>
      <c r="I440" s="62"/>
    </row>
    <row r="441" spans="1:13" s="63" customFormat="1" ht="15.75" customHeight="1" x14ac:dyDescent="0.35">
      <c r="A441" s="100">
        <v>5</v>
      </c>
      <c r="B441" s="101"/>
      <c r="C441" s="60">
        <v>2</v>
      </c>
      <c r="D441" s="61">
        <f t="shared" ref="D441:D442" si="56">70.42*10.764</f>
        <v>758.00087999999994</v>
      </c>
      <c r="E441" s="61">
        <v>0</v>
      </c>
      <c r="F441" s="61">
        <f t="shared" si="55"/>
        <v>1212.801408</v>
      </c>
      <c r="G441" s="112" t="str">
        <f>G440</f>
        <v>14th, 21st, 28th, 35th &amp; 42nd Floor</v>
      </c>
      <c r="H441" s="113"/>
      <c r="I441" s="62"/>
    </row>
    <row r="442" spans="1:13" s="63" customFormat="1" ht="15.75" customHeight="1" x14ac:dyDescent="0.35">
      <c r="A442" s="100">
        <v>6</v>
      </c>
      <c r="B442" s="101"/>
      <c r="C442" s="60">
        <v>2</v>
      </c>
      <c r="D442" s="61">
        <f t="shared" si="56"/>
        <v>758.00087999999994</v>
      </c>
      <c r="E442" s="61">
        <v>0</v>
      </c>
      <c r="F442" s="61">
        <f t="shared" si="55"/>
        <v>1212.801408</v>
      </c>
      <c r="G442" s="114" t="str">
        <f>G441</f>
        <v>14th, 21st, 28th, 35th &amp; 42nd Floor</v>
      </c>
      <c r="H442" s="115"/>
      <c r="I442" s="62"/>
    </row>
    <row r="443" spans="1:13" s="63" customFormat="1" ht="15.75" customHeight="1" x14ac:dyDescent="0.35">
      <c r="A443" s="116" t="s">
        <v>235</v>
      </c>
      <c r="B443" s="117"/>
      <c r="C443" s="117"/>
      <c r="D443" s="117"/>
      <c r="E443" s="117"/>
      <c r="F443" s="117"/>
      <c r="G443" s="117"/>
      <c r="H443" s="118"/>
      <c r="I443" s="62"/>
    </row>
    <row r="444" spans="1:13" s="63" customFormat="1" ht="15.75" customHeight="1" x14ac:dyDescent="0.35">
      <c r="A444" s="100">
        <v>1</v>
      </c>
      <c r="B444" s="101"/>
      <c r="C444" s="107" t="s">
        <v>228</v>
      </c>
      <c r="D444" s="108"/>
      <c r="E444" s="108"/>
      <c r="F444" s="109"/>
      <c r="G444" s="110" t="str">
        <f>A443</f>
        <v>15th, 22nd, 29th, 36th &amp; 43rd Floor (Part Refuge Area)</v>
      </c>
      <c r="H444" s="111"/>
      <c r="I444" s="62"/>
    </row>
    <row r="445" spans="1:13" s="63" customFormat="1" ht="15.75" customHeight="1" x14ac:dyDescent="0.35">
      <c r="A445" s="100">
        <v>2</v>
      </c>
      <c r="B445" s="101"/>
      <c r="C445" s="107" t="s">
        <v>197</v>
      </c>
      <c r="D445" s="108">
        <f>15.89*10.764</f>
        <v>171.03996000000001</v>
      </c>
      <c r="E445" s="108">
        <v>0</v>
      </c>
      <c r="F445" s="109">
        <f>D445*(($F$176)+1)+(IF(E445&lt;101,E445,IF(E445&lt;201,E445/2,IF(E445&lt;=301,E445/3,E445/4))))</f>
        <v>273.66393600000004</v>
      </c>
      <c r="G445" s="112" t="str">
        <f>G444</f>
        <v>15th, 22nd, 29th, 36th &amp; 43rd Floor (Part Refuge Area)</v>
      </c>
      <c r="H445" s="113"/>
      <c r="I445" s="62"/>
    </row>
    <row r="446" spans="1:13" s="63" customFormat="1" ht="15.75" customHeight="1" x14ac:dyDescent="0.35">
      <c r="A446" s="100">
        <v>3</v>
      </c>
      <c r="B446" s="101"/>
      <c r="C446" s="60">
        <v>3</v>
      </c>
      <c r="D446" s="61">
        <f>83.9*10.764</f>
        <v>903.09960000000001</v>
      </c>
      <c r="E446" s="61">
        <v>0</v>
      </c>
      <c r="F446" s="61">
        <f>D446*(($F$176)+1)+(IF(E446&lt;101,E446,IF(E446&lt;201,E446/2,IF(E446&lt;=301,E446/3,E446/4))))</f>
        <v>1444.9593600000001</v>
      </c>
      <c r="G446" s="112" t="str">
        <f>G445</f>
        <v>15th, 22nd, 29th, 36th &amp; 43rd Floor (Part Refuge Area)</v>
      </c>
      <c r="H446" s="113"/>
      <c r="I446" s="62"/>
    </row>
    <row r="447" spans="1:13" s="63" customFormat="1" ht="15.75" customHeight="1" x14ac:dyDescent="0.35">
      <c r="A447" s="100">
        <v>4</v>
      </c>
      <c r="B447" s="101"/>
      <c r="C447" s="60">
        <v>3</v>
      </c>
      <c r="D447" s="61">
        <f>83.9*10.764</f>
        <v>903.09960000000001</v>
      </c>
      <c r="E447" s="61">
        <v>0</v>
      </c>
      <c r="F447" s="61">
        <f>D447*(($F$176)+1)+(IF(E447&lt;101,E447,IF(E447&lt;201,E447/2,IF(E447&lt;=301,E447/3,E447/4))))</f>
        <v>1444.9593600000001</v>
      </c>
      <c r="G447" s="112" t="str">
        <f>G446</f>
        <v>15th, 22nd, 29th, 36th &amp; 43rd Floor (Part Refuge Area)</v>
      </c>
      <c r="H447" s="113"/>
      <c r="I447" s="62"/>
    </row>
    <row r="448" spans="1:13" s="63" customFormat="1" ht="15.75" customHeight="1" x14ac:dyDescent="0.35">
      <c r="A448" s="100">
        <v>5</v>
      </c>
      <c r="B448" s="101"/>
      <c r="C448" s="60">
        <v>2</v>
      </c>
      <c r="D448" s="61">
        <f t="shared" ref="D448:D449" si="57">70.42*10.764</f>
        <v>758.00087999999994</v>
      </c>
      <c r="E448" s="61">
        <v>0</v>
      </c>
      <c r="F448" s="61">
        <f>D448*(($F$176)+1)+(IF(E448&lt;101,E448,IF(E448&lt;201,E448/2,IF(E448&lt;=301,E448/3,E448/4))))</f>
        <v>1212.801408</v>
      </c>
      <c r="G448" s="112" t="str">
        <f>G447</f>
        <v>15th, 22nd, 29th, 36th &amp; 43rd Floor (Part Refuge Area)</v>
      </c>
      <c r="H448" s="113"/>
      <c r="I448" s="62"/>
    </row>
    <row r="449" spans="1:14" s="63" customFormat="1" ht="15.75" customHeight="1" x14ac:dyDescent="0.35">
      <c r="A449" s="100">
        <v>6</v>
      </c>
      <c r="B449" s="101"/>
      <c r="C449" s="60">
        <v>2</v>
      </c>
      <c r="D449" s="61">
        <f t="shared" si="57"/>
        <v>758.00087999999994</v>
      </c>
      <c r="E449" s="61">
        <v>0</v>
      </c>
      <c r="F449" s="61">
        <f>D449*(($F$176)+1)+(IF(E449&lt;101,E449,IF(E449&lt;201,E449/2,IF(E449&lt;=301,E449/3,E449/4))))</f>
        <v>1212.801408</v>
      </c>
      <c r="G449" s="114" t="str">
        <f>G448</f>
        <v>15th, 22nd, 29th, 36th &amp; 43rd Floor (Part Refuge Area)</v>
      </c>
      <c r="H449" s="115"/>
      <c r="I449" s="62"/>
    </row>
    <row r="450" spans="1:14" s="63" customFormat="1" ht="15.75" customHeight="1" x14ac:dyDescent="0.35">
      <c r="A450" s="116" t="s">
        <v>234</v>
      </c>
      <c r="B450" s="117"/>
      <c r="C450" s="117"/>
      <c r="D450" s="117"/>
      <c r="E450" s="117"/>
      <c r="F450" s="117"/>
      <c r="G450" s="117"/>
      <c r="H450" s="118"/>
      <c r="I450" s="62"/>
    </row>
    <row r="451" spans="1:14" s="63" customFormat="1" ht="15.75" customHeight="1" x14ac:dyDescent="0.35">
      <c r="A451" s="100">
        <v>1</v>
      </c>
      <c r="B451" s="101"/>
      <c r="C451" s="60">
        <v>3</v>
      </c>
      <c r="D451" s="61">
        <f>120.22*10.764</f>
        <v>1294.0480799999998</v>
      </c>
      <c r="E451" s="61">
        <v>0</v>
      </c>
      <c r="F451" s="61">
        <f t="shared" ref="F451:F456" si="58">D451*(($F$176)+1)+(IF(E451&lt;101,E451,IF(E451&lt;201,E451/2,IF(E451&lt;=301,E451/3,E451/4))))</f>
        <v>2070.4769279999996</v>
      </c>
      <c r="G451" s="110" t="str">
        <f>A450</f>
        <v>50th Floor (Part Refuge Area)</v>
      </c>
      <c r="H451" s="111"/>
      <c r="I451" s="62"/>
    </row>
    <row r="452" spans="1:14" s="63" customFormat="1" ht="15.75" customHeight="1" x14ac:dyDescent="0.35">
      <c r="A452" s="100">
        <v>2</v>
      </c>
      <c r="B452" s="101"/>
      <c r="C452" s="107" t="s">
        <v>197</v>
      </c>
      <c r="D452" s="108">
        <f>15.89*10.764</f>
        <v>171.03996000000001</v>
      </c>
      <c r="E452" s="108">
        <v>0</v>
      </c>
      <c r="F452" s="109">
        <f t="shared" si="58"/>
        <v>273.66393600000004</v>
      </c>
      <c r="G452" s="112" t="str">
        <f>G451</f>
        <v>50th Floor (Part Refuge Area)</v>
      </c>
      <c r="H452" s="113"/>
      <c r="I452" s="62"/>
    </row>
    <row r="453" spans="1:14" s="63" customFormat="1" ht="15.75" customHeight="1" x14ac:dyDescent="0.35">
      <c r="A453" s="100">
        <v>3</v>
      </c>
      <c r="B453" s="101"/>
      <c r="C453" s="60">
        <v>3</v>
      </c>
      <c r="D453" s="61">
        <f>83.9*10.764</f>
        <v>903.09960000000001</v>
      </c>
      <c r="E453" s="61">
        <v>0</v>
      </c>
      <c r="F453" s="61">
        <f t="shared" si="58"/>
        <v>1444.9593600000001</v>
      </c>
      <c r="G453" s="112" t="str">
        <f>G452</f>
        <v>50th Floor (Part Refuge Area)</v>
      </c>
      <c r="H453" s="113"/>
      <c r="I453" s="62"/>
    </row>
    <row r="454" spans="1:14" s="63" customFormat="1" ht="15.75" customHeight="1" x14ac:dyDescent="0.35">
      <c r="A454" s="100">
        <v>4</v>
      </c>
      <c r="B454" s="101"/>
      <c r="C454" s="60">
        <v>3</v>
      </c>
      <c r="D454" s="61">
        <f>83.9*10.764</f>
        <v>903.09960000000001</v>
      </c>
      <c r="E454" s="61">
        <v>0</v>
      </c>
      <c r="F454" s="61">
        <f t="shared" si="58"/>
        <v>1444.9593600000001</v>
      </c>
      <c r="G454" s="112" t="str">
        <f>G453</f>
        <v>50th Floor (Part Refuge Area)</v>
      </c>
      <c r="H454" s="113"/>
      <c r="I454" s="62"/>
    </row>
    <row r="455" spans="1:14" s="63" customFormat="1" ht="15.75" customHeight="1" x14ac:dyDescent="0.35">
      <c r="A455" s="100">
        <v>5</v>
      </c>
      <c r="B455" s="101"/>
      <c r="C455" s="60">
        <v>2</v>
      </c>
      <c r="D455" s="61">
        <f t="shared" ref="D455:D456" si="59">70.42*10.764</f>
        <v>758.00087999999994</v>
      </c>
      <c r="E455" s="61">
        <v>0</v>
      </c>
      <c r="F455" s="61">
        <f t="shared" si="58"/>
        <v>1212.801408</v>
      </c>
      <c r="G455" s="112" t="str">
        <f>G454</f>
        <v>50th Floor (Part Refuge Area)</v>
      </c>
      <c r="H455" s="113"/>
      <c r="I455" s="62"/>
    </row>
    <row r="456" spans="1:14" s="63" customFormat="1" ht="15.75" customHeight="1" x14ac:dyDescent="0.35">
      <c r="A456" s="100">
        <v>6</v>
      </c>
      <c r="B456" s="101"/>
      <c r="C456" s="60">
        <v>2</v>
      </c>
      <c r="D456" s="61">
        <f t="shared" si="59"/>
        <v>758.00087999999994</v>
      </c>
      <c r="E456" s="61">
        <v>0</v>
      </c>
      <c r="F456" s="61">
        <f t="shared" si="58"/>
        <v>1212.801408</v>
      </c>
      <c r="G456" s="114" t="str">
        <f>G455</f>
        <v>50th Floor (Part Refuge Area)</v>
      </c>
      <c r="H456" s="115"/>
      <c r="I456" s="62"/>
    </row>
    <row r="457" spans="1:14" s="63" customFormat="1" x14ac:dyDescent="0.35">
      <c r="A457" s="119" t="s">
        <v>233</v>
      </c>
      <c r="B457" s="120"/>
      <c r="C457" s="120"/>
      <c r="D457" s="120"/>
      <c r="E457" s="120"/>
      <c r="F457" s="120"/>
      <c r="G457" s="120"/>
      <c r="H457" s="121"/>
      <c r="J457" s="62"/>
    </row>
    <row r="458" spans="1:14" s="63" customFormat="1" ht="15.75" customHeight="1" x14ac:dyDescent="0.35">
      <c r="A458" s="116" t="s">
        <v>242</v>
      </c>
      <c r="B458" s="117"/>
      <c r="C458" s="117"/>
      <c r="D458" s="117"/>
      <c r="E458" s="117"/>
      <c r="F458" s="117"/>
      <c r="G458" s="117"/>
      <c r="H458" s="118"/>
      <c r="J458" s="62"/>
    </row>
    <row r="459" spans="1:14" s="63" customFormat="1" ht="15.75" customHeight="1" x14ac:dyDescent="0.35">
      <c r="A459" s="116" t="s">
        <v>247</v>
      </c>
      <c r="B459" s="117"/>
      <c r="C459" s="117"/>
      <c r="D459" s="117"/>
      <c r="E459" s="117"/>
      <c r="F459" s="117"/>
      <c r="G459" s="117"/>
      <c r="H459" s="118"/>
      <c r="J459" s="62"/>
    </row>
    <row r="460" spans="1:14" s="63" customFormat="1" x14ac:dyDescent="0.35">
      <c r="A460" s="116" t="s">
        <v>183</v>
      </c>
      <c r="B460" s="117"/>
      <c r="C460" s="117"/>
      <c r="D460" s="117"/>
      <c r="E460" s="117"/>
      <c r="F460" s="117"/>
      <c r="G460" s="117"/>
      <c r="H460" s="118"/>
      <c r="J460" s="62"/>
    </row>
    <row r="461" spans="1:14" s="63" customFormat="1" ht="15.75" customHeight="1" x14ac:dyDescent="0.35">
      <c r="A461" s="116" t="s">
        <v>184</v>
      </c>
      <c r="B461" s="117"/>
      <c r="C461" s="117"/>
      <c r="D461" s="117"/>
      <c r="E461" s="117"/>
      <c r="F461" s="117"/>
      <c r="G461" s="117"/>
      <c r="H461" s="118"/>
      <c r="J461" s="62"/>
    </row>
    <row r="462" spans="1:14" s="63" customFormat="1" ht="15.75" customHeight="1" x14ac:dyDescent="0.35">
      <c r="A462" s="100">
        <v>1</v>
      </c>
      <c r="B462" s="101"/>
      <c r="C462" s="60">
        <v>3</v>
      </c>
      <c r="D462" s="61">
        <f>(1.22*2.74+3.35*5.43+2.99*0.99+3.12*2.44+1.35*1.84+2.44*1.53+2.44*1.53+3.47*1+3.05*3.36+3.36*4.27+3.33*3.39+1.53*2.75+3.75*1.76)*10.764</f>
        <v>992.63455199999987</v>
      </c>
      <c r="E462" s="61">
        <v>0</v>
      </c>
      <c r="F462" s="61">
        <f>D462*(($F$176)+1)+(IF(E462&lt;101,E462,IF(E462&lt;201,E462/2,IF(E462&lt;=301,E462/3,E462/4))))</f>
        <v>1588.2152831999999</v>
      </c>
      <c r="G462" s="110" t="str">
        <f>A461</f>
        <v>2nd Podium Floor For Parking</v>
      </c>
      <c r="H462" s="111"/>
      <c r="J462" s="62">
        <f>1.22*2.74+3.35*5.43+2.99*0.99+3.12*2.44+3.05*3.36+3.36*4.27+1.53*2.75+3.33*3.39+2.44*1.53+2.44*1.53+3.47*1+3.75*1.76+1.35*1.84</f>
        <v>92.217999999999975</v>
      </c>
    </row>
    <row r="463" spans="1:14" s="63" customFormat="1" ht="15.75" customHeight="1" x14ac:dyDescent="0.35">
      <c r="A463" s="100">
        <f t="shared" ref="A463" si="60">A462+1</f>
        <v>2</v>
      </c>
      <c r="B463" s="101"/>
      <c r="C463" s="60">
        <v>3</v>
      </c>
      <c r="D463" s="61">
        <f>(1.22*2.74+3.35*5.43+2.99*0.99+3.12*2.44+1.35*1.84+2.44*1.53+2.44*1.53+3.47*1+3.05*3.36+3.36*4.27+3.33*3.39+1.53*2.75+3.75*1.76)*10.764</f>
        <v>992.63455199999987</v>
      </c>
      <c r="E463" s="61">
        <v>0</v>
      </c>
      <c r="F463" s="61">
        <f>D463*(($F$176)+1)+(IF(E463&lt;101,E463,IF(E463&lt;201,E463/2,IF(E463&lt;=301,E463/3,E463/4))))</f>
        <v>1588.2152831999999</v>
      </c>
      <c r="G463" s="112" t="str">
        <f t="shared" ref="G463" si="61">G462</f>
        <v>2nd Podium Floor For Parking</v>
      </c>
      <c r="H463" s="113"/>
      <c r="I463" s="62"/>
      <c r="J463" s="63">
        <f>(1.22*2.74+3.35*5.43+2.99*0.99+3.12*2.44+1.35*1.84+2.44*1.53+2.44*1.53+3.47*1+3.05*3.36+3.36*4.27+3.33*3.39+1.53*2.75+3.75*1.76)</f>
        <v>92.217999999999989</v>
      </c>
      <c r="L463" s="99"/>
      <c r="M463" s="99"/>
      <c r="N463" s="62"/>
    </row>
    <row r="464" spans="1:14" s="63" customFormat="1" x14ac:dyDescent="0.35">
      <c r="A464" s="116" t="s">
        <v>185</v>
      </c>
      <c r="B464" s="117"/>
      <c r="C464" s="117"/>
      <c r="D464" s="117"/>
      <c r="E464" s="117"/>
      <c r="F464" s="117"/>
      <c r="G464" s="117"/>
      <c r="H464" s="118"/>
      <c r="J464" s="62"/>
    </row>
    <row r="465" spans="1:14" s="63" customFormat="1" ht="15.75" customHeight="1" x14ac:dyDescent="0.35">
      <c r="A465" s="100">
        <v>1</v>
      </c>
      <c r="B465" s="101"/>
      <c r="C465" s="60">
        <v>3</v>
      </c>
      <c r="D465" s="61">
        <f t="shared" ref="D465:D466" si="62">(1.22*2.74+3.35*5.43+2.99*0.99+3.12*2.44+1.35*1.84+2.44*1.53+2.44*1.53+3.47*1+3.05*3.36+3.36*4.27+3.33*3.39+1.53*2.75+3.75*1.76)*10.764</f>
        <v>992.63455199999987</v>
      </c>
      <c r="E465" s="61">
        <v>0</v>
      </c>
      <c r="F465" s="61">
        <f>D465*(($F$176)+1)+(IF(E465&lt;101,E465,IF(E465&lt;201,E465/2,IF(E465&lt;=301,E465/3,E465/4))))</f>
        <v>1588.2152831999999</v>
      </c>
      <c r="G465" s="110" t="str">
        <f>A464</f>
        <v>3rd Podium Floor For Parking &amp; Residential</v>
      </c>
      <c r="H465" s="111"/>
      <c r="J465" s="62"/>
    </row>
    <row r="466" spans="1:14" s="63" customFormat="1" ht="15.75" customHeight="1" x14ac:dyDescent="0.35">
      <c r="A466" s="100">
        <f t="shared" ref="A466" si="63">A465+1</f>
        <v>2</v>
      </c>
      <c r="B466" s="101"/>
      <c r="C466" s="60">
        <v>3</v>
      </c>
      <c r="D466" s="61">
        <f t="shared" si="62"/>
        <v>992.63455199999987</v>
      </c>
      <c r="E466" s="61">
        <v>0</v>
      </c>
      <c r="F466" s="61">
        <f>D466*(($F$176)+1)+(IF(E466&lt;101,E466,IF(E466&lt;201,E466/2,IF(E466&lt;=301,E466/3,E466/4))))</f>
        <v>1588.2152831999999</v>
      </c>
      <c r="G466" s="112" t="str">
        <f t="shared" ref="G466" si="64">G465</f>
        <v>3rd Podium Floor For Parking &amp; Residential</v>
      </c>
      <c r="H466" s="113"/>
      <c r="I466" s="62"/>
      <c r="L466" s="99"/>
      <c r="M466" s="99"/>
      <c r="N466" s="62"/>
    </row>
    <row r="467" spans="1:14" s="63" customFormat="1" ht="15.75" customHeight="1" x14ac:dyDescent="0.35">
      <c r="A467" s="100">
        <f>A466+1</f>
        <v>3</v>
      </c>
      <c r="B467" s="101"/>
      <c r="C467" s="122" t="s">
        <v>187</v>
      </c>
      <c r="D467" s="123"/>
      <c r="E467" s="123"/>
      <c r="F467" s="124"/>
      <c r="G467" s="112" t="str">
        <f>G466</f>
        <v>3rd Podium Floor For Parking &amp; Residential</v>
      </c>
      <c r="H467" s="113"/>
      <c r="I467" s="62"/>
      <c r="N467" s="62"/>
    </row>
    <row r="468" spans="1:14" s="63" customFormat="1" ht="15.75" customHeight="1" x14ac:dyDescent="0.35">
      <c r="A468" s="100">
        <v>4</v>
      </c>
      <c r="B468" s="101"/>
      <c r="C468" s="235" t="s">
        <v>187</v>
      </c>
      <c r="D468" s="236"/>
      <c r="E468" s="236"/>
      <c r="F468" s="237"/>
      <c r="G468" s="112" t="str">
        <f t="shared" ref="G468:G469" si="65">G467</f>
        <v>3rd Podium Floor For Parking &amp; Residential</v>
      </c>
      <c r="H468" s="113"/>
      <c r="I468" s="62"/>
      <c r="N468" s="62"/>
    </row>
    <row r="469" spans="1:14" s="63" customFormat="1" ht="15.75" customHeight="1" x14ac:dyDescent="0.35">
      <c r="A469" s="100">
        <f>A468+1</f>
        <v>5</v>
      </c>
      <c r="B469" s="101"/>
      <c r="C469" s="125" t="s">
        <v>187</v>
      </c>
      <c r="D469" s="126"/>
      <c r="E469" s="126"/>
      <c r="F469" s="127"/>
      <c r="G469" s="112" t="str">
        <f t="shared" si="65"/>
        <v>3rd Podium Floor For Parking &amp; Residential</v>
      </c>
      <c r="H469" s="113"/>
      <c r="I469" s="62"/>
      <c r="N469" s="62"/>
    </row>
    <row r="470" spans="1:14" s="63" customFormat="1" ht="15.75" customHeight="1" x14ac:dyDescent="0.35">
      <c r="A470" s="100">
        <v>5</v>
      </c>
      <c r="B470" s="101"/>
      <c r="C470" s="60">
        <v>2</v>
      </c>
      <c r="D470" s="61">
        <f>(3.05*5.83+2.14*3.1+3.54*0.76+1.22*2.14+1.7*1.35+3.05*3.36+3.05*4.45+1.53*2.14+2.44*1.53)*10.764</f>
        <v>676.40545439999983</v>
      </c>
      <c r="E470" s="61">
        <v>0</v>
      </c>
      <c r="F470" s="61">
        <f>D470*(($F$176)+1)+(IF(E470&lt;101,E470,IF(E470&lt;201,E470/2,IF(E470&lt;=301,E470/3,E470/4))))</f>
        <v>1082.2487270399997</v>
      </c>
      <c r="G470" s="114" t="str">
        <f>G466</f>
        <v>3rd Podium Floor For Parking &amp; Residential</v>
      </c>
      <c r="H470" s="115"/>
      <c r="I470" s="62"/>
      <c r="J470" s="63">
        <f>2.14*1.22+2.14*3.1+3.05*5.83+3.54*0.76+3.05*3.36+3.05*4.45+2.4*1.53+1.53*2.44+2.7*1+1.7*1.35</f>
        <v>65.937399999999997</v>
      </c>
      <c r="L470" s="99"/>
      <c r="M470" s="99"/>
      <c r="N470" s="62"/>
    </row>
    <row r="471" spans="1:14" s="63" customFormat="1" ht="15.75" customHeight="1" x14ac:dyDescent="0.35">
      <c r="A471" s="116" t="s">
        <v>186</v>
      </c>
      <c r="B471" s="117"/>
      <c r="C471" s="117"/>
      <c r="D471" s="117"/>
      <c r="E471" s="117"/>
      <c r="F471" s="117"/>
      <c r="G471" s="117"/>
      <c r="H471" s="118"/>
      <c r="I471" s="62"/>
      <c r="L471" s="99"/>
      <c r="M471" s="99"/>
      <c r="N471" s="62"/>
    </row>
    <row r="472" spans="1:14" s="63" customFormat="1" ht="15.75" customHeight="1" x14ac:dyDescent="0.35">
      <c r="A472" s="105">
        <v>1</v>
      </c>
      <c r="B472" s="105"/>
      <c r="C472" s="60">
        <v>3</v>
      </c>
      <c r="D472" s="61">
        <f t="shared" ref="D472:D473" si="66">(1.22*2.74+3.35*5.43+2.99*0.99+3.12*2.44+1.35*1.84+2.44*1.53+2.44*1.53+3.47*1+3.05*3.36+3.36*4.27+3.33*3.39+1.53*2.75+3.75*1.76)*10.764</f>
        <v>992.63455199999987</v>
      </c>
      <c r="E472" s="61">
        <v>0</v>
      </c>
      <c r="F472" s="61">
        <f t="shared" ref="F472:F473" si="67">D472*(($F$176)+1)+(IF(E472&lt;101,E472,IF(E472&lt;201,E472/2,IF(E472&lt;=301,E472/3,E472/4))))</f>
        <v>1588.2152831999999</v>
      </c>
      <c r="G472" s="110" t="str">
        <f>A471</f>
        <v>4th Podium Floor For Parking &amp; Residential</v>
      </c>
      <c r="H472" s="111"/>
      <c r="I472" s="62"/>
      <c r="L472" s="99"/>
      <c r="M472" s="99"/>
    </row>
    <row r="473" spans="1:14" s="63" customFormat="1" ht="15.75" customHeight="1" x14ac:dyDescent="0.35">
      <c r="A473" s="105">
        <f>A472+1</f>
        <v>2</v>
      </c>
      <c r="B473" s="105"/>
      <c r="C473" s="60">
        <v>3</v>
      </c>
      <c r="D473" s="61">
        <f t="shared" si="66"/>
        <v>992.63455199999987</v>
      </c>
      <c r="E473" s="61">
        <v>0</v>
      </c>
      <c r="F473" s="61">
        <f t="shared" si="67"/>
        <v>1588.2152831999999</v>
      </c>
      <c r="G473" s="112" t="str">
        <f>G472</f>
        <v>4th Podium Floor For Parking &amp; Residential</v>
      </c>
      <c r="H473" s="113"/>
      <c r="I473" s="62"/>
      <c r="N473" s="62"/>
    </row>
    <row r="474" spans="1:14" s="63" customFormat="1" ht="15.75" customHeight="1" x14ac:dyDescent="0.35">
      <c r="A474" s="105">
        <f>A473+1</f>
        <v>3</v>
      </c>
      <c r="B474" s="105"/>
      <c r="C474" s="122" t="s">
        <v>187</v>
      </c>
      <c r="D474" s="123"/>
      <c r="E474" s="123"/>
      <c r="F474" s="124"/>
      <c r="G474" s="112" t="str">
        <f>G473</f>
        <v>4th Podium Floor For Parking &amp; Residential</v>
      </c>
      <c r="H474" s="113"/>
      <c r="I474" s="62"/>
      <c r="N474" s="62"/>
    </row>
    <row r="475" spans="1:14" s="63" customFormat="1" ht="15.75" customHeight="1" x14ac:dyDescent="0.35">
      <c r="A475" s="105">
        <v>4</v>
      </c>
      <c r="B475" s="105"/>
      <c r="C475" s="235" t="s">
        <v>187</v>
      </c>
      <c r="D475" s="236"/>
      <c r="E475" s="236"/>
      <c r="F475" s="237"/>
      <c r="G475" s="112" t="str">
        <f t="shared" ref="G475:G477" si="68">G474</f>
        <v>4th Podium Floor For Parking &amp; Residential</v>
      </c>
      <c r="H475" s="113"/>
      <c r="I475" s="62"/>
      <c r="N475" s="62"/>
    </row>
    <row r="476" spans="1:14" s="63" customFormat="1" ht="15.75" customHeight="1" x14ac:dyDescent="0.35">
      <c r="A476" s="105">
        <f>A475+1</f>
        <v>5</v>
      </c>
      <c r="B476" s="105"/>
      <c r="C476" s="125" t="s">
        <v>187</v>
      </c>
      <c r="D476" s="126"/>
      <c r="E476" s="126"/>
      <c r="F476" s="127"/>
      <c r="G476" s="112" t="str">
        <f t="shared" si="68"/>
        <v>4th Podium Floor For Parking &amp; Residential</v>
      </c>
      <c r="H476" s="113"/>
      <c r="I476" s="62"/>
      <c r="N476" s="62"/>
    </row>
    <row r="477" spans="1:14" s="63" customFormat="1" ht="15.75" customHeight="1" x14ac:dyDescent="0.35">
      <c r="A477" s="105">
        <v>6</v>
      </c>
      <c r="B477" s="105"/>
      <c r="C477" s="60">
        <v>2</v>
      </c>
      <c r="D477" s="61">
        <f>(3.05*5.83+2.14*3.1+3.54*0.76+1.22*2.14+1.7*1.35+3.05*3.36+3.05*4.45+1.53*2.14+2.44*1.53)*10.764</f>
        <v>676.40545439999983</v>
      </c>
      <c r="E477" s="61">
        <v>0</v>
      </c>
      <c r="F477" s="61">
        <f>D477*(($F$176)+1)+(IF(E477&lt;101,E477,IF(E477&lt;201,E477/2,IF(E477&lt;=301,E477/3,E477/4))))</f>
        <v>1082.2487270399997</v>
      </c>
      <c r="G477" s="114" t="str">
        <f t="shared" si="68"/>
        <v>4th Podium Floor For Parking &amp; Residential</v>
      </c>
      <c r="H477" s="115"/>
      <c r="I477" s="62"/>
      <c r="N477" s="62"/>
    </row>
    <row r="478" spans="1:14" s="63" customFormat="1" x14ac:dyDescent="0.35">
      <c r="A478" s="106" t="s">
        <v>188</v>
      </c>
      <c r="B478" s="106"/>
      <c r="C478" s="106"/>
      <c r="D478" s="106"/>
      <c r="E478" s="106"/>
      <c r="F478" s="106"/>
      <c r="G478" s="106"/>
      <c r="H478" s="106"/>
      <c r="I478" s="62"/>
      <c r="L478" s="99"/>
      <c r="M478" s="99"/>
      <c r="N478" s="62"/>
    </row>
    <row r="479" spans="1:14" s="63" customFormat="1" ht="15.75" customHeight="1" x14ac:dyDescent="0.35">
      <c r="A479" s="105">
        <v>1</v>
      </c>
      <c r="B479" s="105"/>
      <c r="C479" s="60">
        <v>3</v>
      </c>
      <c r="D479" s="61">
        <f t="shared" ref="D479:D480" si="69">(1.22*2.74+3.35*5.43+2.99*0.99+3.12*2.44+1.35*1.84+2.44*1.53+2.44*1.53+3.47*1+3.05*3.36+3.36*4.27+3.33*3.39+1.53*2.75+3.75*1.76)*10.764</f>
        <v>992.63455199999987</v>
      </c>
      <c r="E479" s="61">
        <v>0</v>
      </c>
      <c r="F479" s="61">
        <f t="shared" ref="F479:F480" si="70">D479*(($F$176)+1)+(IF(E479&lt;101,E479,IF(E479&lt;201,E479/2,IF(E479&lt;=301,E479/3,E479/4))))</f>
        <v>1588.2152831999999</v>
      </c>
      <c r="G479" s="110" t="str">
        <f>A478</f>
        <v>5th Podium Floor For Parking &amp; Residential</v>
      </c>
      <c r="H479" s="111"/>
      <c r="I479" s="62"/>
      <c r="L479" s="99"/>
      <c r="M479" s="99"/>
    </row>
    <row r="480" spans="1:14" s="63" customFormat="1" ht="15.75" customHeight="1" x14ac:dyDescent="0.35">
      <c r="A480" s="105">
        <f>A479+1</f>
        <v>2</v>
      </c>
      <c r="B480" s="105"/>
      <c r="C480" s="60">
        <v>3</v>
      </c>
      <c r="D480" s="61">
        <f t="shared" si="69"/>
        <v>992.63455199999987</v>
      </c>
      <c r="E480" s="61">
        <v>0</v>
      </c>
      <c r="F480" s="61">
        <f t="shared" si="70"/>
        <v>1588.2152831999999</v>
      </c>
      <c r="G480" s="112" t="str">
        <f>G479</f>
        <v>5th Podium Floor For Parking &amp; Residential</v>
      </c>
      <c r="H480" s="113"/>
      <c r="I480" s="62"/>
      <c r="N480" s="62"/>
    </row>
    <row r="481" spans="1:14" s="63" customFormat="1" ht="15.75" customHeight="1" x14ac:dyDescent="0.35">
      <c r="A481" s="105">
        <f>A480+1</f>
        <v>3</v>
      </c>
      <c r="B481" s="105"/>
      <c r="C481" s="122" t="s">
        <v>187</v>
      </c>
      <c r="D481" s="123"/>
      <c r="E481" s="123"/>
      <c r="F481" s="124"/>
      <c r="G481" s="112" t="str">
        <f>G480</f>
        <v>5th Podium Floor For Parking &amp; Residential</v>
      </c>
      <c r="H481" s="113"/>
      <c r="I481" s="62"/>
      <c r="N481" s="62"/>
    </row>
    <row r="482" spans="1:14" s="63" customFormat="1" ht="15.75" customHeight="1" x14ac:dyDescent="0.35">
      <c r="A482" s="105">
        <v>4</v>
      </c>
      <c r="B482" s="105"/>
      <c r="C482" s="235" t="s">
        <v>187</v>
      </c>
      <c r="D482" s="236"/>
      <c r="E482" s="236"/>
      <c r="F482" s="237"/>
      <c r="G482" s="112" t="str">
        <f t="shared" ref="G482:G484" si="71">G481</f>
        <v>5th Podium Floor For Parking &amp; Residential</v>
      </c>
      <c r="H482" s="113"/>
      <c r="I482" s="62"/>
      <c r="N482" s="62"/>
    </row>
    <row r="483" spans="1:14" s="63" customFormat="1" ht="15.75" customHeight="1" x14ac:dyDescent="0.35">
      <c r="A483" s="105">
        <f>A482+1</f>
        <v>5</v>
      </c>
      <c r="B483" s="105"/>
      <c r="C483" s="125" t="s">
        <v>187</v>
      </c>
      <c r="D483" s="126"/>
      <c r="E483" s="126"/>
      <c r="F483" s="127"/>
      <c r="G483" s="112" t="str">
        <f t="shared" si="71"/>
        <v>5th Podium Floor For Parking &amp; Residential</v>
      </c>
      <c r="H483" s="113"/>
      <c r="I483" s="62"/>
      <c r="N483" s="62"/>
    </row>
    <row r="484" spans="1:14" s="63" customFormat="1" ht="15.75" customHeight="1" x14ac:dyDescent="0.35">
      <c r="A484" s="105">
        <v>6</v>
      </c>
      <c r="B484" s="105"/>
      <c r="C484" s="60">
        <v>2</v>
      </c>
      <c r="D484" s="61">
        <f>(3.05*5.83+2.14*3.1+3.54*0.76+1.22*2.14+1.7*1.35+3.05*3.36+3.05*4.45+1.53*2.14+2.44*1.53)*10.764</f>
        <v>676.40545439999983</v>
      </c>
      <c r="E484" s="61">
        <v>0</v>
      </c>
      <c r="F484" s="61">
        <f>D484*(($F$176)+1)+(IF(E484&lt;101,E484,IF(E484&lt;201,E484/2,IF(E484&lt;=301,E484/3,E484/4))))</f>
        <v>1082.2487270399997</v>
      </c>
      <c r="G484" s="114" t="str">
        <f t="shared" si="71"/>
        <v>5th Podium Floor For Parking &amp; Residential</v>
      </c>
      <c r="H484" s="115"/>
      <c r="I484" s="62"/>
      <c r="N484" s="62"/>
    </row>
    <row r="485" spans="1:14" s="63" customFormat="1" x14ac:dyDescent="0.35">
      <c r="A485" s="106" t="s">
        <v>189</v>
      </c>
      <c r="B485" s="106"/>
      <c r="C485" s="106"/>
      <c r="D485" s="106"/>
      <c r="E485" s="106"/>
      <c r="F485" s="106"/>
      <c r="G485" s="106"/>
      <c r="H485" s="106"/>
      <c r="I485" s="62"/>
      <c r="L485" s="99"/>
      <c r="M485" s="99"/>
      <c r="N485" s="62"/>
    </row>
    <row r="486" spans="1:14" s="63" customFormat="1" ht="15.75" customHeight="1" x14ac:dyDescent="0.35">
      <c r="A486" s="105">
        <v>1</v>
      </c>
      <c r="B486" s="105"/>
      <c r="C486" s="60">
        <v>3</v>
      </c>
      <c r="D486" s="61">
        <f t="shared" ref="D486:D487" si="72">(1.22*2.74+3.35*5.43+2.99*0.99+3.12*2.44+1.35*1.84+2.44*1.53+2.44*1.53+3.47*1+3.05*3.36+3.36*4.27+3.33*3.39+1.53*2.75+3.75*1.76)*10.764</f>
        <v>992.63455199999987</v>
      </c>
      <c r="E486" s="61">
        <v>0</v>
      </c>
      <c r="F486" s="61">
        <f t="shared" ref="F486:F487" si="73">D486*(($F$176)+1)+(IF(E486&lt;101,E486,IF(E486&lt;201,E486/2,IF(E486&lt;=301,E486/3,E486/4))))</f>
        <v>1588.2152831999999</v>
      </c>
      <c r="G486" s="110" t="str">
        <f>A485</f>
        <v>6th Podium Floor For Parking &amp; Residential</v>
      </c>
      <c r="H486" s="111"/>
      <c r="I486" s="62"/>
      <c r="L486" s="99"/>
      <c r="M486" s="99"/>
    </row>
    <row r="487" spans="1:14" s="63" customFormat="1" ht="15.75" customHeight="1" x14ac:dyDescent="0.35">
      <c r="A487" s="105">
        <f>A486+1</f>
        <v>2</v>
      </c>
      <c r="B487" s="105"/>
      <c r="C487" s="60">
        <v>3</v>
      </c>
      <c r="D487" s="61">
        <f t="shared" si="72"/>
        <v>992.63455199999987</v>
      </c>
      <c r="E487" s="61">
        <v>0</v>
      </c>
      <c r="F487" s="61">
        <f t="shared" si="73"/>
        <v>1588.2152831999999</v>
      </c>
      <c r="G487" s="112" t="str">
        <f>G486</f>
        <v>6th Podium Floor For Parking &amp; Residential</v>
      </c>
      <c r="H487" s="113"/>
      <c r="I487" s="62"/>
      <c r="N487" s="62"/>
    </row>
    <row r="488" spans="1:14" s="63" customFormat="1" ht="15.75" customHeight="1" x14ac:dyDescent="0.35">
      <c r="A488" s="105">
        <f>A487+1</f>
        <v>3</v>
      </c>
      <c r="B488" s="105"/>
      <c r="C488" s="122" t="s">
        <v>187</v>
      </c>
      <c r="D488" s="123"/>
      <c r="E488" s="123"/>
      <c r="F488" s="124"/>
      <c r="G488" s="112" t="str">
        <f>G487</f>
        <v>6th Podium Floor For Parking &amp; Residential</v>
      </c>
      <c r="H488" s="113"/>
      <c r="I488" s="62"/>
      <c r="N488" s="62"/>
    </row>
    <row r="489" spans="1:14" s="63" customFormat="1" ht="15.75" customHeight="1" x14ac:dyDescent="0.35">
      <c r="A489" s="105">
        <v>4</v>
      </c>
      <c r="B489" s="105"/>
      <c r="C489" s="235" t="s">
        <v>187</v>
      </c>
      <c r="D489" s="236"/>
      <c r="E489" s="236"/>
      <c r="F489" s="237"/>
      <c r="G489" s="112" t="str">
        <f t="shared" ref="G489:G491" si="74">G488</f>
        <v>6th Podium Floor For Parking &amp; Residential</v>
      </c>
      <c r="H489" s="113"/>
      <c r="I489" s="62"/>
      <c r="N489" s="62"/>
    </row>
    <row r="490" spans="1:14" s="63" customFormat="1" ht="15.75" customHeight="1" x14ac:dyDescent="0.35">
      <c r="A490" s="105">
        <f>A489+1</f>
        <v>5</v>
      </c>
      <c r="B490" s="105"/>
      <c r="C490" s="125" t="s">
        <v>187</v>
      </c>
      <c r="D490" s="126"/>
      <c r="E490" s="126"/>
      <c r="F490" s="127"/>
      <c r="G490" s="112" t="str">
        <f t="shared" si="74"/>
        <v>6th Podium Floor For Parking &amp; Residential</v>
      </c>
      <c r="H490" s="113"/>
      <c r="I490" s="62"/>
      <c r="N490" s="62"/>
    </row>
    <row r="491" spans="1:14" s="63" customFormat="1" ht="15.75" customHeight="1" x14ac:dyDescent="0.35">
      <c r="A491" s="105">
        <v>6</v>
      </c>
      <c r="B491" s="105"/>
      <c r="C491" s="60">
        <v>2</v>
      </c>
      <c r="D491" s="61">
        <f>(3.05*5.83+2.14*3.1+3.54*0.76+1.22*2.14+1.7*1.35+3.05*3.36+3.05*4.45+1.53*2.14+2.44*1.53)*10.764</f>
        <v>676.40545439999983</v>
      </c>
      <c r="E491" s="61">
        <v>0</v>
      </c>
      <c r="F491" s="61">
        <f>D491*(($F$176)+1)+(IF(E491&lt;101,E491,IF(E491&lt;201,E491/2,IF(E491&lt;=301,E491/3,E491/4))))</f>
        <v>1082.2487270399997</v>
      </c>
      <c r="G491" s="114" t="str">
        <f t="shared" si="74"/>
        <v>6th Podium Floor For Parking &amp; Residential</v>
      </c>
      <c r="H491" s="115"/>
      <c r="I491" s="62"/>
      <c r="N491" s="62"/>
    </row>
    <row r="492" spans="1:14" s="63" customFormat="1" x14ac:dyDescent="0.35">
      <c r="A492" s="106" t="s">
        <v>190</v>
      </c>
      <c r="B492" s="106"/>
      <c r="C492" s="106"/>
      <c r="D492" s="106"/>
      <c r="E492" s="106"/>
      <c r="F492" s="106"/>
      <c r="G492" s="106"/>
      <c r="H492" s="106"/>
      <c r="I492" s="62"/>
      <c r="L492" s="99"/>
      <c r="M492" s="99"/>
      <c r="N492" s="62"/>
    </row>
    <row r="493" spans="1:14" s="63" customFormat="1" ht="15.75" customHeight="1" x14ac:dyDescent="0.35">
      <c r="A493" s="105">
        <v>1</v>
      </c>
      <c r="B493" s="105"/>
      <c r="C493" s="60">
        <v>3</v>
      </c>
      <c r="D493" s="61">
        <f t="shared" ref="D493:D494" si="75">(1.22*2.74+3.35*5.43+2.99*0.99+3.12*2.44+1.35*1.84+2.44*1.53+2.44*1.53+3.47*1+3.05*3.36+3.36*4.27+3.33*3.39+1.53*2.75+3.75*1.76)*10.764</f>
        <v>992.63455199999987</v>
      </c>
      <c r="E493" s="61">
        <v>0</v>
      </c>
      <c r="F493" s="61">
        <f t="shared" ref="F493:F494" si="76">D493*(($F$176)+1)+(IF(E493&lt;101,E493,IF(E493&lt;201,E493/2,IF(E493&lt;=301,E493/3,E493/4))))</f>
        <v>1588.2152831999999</v>
      </c>
      <c r="G493" s="110" t="str">
        <f>A492</f>
        <v>7th Podium Floor For Parking &amp; Residential</v>
      </c>
      <c r="H493" s="111"/>
      <c r="I493" s="62"/>
      <c r="L493" s="99"/>
      <c r="M493" s="99"/>
    </row>
    <row r="494" spans="1:14" s="63" customFormat="1" ht="15.75" customHeight="1" x14ac:dyDescent="0.35">
      <c r="A494" s="105">
        <f>A493+1</f>
        <v>2</v>
      </c>
      <c r="B494" s="105"/>
      <c r="C494" s="60">
        <v>3</v>
      </c>
      <c r="D494" s="61">
        <f t="shared" si="75"/>
        <v>992.63455199999987</v>
      </c>
      <c r="E494" s="61">
        <v>0</v>
      </c>
      <c r="F494" s="61">
        <f t="shared" si="76"/>
        <v>1588.2152831999999</v>
      </c>
      <c r="G494" s="112" t="str">
        <f>G493</f>
        <v>7th Podium Floor For Parking &amp; Residential</v>
      </c>
      <c r="H494" s="113"/>
      <c r="I494" s="62"/>
      <c r="N494" s="62"/>
    </row>
    <row r="495" spans="1:14" s="63" customFormat="1" ht="15.75" customHeight="1" x14ac:dyDescent="0.35">
      <c r="A495" s="105">
        <f>A494+1</f>
        <v>3</v>
      </c>
      <c r="B495" s="105"/>
      <c r="C495" s="122" t="s">
        <v>187</v>
      </c>
      <c r="D495" s="123"/>
      <c r="E495" s="123"/>
      <c r="F495" s="124"/>
      <c r="G495" s="112" t="str">
        <f>G494</f>
        <v>7th Podium Floor For Parking &amp; Residential</v>
      </c>
      <c r="H495" s="113"/>
      <c r="I495" s="62"/>
      <c r="N495" s="62"/>
    </row>
    <row r="496" spans="1:14" s="63" customFormat="1" ht="15.75" customHeight="1" x14ac:dyDescent="0.35">
      <c r="A496" s="105">
        <v>4</v>
      </c>
      <c r="B496" s="105"/>
      <c r="C496" s="235"/>
      <c r="D496" s="236"/>
      <c r="E496" s="236"/>
      <c r="F496" s="237"/>
      <c r="G496" s="112" t="str">
        <f t="shared" ref="G496:G498" si="77">G495</f>
        <v>7th Podium Floor For Parking &amp; Residential</v>
      </c>
      <c r="H496" s="113"/>
      <c r="I496" s="62"/>
      <c r="N496" s="62"/>
    </row>
    <row r="497" spans="1:14" s="63" customFormat="1" ht="15.75" customHeight="1" x14ac:dyDescent="0.35">
      <c r="A497" s="105">
        <f>A496+1</f>
        <v>5</v>
      </c>
      <c r="B497" s="105"/>
      <c r="C497" s="125"/>
      <c r="D497" s="126"/>
      <c r="E497" s="126"/>
      <c r="F497" s="127"/>
      <c r="G497" s="112" t="str">
        <f t="shared" si="77"/>
        <v>7th Podium Floor For Parking &amp; Residential</v>
      </c>
      <c r="H497" s="113"/>
      <c r="I497" s="62"/>
      <c r="N497" s="62"/>
    </row>
    <row r="498" spans="1:14" s="63" customFormat="1" ht="15.75" customHeight="1" x14ac:dyDescent="0.35">
      <c r="A498" s="105">
        <v>6</v>
      </c>
      <c r="B498" s="105"/>
      <c r="C498" s="60">
        <v>2</v>
      </c>
      <c r="D498" s="61">
        <f>(3.05*5.83+2.14*3.1+3.54*0.76+1.22*2.14+1.7*1.35+3.05*3.36+3.05*4.45+1.53*2.14+2.44*1.53)*10.764</f>
        <v>676.40545439999983</v>
      </c>
      <c r="E498" s="61">
        <v>0</v>
      </c>
      <c r="F498" s="61">
        <f>D498*(($F$176)+1)+(IF(E498&lt;101,E498,IF(E498&lt;201,E498/2,IF(E498&lt;=301,E498/3,E498/4))))</f>
        <v>1082.2487270399997</v>
      </c>
      <c r="G498" s="114" t="str">
        <f t="shared" si="77"/>
        <v>7th Podium Floor For Parking &amp; Residential</v>
      </c>
      <c r="H498" s="115"/>
      <c r="I498" s="62"/>
      <c r="N498" s="62"/>
    </row>
    <row r="499" spans="1:14" s="63" customFormat="1" x14ac:dyDescent="0.35">
      <c r="A499" s="106" t="s">
        <v>279</v>
      </c>
      <c r="B499" s="106"/>
      <c r="C499" s="106"/>
      <c r="D499" s="106"/>
      <c r="E499" s="106"/>
      <c r="F499" s="106"/>
      <c r="G499" s="106"/>
      <c r="H499" s="106"/>
      <c r="I499" s="62"/>
      <c r="L499" s="99"/>
      <c r="M499" s="99"/>
    </row>
    <row r="500" spans="1:14" s="63" customFormat="1" x14ac:dyDescent="0.35">
      <c r="A500" s="106" t="s">
        <v>248</v>
      </c>
      <c r="B500" s="106"/>
      <c r="C500" s="106"/>
      <c r="D500" s="106"/>
      <c r="E500" s="106"/>
      <c r="F500" s="106"/>
      <c r="G500" s="106"/>
      <c r="H500" s="106"/>
      <c r="I500" s="62"/>
      <c r="L500" s="99"/>
      <c r="M500" s="99"/>
      <c r="N500" s="62"/>
    </row>
    <row r="501" spans="1:14" s="63" customFormat="1" x14ac:dyDescent="0.35">
      <c r="A501" s="116" t="s">
        <v>249</v>
      </c>
      <c r="B501" s="117"/>
      <c r="C501" s="117"/>
      <c r="D501" s="117"/>
      <c r="E501" s="117"/>
      <c r="F501" s="117"/>
      <c r="G501" s="117"/>
      <c r="H501" s="118"/>
      <c r="J501" s="62"/>
    </row>
    <row r="502" spans="1:14" s="63" customFormat="1" x14ac:dyDescent="0.35">
      <c r="A502" s="106" t="s">
        <v>219</v>
      </c>
      <c r="B502" s="106"/>
      <c r="C502" s="106"/>
      <c r="D502" s="106"/>
      <c r="E502" s="106"/>
      <c r="F502" s="106"/>
      <c r="G502" s="106"/>
      <c r="H502" s="106"/>
      <c r="I502" s="62"/>
      <c r="L502" s="99"/>
      <c r="M502" s="99"/>
      <c r="N502" s="62"/>
    </row>
    <row r="503" spans="1:14" s="63" customFormat="1" x14ac:dyDescent="0.35">
      <c r="A503" s="105">
        <v>1</v>
      </c>
      <c r="B503" s="105"/>
      <c r="C503" s="60">
        <v>3</v>
      </c>
      <c r="D503" s="61">
        <f t="shared" ref="D503:D504" si="78">(1.22*2.74+3.35*5.43+2.99*0.99+3.12*2.44+1.35*1.84+2.44*1.53+2.44*1.53+3.47*1+3.05*3.36+3.36*4.27+3.33*3.39+1.53*2.75+3.75*1.76)*10.764</f>
        <v>992.63455199999987</v>
      </c>
      <c r="E503" s="61">
        <v>0</v>
      </c>
      <c r="F503" s="61">
        <f t="shared" ref="F503:F504" si="79">D503*(($F$176)+1)+(IF(E503&lt;101,E503,IF(E503&lt;201,E503/2,IF(E503&lt;=301,E503/3,E503/4))))</f>
        <v>1588.2152831999999</v>
      </c>
      <c r="G503" s="110" t="str">
        <f>A502</f>
        <v>11th Floor</v>
      </c>
      <c r="H503" s="111"/>
      <c r="I503" s="62"/>
      <c r="L503" s="99"/>
      <c r="M503" s="99"/>
    </row>
    <row r="504" spans="1:14" s="63" customFormat="1" x14ac:dyDescent="0.35">
      <c r="A504" s="105">
        <f>A503+1</f>
        <v>2</v>
      </c>
      <c r="B504" s="105"/>
      <c r="C504" s="60">
        <v>3</v>
      </c>
      <c r="D504" s="61">
        <f t="shared" si="78"/>
        <v>992.63455199999987</v>
      </c>
      <c r="E504" s="61">
        <v>0</v>
      </c>
      <c r="F504" s="61">
        <f t="shared" si="79"/>
        <v>1588.2152831999999</v>
      </c>
      <c r="G504" s="112" t="str">
        <f>G503</f>
        <v>11th Floor</v>
      </c>
      <c r="H504" s="113"/>
      <c r="I504" s="62"/>
      <c r="N504" s="62"/>
    </row>
    <row r="505" spans="1:14" s="63" customFormat="1" ht="46.5" x14ac:dyDescent="0.35">
      <c r="A505" s="105">
        <f>A504+1</f>
        <v>3</v>
      </c>
      <c r="B505" s="105"/>
      <c r="C505" s="60" t="s">
        <v>250</v>
      </c>
      <c r="D505" s="61">
        <f>(2.37*2.74+6.85*5.43+3.94*2.44+0.99*2.99+3.15*3.36+3.36*4.26+1.53*2.75+3.33*3.39+3.47*1+3.15*3.36+3.36*5.37+1.57*1+2.44*1.53+2.13*2.44+2.78*2.29+1.53*3.9+2.37*2.74+4.24*2.59+3.94*2.44+1.33*1.4+2.44*1.53+4.96*3.39+3.47*1+3.36*4.26+1.53*2.75+3.15*2.46+3.15*3.36+1.57*1+2.44*1.53+3.36*5.37+2.13*2.44+1.53*3.9+2.78*2.29+2.13*2.44)*10.764</f>
        <v>3094.4810051999998</v>
      </c>
      <c r="E505" s="61">
        <v>0</v>
      </c>
      <c r="F505" s="61">
        <f t="shared" ref="F505" si="80">D505*(($F$176)+1)+(IF(E505&lt;101,E505,IF(E505&lt;201,E505/2,IF(E505&lt;=301,E505/3,E505/4))))</f>
        <v>4951.1696083200004</v>
      </c>
      <c r="G505" s="112" t="str">
        <f>G504</f>
        <v>11th Floor</v>
      </c>
      <c r="H505" s="113"/>
      <c r="I505" s="62"/>
      <c r="N505" s="62"/>
    </row>
    <row r="506" spans="1:14" s="63" customFormat="1" x14ac:dyDescent="0.35">
      <c r="A506" s="105">
        <v>6</v>
      </c>
      <c r="B506" s="105"/>
      <c r="C506" s="60">
        <v>3</v>
      </c>
      <c r="D506" s="61">
        <f>(3.05*5.85+3.05*4.61+2.14*3.11+2.1*1.3+3.05*3.36+3.05*4.46+6.2*4.46+2.59*1.53+1.53*2.44+1.53*2.44+2.44*1.53+5.88*2.52+7.2*0.76)*10.764</f>
        <v>1380.4108811999997</v>
      </c>
      <c r="E506" s="61">
        <v>0</v>
      </c>
      <c r="F506" s="61">
        <f t="shared" ref="F506" si="81">D506*(($F$176)+1)+(IF(E506&lt;101,E506,IF(E506&lt;201,E506/2,IF(E506&lt;=301,E506/3,E506/4))))</f>
        <v>2208.6574099199997</v>
      </c>
      <c r="G506" s="112" t="str">
        <f>G505</f>
        <v>11th Floor</v>
      </c>
      <c r="H506" s="113"/>
      <c r="I506" s="62"/>
      <c r="N506" s="62"/>
    </row>
    <row r="507" spans="1:14" s="63" customFormat="1" x14ac:dyDescent="0.35">
      <c r="A507" s="106" t="s">
        <v>220</v>
      </c>
      <c r="B507" s="106"/>
      <c r="C507" s="106"/>
      <c r="D507" s="106"/>
      <c r="E507" s="106"/>
      <c r="F507" s="106"/>
      <c r="G507" s="106"/>
      <c r="H507" s="106"/>
      <c r="I507" s="62"/>
      <c r="L507" s="99"/>
      <c r="M507" s="99"/>
      <c r="N507" s="62"/>
    </row>
    <row r="508" spans="1:14" s="63" customFormat="1" x14ac:dyDescent="0.35">
      <c r="A508" s="105">
        <v>1</v>
      </c>
      <c r="B508" s="105"/>
      <c r="C508" s="60">
        <v>3</v>
      </c>
      <c r="D508" s="61">
        <f t="shared" ref="D508:D509" si="82">(1.22*2.74+3.35*5.43+2.99*0.99+3.12*2.44+1.35*1.84+2.44*1.53+2.44*1.53+3.47*1+3.05*3.36+3.36*4.27+3.33*3.39+1.53*2.75+3.75*1.76)*10.764</f>
        <v>992.63455199999987</v>
      </c>
      <c r="E508" s="61">
        <v>0</v>
      </c>
      <c r="F508" s="61">
        <f t="shared" ref="F508:F511" si="83">D508*(($F$176)+1)+(IF(E508&lt;101,E508,IF(E508&lt;201,E508/2,IF(E508&lt;=301,E508/3,E508/4))))</f>
        <v>1588.2152831999999</v>
      </c>
      <c r="G508" s="110" t="str">
        <f>A507</f>
        <v>12th Floor</v>
      </c>
      <c r="H508" s="111"/>
      <c r="I508" s="62"/>
      <c r="L508" s="99"/>
      <c r="M508" s="99"/>
    </row>
    <row r="509" spans="1:14" s="63" customFormat="1" x14ac:dyDescent="0.35">
      <c r="A509" s="105">
        <f>A508+1</f>
        <v>2</v>
      </c>
      <c r="B509" s="105"/>
      <c r="C509" s="60">
        <v>3</v>
      </c>
      <c r="D509" s="61">
        <f t="shared" si="82"/>
        <v>992.63455199999987</v>
      </c>
      <c r="E509" s="61">
        <v>0</v>
      </c>
      <c r="F509" s="61">
        <f t="shared" si="83"/>
        <v>1588.2152831999999</v>
      </c>
      <c r="G509" s="112" t="str">
        <f>G508</f>
        <v>12th Floor</v>
      </c>
      <c r="H509" s="113"/>
      <c r="I509" s="62"/>
      <c r="N509" s="62"/>
    </row>
    <row r="510" spans="1:14" s="63" customFormat="1" x14ac:dyDescent="0.35">
      <c r="A510" s="105">
        <f>A509+1</f>
        <v>3</v>
      </c>
      <c r="B510" s="105"/>
      <c r="C510" s="100" t="s">
        <v>251</v>
      </c>
      <c r="D510" s="216"/>
      <c r="E510" s="216"/>
      <c r="F510" s="101"/>
      <c r="G510" s="112" t="str">
        <f>G509</f>
        <v>12th Floor</v>
      </c>
      <c r="H510" s="113"/>
      <c r="I510" s="62"/>
      <c r="N510" s="62"/>
    </row>
    <row r="511" spans="1:14" s="63" customFormat="1" x14ac:dyDescent="0.35">
      <c r="A511" s="105">
        <v>5</v>
      </c>
      <c r="B511" s="105"/>
      <c r="C511" s="60">
        <v>2</v>
      </c>
      <c r="D511" s="61">
        <f>(2.54*1.22+2.14*3.11+2.04*1.3+3*1.62+3.05*5.83+0.76*3.54+1.53*2.44+2.44*1.53+3.05*4.46+3.05*3.36+1.83*1)*10.764</f>
        <v>763.0115219999999</v>
      </c>
      <c r="E511" s="61">
        <v>0</v>
      </c>
      <c r="F511" s="61">
        <f t="shared" si="83"/>
        <v>1220.8184351999998</v>
      </c>
      <c r="G511" s="112" t="str">
        <f>G510</f>
        <v>12th Floor</v>
      </c>
      <c r="H511" s="113"/>
      <c r="I511" s="62"/>
      <c r="N511" s="62"/>
    </row>
    <row r="512" spans="1:14" s="63" customFormat="1" x14ac:dyDescent="0.35">
      <c r="A512" s="105">
        <v>6</v>
      </c>
      <c r="B512" s="105"/>
      <c r="C512" s="60">
        <v>2</v>
      </c>
      <c r="D512" s="61">
        <f>(2.54*1.22+2.14*3.11+2.04*1.3+3*1.62+3.05*5.83+0.76*3.54+1.53*2.44+2.44*1.53+3.05*4.46+3.05*3.36+1.83*1)*10.764</f>
        <v>763.0115219999999</v>
      </c>
      <c r="E512" s="61">
        <v>0</v>
      </c>
      <c r="F512" s="61">
        <f t="shared" ref="F512" si="84">D512*(($F$176)+1)+(IF(E512&lt;101,E512,IF(E512&lt;201,E512/2,IF(E512&lt;=301,E512/3,E512/4))))</f>
        <v>1220.8184351999998</v>
      </c>
      <c r="G512" s="112" t="str">
        <f>G511</f>
        <v>12th Floor</v>
      </c>
      <c r="H512" s="113"/>
      <c r="I512" s="62"/>
      <c r="N512" s="62"/>
    </row>
    <row r="513" spans="1:14" s="63" customFormat="1" x14ac:dyDescent="0.35">
      <c r="A513" s="106" t="s">
        <v>272</v>
      </c>
      <c r="B513" s="106"/>
      <c r="C513" s="106"/>
      <c r="D513" s="106"/>
      <c r="E513" s="106"/>
      <c r="F513" s="106"/>
      <c r="G513" s="106"/>
      <c r="H513" s="106"/>
      <c r="I513" s="62"/>
      <c r="L513" s="99"/>
      <c r="M513" s="99"/>
      <c r="N513" s="62"/>
    </row>
    <row r="514" spans="1:14" s="63" customFormat="1" ht="15.75" customHeight="1" x14ac:dyDescent="0.35">
      <c r="A514" s="105">
        <v>1</v>
      </c>
      <c r="B514" s="105"/>
      <c r="C514" s="60">
        <v>3</v>
      </c>
      <c r="D514" s="61">
        <f t="shared" ref="D514:D515" si="85">(1.22*2.74+3.35*5.43+2.99*0.99+3.12*2.44+1.35*1.84+2.44*1.53+2.44*1.53+3.47*1+3.05*3.36+3.36*4.27+3.33*3.39+1.53*2.75+3.75*1.76)*10.764</f>
        <v>992.63455199999987</v>
      </c>
      <c r="E514" s="61">
        <v>0</v>
      </c>
      <c r="F514" s="61">
        <f t="shared" ref="F514:F517" si="86">D514*(($F$176)+1)+(IF(E514&lt;101,E514,IF(E514&lt;201,E514/2,IF(E514&lt;=301,E514/3,E514/4))))</f>
        <v>1588.2152831999999</v>
      </c>
      <c r="G514" s="110" t="str">
        <f>A513</f>
        <v>13th, 16th to 20th, 23rd to 27th, 30th to 34th, 37th to 41th, 44th to 49th &amp; 51st to 54th Floor</v>
      </c>
      <c r="H514" s="111"/>
      <c r="I514" s="62"/>
      <c r="L514" s="99"/>
      <c r="M514" s="99"/>
    </row>
    <row r="515" spans="1:14" s="63" customFormat="1" ht="15.75" customHeight="1" x14ac:dyDescent="0.35">
      <c r="A515" s="105">
        <f>A514+1</f>
        <v>2</v>
      </c>
      <c r="B515" s="105"/>
      <c r="C515" s="60">
        <v>3</v>
      </c>
      <c r="D515" s="61">
        <f t="shared" si="85"/>
        <v>992.63455199999987</v>
      </c>
      <c r="E515" s="61">
        <v>0</v>
      </c>
      <c r="F515" s="61">
        <f t="shared" si="86"/>
        <v>1588.2152831999999</v>
      </c>
      <c r="G515" s="112" t="str">
        <f>G514</f>
        <v>13th, 16th to 20th, 23rd to 27th, 30th to 34th, 37th to 41th, 44th to 49th &amp; 51st to 54th Floor</v>
      </c>
      <c r="H515" s="113"/>
      <c r="I515" s="62"/>
      <c r="N515" s="62"/>
    </row>
    <row r="516" spans="1:14" s="63" customFormat="1" ht="15.75" customHeight="1" x14ac:dyDescent="0.35">
      <c r="A516" s="105">
        <f>A515+1</f>
        <v>3</v>
      </c>
      <c r="B516" s="105"/>
      <c r="C516" s="60">
        <v>3</v>
      </c>
      <c r="D516" s="61">
        <f>(1.22*2.84+3.1*2.44+0.9*2.9+3.38*3.43+3.06*3.36+3.36*4.27+3.38*3.39+1.5*2.75+2.45*1.53*2.44*1.53+3.75*1.76+0.9*0.9)*10.764</f>
        <v>934.83295055279984</v>
      </c>
      <c r="E516" s="61">
        <v>0</v>
      </c>
      <c r="F516" s="61">
        <f t="shared" si="86"/>
        <v>1495.7327208844799</v>
      </c>
      <c r="G516" s="112" t="str">
        <f>G515</f>
        <v>13th, 16th to 20th, 23rd to 27th, 30th to 34th, 37th to 41th, 44th to 49th &amp; 51st to 54th Floor</v>
      </c>
      <c r="H516" s="113"/>
      <c r="I516" s="62"/>
      <c r="N516" s="62"/>
    </row>
    <row r="517" spans="1:14" s="63" customFormat="1" ht="15.75" customHeight="1" x14ac:dyDescent="0.35">
      <c r="A517" s="105">
        <f t="shared" ref="A517:A519" si="87">A516+1</f>
        <v>4</v>
      </c>
      <c r="B517" s="105"/>
      <c r="C517" s="60">
        <v>3</v>
      </c>
      <c r="D517" s="61">
        <f>(1.22*2.84+3.1*2.44+0.9*2.9+3.38*3.43+3.06*3.36+3.36*4.27+3.38*3.39+1.5*2.75+2.45*1.53*2.44*1.53+3.75*1.76+0.9*0.9)*10.764</f>
        <v>934.83295055279984</v>
      </c>
      <c r="E517" s="61">
        <v>0</v>
      </c>
      <c r="F517" s="61">
        <f t="shared" si="86"/>
        <v>1495.7327208844799</v>
      </c>
      <c r="G517" s="112" t="str">
        <f>G516</f>
        <v>13th, 16th to 20th, 23rd to 27th, 30th to 34th, 37th to 41th, 44th to 49th &amp; 51st to 54th Floor</v>
      </c>
      <c r="H517" s="113"/>
      <c r="I517" s="62"/>
      <c r="N517" s="62"/>
    </row>
    <row r="518" spans="1:14" s="63" customFormat="1" ht="15.75" customHeight="1" x14ac:dyDescent="0.35">
      <c r="A518" s="105">
        <f t="shared" si="87"/>
        <v>5</v>
      </c>
      <c r="B518" s="105"/>
      <c r="C518" s="60">
        <v>2</v>
      </c>
      <c r="D518" s="61">
        <f t="shared" ref="D518:D519" si="88">(2.54*1.22+2.14*3.11+2.04*1.3+3*1.62+3.05*5.83+0.76*3.54+1.53*2.44+2.44*1.53+3.05*4.46+3.05*3.36+1.83*1)*10.764</f>
        <v>763.0115219999999</v>
      </c>
      <c r="E518" s="61">
        <v>0</v>
      </c>
      <c r="F518" s="61">
        <f t="shared" ref="F518:F519" si="89">D518*(($F$176)+1)+(IF(E518&lt;101,E518,IF(E518&lt;201,E518/2,IF(E518&lt;=301,E518/3,E518/4))))</f>
        <v>1220.8184351999998</v>
      </c>
      <c r="G518" s="112" t="str">
        <f>G517</f>
        <v>13th, 16th to 20th, 23rd to 27th, 30th to 34th, 37th to 41th, 44th to 49th &amp; 51st to 54th Floor</v>
      </c>
      <c r="H518" s="113"/>
      <c r="I518" s="62"/>
      <c r="N518" s="62"/>
    </row>
    <row r="519" spans="1:14" s="63" customFormat="1" ht="15.75" customHeight="1" x14ac:dyDescent="0.35">
      <c r="A519" s="105">
        <f t="shared" si="87"/>
        <v>6</v>
      </c>
      <c r="B519" s="105"/>
      <c r="C519" s="60">
        <v>2</v>
      </c>
      <c r="D519" s="61">
        <f t="shared" si="88"/>
        <v>763.0115219999999</v>
      </c>
      <c r="E519" s="61">
        <v>0</v>
      </c>
      <c r="F519" s="61">
        <f t="shared" si="89"/>
        <v>1220.8184351999998</v>
      </c>
      <c r="G519" s="114" t="str">
        <f>G518</f>
        <v>13th, 16th to 20th, 23rd to 27th, 30th to 34th, 37th to 41th, 44th to 49th &amp; 51st to 54th Floor</v>
      </c>
      <c r="H519" s="115"/>
      <c r="I519" s="62"/>
      <c r="N519" s="62"/>
    </row>
    <row r="520" spans="1:14" s="63" customFormat="1" x14ac:dyDescent="0.35">
      <c r="A520" s="106" t="s">
        <v>230</v>
      </c>
      <c r="B520" s="106"/>
      <c r="C520" s="106"/>
      <c r="D520" s="106"/>
      <c r="E520" s="106"/>
      <c r="F520" s="106"/>
      <c r="G520" s="106"/>
      <c r="H520" s="106"/>
      <c r="I520" s="62"/>
      <c r="L520" s="99"/>
      <c r="M520" s="99"/>
    </row>
    <row r="521" spans="1:14" s="63" customFormat="1" x14ac:dyDescent="0.35">
      <c r="A521" s="106" t="s">
        <v>252</v>
      </c>
      <c r="B521" s="106"/>
      <c r="C521" s="106"/>
      <c r="D521" s="106"/>
      <c r="E521" s="106"/>
      <c r="F521" s="106"/>
      <c r="G521" s="106"/>
      <c r="H521" s="106"/>
      <c r="I521" s="62"/>
      <c r="L521" s="99"/>
      <c r="M521" s="99"/>
      <c r="N521" s="62"/>
    </row>
    <row r="522" spans="1:14" s="63" customFormat="1" ht="15.75" customHeight="1" x14ac:dyDescent="0.35">
      <c r="A522" s="105">
        <v>1</v>
      </c>
      <c r="B522" s="105"/>
      <c r="C522" s="60">
        <v>3</v>
      </c>
      <c r="D522" s="61">
        <f t="shared" ref="D522" si="90">(1.22*2.74+3.35*5.43+2.99*0.99+3.12*2.44+1.35*1.84+2.44*1.53+2.44*1.53+3.47*1+3.05*3.36+3.36*4.27+3.33*3.39+1.53*2.75+3.75*1.76)*10.764</f>
        <v>992.63455199999987</v>
      </c>
      <c r="E522" s="61">
        <v>0</v>
      </c>
      <c r="F522" s="61">
        <f t="shared" ref="F522:F527" si="91">D522*(($F$176)+1)+(IF(E522&lt;101,E522,IF(E522&lt;201,E522/2,IF(E522&lt;=301,E522/3,E522/4))))</f>
        <v>1588.2152831999999</v>
      </c>
      <c r="G522" s="110" t="str">
        <f>A521</f>
        <v xml:space="preserve">14th, 21st, 28th, 35th &amp; 42nd Floor </v>
      </c>
      <c r="H522" s="111"/>
      <c r="I522" s="62"/>
      <c r="L522" s="99"/>
      <c r="M522" s="99"/>
    </row>
    <row r="523" spans="1:14" s="63" customFormat="1" ht="77.5" x14ac:dyDescent="0.35">
      <c r="A523" s="105">
        <f>A522+1</f>
        <v>2</v>
      </c>
      <c r="B523" s="105"/>
      <c r="C523" s="60" t="s">
        <v>253</v>
      </c>
      <c r="D523" s="61">
        <f>(1.22*2.74+3.35*5.43+2.99*0.99+3.12*2.44+1.35*1.84+2.44*1.53+2.44*1.53+3.47*1+3.05*3.36+3.36*4.27+3.33*3.39+1.53*2.75+3.75*1.76+3.33*3.39+2.44*1.53+3.36*4.27+3.05*3.46+1.53*2.75+1.35*2.75+0.9*0.25+0.9*4.53+1.5*1.84)*10.764</f>
        <v>1583.6222843999999</v>
      </c>
      <c r="E523" s="61">
        <v>0</v>
      </c>
      <c r="F523" s="61">
        <f t="shared" si="91"/>
        <v>2533.7956550399999</v>
      </c>
      <c r="G523" s="112" t="str">
        <f>G522</f>
        <v xml:space="preserve">14th, 21st, 28th, 35th &amp; 42nd Floor </v>
      </c>
      <c r="H523" s="113"/>
      <c r="I523" s="62"/>
      <c r="N523" s="62"/>
    </row>
    <row r="524" spans="1:14" s="63" customFormat="1" ht="15.75" customHeight="1" x14ac:dyDescent="0.35">
      <c r="A524" s="105">
        <f>A523+1</f>
        <v>3</v>
      </c>
      <c r="B524" s="105"/>
      <c r="C524" s="60">
        <v>3</v>
      </c>
      <c r="D524" s="61">
        <f>(1.22*2.84+3.1*2.44+0.9*2.9+3.38*3.43+3.06*3.36+3.36*4.27+3.38*3.39+1.5*2.75+2.45*1.53*2.44*1.53+3.75*1.76+0.9*0.9)*10.764</f>
        <v>934.83295055279984</v>
      </c>
      <c r="E524" s="61">
        <v>0</v>
      </c>
      <c r="F524" s="61">
        <f t="shared" si="91"/>
        <v>1495.7327208844799</v>
      </c>
      <c r="G524" s="112" t="str">
        <f>G523</f>
        <v xml:space="preserve">14th, 21st, 28th, 35th &amp; 42nd Floor </v>
      </c>
      <c r="H524" s="113"/>
      <c r="I524" s="62"/>
      <c r="N524" s="62"/>
    </row>
    <row r="525" spans="1:14" s="63" customFormat="1" ht="15.75" customHeight="1" x14ac:dyDescent="0.35">
      <c r="A525" s="105">
        <f t="shared" ref="A525:A527" si="92">A524+1</f>
        <v>4</v>
      </c>
      <c r="B525" s="105"/>
      <c r="C525" s="60">
        <v>3</v>
      </c>
      <c r="D525" s="61">
        <f>(1.22*2.84+3.1*2.44+0.9*2.9+3.38*3.43+3.06*3.36+3.36*4.27+3.38*3.39+1.5*2.75+2.45*1.53*2.44*1.53+3.75*1.76+0.9*0.9)*10.764</f>
        <v>934.83295055279984</v>
      </c>
      <c r="E525" s="61">
        <v>0</v>
      </c>
      <c r="F525" s="61">
        <f t="shared" si="91"/>
        <v>1495.7327208844799</v>
      </c>
      <c r="G525" s="112" t="str">
        <f>G524</f>
        <v xml:space="preserve">14th, 21st, 28th, 35th &amp; 42nd Floor </v>
      </c>
      <c r="H525" s="113"/>
      <c r="I525" s="62"/>
      <c r="N525" s="62"/>
    </row>
    <row r="526" spans="1:14" s="63" customFormat="1" ht="15.75" customHeight="1" x14ac:dyDescent="0.35">
      <c r="A526" s="105">
        <f t="shared" si="92"/>
        <v>5</v>
      </c>
      <c r="B526" s="105"/>
      <c r="C526" s="60">
        <v>2</v>
      </c>
      <c r="D526" s="61">
        <f t="shared" ref="D526:D527" si="93">(2.54*1.22+2.14*3.11+2.04*1.3+3*1.62+3.05*5.83+0.76*3.54+1.53*2.44+2.44*1.53+3.05*4.46+3.05*3.36+1.83*1)*10.764</f>
        <v>763.0115219999999</v>
      </c>
      <c r="E526" s="61">
        <v>0</v>
      </c>
      <c r="F526" s="61">
        <f t="shared" si="91"/>
        <v>1220.8184351999998</v>
      </c>
      <c r="G526" s="112" t="str">
        <f>G525</f>
        <v xml:space="preserve">14th, 21st, 28th, 35th &amp; 42nd Floor </v>
      </c>
      <c r="H526" s="113"/>
      <c r="I526" s="62"/>
      <c r="N526" s="62"/>
    </row>
    <row r="527" spans="1:14" s="63" customFormat="1" ht="15.75" customHeight="1" x14ac:dyDescent="0.35">
      <c r="A527" s="105">
        <f t="shared" si="92"/>
        <v>6</v>
      </c>
      <c r="B527" s="105"/>
      <c r="C527" s="60">
        <v>2</v>
      </c>
      <c r="D527" s="61">
        <f t="shared" si="93"/>
        <v>763.0115219999999</v>
      </c>
      <c r="E527" s="61">
        <v>0</v>
      </c>
      <c r="F527" s="61">
        <f t="shared" si="91"/>
        <v>1220.8184351999998</v>
      </c>
      <c r="G527" s="114" t="str">
        <f>G526</f>
        <v xml:space="preserve">14th, 21st, 28th, 35th &amp; 42nd Floor </v>
      </c>
      <c r="H527" s="115"/>
      <c r="I527" s="62"/>
      <c r="N527" s="62"/>
    </row>
    <row r="528" spans="1:14" s="63" customFormat="1" x14ac:dyDescent="0.35">
      <c r="A528" s="106" t="s">
        <v>235</v>
      </c>
      <c r="B528" s="106"/>
      <c r="C528" s="106"/>
      <c r="D528" s="106"/>
      <c r="E528" s="106"/>
      <c r="F528" s="106"/>
      <c r="G528" s="106"/>
      <c r="H528" s="106"/>
      <c r="I528" s="62"/>
      <c r="L528" s="99"/>
      <c r="M528" s="99"/>
      <c r="N528" s="62"/>
    </row>
    <row r="529" spans="1:14" s="63" customFormat="1" ht="15.75" customHeight="1" x14ac:dyDescent="0.35">
      <c r="A529" s="105">
        <v>1</v>
      </c>
      <c r="B529" s="105"/>
      <c r="C529" s="100" t="s">
        <v>197</v>
      </c>
      <c r="D529" s="216"/>
      <c r="E529" s="216"/>
      <c r="F529" s="101"/>
      <c r="G529" s="110" t="str">
        <f>A528</f>
        <v>15th, 22nd, 29th, 36th &amp; 43rd Floor (Part Refuge Area)</v>
      </c>
      <c r="H529" s="111"/>
      <c r="I529" s="62"/>
      <c r="L529" s="99"/>
      <c r="M529" s="99"/>
    </row>
    <row r="530" spans="1:14" s="63" customFormat="1" ht="15.75" customHeight="1" x14ac:dyDescent="0.35">
      <c r="A530" s="105">
        <f>A529+1</f>
        <v>2</v>
      </c>
      <c r="B530" s="105"/>
      <c r="C530" s="100" t="s">
        <v>254</v>
      </c>
      <c r="D530" s="216">
        <f>(1.22*2.74+3.35*5.43+2.99*0.99+3.12*2.44+1.35*1.84+2.44*1.53+2.44*1.53+3.47*1+3.05*3.36+3.36*4.27+3.33*3.39+1.53*2.75+3.75*1.76+3.33*3.39+2.44*1.53+3.36*4.27+3.05*3.46+1.53*2.75+1.35*2.75+0.9*0.25+0.9*4.53+1.5*1.84)*10.764</f>
        <v>1583.6222843999999</v>
      </c>
      <c r="E530" s="216">
        <v>0</v>
      </c>
      <c r="F530" s="101">
        <f t="shared" ref="F530:F534" si="94">D530*(($F$176)+1)+(IF(E530&lt;101,E530,IF(E530&lt;201,E530/2,IF(E530&lt;=301,E530/3,E530/4))))</f>
        <v>2533.7956550399999</v>
      </c>
      <c r="G530" s="112" t="str">
        <f>G529</f>
        <v>15th, 22nd, 29th, 36th &amp; 43rd Floor (Part Refuge Area)</v>
      </c>
      <c r="H530" s="113"/>
      <c r="I530" s="62"/>
      <c r="N530" s="62"/>
    </row>
    <row r="531" spans="1:14" s="63" customFormat="1" ht="15.75" customHeight="1" x14ac:dyDescent="0.35">
      <c r="A531" s="105">
        <f>A530+1</f>
        <v>3</v>
      </c>
      <c r="B531" s="105"/>
      <c r="C531" s="60">
        <v>3</v>
      </c>
      <c r="D531" s="61">
        <f>(1.22*2.84+3.1*2.44+0.9*2.9+3.38*3.43+3.06*3.36+3.36*4.27+3.38*3.39+1.5*2.75+2.45*1.53*2.44*1.53+3.75*1.76+0.9*0.9)*10.764</f>
        <v>934.83295055279984</v>
      </c>
      <c r="E531" s="61">
        <v>0</v>
      </c>
      <c r="F531" s="61">
        <f t="shared" si="94"/>
        <v>1495.7327208844799</v>
      </c>
      <c r="G531" s="112" t="str">
        <f>G530</f>
        <v>15th, 22nd, 29th, 36th &amp; 43rd Floor (Part Refuge Area)</v>
      </c>
      <c r="H531" s="113"/>
      <c r="I531" s="62"/>
      <c r="N531" s="62"/>
    </row>
    <row r="532" spans="1:14" s="63" customFormat="1" ht="15.75" customHeight="1" x14ac:dyDescent="0.35">
      <c r="A532" s="105">
        <f t="shared" ref="A532:A534" si="95">A531+1</f>
        <v>4</v>
      </c>
      <c r="B532" s="105"/>
      <c r="C532" s="60">
        <v>3</v>
      </c>
      <c r="D532" s="61">
        <f>(1.22*2.84+3.1*2.44+0.9*2.9+3.38*3.43+3.06*3.36+3.36*4.27+3.38*3.39+1.5*2.75+2.45*1.53*2.44*1.53+3.75*1.76+0.9*0.9)*10.764</f>
        <v>934.83295055279984</v>
      </c>
      <c r="E532" s="61">
        <v>0</v>
      </c>
      <c r="F532" s="61">
        <f t="shared" si="94"/>
        <v>1495.7327208844799</v>
      </c>
      <c r="G532" s="112" t="str">
        <f>G531</f>
        <v>15th, 22nd, 29th, 36th &amp; 43rd Floor (Part Refuge Area)</v>
      </c>
      <c r="H532" s="113"/>
      <c r="I532" s="62"/>
      <c r="N532" s="62"/>
    </row>
    <row r="533" spans="1:14" s="63" customFormat="1" ht="15.75" customHeight="1" x14ac:dyDescent="0.35">
      <c r="A533" s="105">
        <f t="shared" si="95"/>
        <v>5</v>
      </c>
      <c r="B533" s="105"/>
      <c r="C533" s="60">
        <v>2</v>
      </c>
      <c r="D533" s="61">
        <f t="shared" ref="D533:D534" si="96">(2.54*1.22+2.14*3.11+2.04*1.3+3*1.62+3.05*5.83+0.76*3.54+1.53*2.44+2.44*1.53+3.05*4.46+3.05*3.36+1.83*1)*10.764</f>
        <v>763.0115219999999</v>
      </c>
      <c r="E533" s="61">
        <v>0</v>
      </c>
      <c r="F533" s="61">
        <f t="shared" si="94"/>
        <v>1220.8184351999998</v>
      </c>
      <c r="G533" s="112" t="str">
        <f>G532</f>
        <v>15th, 22nd, 29th, 36th &amp; 43rd Floor (Part Refuge Area)</v>
      </c>
      <c r="H533" s="113"/>
      <c r="I533" s="62"/>
      <c r="N533" s="62"/>
    </row>
    <row r="534" spans="1:14" s="63" customFormat="1" ht="15.75" customHeight="1" x14ac:dyDescent="0.35">
      <c r="A534" s="105">
        <f t="shared" si="95"/>
        <v>6</v>
      </c>
      <c r="B534" s="105"/>
      <c r="C534" s="60">
        <v>2</v>
      </c>
      <c r="D534" s="61">
        <f t="shared" si="96"/>
        <v>763.0115219999999</v>
      </c>
      <c r="E534" s="61">
        <v>0</v>
      </c>
      <c r="F534" s="61">
        <f t="shared" si="94"/>
        <v>1220.8184351999998</v>
      </c>
      <c r="G534" s="114" t="str">
        <f>G533</f>
        <v>15th, 22nd, 29th, 36th &amp; 43rd Floor (Part Refuge Area)</v>
      </c>
      <c r="H534" s="115"/>
      <c r="I534" s="62"/>
      <c r="N534" s="62"/>
    </row>
    <row r="535" spans="1:14" s="63" customFormat="1" x14ac:dyDescent="0.35">
      <c r="A535" s="106" t="s">
        <v>234</v>
      </c>
      <c r="B535" s="106"/>
      <c r="C535" s="106"/>
      <c r="D535" s="106"/>
      <c r="E535" s="106"/>
      <c r="F535" s="106"/>
      <c r="G535" s="106"/>
      <c r="H535" s="106"/>
      <c r="I535" s="62"/>
      <c r="L535" s="99"/>
      <c r="M535" s="99"/>
      <c r="N535" s="62"/>
    </row>
    <row r="536" spans="1:14" s="63" customFormat="1" ht="15.75" customHeight="1" x14ac:dyDescent="0.35">
      <c r="A536" s="105">
        <v>1</v>
      </c>
      <c r="B536" s="105"/>
      <c r="C536" s="100" t="s">
        <v>197</v>
      </c>
      <c r="D536" s="216"/>
      <c r="E536" s="216"/>
      <c r="F536" s="101"/>
      <c r="G536" s="110" t="str">
        <f>A535</f>
        <v>50th Floor (Part Refuge Area)</v>
      </c>
      <c r="H536" s="111"/>
      <c r="I536" s="62"/>
      <c r="L536" s="99"/>
      <c r="M536" s="99"/>
    </row>
    <row r="537" spans="1:14" s="63" customFormat="1" ht="15.75" customHeight="1" x14ac:dyDescent="0.35">
      <c r="A537" s="105">
        <f>A536+1</f>
        <v>2</v>
      </c>
      <c r="B537" s="105"/>
      <c r="C537" s="60">
        <v>2</v>
      </c>
      <c r="D537" s="61">
        <f t="shared" ref="D537" si="97">(1.22*2.74+3.35*5.43+2.99*0.99+3.12*2.44+1.35*1.84+2.44*1.53+2.44*1.53+3.47*1+3.05*3.36+3.36*4.27+3.33*3.39+1.53*2.75+3.75*1.76)*10.764</f>
        <v>992.63455199999987</v>
      </c>
      <c r="E537" s="61">
        <v>0</v>
      </c>
      <c r="F537" s="61">
        <f t="shared" ref="F537:F541" si="98">D537*(($F$176)+1)+(IF(E537&lt;101,E537,IF(E537&lt;201,E537/2,IF(E537&lt;=301,E537/3,E537/4))))</f>
        <v>1588.2152831999999</v>
      </c>
      <c r="G537" s="112" t="str">
        <f>G536</f>
        <v>50th Floor (Part Refuge Area)</v>
      </c>
      <c r="H537" s="113"/>
      <c r="I537" s="62"/>
      <c r="N537" s="62"/>
    </row>
    <row r="538" spans="1:14" s="63" customFormat="1" ht="15.75" customHeight="1" x14ac:dyDescent="0.35">
      <c r="A538" s="105">
        <f>A537+1</f>
        <v>3</v>
      </c>
      <c r="B538" s="105"/>
      <c r="C538" s="60">
        <v>3</v>
      </c>
      <c r="D538" s="61">
        <f>(1.22*2.84+3.1*2.44+0.9*2.9+3.38*3.43+3.06*3.36+3.36*4.27+3.38*3.39+1.5*2.75+2.45*1.53*2.44*1.53+3.75*1.76+0.9*0.9)*10.764</f>
        <v>934.83295055279984</v>
      </c>
      <c r="E538" s="61">
        <v>0</v>
      </c>
      <c r="F538" s="61">
        <f t="shared" si="98"/>
        <v>1495.7327208844799</v>
      </c>
      <c r="G538" s="112" t="str">
        <f>G537</f>
        <v>50th Floor (Part Refuge Area)</v>
      </c>
      <c r="H538" s="113"/>
      <c r="I538" s="62"/>
      <c r="N538" s="62"/>
    </row>
    <row r="539" spans="1:14" s="63" customFormat="1" ht="15.75" customHeight="1" x14ac:dyDescent="0.35">
      <c r="A539" s="105">
        <f t="shared" ref="A539:A541" si="99">A538+1</f>
        <v>4</v>
      </c>
      <c r="B539" s="105"/>
      <c r="C539" s="60">
        <v>3</v>
      </c>
      <c r="D539" s="61">
        <f>(1.22*2.84+3.1*2.44+0.9*2.9+3.38*3.43+3.06*3.36+3.36*4.27+3.38*3.39+1.5*2.75+2.45*1.53*2.44*1.53+3.75*1.76+0.9*0.9)*10.764</f>
        <v>934.83295055279984</v>
      </c>
      <c r="E539" s="61">
        <v>0</v>
      </c>
      <c r="F539" s="61">
        <f t="shared" si="98"/>
        <v>1495.7327208844799</v>
      </c>
      <c r="G539" s="112" t="str">
        <f>G538</f>
        <v>50th Floor (Part Refuge Area)</v>
      </c>
      <c r="H539" s="113"/>
      <c r="I539" s="62"/>
      <c r="N539" s="62"/>
    </row>
    <row r="540" spans="1:14" s="63" customFormat="1" ht="15.75" customHeight="1" x14ac:dyDescent="0.35">
      <c r="A540" s="105">
        <f t="shared" si="99"/>
        <v>5</v>
      </c>
      <c r="B540" s="105"/>
      <c r="C540" s="60">
        <v>2</v>
      </c>
      <c r="D540" s="61">
        <f t="shared" ref="D540:D541" si="100">(2.54*1.22+2.14*3.11+2.04*1.3+3*1.62+3.05*5.83+0.76*3.54+1.53*2.44+2.44*1.53+3.05*4.46+3.05*3.36+1.83*1)*10.764</f>
        <v>763.0115219999999</v>
      </c>
      <c r="E540" s="61">
        <v>0</v>
      </c>
      <c r="F540" s="61">
        <f t="shared" si="98"/>
        <v>1220.8184351999998</v>
      </c>
      <c r="G540" s="112" t="str">
        <f>G539</f>
        <v>50th Floor (Part Refuge Area)</v>
      </c>
      <c r="H540" s="113"/>
      <c r="I540" s="62"/>
      <c r="N540" s="62"/>
    </row>
    <row r="541" spans="1:14" s="63" customFormat="1" ht="15.75" customHeight="1" x14ac:dyDescent="0.35">
      <c r="A541" s="105">
        <f t="shared" si="99"/>
        <v>6</v>
      </c>
      <c r="B541" s="105"/>
      <c r="C541" s="60">
        <v>2</v>
      </c>
      <c r="D541" s="61">
        <f t="shared" si="100"/>
        <v>763.0115219999999</v>
      </c>
      <c r="E541" s="61">
        <v>0</v>
      </c>
      <c r="F541" s="61">
        <f t="shared" si="98"/>
        <v>1220.8184351999998</v>
      </c>
      <c r="G541" s="114" t="str">
        <f>G540</f>
        <v>50th Floor (Part Refuge Area)</v>
      </c>
      <c r="H541" s="115"/>
      <c r="I541" s="62"/>
      <c r="N541" s="62"/>
    </row>
    <row r="542" spans="1:14" s="63" customFormat="1" x14ac:dyDescent="0.35">
      <c r="A542" s="119" t="s">
        <v>243</v>
      </c>
      <c r="B542" s="120"/>
      <c r="C542" s="120"/>
      <c r="D542" s="120"/>
      <c r="E542" s="120"/>
      <c r="F542" s="120"/>
      <c r="G542" s="120"/>
      <c r="H542" s="121"/>
      <c r="J542" s="62"/>
    </row>
    <row r="543" spans="1:14" s="63" customFormat="1" ht="15.75" customHeight="1" x14ac:dyDescent="0.35">
      <c r="A543" s="116" t="s">
        <v>245</v>
      </c>
      <c r="B543" s="117"/>
      <c r="C543" s="117"/>
      <c r="D543" s="117"/>
      <c r="E543" s="117"/>
      <c r="F543" s="117"/>
      <c r="G543" s="117"/>
      <c r="H543" s="118"/>
      <c r="J543" s="62"/>
    </row>
    <row r="544" spans="1:14" s="63" customFormat="1" x14ac:dyDescent="0.35">
      <c r="A544" s="116" t="s">
        <v>247</v>
      </c>
      <c r="B544" s="117"/>
      <c r="C544" s="117"/>
      <c r="D544" s="117"/>
      <c r="E544" s="117"/>
      <c r="F544" s="117"/>
      <c r="G544" s="117"/>
      <c r="H544" s="118"/>
      <c r="J544" s="62"/>
    </row>
    <row r="545" spans="1:14" s="63" customFormat="1" x14ac:dyDescent="0.35">
      <c r="A545" s="116" t="s">
        <v>183</v>
      </c>
      <c r="B545" s="117"/>
      <c r="C545" s="117"/>
      <c r="D545" s="117"/>
      <c r="E545" s="117"/>
      <c r="F545" s="117"/>
      <c r="G545" s="117"/>
      <c r="H545" s="118"/>
      <c r="J545" s="62"/>
    </row>
    <row r="546" spans="1:14" s="63" customFormat="1" ht="15.75" customHeight="1" x14ac:dyDescent="0.35">
      <c r="A546" s="116" t="s">
        <v>255</v>
      </c>
      <c r="B546" s="117"/>
      <c r="C546" s="117"/>
      <c r="D546" s="117"/>
      <c r="E546" s="117"/>
      <c r="F546" s="117"/>
      <c r="G546" s="117"/>
      <c r="H546" s="118"/>
      <c r="J546" s="62"/>
    </row>
    <row r="547" spans="1:14" s="63" customFormat="1" ht="15.75" customHeight="1" x14ac:dyDescent="0.35">
      <c r="A547" s="100">
        <v>1</v>
      </c>
      <c r="B547" s="101"/>
      <c r="C547" s="60">
        <v>3</v>
      </c>
      <c r="D547" s="61">
        <f>(1.22*2.74+3.35*5.43+0.99*2.99+3.12*2.44+3.05*3.36+3.36*4.27+3.33*3.39+2.44*1.53+2.44*1.53+1.53*2.75+3.75*1.76)*10.764</f>
        <v>928.54569599999979</v>
      </c>
      <c r="E547" s="61">
        <v>0</v>
      </c>
      <c r="F547" s="61">
        <f>D547*(($F$176)+1)+(IF(E547&lt;101,E547,IF(E547&lt;201,E547/2,IF(E547&lt;=301,E547/3,E547/4))))</f>
        <v>1485.6731135999999</v>
      </c>
      <c r="G547" s="110" t="str">
        <f>A546</f>
        <v>2nd Podium Floor For Residential &amp; Void Lobby Area</v>
      </c>
      <c r="H547" s="111"/>
      <c r="J547" s="62">
        <f>1.22*2.74+3.35*5.43+2.99*0.99+3.12*2.44+3.05*3.36+3.36*4.27+1.53*2.75+3.33*3.39+2.44*1.53+2.44*1.53+3.47*1+3.75*1.76+1.35*1.84</f>
        <v>92.217999999999975</v>
      </c>
    </row>
    <row r="548" spans="1:14" s="63" customFormat="1" ht="15.75" customHeight="1" x14ac:dyDescent="0.35">
      <c r="A548" s="100">
        <f t="shared" ref="A548" si="101">A547+1</f>
        <v>2</v>
      </c>
      <c r="B548" s="101"/>
      <c r="C548" s="60">
        <v>3</v>
      </c>
      <c r="D548" s="61">
        <f>(1.22*2.74+3.35*5.43+0.99*2.99+3.12*2.44+3.05*3.36+3.36*4.27+3.33*3.39+2.44*1.53+2.44*1.53+1.53*2.75+3.75*1.76)*10.764</f>
        <v>928.54569599999979</v>
      </c>
      <c r="E548" s="61">
        <v>0</v>
      </c>
      <c r="F548" s="61">
        <f>D548*(($F$176)+1)+(IF(E548&lt;101,E548,IF(E548&lt;201,E548/2,IF(E548&lt;=301,E548/3,E548/4))))</f>
        <v>1485.6731135999999</v>
      </c>
      <c r="G548" s="114"/>
      <c r="H548" s="115"/>
      <c r="I548" s="62"/>
      <c r="J548" s="63">
        <f>(1.22*2.74+3.35*5.43+2.99*0.99+3.12*2.44+1.35*1.84+2.44*1.53+2.44*1.53+3.47*1+3.05*3.36+3.36*4.27+3.33*3.39+1.53*2.75+3.75*1.76)</f>
        <v>92.217999999999989</v>
      </c>
      <c r="L548" s="99"/>
      <c r="M548" s="99"/>
      <c r="N548" s="62"/>
    </row>
    <row r="549" spans="1:14" s="63" customFormat="1" x14ac:dyDescent="0.35">
      <c r="A549" s="106" t="s">
        <v>256</v>
      </c>
      <c r="B549" s="106"/>
      <c r="C549" s="106"/>
      <c r="D549" s="106"/>
      <c r="E549" s="106"/>
      <c r="F549" s="106"/>
      <c r="G549" s="106"/>
      <c r="H549" s="106"/>
      <c r="I549" s="62"/>
      <c r="L549" s="99"/>
      <c r="M549" s="99"/>
      <c r="N549" s="62"/>
    </row>
    <row r="550" spans="1:14" s="63" customFormat="1" ht="15.75" customHeight="1" x14ac:dyDescent="0.35">
      <c r="A550" s="105">
        <v>1</v>
      </c>
      <c r="B550" s="105"/>
      <c r="C550" s="60">
        <v>3</v>
      </c>
      <c r="D550" s="61">
        <f t="shared" ref="D550:D551" si="102">(1.22*2.74+3.35*5.43+0.99*2.99+3.12*2.44+3.05*3.36+3.36*4.27+3.33*3.39+2.44*1.53+2.44*1.53+1.53*2.75+3.75*1.76)*10.764</f>
        <v>928.54569599999979</v>
      </c>
      <c r="E550" s="61">
        <v>0</v>
      </c>
      <c r="F550" s="61">
        <f>D550*(($F$176)+1)+(IF(E550&lt;101,E550,IF(E550&lt;201,E550/2,IF(E550&lt;=301,E550/3,E550/4))))</f>
        <v>1485.6731135999999</v>
      </c>
      <c r="G550" s="110" t="str">
        <f>A549</f>
        <v>3rd Podium Floor For Residential &amp; Parking Area</v>
      </c>
      <c r="H550" s="111"/>
      <c r="I550" s="62"/>
      <c r="L550" s="99"/>
      <c r="M550" s="99"/>
    </row>
    <row r="551" spans="1:14" s="63" customFormat="1" ht="15.75" customHeight="1" x14ac:dyDescent="0.35">
      <c r="A551" s="105">
        <f>A550+1</f>
        <v>2</v>
      </c>
      <c r="B551" s="105"/>
      <c r="C551" s="60">
        <v>3</v>
      </c>
      <c r="D551" s="61">
        <f t="shared" si="102"/>
        <v>928.54569599999979</v>
      </c>
      <c r="E551" s="61">
        <v>0</v>
      </c>
      <c r="F551" s="61">
        <f>D551*(($F$176)+1)+(IF(E551&lt;101,E551,IF(E551&lt;201,E551/2,IF(E551&lt;=301,E551/3,E551/4))))</f>
        <v>1485.6731135999999</v>
      </c>
      <c r="G551" s="112" t="str">
        <f>G550</f>
        <v>3rd Podium Floor For Residential &amp; Parking Area</v>
      </c>
      <c r="H551" s="113"/>
      <c r="I551" s="62"/>
      <c r="N551" s="62"/>
    </row>
    <row r="552" spans="1:14" s="63" customFormat="1" ht="15.75" customHeight="1" x14ac:dyDescent="0.35">
      <c r="A552" s="105">
        <f>A551+1</f>
        <v>3</v>
      </c>
      <c r="B552" s="105"/>
      <c r="C552" s="60">
        <v>2</v>
      </c>
      <c r="D552" s="61">
        <f>(3.05*5.83+3.54*0.76+1.22*2.14+2.14*3.1+1.7*1.35+3.05*3.36+3.05*4.46+2.44*1.53+1.53*2.44+1*3.05)*10.764</f>
        <v>714.50463239999988</v>
      </c>
      <c r="E552" s="61">
        <v>0</v>
      </c>
      <c r="F552" s="61">
        <f>D552*(($F$176)+1)+(IF(E552&lt;101,E552,IF(E552&lt;201,E552/2,IF(E552&lt;=301,E552/3,E552/4))))</f>
        <v>1143.2074118399998</v>
      </c>
      <c r="G552" s="112" t="str">
        <f>G551</f>
        <v>3rd Podium Floor For Residential &amp; Parking Area</v>
      </c>
      <c r="H552" s="113"/>
      <c r="I552" s="62"/>
      <c r="N552" s="62"/>
    </row>
    <row r="553" spans="1:14" s="63" customFormat="1" ht="15.75" customHeight="1" x14ac:dyDescent="0.35">
      <c r="A553" s="105">
        <f t="shared" ref="A553:A555" si="103">A552+1</f>
        <v>4</v>
      </c>
      <c r="B553" s="105"/>
      <c r="C553" s="122" t="s">
        <v>187</v>
      </c>
      <c r="D553" s="123"/>
      <c r="E553" s="123"/>
      <c r="F553" s="124"/>
      <c r="G553" s="112" t="str">
        <f>G552</f>
        <v>3rd Podium Floor For Residential &amp; Parking Area</v>
      </c>
      <c r="H553" s="113"/>
      <c r="I553" s="62"/>
      <c r="N553" s="62"/>
    </row>
    <row r="554" spans="1:14" s="63" customFormat="1" ht="15.75" customHeight="1" x14ac:dyDescent="0.35">
      <c r="A554" s="105">
        <f t="shared" si="103"/>
        <v>5</v>
      </c>
      <c r="B554" s="105"/>
      <c r="C554" s="125"/>
      <c r="D554" s="126"/>
      <c r="E554" s="126"/>
      <c r="F554" s="127"/>
      <c r="G554" s="112" t="str">
        <f>G553</f>
        <v>3rd Podium Floor For Residential &amp; Parking Area</v>
      </c>
      <c r="H554" s="113"/>
      <c r="I554" s="62"/>
      <c r="N554" s="62"/>
    </row>
    <row r="555" spans="1:14" s="63" customFormat="1" ht="15.75" customHeight="1" x14ac:dyDescent="0.35">
      <c r="A555" s="105">
        <f t="shared" si="103"/>
        <v>6</v>
      </c>
      <c r="B555" s="105"/>
      <c r="C555" s="60">
        <v>2</v>
      </c>
      <c r="D555" s="61">
        <f>(3.05*5.83+3.54*0.76+1.22*2.14+2.14*3.1+1.7*1.35+3.05*3.36+3.05*4.46+2.44*1.53+1.53*2.44+1*3.05)*10.764</f>
        <v>714.50463239999988</v>
      </c>
      <c r="E555" s="61">
        <v>0</v>
      </c>
      <c r="F555" s="61">
        <f>D555*(($F$176)+1)+(IF(E555&lt;101,E555,IF(E555&lt;201,E555/2,IF(E555&lt;=301,E555/3,E555/4))))</f>
        <v>1143.2074118399998</v>
      </c>
      <c r="G555" s="114" t="str">
        <f>G554</f>
        <v>3rd Podium Floor For Residential &amp; Parking Area</v>
      </c>
      <c r="H555" s="115"/>
      <c r="I555" s="62"/>
      <c r="N555" s="62"/>
    </row>
    <row r="556" spans="1:14" s="63" customFormat="1" x14ac:dyDescent="0.35">
      <c r="A556" s="106" t="s">
        <v>257</v>
      </c>
      <c r="B556" s="106"/>
      <c r="C556" s="106"/>
      <c r="D556" s="106"/>
      <c r="E556" s="106"/>
      <c r="F556" s="106"/>
      <c r="G556" s="106"/>
      <c r="H556" s="106"/>
      <c r="I556" s="62"/>
      <c r="L556" s="99"/>
      <c r="M556" s="99"/>
      <c r="N556" s="62"/>
    </row>
    <row r="557" spans="1:14" s="63" customFormat="1" ht="15.75" customHeight="1" x14ac:dyDescent="0.35">
      <c r="A557" s="105">
        <v>1</v>
      </c>
      <c r="B557" s="105"/>
      <c r="C557" s="60">
        <v>3</v>
      </c>
      <c r="D557" s="61">
        <f t="shared" ref="D557:D558" si="104">(1.22*2.74+3.35*5.43+0.99*2.99+3.12*2.44+3.05*3.36+3.36*4.27+3.33*3.39+2.44*1.53+2.44*1.53+1.53*2.75+3.75*1.76)*10.764</f>
        <v>928.54569599999979</v>
      </c>
      <c r="E557" s="61">
        <v>0</v>
      </c>
      <c r="F557" s="61">
        <f t="shared" ref="F557:F559" si="105">D557*(($F$176)+1)+(IF(E557&lt;101,E557,IF(E557&lt;201,E557/2,IF(E557&lt;=301,E557/3,E557/4))))</f>
        <v>1485.6731135999999</v>
      </c>
      <c r="G557" s="110" t="str">
        <f>A556</f>
        <v>4th Podium Floor For Residential &amp; Parking Area</v>
      </c>
      <c r="H557" s="111"/>
      <c r="I557" s="62"/>
      <c r="L557" s="99"/>
      <c r="M557" s="99"/>
    </row>
    <row r="558" spans="1:14" s="63" customFormat="1" ht="15.75" customHeight="1" x14ac:dyDescent="0.35">
      <c r="A558" s="105">
        <f>A557+1</f>
        <v>2</v>
      </c>
      <c r="B558" s="105"/>
      <c r="C558" s="60">
        <v>3</v>
      </c>
      <c r="D558" s="61">
        <f t="shared" si="104"/>
        <v>928.54569599999979</v>
      </c>
      <c r="E558" s="61">
        <v>0</v>
      </c>
      <c r="F558" s="61">
        <f t="shared" si="105"/>
        <v>1485.6731135999999</v>
      </c>
      <c r="G558" s="112" t="str">
        <f>G557</f>
        <v>4th Podium Floor For Residential &amp; Parking Area</v>
      </c>
      <c r="H558" s="113"/>
      <c r="I558" s="62"/>
      <c r="N558" s="62"/>
    </row>
    <row r="559" spans="1:14" s="63" customFormat="1" ht="15.75" customHeight="1" x14ac:dyDescent="0.35">
      <c r="A559" s="105">
        <f>A558+1</f>
        <v>3</v>
      </c>
      <c r="B559" s="105"/>
      <c r="C559" s="60">
        <v>2</v>
      </c>
      <c r="D559" s="61">
        <f>(3.05*5.83+3.54*0.76+1.22*2.14+2.14*3.1+1.7*1.35+3.05*3.36+3.05*4.46+2.44*1.53+1.53*2.44+1*3.05)*10.764</f>
        <v>714.50463239999988</v>
      </c>
      <c r="E559" s="61">
        <v>0</v>
      </c>
      <c r="F559" s="61">
        <f t="shared" si="105"/>
        <v>1143.2074118399998</v>
      </c>
      <c r="G559" s="112" t="str">
        <f>G558</f>
        <v>4th Podium Floor For Residential &amp; Parking Area</v>
      </c>
      <c r="H559" s="113"/>
      <c r="I559" s="62"/>
      <c r="N559" s="62"/>
    </row>
    <row r="560" spans="1:14" s="63" customFormat="1" ht="15.75" customHeight="1" x14ac:dyDescent="0.35">
      <c r="A560" s="105">
        <f t="shared" ref="A560:A562" si="106">A559+1</f>
        <v>4</v>
      </c>
      <c r="B560" s="105"/>
      <c r="C560" s="122" t="s">
        <v>187</v>
      </c>
      <c r="D560" s="123"/>
      <c r="E560" s="123"/>
      <c r="F560" s="124"/>
      <c r="G560" s="112" t="str">
        <f>G559</f>
        <v>4th Podium Floor For Residential &amp; Parking Area</v>
      </c>
      <c r="H560" s="113"/>
      <c r="I560" s="62"/>
      <c r="N560" s="62"/>
    </row>
    <row r="561" spans="1:14" s="63" customFormat="1" ht="15.75" customHeight="1" x14ac:dyDescent="0.35">
      <c r="A561" s="105">
        <f t="shared" si="106"/>
        <v>5</v>
      </c>
      <c r="B561" s="105"/>
      <c r="C561" s="125"/>
      <c r="D561" s="126"/>
      <c r="E561" s="126"/>
      <c r="F561" s="127"/>
      <c r="G561" s="112" t="str">
        <f>G560</f>
        <v>4th Podium Floor For Residential &amp; Parking Area</v>
      </c>
      <c r="H561" s="113"/>
      <c r="I561" s="62"/>
      <c r="N561" s="62"/>
    </row>
    <row r="562" spans="1:14" s="63" customFormat="1" ht="15.75" customHeight="1" x14ac:dyDescent="0.35">
      <c r="A562" s="105">
        <f t="shared" si="106"/>
        <v>6</v>
      </c>
      <c r="B562" s="105"/>
      <c r="C562" s="60">
        <v>2</v>
      </c>
      <c r="D562" s="61">
        <f>(3.05*5.83+3.54*0.76+1.22*2.14+2.14*3.1+1.7*1.35+3.05*3.36+3.05*4.46+2.44*1.53+1.53*2.44+1*3.05)*10.764</f>
        <v>714.50463239999988</v>
      </c>
      <c r="E562" s="61">
        <v>0</v>
      </c>
      <c r="F562" s="61">
        <f t="shared" ref="F562" si="107">D562*(($F$176)+1)+(IF(E562&lt;101,E562,IF(E562&lt;201,E562/2,IF(E562&lt;=301,E562/3,E562/4))))</f>
        <v>1143.2074118399998</v>
      </c>
      <c r="G562" s="114" t="str">
        <f>G561</f>
        <v>4th Podium Floor For Residential &amp; Parking Area</v>
      </c>
      <c r="H562" s="115"/>
      <c r="I562" s="62"/>
      <c r="N562" s="62"/>
    </row>
    <row r="563" spans="1:14" s="63" customFormat="1" x14ac:dyDescent="0.35">
      <c r="A563" s="106" t="s">
        <v>258</v>
      </c>
      <c r="B563" s="106"/>
      <c r="C563" s="106"/>
      <c r="D563" s="106"/>
      <c r="E563" s="106"/>
      <c r="F563" s="106"/>
      <c r="G563" s="106"/>
      <c r="H563" s="106"/>
      <c r="I563" s="62"/>
      <c r="L563" s="99"/>
      <c r="M563" s="99"/>
      <c r="N563" s="62"/>
    </row>
    <row r="564" spans="1:14" s="63" customFormat="1" ht="15.75" customHeight="1" x14ac:dyDescent="0.35">
      <c r="A564" s="105">
        <v>1</v>
      </c>
      <c r="B564" s="105"/>
      <c r="C564" s="60">
        <v>3</v>
      </c>
      <c r="D564" s="61">
        <f t="shared" ref="D564:D565" si="108">(1.22*2.74+3.35*5.43+0.99*2.99+3.12*2.44+3.05*3.36+3.36*4.27+3.33*3.39+2.44*1.53+2.44*1.53+1.53*2.75+3.75*1.76)*10.764</f>
        <v>928.54569599999979</v>
      </c>
      <c r="E564" s="61">
        <v>0</v>
      </c>
      <c r="F564" s="61">
        <f t="shared" ref="F564:F566" si="109">D564*(($F$176)+1)+(IF(E564&lt;101,E564,IF(E564&lt;201,E564/2,IF(E564&lt;=301,E564/3,E564/4))))</f>
        <v>1485.6731135999999</v>
      </c>
      <c r="G564" s="110" t="str">
        <f>A563</f>
        <v>5th Podium Floor For Residential &amp; Parking Area</v>
      </c>
      <c r="H564" s="111"/>
      <c r="I564" s="62"/>
      <c r="L564" s="99"/>
      <c r="M564" s="99"/>
    </row>
    <row r="565" spans="1:14" s="63" customFormat="1" ht="15.75" customHeight="1" x14ac:dyDescent="0.35">
      <c r="A565" s="105">
        <f>A564+1</f>
        <v>2</v>
      </c>
      <c r="B565" s="105"/>
      <c r="C565" s="60">
        <v>3</v>
      </c>
      <c r="D565" s="61">
        <f t="shared" si="108"/>
        <v>928.54569599999979</v>
      </c>
      <c r="E565" s="61">
        <v>0</v>
      </c>
      <c r="F565" s="61">
        <f t="shared" si="109"/>
        <v>1485.6731135999999</v>
      </c>
      <c r="G565" s="112" t="str">
        <f>G564</f>
        <v>5th Podium Floor For Residential &amp; Parking Area</v>
      </c>
      <c r="H565" s="113"/>
      <c r="I565" s="62"/>
      <c r="N565" s="62"/>
    </row>
    <row r="566" spans="1:14" s="63" customFormat="1" ht="15.75" customHeight="1" x14ac:dyDescent="0.35">
      <c r="A566" s="105">
        <f>A565+1</f>
        <v>3</v>
      </c>
      <c r="B566" s="105"/>
      <c r="C566" s="60">
        <v>2</v>
      </c>
      <c r="D566" s="61">
        <f>(3.05*5.83+3.54*0.76+1.22*2.14+2.14*3.1+1.7*1.35+3.05*3.36+3.05*4.46+2.44*1.53+1.53*2.44+1*3.05)*10.764</f>
        <v>714.50463239999988</v>
      </c>
      <c r="E566" s="61">
        <v>0</v>
      </c>
      <c r="F566" s="61">
        <f t="shared" si="109"/>
        <v>1143.2074118399998</v>
      </c>
      <c r="G566" s="112" t="str">
        <f>G565</f>
        <v>5th Podium Floor For Residential &amp; Parking Area</v>
      </c>
      <c r="H566" s="113"/>
      <c r="I566" s="62"/>
      <c r="N566" s="62"/>
    </row>
    <row r="567" spans="1:14" s="63" customFormat="1" ht="15.75" customHeight="1" x14ac:dyDescent="0.35">
      <c r="A567" s="105">
        <f t="shared" ref="A567:A569" si="110">A566+1</f>
        <v>4</v>
      </c>
      <c r="B567" s="105"/>
      <c r="C567" s="122" t="s">
        <v>187</v>
      </c>
      <c r="D567" s="123"/>
      <c r="E567" s="123"/>
      <c r="F567" s="124"/>
      <c r="G567" s="112" t="str">
        <f>G566</f>
        <v>5th Podium Floor For Residential &amp; Parking Area</v>
      </c>
      <c r="H567" s="113"/>
      <c r="I567" s="62"/>
      <c r="N567" s="62"/>
    </row>
    <row r="568" spans="1:14" s="63" customFormat="1" ht="15.75" customHeight="1" x14ac:dyDescent="0.35">
      <c r="A568" s="105">
        <f t="shared" si="110"/>
        <v>5</v>
      </c>
      <c r="B568" s="105"/>
      <c r="C568" s="125"/>
      <c r="D568" s="126"/>
      <c r="E568" s="126"/>
      <c r="F568" s="127"/>
      <c r="G568" s="112" t="str">
        <f>G567</f>
        <v>5th Podium Floor For Residential &amp; Parking Area</v>
      </c>
      <c r="H568" s="113"/>
      <c r="I568" s="62"/>
      <c r="N568" s="62"/>
    </row>
    <row r="569" spans="1:14" s="63" customFormat="1" ht="15.75" customHeight="1" x14ac:dyDescent="0.35">
      <c r="A569" s="105">
        <f t="shared" si="110"/>
        <v>6</v>
      </c>
      <c r="B569" s="105"/>
      <c r="C569" s="60">
        <v>2</v>
      </c>
      <c r="D569" s="61">
        <f>(3.05*5.83+3.54*0.76+1.22*2.14+2.14*3.1+1.7*1.35+3.05*3.36+3.05*4.46+2.44*1.53+1.53*2.44+1*3.05)*10.764</f>
        <v>714.50463239999988</v>
      </c>
      <c r="E569" s="61">
        <v>0</v>
      </c>
      <c r="F569" s="61">
        <f t="shared" ref="F569" si="111">D569*(($F$176)+1)+(IF(E569&lt;101,E569,IF(E569&lt;201,E569/2,IF(E569&lt;=301,E569/3,E569/4))))</f>
        <v>1143.2074118399998</v>
      </c>
      <c r="G569" s="114" t="str">
        <f>G568</f>
        <v>5th Podium Floor For Residential &amp; Parking Area</v>
      </c>
      <c r="H569" s="115"/>
      <c r="I569" s="62"/>
      <c r="N569" s="62"/>
    </row>
    <row r="570" spans="1:14" s="63" customFormat="1" x14ac:dyDescent="0.35">
      <c r="A570" s="106" t="s">
        <v>260</v>
      </c>
      <c r="B570" s="106"/>
      <c r="C570" s="106"/>
      <c r="D570" s="106"/>
      <c r="E570" s="106"/>
      <c r="F570" s="106"/>
      <c r="G570" s="106"/>
      <c r="H570" s="106"/>
      <c r="I570" s="62"/>
      <c r="L570" s="99"/>
      <c r="M570" s="99"/>
      <c r="N570" s="62"/>
    </row>
    <row r="571" spans="1:14" s="63" customFormat="1" ht="15.75" customHeight="1" x14ac:dyDescent="0.35">
      <c r="A571" s="105">
        <v>1</v>
      </c>
      <c r="B571" s="105"/>
      <c r="C571" s="60">
        <v>3</v>
      </c>
      <c r="D571" s="61">
        <f t="shared" ref="D571:D572" si="112">(1.22*2.74+3.35*5.43+0.99*2.99+3.12*2.44+3.05*3.36+3.36*4.27+3.33*3.39+2.44*1.53+2.44*1.53+1.53*2.75+3.75*1.76)*10.764</f>
        <v>928.54569599999979</v>
      </c>
      <c r="E571" s="61">
        <v>0</v>
      </c>
      <c r="F571" s="61">
        <f t="shared" ref="F571:F573" si="113">D571*(($F$176)+1)+(IF(E571&lt;101,E571,IF(E571&lt;201,E571/2,IF(E571&lt;=301,E571/3,E571/4))))</f>
        <v>1485.6731135999999</v>
      </c>
      <c r="G571" s="110" t="str">
        <f>A570</f>
        <v>6th Podium Floor For Residential &amp; Amenity</v>
      </c>
      <c r="H571" s="111"/>
      <c r="I571" s="62"/>
      <c r="L571" s="99"/>
      <c r="M571" s="99"/>
    </row>
    <row r="572" spans="1:14" s="63" customFormat="1" ht="15.75" customHeight="1" x14ac:dyDescent="0.35">
      <c r="A572" s="105">
        <f>A571+1</f>
        <v>2</v>
      </c>
      <c r="B572" s="105"/>
      <c r="C572" s="60">
        <v>3</v>
      </c>
      <c r="D572" s="61">
        <f t="shared" si="112"/>
        <v>928.54569599999979</v>
      </c>
      <c r="E572" s="61">
        <v>0</v>
      </c>
      <c r="F572" s="61">
        <f t="shared" si="113"/>
        <v>1485.6731135999999</v>
      </c>
      <c r="G572" s="112" t="str">
        <f>G571</f>
        <v>6th Podium Floor For Residential &amp; Amenity</v>
      </c>
      <c r="H572" s="113"/>
      <c r="I572" s="62"/>
      <c r="N572" s="62"/>
    </row>
    <row r="573" spans="1:14" s="63" customFormat="1" ht="15.75" customHeight="1" x14ac:dyDescent="0.35">
      <c r="A573" s="105">
        <f>A572+1</f>
        <v>3</v>
      </c>
      <c r="B573" s="105"/>
      <c r="C573" s="60">
        <v>2</v>
      </c>
      <c r="D573" s="61">
        <f>(3.05*5.83+3.54*0.76+1.22*2.14+2.14*3.1+1.7*1.35+3.05*3.36+3.05*4.46+2.44*1.53+1.53*2.44+1*3.05)*10.764</f>
        <v>714.50463239999988</v>
      </c>
      <c r="E573" s="61">
        <v>0</v>
      </c>
      <c r="F573" s="61">
        <f t="shared" si="113"/>
        <v>1143.2074118399998</v>
      </c>
      <c r="G573" s="112" t="str">
        <f>G572</f>
        <v>6th Podium Floor For Residential &amp; Amenity</v>
      </c>
      <c r="H573" s="113"/>
      <c r="I573" s="62"/>
      <c r="N573" s="62"/>
    </row>
    <row r="574" spans="1:14" s="63" customFormat="1" ht="15.75" customHeight="1" x14ac:dyDescent="0.35">
      <c r="A574" s="105">
        <f t="shared" ref="A574:A576" si="114">A573+1</f>
        <v>4</v>
      </c>
      <c r="B574" s="105"/>
      <c r="C574" s="122" t="s">
        <v>259</v>
      </c>
      <c r="D574" s="123"/>
      <c r="E574" s="123"/>
      <c r="F574" s="124"/>
      <c r="G574" s="112" t="str">
        <f>G573</f>
        <v>6th Podium Floor For Residential &amp; Amenity</v>
      </c>
      <c r="H574" s="113"/>
      <c r="I574" s="62"/>
      <c r="N574" s="62"/>
    </row>
    <row r="575" spans="1:14" s="63" customFormat="1" ht="15.75" customHeight="1" x14ac:dyDescent="0.35">
      <c r="A575" s="105">
        <f t="shared" si="114"/>
        <v>5</v>
      </c>
      <c r="B575" s="105"/>
      <c r="C575" s="125"/>
      <c r="D575" s="126"/>
      <c r="E575" s="126"/>
      <c r="F575" s="127"/>
      <c r="G575" s="112" t="str">
        <f>G574</f>
        <v>6th Podium Floor For Residential &amp; Amenity</v>
      </c>
      <c r="H575" s="113"/>
      <c r="I575" s="62"/>
      <c r="N575" s="62"/>
    </row>
    <row r="576" spans="1:14" s="63" customFormat="1" ht="15.75" customHeight="1" x14ac:dyDescent="0.35">
      <c r="A576" s="105">
        <f t="shared" si="114"/>
        <v>6</v>
      </c>
      <c r="B576" s="105"/>
      <c r="C576" s="60">
        <v>2</v>
      </c>
      <c r="D576" s="61">
        <f>(3.05*5.83+3.54*0.76+1.22*2.14+2.14*3.1+1.7*1.35+3.05*3.36+3.05*4.46+2.44*1.53+1.53*2.44+1*3.05)*10.764</f>
        <v>714.50463239999988</v>
      </c>
      <c r="E576" s="61">
        <v>0</v>
      </c>
      <c r="F576" s="61">
        <f t="shared" ref="F576" si="115">D576*(($F$176)+1)+(IF(E576&lt;101,E576,IF(E576&lt;201,E576/2,IF(E576&lt;=301,E576/3,E576/4))))</f>
        <v>1143.2074118399998</v>
      </c>
      <c r="G576" s="114" t="str">
        <f>G575</f>
        <v>6th Podium Floor For Residential &amp; Amenity</v>
      </c>
      <c r="H576" s="115"/>
      <c r="I576" s="62"/>
      <c r="N576" s="62"/>
    </row>
    <row r="577" spans="1:14" s="63" customFormat="1" x14ac:dyDescent="0.35">
      <c r="A577" s="106" t="s">
        <v>261</v>
      </c>
      <c r="B577" s="106"/>
      <c r="C577" s="106"/>
      <c r="D577" s="106"/>
      <c r="E577" s="106"/>
      <c r="F577" s="106"/>
      <c r="G577" s="106"/>
      <c r="H577" s="106"/>
      <c r="I577" s="62"/>
      <c r="L577" s="99"/>
      <c r="M577" s="99"/>
      <c r="N577" s="62"/>
    </row>
    <row r="578" spans="1:14" s="63" customFormat="1" ht="15.75" customHeight="1" x14ac:dyDescent="0.35">
      <c r="A578" s="105">
        <v>1</v>
      </c>
      <c r="B578" s="105"/>
      <c r="C578" s="60">
        <v>3</v>
      </c>
      <c r="D578" s="61">
        <f t="shared" ref="D578:D579" si="116">(1.22*2.74+3.35*5.43+0.99*2.99+3.12*2.44+3.05*3.36+3.36*4.27+3.33*3.39+2.44*1.53+2.44*1.53+1.53*2.75+3.75*1.76)*10.764</f>
        <v>928.54569599999979</v>
      </c>
      <c r="E578" s="61">
        <v>0</v>
      </c>
      <c r="F578" s="61">
        <f t="shared" ref="F578:F580" si="117">D578*(($F$176)+1)+(IF(E578&lt;101,E578,IF(E578&lt;201,E578/2,IF(E578&lt;=301,E578/3,E578/4))))</f>
        <v>1485.6731135999999</v>
      </c>
      <c r="G578" s="110" t="str">
        <f>A577</f>
        <v>7th Podium Floor For Residential &amp; Amenity</v>
      </c>
      <c r="H578" s="111"/>
      <c r="I578" s="62"/>
      <c r="L578" s="99"/>
      <c r="M578" s="99"/>
    </row>
    <row r="579" spans="1:14" s="63" customFormat="1" ht="15.75" customHeight="1" x14ac:dyDescent="0.35">
      <c r="A579" s="105">
        <f>A578+1</f>
        <v>2</v>
      </c>
      <c r="B579" s="105"/>
      <c r="C579" s="60">
        <v>3</v>
      </c>
      <c r="D579" s="61">
        <f t="shared" si="116"/>
        <v>928.54569599999979</v>
      </c>
      <c r="E579" s="61">
        <v>0</v>
      </c>
      <c r="F579" s="61">
        <f t="shared" si="117"/>
        <v>1485.6731135999999</v>
      </c>
      <c r="G579" s="112" t="str">
        <f>G578</f>
        <v>7th Podium Floor For Residential &amp; Amenity</v>
      </c>
      <c r="H579" s="113"/>
      <c r="I579" s="62"/>
      <c r="N579" s="62"/>
    </row>
    <row r="580" spans="1:14" s="63" customFormat="1" ht="15.75" customHeight="1" x14ac:dyDescent="0.35">
      <c r="A580" s="105">
        <f>A579+1</f>
        <v>3</v>
      </c>
      <c r="B580" s="105"/>
      <c r="C580" s="60">
        <v>2</v>
      </c>
      <c r="D580" s="61">
        <f>(3.05*5.83+3.54*0.76+1.22*2.14+2.14*3.1+1.7*1.35+3.05*3.36+3.05*4.46+2.44*1.53+1.53*2.44+1*3.05)*10.764</f>
        <v>714.50463239999988</v>
      </c>
      <c r="E580" s="61">
        <v>0</v>
      </c>
      <c r="F580" s="61">
        <f t="shared" si="117"/>
        <v>1143.2074118399998</v>
      </c>
      <c r="G580" s="112" t="str">
        <f>G579</f>
        <v>7th Podium Floor For Residential &amp; Amenity</v>
      </c>
      <c r="H580" s="113"/>
      <c r="I580" s="62"/>
      <c r="N580" s="62"/>
    </row>
    <row r="581" spans="1:14" s="63" customFormat="1" ht="15.75" customHeight="1" x14ac:dyDescent="0.35">
      <c r="A581" s="105">
        <f t="shared" ref="A581:A583" si="118">A580+1</f>
        <v>4</v>
      </c>
      <c r="B581" s="105"/>
      <c r="C581" s="122" t="s">
        <v>259</v>
      </c>
      <c r="D581" s="123"/>
      <c r="E581" s="123"/>
      <c r="F581" s="124"/>
      <c r="G581" s="112" t="str">
        <f>G580</f>
        <v>7th Podium Floor For Residential &amp; Amenity</v>
      </c>
      <c r="H581" s="113"/>
      <c r="I581" s="62"/>
      <c r="N581" s="62"/>
    </row>
    <row r="582" spans="1:14" s="63" customFormat="1" ht="15.75" customHeight="1" x14ac:dyDescent="0.35">
      <c r="A582" s="105">
        <f t="shared" si="118"/>
        <v>5</v>
      </c>
      <c r="B582" s="105"/>
      <c r="C582" s="125"/>
      <c r="D582" s="126"/>
      <c r="E582" s="126"/>
      <c r="F582" s="127"/>
      <c r="G582" s="112" t="str">
        <f>G581</f>
        <v>7th Podium Floor For Residential &amp; Amenity</v>
      </c>
      <c r="H582" s="113"/>
      <c r="I582" s="62"/>
      <c r="N582" s="62"/>
    </row>
    <row r="583" spans="1:14" s="63" customFormat="1" ht="15.75" customHeight="1" x14ac:dyDescent="0.35">
      <c r="A583" s="105">
        <f t="shared" si="118"/>
        <v>6</v>
      </c>
      <c r="B583" s="105"/>
      <c r="C583" s="60">
        <v>2</v>
      </c>
      <c r="D583" s="61">
        <f>(3.05*5.83+3.54*0.76+1.22*2.14+2.14*3.1+1.7*1.35+3.05*3.36+3.05*4.46+2.44*1.53+1.53*2.44+1*3.05)*10.764</f>
        <v>714.50463239999988</v>
      </c>
      <c r="E583" s="61">
        <v>0</v>
      </c>
      <c r="F583" s="61">
        <f t="shared" ref="F583" si="119">D583*(($F$176)+1)+(IF(E583&lt;101,E583,IF(E583&lt;201,E583/2,IF(E583&lt;=301,E583/3,E583/4))))</f>
        <v>1143.2074118399998</v>
      </c>
      <c r="G583" s="114" t="str">
        <f>G582</f>
        <v>7th Podium Floor For Residential &amp; Amenity</v>
      </c>
      <c r="H583" s="115"/>
      <c r="I583" s="62"/>
      <c r="N583" s="62"/>
    </row>
    <row r="584" spans="1:14" s="63" customFormat="1" x14ac:dyDescent="0.35">
      <c r="A584" s="106" t="s">
        <v>279</v>
      </c>
      <c r="B584" s="106"/>
      <c r="C584" s="106"/>
      <c r="D584" s="106"/>
      <c r="E584" s="106"/>
      <c r="F584" s="106"/>
      <c r="G584" s="106"/>
      <c r="H584" s="106"/>
      <c r="I584" s="62"/>
      <c r="L584" s="99"/>
      <c r="M584" s="99"/>
    </row>
    <row r="585" spans="1:14" s="63" customFormat="1" x14ac:dyDescent="0.35">
      <c r="A585" s="106" t="s">
        <v>262</v>
      </c>
      <c r="B585" s="106"/>
      <c r="C585" s="106"/>
      <c r="D585" s="106"/>
      <c r="E585" s="106"/>
      <c r="F585" s="106"/>
      <c r="G585" s="106"/>
      <c r="H585" s="106"/>
      <c r="I585" s="62"/>
      <c r="L585" s="99"/>
      <c r="M585" s="99"/>
      <c r="N585" s="62"/>
    </row>
    <row r="586" spans="1:14" s="63" customFormat="1" x14ac:dyDescent="0.35">
      <c r="A586" s="116" t="s">
        <v>249</v>
      </c>
      <c r="B586" s="117"/>
      <c r="C586" s="117"/>
      <c r="D586" s="117"/>
      <c r="E586" s="117"/>
      <c r="F586" s="117"/>
      <c r="G586" s="117"/>
      <c r="H586" s="118"/>
      <c r="J586" s="62"/>
    </row>
    <row r="587" spans="1:14" s="63" customFormat="1" x14ac:dyDescent="0.35">
      <c r="A587" s="106" t="s">
        <v>219</v>
      </c>
      <c r="B587" s="106"/>
      <c r="C587" s="106"/>
      <c r="D587" s="106"/>
      <c r="E587" s="106"/>
      <c r="F587" s="106"/>
      <c r="G587" s="106"/>
      <c r="H587" s="106"/>
      <c r="I587" s="62"/>
      <c r="L587" s="99"/>
      <c r="M587" s="99"/>
      <c r="N587" s="62"/>
    </row>
    <row r="588" spans="1:14" s="63" customFormat="1" x14ac:dyDescent="0.35">
      <c r="A588" s="105">
        <v>1</v>
      </c>
      <c r="B588" s="105"/>
      <c r="C588" s="60" t="s">
        <v>273</v>
      </c>
      <c r="D588" s="61">
        <f t="shared" ref="D588:D589" si="120">(1.22*2.74+3.35*5.43+0.99*2.99+3.12*2.44+3.05*3.36+3.36*4.27+3.33*3.39+2.44*1.53+2.44*1.53+1.53*2.75+3.75*1.76)*10.764</f>
        <v>928.54569599999979</v>
      </c>
      <c r="E588" s="61">
        <v>0</v>
      </c>
      <c r="F588" s="61">
        <f t="shared" ref="F588:F591" si="121">D588*(($F$176)+1)+(IF(E588&lt;101,E588,IF(E588&lt;201,E588/2,IF(E588&lt;=301,E588/3,E588/4))))</f>
        <v>1485.6731135999999</v>
      </c>
      <c r="G588" s="110" t="str">
        <f>A587</f>
        <v>11th Floor</v>
      </c>
      <c r="H588" s="111"/>
      <c r="I588" s="62"/>
      <c r="L588" s="99"/>
      <c r="M588" s="99"/>
    </row>
    <row r="589" spans="1:14" s="63" customFormat="1" x14ac:dyDescent="0.35">
      <c r="A589" s="105">
        <v>2</v>
      </c>
      <c r="B589" s="105"/>
      <c r="C589" s="60" t="s">
        <v>273</v>
      </c>
      <c r="D589" s="61">
        <f t="shared" si="120"/>
        <v>928.54569599999979</v>
      </c>
      <c r="E589" s="61">
        <v>0</v>
      </c>
      <c r="F589" s="61">
        <f t="shared" si="121"/>
        <v>1485.6731135999999</v>
      </c>
      <c r="G589" s="112" t="str">
        <f>G588</f>
        <v>11th Floor</v>
      </c>
      <c r="H589" s="113"/>
      <c r="I589" s="62"/>
      <c r="N589" s="62"/>
    </row>
    <row r="590" spans="1:14" s="63" customFormat="1" x14ac:dyDescent="0.35">
      <c r="A590" s="105">
        <v>3</v>
      </c>
      <c r="B590" s="105"/>
      <c r="C590" s="60" t="s">
        <v>273</v>
      </c>
      <c r="D590" s="67">
        <f>(6*6.13+3.81*3.38+2.13*5.52+3.05*2.29+3.05*3.35+3.05*4.45+2*(2.4*1.525)+2*(1.52*2.44)+5.2*4.45+3*0.9+5.73*1.7)*(10.764)</f>
        <v>1533.9614939999997</v>
      </c>
      <c r="E590" s="61">
        <v>0</v>
      </c>
      <c r="F590" s="61">
        <f t="shared" si="121"/>
        <v>2454.3383903999998</v>
      </c>
      <c r="G590" s="112" t="str">
        <f>G589</f>
        <v>11th Floor</v>
      </c>
      <c r="H590" s="113"/>
      <c r="I590" s="67">
        <f>10.764</f>
        <v>10.763999999999999</v>
      </c>
      <c r="N590" s="62"/>
    </row>
    <row r="591" spans="1:14" s="63" customFormat="1" x14ac:dyDescent="0.35">
      <c r="A591" s="105">
        <v>6</v>
      </c>
      <c r="B591" s="105"/>
      <c r="C591" s="60" t="s">
        <v>274</v>
      </c>
      <c r="D591" s="67">
        <f>(6.04*5.13+3.81*3.38+2.13*5.57+3.05*2.29+3.05*3.35+3.05*4.45+2*(2.4*1.525)+2*(1.52*2.44)+2*(3.05*1)+3.05*3.35+3.05*4.45+5.73*1.7)*(10.764)</f>
        <v>1516.3268327999995</v>
      </c>
      <c r="E591" s="61">
        <v>0</v>
      </c>
      <c r="F591" s="61">
        <f t="shared" si="121"/>
        <v>2426.1229324799992</v>
      </c>
      <c r="G591" s="112" t="str">
        <f>G590</f>
        <v>11th Floor</v>
      </c>
      <c r="H591" s="113"/>
      <c r="I591" s="62"/>
      <c r="N591" s="62"/>
    </row>
    <row r="592" spans="1:14" s="63" customFormat="1" x14ac:dyDescent="0.35">
      <c r="A592" s="106" t="s">
        <v>220</v>
      </c>
      <c r="B592" s="106"/>
      <c r="C592" s="106"/>
      <c r="D592" s="106"/>
      <c r="E592" s="106"/>
      <c r="F592" s="106"/>
      <c r="G592" s="106"/>
      <c r="H592" s="106"/>
      <c r="I592" s="62"/>
      <c r="L592" s="99"/>
      <c r="M592" s="99"/>
      <c r="N592" s="62"/>
    </row>
    <row r="593" spans="1:14" s="63" customFormat="1" x14ac:dyDescent="0.35">
      <c r="A593" s="105">
        <v>1</v>
      </c>
      <c r="B593" s="105"/>
      <c r="C593" s="60" t="s">
        <v>273</v>
      </c>
      <c r="D593" s="61">
        <f t="shared" ref="D593:D594" si="122">(1.22*2.74+3.35*5.43+0.99*2.99+3.12*2.44+3.05*3.36+3.36*4.27+3.33*3.39+2.44*1.53+2.44*1.53+1.53*2.75+3.75*1.76)*10.764</f>
        <v>928.54569599999979</v>
      </c>
      <c r="E593" s="61">
        <v>0</v>
      </c>
      <c r="F593" s="61">
        <f t="shared" ref="F593:F597" si="123">D593*(($F$176)+1)+(IF(E593&lt;101,E593,IF(E593&lt;201,E593/2,IF(E593&lt;=301,E593/3,E593/4))))</f>
        <v>1485.6731135999999</v>
      </c>
      <c r="G593" s="110" t="str">
        <f>A592</f>
        <v>12th Floor</v>
      </c>
      <c r="H593" s="111"/>
      <c r="I593" s="62"/>
      <c r="L593" s="99"/>
      <c r="M593" s="99"/>
    </row>
    <row r="594" spans="1:14" s="63" customFormat="1" x14ac:dyDescent="0.35">
      <c r="A594" s="105">
        <v>2</v>
      </c>
      <c r="B594" s="105"/>
      <c r="C594" s="60" t="s">
        <v>273</v>
      </c>
      <c r="D594" s="61">
        <f t="shared" si="122"/>
        <v>928.54569599999979</v>
      </c>
      <c r="E594" s="61">
        <v>0</v>
      </c>
      <c r="F594" s="61">
        <f t="shared" si="123"/>
        <v>1485.6731135999999</v>
      </c>
      <c r="G594" s="112"/>
      <c r="H594" s="113"/>
      <c r="I594" s="62"/>
      <c r="N594" s="62"/>
    </row>
    <row r="595" spans="1:14" s="63" customFormat="1" ht="15.75" customHeight="1" x14ac:dyDescent="0.35">
      <c r="A595" s="105">
        <v>3</v>
      </c>
      <c r="B595" s="105"/>
      <c r="C595" s="60">
        <v>2</v>
      </c>
      <c r="D595" s="61">
        <f t="shared" ref="D595:D598" si="124">(3.05*5.83+3.54*0.76+1.22*2.14+2.14*3.1+1.7*1.35+3.05*3.36+3.05*4.46+2.44*1.53+1.53*2.44+1*3.05)*10.764</f>
        <v>714.50463239999988</v>
      </c>
      <c r="E595" s="61">
        <v>0</v>
      </c>
      <c r="F595" s="61">
        <f t="shared" si="123"/>
        <v>1143.2074118399998</v>
      </c>
      <c r="G595" s="112"/>
      <c r="H595" s="113"/>
      <c r="I595" s="62"/>
      <c r="N595" s="62"/>
    </row>
    <row r="596" spans="1:14" s="63" customFormat="1" x14ac:dyDescent="0.35">
      <c r="A596" s="105">
        <v>4</v>
      </c>
      <c r="B596" s="105"/>
      <c r="C596" s="60">
        <v>2</v>
      </c>
      <c r="D596" s="61">
        <f t="shared" si="124"/>
        <v>714.50463239999988</v>
      </c>
      <c r="E596" s="61">
        <v>0</v>
      </c>
      <c r="F596" s="61">
        <f t="shared" si="123"/>
        <v>1143.2074118399998</v>
      </c>
      <c r="G596" s="112"/>
      <c r="H596" s="113"/>
      <c r="I596" s="62"/>
      <c r="N596" s="62"/>
    </row>
    <row r="597" spans="1:14" s="63" customFormat="1" x14ac:dyDescent="0.35">
      <c r="A597" s="105">
        <v>5</v>
      </c>
      <c r="B597" s="105"/>
      <c r="C597" s="60">
        <v>2</v>
      </c>
      <c r="D597" s="61">
        <f t="shared" si="124"/>
        <v>714.50463239999988</v>
      </c>
      <c r="E597" s="61">
        <v>0</v>
      </c>
      <c r="F597" s="61">
        <f t="shared" si="123"/>
        <v>1143.2074118399998</v>
      </c>
      <c r="G597" s="112"/>
      <c r="H597" s="113"/>
      <c r="I597" s="62"/>
      <c r="N597" s="62"/>
    </row>
    <row r="598" spans="1:14" s="63" customFormat="1" x14ac:dyDescent="0.35">
      <c r="A598" s="105">
        <v>6</v>
      </c>
      <c r="B598" s="105"/>
      <c r="C598" s="60">
        <v>2</v>
      </c>
      <c r="D598" s="61">
        <f t="shared" si="124"/>
        <v>714.50463239999988</v>
      </c>
      <c r="E598" s="61">
        <v>0</v>
      </c>
      <c r="F598" s="61">
        <f t="shared" ref="F598" si="125">D598*(($F$176)+1)+(IF(E598&lt;101,E598,IF(E598&lt;201,E598/2,IF(E598&lt;=301,E598/3,E598/4))))</f>
        <v>1143.2074118399998</v>
      </c>
      <c r="G598" s="114"/>
      <c r="H598" s="115"/>
      <c r="I598" s="62"/>
      <c r="N598" s="62"/>
    </row>
    <row r="599" spans="1:14" s="63" customFormat="1" x14ac:dyDescent="0.35">
      <c r="A599" s="106" t="s">
        <v>272</v>
      </c>
      <c r="B599" s="106"/>
      <c r="C599" s="106"/>
      <c r="D599" s="106"/>
      <c r="E599" s="106"/>
      <c r="F599" s="106"/>
      <c r="G599" s="106"/>
      <c r="H599" s="106"/>
      <c r="I599" s="62"/>
      <c r="L599" s="99"/>
      <c r="M599" s="99"/>
      <c r="N599" s="62"/>
    </row>
    <row r="600" spans="1:14" s="63" customFormat="1" ht="15.75" customHeight="1" x14ac:dyDescent="0.35">
      <c r="A600" s="105">
        <v>1</v>
      </c>
      <c r="B600" s="105"/>
      <c r="C600" s="60" t="s">
        <v>273</v>
      </c>
      <c r="D600" s="61">
        <f t="shared" ref="D600:D601" si="126">(1.22*2.74+3.35*5.43+0.99*2.99+3.12*2.44+3.05*3.36+3.36*4.27+3.33*3.39+2.44*1.53+2.44*1.53+1.53*2.75+3.75*1.76)*10.764</f>
        <v>928.54569599999979</v>
      </c>
      <c r="E600" s="61">
        <v>0</v>
      </c>
      <c r="F600" s="61">
        <f t="shared" ref="F600:F605" si="127">D600*(($F$176)+1)+(IF(E600&lt;101,E600,IF(E600&lt;201,E600/2,IF(E600&lt;=301,E600/3,E600/4))))</f>
        <v>1485.6731135999999</v>
      </c>
      <c r="G600" s="110" t="str">
        <f>A599</f>
        <v>13th, 16th to 20th, 23rd to 27th, 30th to 34th, 37th to 41th, 44th to 49th &amp; 51st to 54th Floor</v>
      </c>
      <c r="H600" s="111"/>
      <c r="I600" s="62"/>
      <c r="L600" s="99"/>
      <c r="M600" s="99"/>
    </row>
    <row r="601" spans="1:14" s="63" customFormat="1" ht="15.75" customHeight="1" x14ac:dyDescent="0.35">
      <c r="A601" s="105">
        <f>A600+1</f>
        <v>2</v>
      </c>
      <c r="B601" s="105"/>
      <c r="C601" s="60" t="s">
        <v>273</v>
      </c>
      <c r="D601" s="61">
        <f t="shared" si="126"/>
        <v>928.54569599999979</v>
      </c>
      <c r="E601" s="61">
        <v>0</v>
      </c>
      <c r="F601" s="61">
        <f t="shared" si="127"/>
        <v>1485.6731135999999</v>
      </c>
      <c r="G601" s="112" t="str">
        <f>G600</f>
        <v>13th, 16th to 20th, 23rd to 27th, 30th to 34th, 37th to 41th, 44th to 49th &amp; 51st to 54th Floor</v>
      </c>
      <c r="H601" s="113"/>
      <c r="I601" s="62"/>
      <c r="N601" s="62"/>
    </row>
    <row r="602" spans="1:14" s="63" customFormat="1" ht="15.75" customHeight="1" x14ac:dyDescent="0.35">
      <c r="A602" s="105">
        <f>A601+1</f>
        <v>3</v>
      </c>
      <c r="B602" s="105"/>
      <c r="C602" s="60">
        <v>2</v>
      </c>
      <c r="D602" s="61">
        <f>(3.05*5.83+3.54*0.76+1.22*2.14+2.14*3.1+1.7*1.35+3.05*3.36+3.05*4.46+2.44*1.53+1.53*2.44+1*3.05+3*1.52)*10.764</f>
        <v>763.58847239999989</v>
      </c>
      <c r="E602" s="61">
        <v>0</v>
      </c>
      <c r="F602" s="61">
        <f t="shared" si="127"/>
        <v>1221.7415558399998</v>
      </c>
      <c r="G602" s="112" t="str">
        <f>G601</f>
        <v>13th, 16th to 20th, 23rd to 27th, 30th to 34th, 37th to 41th, 44th to 49th &amp; 51st to 54th Floor</v>
      </c>
      <c r="H602" s="113"/>
      <c r="I602" s="62"/>
      <c r="N602" s="62"/>
    </row>
    <row r="603" spans="1:14" s="63" customFormat="1" ht="15.75" customHeight="1" x14ac:dyDescent="0.35">
      <c r="A603" s="105">
        <f t="shared" ref="A603:A605" si="128">A602+1</f>
        <v>4</v>
      </c>
      <c r="B603" s="105"/>
      <c r="C603" s="60">
        <v>2</v>
      </c>
      <c r="D603" s="61">
        <f>(3.05*5.83+3.54*0.76+1.22*2.14+2.14*3.1+1.7*1.35+3.05*3.36+3.05*4.46+2.44*1.53+1.53*2.44+1*3.05+3*1.52)*10.764</f>
        <v>763.58847239999989</v>
      </c>
      <c r="E603" s="61">
        <v>0</v>
      </c>
      <c r="F603" s="61">
        <f t="shared" si="127"/>
        <v>1221.7415558399998</v>
      </c>
      <c r="G603" s="112" t="str">
        <f>G602</f>
        <v>13th, 16th to 20th, 23rd to 27th, 30th to 34th, 37th to 41th, 44th to 49th &amp; 51st to 54th Floor</v>
      </c>
      <c r="H603" s="113"/>
      <c r="I603" s="62"/>
      <c r="N603" s="62"/>
    </row>
    <row r="604" spans="1:14" s="63" customFormat="1" ht="15.75" customHeight="1" x14ac:dyDescent="0.35">
      <c r="A604" s="105">
        <f t="shared" si="128"/>
        <v>5</v>
      </c>
      <c r="B604" s="105"/>
      <c r="C604" s="60">
        <v>2</v>
      </c>
      <c r="D604" s="61">
        <f t="shared" ref="D604:D605" si="129">(3.05*5.83+3.54*0.76+1.22*2.14+2.14*3.1+1.7*1.35+3.05*3.36+3.05*4.46+2.44*1.53+1.53*2.44+1*3.05+3*1.52)*10.764</f>
        <v>763.58847239999989</v>
      </c>
      <c r="E604" s="61">
        <v>0</v>
      </c>
      <c r="F604" s="61">
        <f t="shared" si="127"/>
        <v>1221.7415558399998</v>
      </c>
      <c r="G604" s="112" t="str">
        <f>G603</f>
        <v>13th, 16th to 20th, 23rd to 27th, 30th to 34th, 37th to 41th, 44th to 49th &amp; 51st to 54th Floor</v>
      </c>
      <c r="H604" s="113"/>
      <c r="I604" s="62"/>
      <c r="N604" s="62"/>
    </row>
    <row r="605" spans="1:14" s="63" customFormat="1" ht="15.75" customHeight="1" x14ac:dyDescent="0.35">
      <c r="A605" s="105">
        <f t="shared" si="128"/>
        <v>6</v>
      </c>
      <c r="B605" s="105"/>
      <c r="C605" s="60">
        <v>2</v>
      </c>
      <c r="D605" s="61">
        <f t="shared" si="129"/>
        <v>763.58847239999989</v>
      </c>
      <c r="E605" s="61">
        <v>0</v>
      </c>
      <c r="F605" s="61">
        <f t="shared" si="127"/>
        <v>1221.7415558399998</v>
      </c>
      <c r="G605" s="114" t="str">
        <f>G604</f>
        <v>13th, 16th to 20th, 23rd to 27th, 30th to 34th, 37th to 41th, 44th to 49th &amp; 51st to 54th Floor</v>
      </c>
      <c r="H605" s="115"/>
      <c r="I605" s="62"/>
      <c r="N605" s="62"/>
    </row>
    <row r="606" spans="1:14" s="63" customFormat="1" x14ac:dyDescent="0.35">
      <c r="A606" s="106" t="s">
        <v>230</v>
      </c>
      <c r="B606" s="106"/>
      <c r="C606" s="106"/>
      <c r="D606" s="106"/>
      <c r="E606" s="106"/>
      <c r="F606" s="106"/>
      <c r="G606" s="106"/>
      <c r="H606" s="106"/>
      <c r="I606" s="62"/>
      <c r="L606" s="99"/>
      <c r="M606" s="99"/>
    </row>
    <row r="607" spans="1:14" s="63" customFormat="1" x14ac:dyDescent="0.35">
      <c r="A607" s="106" t="s">
        <v>252</v>
      </c>
      <c r="B607" s="106"/>
      <c r="C607" s="106"/>
      <c r="D607" s="106"/>
      <c r="E607" s="106"/>
      <c r="F607" s="106"/>
      <c r="G607" s="106"/>
      <c r="H607" s="106"/>
      <c r="I607" s="62"/>
      <c r="L607" s="99"/>
      <c r="M607" s="99"/>
      <c r="N607" s="62"/>
    </row>
    <row r="608" spans="1:14" s="63" customFormat="1" ht="78.75" customHeight="1" x14ac:dyDescent="0.35">
      <c r="A608" s="105">
        <v>1</v>
      </c>
      <c r="B608" s="105"/>
      <c r="C608" s="60" t="s">
        <v>253</v>
      </c>
      <c r="D608" s="61">
        <f>(1.22*2.74+3.35*5.43+0.99*2.99+3.12*2.44+3.05*3.36+3.36*4.27+3.33*3.39+2.44*1.53+2.44*1.53+1.53*2.75+3.75*1.76+1.8*2.5+(3.05*3.46+3.36*4.27+3.3*3.3+1.53*2.15+2.44*1.53+1.5*1.84+0.9*4.53+0.9*3.3))*10.764</f>
        <v>1543.3842995999996</v>
      </c>
      <c r="E608" s="61">
        <v>0</v>
      </c>
      <c r="F608" s="61">
        <f t="shared" ref="F608:F613" si="130">D608*(($F$176)+1)+(IF(E608&lt;101,E608,IF(E608&lt;201,E608/2,IF(E608&lt;=301,E608/3,E608/4))))</f>
        <v>2469.4148793599998</v>
      </c>
      <c r="G608" s="110" t="str">
        <f>A607</f>
        <v xml:space="preserve">14th, 21st, 28th, 35th &amp; 42nd Floor </v>
      </c>
      <c r="H608" s="111"/>
      <c r="I608" s="62"/>
      <c r="L608" s="99"/>
      <c r="M608" s="99"/>
    </row>
    <row r="609" spans="1:14" s="63" customFormat="1" x14ac:dyDescent="0.35">
      <c r="A609" s="105">
        <f>A608+1</f>
        <v>2</v>
      </c>
      <c r="B609" s="105"/>
      <c r="C609" s="60" t="s">
        <v>273</v>
      </c>
      <c r="D609" s="61">
        <f t="shared" ref="D609" si="131">(1.22*2.74+3.35*5.43+0.99*2.99+3.12*2.44+3.05*3.36+3.36*4.27+3.33*3.39+2.44*1.53+2.44*1.53+1.53*2.75+3.75*1.76)*10.764</f>
        <v>928.54569599999979</v>
      </c>
      <c r="E609" s="61">
        <v>0</v>
      </c>
      <c r="F609" s="61">
        <f t="shared" si="130"/>
        <v>1485.6731135999999</v>
      </c>
      <c r="G609" s="112" t="str">
        <f>G608</f>
        <v xml:space="preserve">14th, 21st, 28th, 35th &amp; 42nd Floor </v>
      </c>
      <c r="H609" s="113"/>
      <c r="I609" s="62"/>
      <c r="N609" s="62"/>
    </row>
    <row r="610" spans="1:14" s="63" customFormat="1" ht="15.75" customHeight="1" x14ac:dyDescent="0.35">
      <c r="A610" s="105">
        <f>A609+1</f>
        <v>3</v>
      </c>
      <c r="B610" s="105"/>
      <c r="C610" s="60">
        <v>2</v>
      </c>
      <c r="D610" s="61">
        <f>(3.05*5.83+3.54*0.76+1.22*2.14+2.14*3.1+1.7*1.35+3.05*3.36+3.05*4.46+2.44*1.53+1.53*2.44+1*3.05+3*1.52)*10.764</f>
        <v>763.58847239999989</v>
      </c>
      <c r="E610" s="61">
        <v>0</v>
      </c>
      <c r="F610" s="61">
        <f t="shared" si="130"/>
        <v>1221.7415558399998</v>
      </c>
      <c r="G610" s="112" t="str">
        <f>G609</f>
        <v xml:space="preserve">14th, 21st, 28th, 35th &amp; 42nd Floor </v>
      </c>
      <c r="H610" s="113"/>
      <c r="I610" s="62"/>
      <c r="N610" s="62"/>
    </row>
    <row r="611" spans="1:14" s="63" customFormat="1" ht="15.75" customHeight="1" x14ac:dyDescent="0.35">
      <c r="A611" s="105">
        <f t="shared" ref="A611:A613" si="132">A610+1</f>
        <v>4</v>
      </c>
      <c r="B611" s="105"/>
      <c r="C611" s="60">
        <v>2</v>
      </c>
      <c r="D611" s="61">
        <f>(3.05*5.83+3.54*0.76+1.22*2.14+2.14*3.1+1.7*1.35+3.05*3.36+3.05*4.46+2.44*1.53+1.53*2.44+1*3.05+3*1.52)*10.764</f>
        <v>763.58847239999989</v>
      </c>
      <c r="E611" s="61">
        <v>0</v>
      </c>
      <c r="F611" s="61">
        <f t="shared" si="130"/>
        <v>1221.7415558399998</v>
      </c>
      <c r="G611" s="112" t="str">
        <f>G610</f>
        <v xml:space="preserve">14th, 21st, 28th, 35th &amp; 42nd Floor </v>
      </c>
      <c r="H611" s="113"/>
      <c r="I611" s="62"/>
      <c r="N611" s="62"/>
    </row>
    <row r="612" spans="1:14" s="63" customFormat="1" ht="15.75" customHeight="1" x14ac:dyDescent="0.35">
      <c r="A612" s="105">
        <f t="shared" si="132"/>
        <v>5</v>
      </c>
      <c r="B612" s="105"/>
      <c r="C612" s="60">
        <v>2</v>
      </c>
      <c r="D612" s="61">
        <f t="shared" ref="D612:D613" si="133">(3.05*5.83+3.54*0.76+1.22*2.14+2.14*3.1+1.7*1.35+3.05*3.36+3.05*4.46+2.44*1.53+1.53*2.44+1*3.05+3*1.52)*10.764</f>
        <v>763.58847239999989</v>
      </c>
      <c r="E612" s="61">
        <v>0</v>
      </c>
      <c r="F612" s="61">
        <f t="shared" si="130"/>
        <v>1221.7415558399998</v>
      </c>
      <c r="G612" s="112" t="str">
        <f>G611</f>
        <v xml:space="preserve">14th, 21st, 28th, 35th &amp; 42nd Floor </v>
      </c>
      <c r="H612" s="113"/>
      <c r="I612" s="62"/>
      <c r="N612" s="62"/>
    </row>
    <row r="613" spans="1:14" s="63" customFormat="1" ht="15.75" customHeight="1" x14ac:dyDescent="0.35">
      <c r="A613" s="105">
        <f t="shared" si="132"/>
        <v>6</v>
      </c>
      <c r="B613" s="105"/>
      <c r="C613" s="60">
        <v>2</v>
      </c>
      <c r="D613" s="61">
        <f t="shared" si="133"/>
        <v>763.58847239999989</v>
      </c>
      <c r="E613" s="61">
        <v>0</v>
      </c>
      <c r="F613" s="61">
        <f t="shared" si="130"/>
        <v>1221.7415558399998</v>
      </c>
      <c r="G613" s="114" t="str">
        <f>G612</f>
        <v xml:space="preserve">14th, 21st, 28th, 35th &amp; 42nd Floor </v>
      </c>
      <c r="H613" s="115"/>
      <c r="I613" s="62"/>
      <c r="N613" s="62"/>
    </row>
    <row r="614" spans="1:14" s="63" customFormat="1" x14ac:dyDescent="0.35">
      <c r="A614" s="106" t="s">
        <v>235</v>
      </c>
      <c r="B614" s="106"/>
      <c r="C614" s="106"/>
      <c r="D614" s="106"/>
      <c r="E614" s="106"/>
      <c r="F614" s="106"/>
      <c r="G614" s="106"/>
      <c r="H614" s="106"/>
      <c r="I614" s="62"/>
      <c r="L614" s="99"/>
      <c r="M614" s="99"/>
      <c r="N614" s="62"/>
    </row>
    <row r="615" spans="1:14" s="63" customFormat="1" ht="15.75" customHeight="1" x14ac:dyDescent="0.35">
      <c r="A615" s="105">
        <v>1</v>
      </c>
      <c r="B615" s="105"/>
      <c r="C615" s="100" t="s">
        <v>254</v>
      </c>
      <c r="D615" s="216">
        <f>(1.22*2.74+3.35*5.43+2.99*0.99+3.12*2.44+1.35*1.84+2.44*1.53+2.44*1.53+3.47*1+3.05*3.36+3.36*4.27+3.33*3.39+1.53*2.75+3.75*1.76+3.33*3.39+2.44*1.53+3.36*4.27+3.05*3.46+1.53*2.75+1.35*2.75+0.9*0.25+0.9*4.53+1.5*1.84)*10.764</f>
        <v>1583.6222843999999</v>
      </c>
      <c r="E615" s="216">
        <v>0</v>
      </c>
      <c r="F615" s="101">
        <f t="shared" ref="F615" si="134">D615*(($F$176)+1)+(IF(E615&lt;101,E615,IF(E615&lt;201,E615/2,IF(E615&lt;=301,E615/3,E615/4))))</f>
        <v>2533.7956550399999</v>
      </c>
      <c r="G615" s="112" t="str">
        <f>A614</f>
        <v>15th, 22nd, 29th, 36th &amp; 43rd Floor (Part Refuge Area)</v>
      </c>
      <c r="H615" s="113"/>
      <c r="I615" s="62"/>
      <c r="N615" s="62"/>
    </row>
    <row r="616" spans="1:14" s="63" customFormat="1" ht="15.75" customHeight="1" x14ac:dyDescent="0.35">
      <c r="A616" s="105">
        <f>A615+1</f>
        <v>2</v>
      </c>
      <c r="B616" s="105"/>
      <c r="C616" s="107" t="s">
        <v>197</v>
      </c>
      <c r="D616" s="108"/>
      <c r="E616" s="108"/>
      <c r="F616" s="109"/>
      <c r="G616" s="112" t="str">
        <f>G615</f>
        <v>15th, 22nd, 29th, 36th &amp; 43rd Floor (Part Refuge Area)</v>
      </c>
      <c r="H616" s="113"/>
      <c r="I616" s="62"/>
      <c r="N616" s="62"/>
    </row>
    <row r="617" spans="1:14" s="63" customFormat="1" ht="15.75" customHeight="1" x14ac:dyDescent="0.35">
      <c r="A617" s="105">
        <f t="shared" ref="A617:A620" si="135">A616+1</f>
        <v>3</v>
      </c>
      <c r="B617" s="105"/>
      <c r="C617" s="60">
        <v>2</v>
      </c>
      <c r="D617" s="61">
        <f>(3.05*5.83+3.54*0.76+1.22*2.14+2.14*3.1+1.7*1.35+3.05*3.36+3.05*4.46+2.44*1.53+1.53*2.44+1*3.05+3*1.52)*10.764</f>
        <v>763.58847239999989</v>
      </c>
      <c r="E617" s="61">
        <v>0</v>
      </c>
      <c r="F617" s="61">
        <f t="shared" ref="F617:F620" si="136">D617*(($F$176)+1)+(IF(E617&lt;101,E617,IF(E617&lt;201,E617/2,IF(E617&lt;=301,E617/3,E617/4))))</f>
        <v>1221.7415558399998</v>
      </c>
      <c r="G617" s="112" t="str">
        <f>G616</f>
        <v>15th, 22nd, 29th, 36th &amp; 43rd Floor (Part Refuge Area)</v>
      </c>
      <c r="H617" s="113"/>
      <c r="I617" s="62"/>
      <c r="N617" s="62"/>
    </row>
    <row r="618" spans="1:14" s="63" customFormat="1" ht="15.75" customHeight="1" x14ac:dyDescent="0.35">
      <c r="A618" s="105">
        <f t="shared" si="135"/>
        <v>4</v>
      </c>
      <c r="B618" s="105"/>
      <c r="C618" s="60">
        <v>2</v>
      </c>
      <c r="D618" s="61">
        <f>(3.05*5.83+3.54*0.76+1.22*2.14+2.14*3.1+1.7*1.35+3.05*3.36+3.05*4.46+2.44*1.53+1.53*2.44+1*3.05+3*1.52)*10.764</f>
        <v>763.58847239999989</v>
      </c>
      <c r="E618" s="61">
        <v>0</v>
      </c>
      <c r="F618" s="61">
        <f t="shared" si="136"/>
        <v>1221.7415558399998</v>
      </c>
      <c r="G618" s="112" t="str">
        <f>G617</f>
        <v>15th, 22nd, 29th, 36th &amp; 43rd Floor (Part Refuge Area)</v>
      </c>
      <c r="H618" s="113"/>
      <c r="I618" s="62"/>
      <c r="N618" s="62"/>
    </row>
    <row r="619" spans="1:14" s="63" customFormat="1" ht="15.75" customHeight="1" x14ac:dyDescent="0.35">
      <c r="A619" s="105">
        <f t="shared" si="135"/>
        <v>5</v>
      </c>
      <c r="B619" s="105"/>
      <c r="C619" s="60">
        <v>2</v>
      </c>
      <c r="D619" s="61">
        <f t="shared" ref="D619:D620" si="137">(3.05*5.83+3.54*0.76+1.22*2.14+2.14*3.1+1.7*1.35+3.05*3.36+3.05*4.46+2.44*1.53+1.53*2.44+1*3.05+3*1.52)*10.764</f>
        <v>763.58847239999989</v>
      </c>
      <c r="E619" s="61">
        <v>0</v>
      </c>
      <c r="F619" s="61">
        <f t="shared" ref="F619" si="138">D619*(($F$176)+1)+(IF(E619&lt;101,E619,IF(E619&lt;201,E619/2,IF(E619&lt;=301,E619/3,E619/4))))</f>
        <v>1221.7415558399998</v>
      </c>
      <c r="G619" s="112"/>
      <c r="H619" s="113"/>
      <c r="I619" s="62"/>
      <c r="N619" s="62"/>
    </row>
    <row r="620" spans="1:14" s="63" customFormat="1" ht="15.75" customHeight="1" x14ac:dyDescent="0.35">
      <c r="A620" s="105">
        <f t="shared" si="135"/>
        <v>6</v>
      </c>
      <c r="B620" s="105"/>
      <c r="C620" s="60">
        <v>2</v>
      </c>
      <c r="D620" s="61">
        <f t="shared" si="137"/>
        <v>763.58847239999989</v>
      </c>
      <c r="E620" s="61">
        <v>0</v>
      </c>
      <c r="F620" s="61">
        <f t="shared" si="136"/>
        <v>1221.7415558399998</v>
      </c>
      <c r="G620" s="114" t="str">
        <f>G618</f>
        <v>15th, 22nd, 29th, 36th &amp; 43rd Floor (Part Refuge Area)</v>
      </c>
      <c r="H620" s="115"/>
      <c r="I620" s="62"/>
      <c r="N620" s="62"/>
    </row>
    <row r="621" spans="1:14" s="63" customFormat="1" x14ac:dyDescent="0.35">
      <c r="A621" s="106" t="s">
        <v>234</v>
      </c>
      <c r="B621" s="106"/>
      <c r="C621" s="106"/>
      <c r="D621" s="106"/>
      <c r="E621" s="106"/>
      <c r="F621" s="106"/>
      <c r="G621" s="106"/>
      <c r="H621" s="106"/>
      <c r="I621" s="62"/>
      <c r="L621" s="99"/>
      <c r="M621" s="99"/>
      <c r="N621" s="62"/>
    </row>
    <row r="622" spans="1:14" s="63" customFormat="1" ht="15.75" customHeight="1" x14ac:dyDescent="0.35">
      <c r="A622" s="105">
        <v>1</v>
      </c>
      <c r="B622" s="105"/>
      <c r="C622" s="60" t="s">
        <v>273</v>
      </c>
      <c r="D622" s="61">
        <f>(1.22*2.74+4.36*5.43+0.99*2.99+3.12*2.44+3.05*3.36+3.36*4.27+3.33*3.39+2.44*1.53+2.44*1.53+1.53*2.75+7.56*1.76)*10.764</f>
        <v>1059.7577795999998</v>
      </c>
      <c r="E622" s="61">
        <v>0</v>
      </c>
      <c r="F622" s="61">
        <f t="shared" ref="F622:F627" si="139">D622*(($F$176)+1)+(IF(E622&lt;101,E622,IF(E622&lt;201,E622/2,IF(E622&lt;=301,E622/3,E622/4))))</f>
        <v>1695.6124473599998</v>
      </c>
      <c r="G622" s="112" t="str">
        <f>A621</f>
        <v>50th Floor (Part Refuge Area)</v>
      </c>
      <c r="H622" s="113"/>
      <c r="I622" s="62"/>
      <c r="N622" s="62"/>
    </row>
    <row r="623" spans="1:14" s="63" customFormat="1" ht="15.75" customHeight="1" x14ac:dyDescent="0.35">
      <c r="A623" s="105">
        <f>A622+1</f>
        <v>2</v>
      </c>
      <c r="B623" s="105"/>
      <c r="C623" s="107" t="s">
        <v>276</v>
      </c>
      <c r="D623" s="108"/>
      <c r="E623" s="108"/>
      <c r="F623" s="109"/>
      <c r="G623" s="112" t="str">
        <f>G622</f>
        <v>50th Floor (Part Refuge Area)</v>
      </c>
      <c r="H623" s="113"/>
      <c r="I623" s="62"/>
      <c r="N623" s="62"/>
    </row>
    <row r="624" spans="1:14" s="63" customFormat="1" ht="15.75" customHeight="1" x14ac:dyDescent="0.35">
      <c r="A624" s="105">
        <f t="shared" ref="A624:A627" si="140">A623+1</f>
        <v>3</v>
      </c>
      <c r="B624" s="105"/>
      <c r="C624" s="60" t="s">
        <v>277</v>
      </c>
      <c r="D624" s="61">
        <f t="shared" ref="D624:D627" si="141">(3.05*5.83+3.54*0.76+1.22*2.14+2.14*3.1+1.7*1.35+3.05*3.36+3.05*4.46+2.44*1.53+1.53*2.44+1*3.05+3*1.52)*10.764</f>
        <v>763.58847239999989</v>
      </c>
      <c r="E624" s="61">
        <v>0</v>
      </c>
      <c r="F624" s="61">
        <f t="shared" si="139"/>
        <v>1221.7415558399998</v>
      </c>
      <c r="G624" s="112" t="str">
        <f>G623</f>
        <v>50th Floor (Part Refuge Area)</v>
      </c>
      <c r="H624" s="113"/>
      <c r="I624" s="62"/>
      <c r="N624" s="62"/>
    </row>
    <row r="625" spans="1:14" s="63" customFormat="1" ht="15.75" customHeight="1" x14ac:dyDescent="0.35">
      <c r="A625" s="105">
        <f t="shared" si="140"/>
        <v>4</v>
      </c>
      <c r="B625" s="105"/>
      <c r="C625" s="60" t="s">
        <v>277</v>
      </c>
      <c r="D625" s="61">
        <f t="shared" si="141"/>
        <v>763.58847239999989</v>
      </c>
      <c r="E625" s="61">
        <v>0</v>
      </c>
      <c r="F625" s="61">
        <f t="shared" si="139"/>
        <v>1221.7415558399998</v>
      </c>
      <c r="G625" s="112" t="str">
        <f>G624</f>
        <v>50th Floor (Part Refuge Area)</v>
      </c>
      <c r="H625" s="113"/>
      <c r="I625" s="62"/>
      <c r="N625" s="62"/>
    </row>
    <row r="626" spans="1:14" s="63" customFormat="1" ht="15.75" customHeight="1" x14ac:dyDescent="0.35">
      <c r="A626" s="105">
        <f t="shared" si="140"/>
        <v>5</v>
      </c>
      <c r="B626" s="105"/>
      <c r="C626" s="60" t="s">
        <v>277</v>
      </c>
      <c r="D626" s="61">
        <f t="shared" si="141"/>
        <v>763.58847239999989</v>
      </c>
      <c r="E626" s="61">
        <v>0</v>
      </c>
      <c r="F626" s="61">
        <f t="shared" ref="F626" si="142">D626*(($F$176)+1)+(IF(E626&lt;101,E626,IF(E626&lt;201,E626/2,IF(E626&lt;=301,E626/3,E626/4))))</f>
        <v>1221.7415558399998</v>
      </c>
      <c r="G626" s="112"/>
      <c r="H626" s="113"/>
      <c r="I626" s="62"/>
      <c r="N626" s="62"/>
    </row>
    <row r="627" spans="1:14" s="63" customFormat="1" ht="15.75" customHeight="1" x14ac:dyDescent="0.35">
      <c r="A627" s="105">
        <f t="shared" si="140"/>
        <v>6</v>
      </c>
      <c r="B627" s="105"/>
      <c r="C627" s="60" t="s">
        <v>277</v>
      </c>
      <c r="D627" s="61">
        <f t="shared" si="141"/>
        <v>763.58847239999989</v>
      </c>
      <c r="E627" s="61">
        <v>0</v>
      </c>
      <c r="F627" s="61">
        <f t="shared" si="139"/>
        <v>1221.7415558399998</v>
      </c>
      <c r="G627" s="114" t="str">
        <f>G625</f>
        <v>50th Floor (Part Refuge Area)</v>
      </c>
      <c r="H627" s="115"/>
      <c r="I627" s="62"/>
      <c r="N627" s="62"/>
    </row>
    <row r="628" spans="1:14" s="63" customFormat="1" x14ac:dyDescent="0.35">
      <c r="A628" s="119" t="s">
        <v>244</v>
      </c>
      <c r="B628" s="120"/>
      <c r="C628" s="120"/>
      <c r="D628" s="120"/>
      <c r="E628" s="120"/>
      <c r="F628" s="120"/>
      <c r="G628" s="120"/>
      <c r="H628" s="121"/>
      <c r="J628" s="62"/>
    </row>
    <row r="629" spans="1:14" s="63" customFormat="1" ht="15.75" customHeight="1" x14ac:dyDescent="0.35">
      <c r="A629" s="116" t="s">
        <v>246</v>
      </c>
      <c r="B629" s="117"/>
      <c r="C629" s="117"/>
      <c r="D629" s="117"/>
      <c r="E629" s="117"/>
      <c r="F629" s="117"/>
      <c r="G629" s="117"/>
      <c r="H629" s="118"/>
      <c r="J629" s="62"/>
    </row>
    <row r="630" spans="1:14" s="63" customFormat="1" x14ac:dyDescent="0.35">
      <c r="A630" s="116" t="s">
        <v>182</v>
      </c>
      <c r="B630" s="117"/>
      <c r="C630" s="117"/>
      <c r="D630" s="117"/>
      <c r="E630" s="117"/>
      <c r="F630" s="117"/>
      <c r="G630" s="117"/>
      <c r="H630" s="118"/>
      <c r="J630" s="62"/>
    </row>
    <row r="631" spans="1:14" s="63" customFormat="1" x14ac:dyDescent="0.35">
      <c r="A631" s="116" t="s">
        <v>183</v>
      </c>
      <c r="B631" s="117"/>
      <c r="C631" s="117"/>
      <c r="D631" s="117"/>
      <c r="E631" s="117"/>
      <c r="F631" s="117"/>
      <c r="G631" s="117"/>
      <c r="H631" s="118"/>
      <c r="J631" s="62"/>
    </row>
    <row r="632" spans="1:14" s="63" customFormat="1" ht="15.75" customHeight="1" x14ac:dyDescent="0.35">
      <c r="A632" s="116" t="s">
        <v>184</v>
      </c>
      <c r="B632" s="117"/>
      <c r="C632" s="117"/>
      <c r="D632" s="117"/>
      <c r="E632" s="117"/>
      <c r="F632" s="117"/>
      <c r="G632" s="117"/>
      <c r="H632" s="118"/>
      <c r="I632" s="62"/>
      <c r="L632" s="99"/>
      <c r="M632" s="99"/>
      <c r="N632" s="62"/>
    </row>
    <row r="633" spans="1:14" s="63" customFormat="1" x14ac:dyDescent="0.35">
      <c r="A633" s="105">
        <v>1</v>
      </c>
      <c r="B633" s="105"/>
      <c r="C633" s="60">
        <v>3</v>
      </c>
      <c r="D633" s="61">
        <f>(1.1*2.74+2.9*2.44+0.92*2.83+3.2*5.27+1.35*2.14+2.44*1.53+2.44*1.53+2.44*3+3.4*3.23+3.2*3.95+1.53*2.75+3.6*1.76)*10.764</f>
        <v>876.17345399999977</v>
      </c>
      <c r="E633" s="61">
        <v>0</v>
      </c>
      <c r="F633" s="61">
        <f t="shared" ref="F633" si="143">D633*(($F$176)+1)+(IF(E633&lt;101,E633,IF(E633&lt;201,E633/2,IF(E633&lt;=301,E633/3,E633/4))))</f>
        <v>1401.8775263999996</v>
      </c>
      <c r="G633" s="105" t="str">
        <f>A632</f>
        <v>2nd Podium Floor For Parking</v>
      </c>
      <c r="H633" s="105"/>
      <c r="I633" s="62"/>
      <c r="L633" s="99"/>
      <c r="M633" s="99"/>
    </row>
    <row r="634" spans="1:14" s="63" customFormat="1" x14ac:dyDescent="0.35">
      <c r="A634" s="106" t="s">
        <v>256</v>
      </c>
      <c r="B634" s="106"/>
      <c r="C634" s="106"/>
      <c r="D634" s="106"/>
      <c r="E634" s="106"/>
      <c r="F634" s="106"/>
      <c r="G634" s="106"/>
      <c r="H634" s="106"/>
      <c r="I634" s="62"/>
      <c r="L634" s="99"/>
      <c r="M634" s="99"/>
      <c r="N634" s="62"/>
    </row>
    <row r="635" spans="1:14" s="63" customFormat="1" ht="15.75" customHeight="1" x14ac:dyDescent="0.35">
      <c r="A635" s="105">
        <v>1</v>
      </c>
      <c r="B635" s="105"/>
      <c r="C635" s="60">
        <v>3</v>
      </c>
      <c r="D635" s="61">
        <f>(1.1*2.74+2.9*2.44+0.92*2.83+3.2*5.27+1.35*2.14+2.44*1.53+2.44*1.53+2.44*3+3.4*3.23+3.2*3.95+1.53*2.75+3.6*1.76)*10.764</f>
        <v>876.17345399999977</v>
      </c>
      <c r="E635" s="61">
        <v>0</v>
      </c>
      <c r="F635" s="61">
        <f t="shared" ref="F635:F636" si="144">D635*(($F$176)+1)+(IF(E635&lt;101,E635,IF(E635&lt;201,E635/2,IF(E635&lt;=301,E635/3,E635/4))))</f>
        <v>1401.8775263999996</v>
      </c>
      <c r="G635" s="110" t="str">
        <f>A634</f>
        <v>3rd Podium Floor For Residential &amp; Parking Area</v>
      </c>
      <c r="H635" s="111"/>
      <c r="I635" s="62"/>
      <c r="L635" s="99"/>
      <c r="M635" s="99"/>
    </row>
    <row r="636" spans="1:14" s="63" customFormat="1" ht="15.75" customHeight="1" x14ac:dyDescent="0.35">
      <c r="A636" s="105">
        <v>6</v>
      </c>
      <c r="B636" s="105"/>
      <c r="C636" s="60">
        <v>2</v>
      </c>
      <c r="D636" s="61">
        <f>(3.05*5.83+3.54*0.76+1.22*2.14+2.14*3.1+1.7*1.35+3.05*3.36+3.05*4.46+2.44*1.53+1.53*2.44+1*3.05)*10.764</f>
        <v>714.50463239999988</v>
      </c>
      <c r="E636" s="61">
        <v>0</v>
      </c>
      <c r="F636" s="61">
        <f t="shared" si="144"/>
        <v>1143.2074118399998</v>
      </c>
      <c r="G636" s="114"/>
      <c r="H636" s="115"/>
      <c r="I636" s="62"/>
      <c r="N636" s="62"/>
    </row>
    <row r="637" spans="1:14" s="63" customFormat="1" x14ac:dyDescent="0.35">
      <c r="A637" s="106" t="s">
        <v>257</v>
      </c>
      <c r="B637" s="106"/>
      <c r="C637" s="106"/>
      <c r="D637" s="106"/>
      <c r="E637" s="106"/>
      <c r="F637" s="106"/>
      <c r="G637" s="106"/>
      <c r="H637" s="106"/>
      <c r="I637" s="62"/>
      <c r="L637" s="99"/>
      <c r="M637" s="99"/>
      <c r="N637" s="62"/>
    </row>
    <row r="638" spans="1:14" s="63" customFormat="1" ht="15.75" customHeight="1" x14ac:dyDescent="0.35">
      <c r="A638" s="105">
        <v>1</v>
      </c>
      <c r="B638" s="105"/>
      <c r="C638" s="60">
        <v>3</v>
      </c>
      <c r="D638" s="61">
        <f>(1.1*2.74+2.9*2.44+0.92*2.83+3.2*5.27+1.35*2.14+2.44*1.53+2.44*1.53+2.44*3+3.4*3.23+3.2*3.95+1.53*2.75+3.6*1.76)*10.764</f>
        <v>876.17345399999977</v>
      </c>
      <c r="E638" s="61">
        <v>0</v>
      </c>
      <c r="F638" s="61">
        <f t="shared" ref="F638:F639" si="145">D638*(($F$176)+1)+(IF(E638&lt;101,E638,IF(E638&lt;201,E638/2,IF(E638&lt;=301,E638/3,E638/4))))</f>
        <v>1401.8775263999996</v>
      </c>
      <c r="G638" s="110" t="str">
        <f>A637</f>
        <v>4th Podium Floor For Residential &amp; Parking Area</v>
      </c>
      <c r="H638" s="111"/>
      <c r="I638" s="62"/>
      <c r="L638" s="99"/>
      <c r="M638" s="99"/>
    </row>
    <row r="639" spans="1:14" s="63" customFormat="1" ht="15.75" customHeight="1" x14ac:dyDescent="0.35">
      <c r="A639" s="105">
        <v>6</v>
      </c>
      <c r="B639" s="105"/>
      <c r="C639" s="60">
        <v>2</v>
      </c>
      <c r="D639" s="61">
        <f>(3.05*5.83+3.54*0.76+1.22*2.14+2.14*3.1+1.7*1.35+3.05*3.36+3.05*4.46+2.44*1.53+1.53*2.44+1*3.05)*10.764</f>
        <v>714.50463239999988</v>
      </c>
      <c r="E639" s="61">
        <v>0</v>
      </c>
      <c r="F639" s="61">
        <f t="shared" si="145"/>
        <v>1143.2074118399998</v>
      </c>
      <c r="G639" s="114" t="str">
        <f>G638</f>
        <v>4th Podium Floor For Residential &amp; Parking Area</v>
      </c>
      <c r="H639" s="115"/>
      <c r="I639" s="62"/>
      <c r="N639" s="62"/>
    </row>
    <row r="640" spans="1:14" s="63" customFormat="1" x14ac:dyDescent="0.35">
      <c r="A640" s="106" t="s">
        <v>258</v>
      </c>
      <c r="B640" s="106"/>
      <c r="C640" s="106"/>
      <c r="D640" s="106"/>
      <c r="E640" s="106"/>
      <c r="F640" s="106"/>
      <c r="G640" s="106"/>
      <c r="H640" s="106"/>
      <c r="I640" s="62"/>
      <c r="L640" s="99"/>
      <c r="M640" s="99"/>
      <c r="N640" s="62"/>
    </row>
    <row r="641" spans="1:14" s="63" customFormat="1" ht="15.75" customHeight="1" x14ac:dyDescent="0.35">
      <c r="A641" s="105">
        <v>1</v>
      </c>
      <c r="B641" s="105"/>
      <c r="C641" s="60">
        <v>3</v>
      </c>
      <c r="D641" s="61">
        <f>(1.1*2.74+2.9*2.44+0.92*2.83+3.2*5.27+1.35*2.14+2.44*1.53+2.44*1.53+2.44*3+3.4*3.23+3.2*3.95+1.53*2.75+3.6*1.76)*10.764</f>
        <v>876.17345399999977</v>
      </c>
      <c r="E641" s="61">
        <v>0</v>
      </c>
      <c r="F641" s="61">
        <f t="shared" ref="F641:F642" si="146">D641*(($F$176)+1)+(IF(E641&lt;101,E641,IF(E641&lt;201,E641/2,IF(E641&lt;=301,E641/3,E641/4))))</f>
        <v>1401.8775263999996</v>
      </c>
      <c r="G641" s="110" t="str">
        <f>A640</f>
        <v>5th Podium Floor For Residential &amp; Parking Area</v>
      </c>
      <c r="H641" s="111"/>
      <c r="I641" s="62"/>
      <c r="L641" s="99"/>
      <c r="M641" s="99"/>
    </row>
    <row r="642" spans="1:14" s="63" customFormat="1" ht="15.75" customHeight="1" x14ac:dyDescent="0.35">
      <c r="A642" s="105">
        <v>6</v>
      </c>
      <c r="B642" s="105"/>
      <c r="C642" s="60">
        <v>2</v>
      </c>
      <c r="D642" s="61">
        <f>(3.05*5.83+3.54*0.76+1.22*2.14+2.14*3.1+1.7*1.35+3.05*3.36+3.05*4.46+2.44*1.53+1.53*2.44+1*3.05)*10.764</f>
        <v>714.50463239999988</v>
      </c>
      <c r="E642" s="61">
        <v>0</v>
      </c>
      <c r="F642" s="61">
        <f t="shared" si="146"/>
        <v>1143.2074118399998</v>
      </c>
      <c r="G642" s="114" t="str">
        <f>G641</f>
        <v>5th Podium Floor For Residential &amp; Parking Area</v>
      </c>
      <c r="H642" s="115"/>
      <c r="I642" s="62"/>
      <c r="N642" s="62"/>
    </row>
    <row r="643" spans="1:14" s="63" customFormat="1" x14ac:dyDescent="0.35">
      <c r="A643" s="106" t="s">
        <v>260</v>
      </c>
      <c r="B643" s="106"/>
      <c r="C643" s="106"/>
      <c r="D643" s="106"/>
      <c r="E643" s="106"/>
      <c r="F643" s="106"/>
      <c r="G643" s="106"/>
      <c r="H643" s="106"/>
      <c r="I643" s="62"/>
      <c r="L643" s="99"/>
      <c r="M643" s="99"/>
      <c r="N643" s="62"/>
    </row>
    <row r="644" spans="1:14" s="63" customFormat="1" ht="15.75" customHeight="1" x14ac:dyDescent="0.35">
      <c r="A644" s="105">
        <v>1</v>
      </c>
      <c r="B644" s="105"/>
      <c r="C644" s="60">
        <v>3</v>
      </c>
      <c r="D644" s="61">
        <f>(1.1*2.74+2.9*2.44+0.92*2.83+3.2*5.27+1.35*2.14+2.44*1.53+2.44*1.53+2.44*3+3.4*3.23+3.2*3.95+1.53*2.75+3.6*1.76)*10.764</f>
        <v>876.17345399999977</v>
      </c>
      <c r="E644" s="61">
        <v>0</v>
      </c>
      <c r="F644" s="61">
        <f t="shared" ref="F644:F645" si="147">D644*(($F$176)+1)+(IF(E644&lt;101,E644,IF(E644&lt;201,E644/2,IF(E644&lt;=301,E644/3,E644/4))))</f>
        <v>1401.8775263999996</v>
      </c>
      <c r="G644" s="110" t="str">
        <f>A643</f>
        <v>6th Podium Floor For Residential &amp; Amenity</v>
      </c>
      <c r="H644" s="111"/>
      <c r="I644" s="62"/>
      <c r="L644" s="99"/>
      <c r="M644" s="99"/>
    </row>
    <row r="645" spans="1:14" s="63" customFormat="1" ht="15.75" customHeight="1" x14ac:dyDescent="0.35">
      <c r="A645" s="105">
        <v>6</v>
      </c>
      <c r="B645" s="105"/>
      <c r="C645" s="60">
        <v>2</v>
      </c>
      <c r="D645" s="61">
        <f>(3.05*5.83+3.54*0.76+1.22*2.14+2.14*3.1+1.7*1.35+3.05*3.36+3.05*4.46+2.44*1.53+1.53*2.44+1*3.05)*10.764</f>
        <v>714.50463239999988</v>
      </c>
      <c r="E645" s="61">
        <v>0</v>
      </c>
      <c r="F645" s="61">
        <f t="shared" si="147"/>
        <v>1143.2074118399998</v>
      </c>
      <c r="G645" s="114" t="str">
        <f>G644</f>
        <v>6th Podium Floor For Residential &amp; Amenity</v>
      </c>
      <c r="H645" s="115"/>
      <c r="I645" s="62"/>
      <c r="N645" s="62"/>
    </row>
    <row r="646" spans="1:14" s="63" customFormat="1" x14ac:dyDescent="0.35">
      <c r="A646" s="106" t="s">
        <v>261</v>
      </c>
      <c r="B646" s="106"/>
      <c r="C646" s="106"/>
      <c r="D646" s="106"/>
      <c r="E646" s="106"/>
      <c r="F646" s="106"/>
      <c r="G646" s="106"/>
      <c r="H646" s="106"/>
      <c r="I646" s="62"/>
      <c r="L646" s="99"/>
      <c r="M646" s="99"/>
      <c r="N646" s="62"/>
    </row>
    <row r="647" spans="1:14" s="63" customFormat="1" ht="15.75" customHeight="1" x14ac:dyDescent="0.35">
      <c r="A647" s="105">
        <v>1</v>
      </c>
      <c r="B647" s="105"/>
      <c r="C647" s="60">
        <v>3</v>
      </c>
      <c r="D647" s="61">
        <f>(1.1*2.74+2.9*2.44+0.92*2.83+3.2*5.27+1.35*2.14+2.44*1.53+2.44*1.53+2.44*3+3.4*3.23+3.2*3.95+1.53*2.75+3.6*1.76)*10.764</f>
        <v>876.17345399999977</v>
      </c>
      <c r="E647" s="61">
        <v>0</v>
      </c>
      <c r="F647" s="61">
        <f t="shared" ref="F647:F648" si="148">D647*(($F$176)+1)+(IF(E647&lt;101,E647,IF(E647&lt;201,E647/2,IF(E647&lt;=301,E647/3,E647/4))))</f>
        <v>1401.8775263999996</v>
      </c>
      <c r="G647" s="110" t="str">
        <f>A646</f>
        <v>7th Podium Floor For Residential &amp; Amenity</v>
      </c>
      <c r="H647" s="111"/>
      <c r="I647" s="62"/>
      <c r="L647" s="99"/>
      <c r="M647" s="99"/>
    </row>
    <row r="648" spans="1:14" s="63" customFormat="1" ht="15.75" customHeight="1" x14ac:dyDescent="0.35">
      <c r="A648" s="105">
        <v>6</v>
      </c>
      <c r="B648" s="105"/>
      <c r="C648" s="60">
        <v>2</v>
      </c>
      <c r="D648" s="61">
        <f>(3.05*5.83+3.54*0.76+1.22*2.14+2.14*3.1+1.7*1.35+3.05*3.36+3.05*4.46+2.44*1.53+1.53*2.44+1*3.05)*10.764</f>
        <v>714.50463239999988</v>
      </c>
      <c r="E648" s="61">
        <v>0</v>
      </c>
      <c r="F648" s="61">
        <f t="shared" si="148"/>
        <v>1143.2074118399998</v>
      </c>
      <c r="G648" s="114" t="str">
        <f>G647</f>
        <v>7th Podium Floor For Residential &amp; Amenity</v>
      </c>
      <c r="H648" s="115"/>
      <c r="I648" s="62"/>
      <c r="N648" s="62"/>
    </row>
    <row r="649" spans="1:14" s="63" customFormat="1" x14ac:dyDescent="0.35">
      <c r="A649" s="106" t="s">
        <v>229</v>
      </c>
      <c r="B649" s="106"/>
      <c r="C649" s="106"/>
      <c r="D649" s="106"/>
      <c r="E649" s="106"/>
      <c r="F649" s="106"/>
      <c r="G649" s="106"/>
      <c r="H649" s="106"/>
      <c r="I649" s="62"/>
      <c r="L649" s="99"/>
      <c r="M649" s="99"/>
    </row>
    <row r="650" spans="1:14" s="63" customFormat="1" ht="30.75" customHeight="1" x14ac:dyDescent="0.35">
      <c r="A650" s="106" t="s">
        <v>263</v>
      </c>
      <c r="B650" s="106"/>
      <c r="C650" s="106"/>
      <c r="D650" s="106"/>
      <c r="E650" s="106"/>
      <c r="F650" s="106"/>
      <c r="G650" s="106"/>
      <c r="H650" s="106"/>
      <c r="I650" s="62"/>
      <c r="L650" s="99"/>
      <c r="M650" s="99"/>
      <c r="N650" s="62"/>
    </row>
    <row r="651" spans="1:14" s="63" customFormat="1" x14ac:dyDescent="0.35">
      <c r="A651" s="239" t="s">
        <v>219</v>
      </c>
      <c r="B651" s="239"/>
      <c r="C651" s="239"/>
      <c r="D651" s="239"/>
      <c r="E651" s="239"/>
      <c r="F651" s="239"/>
      <c r="G651" s="239"/>
      <c r="H651" s="239"/>
      <c r="I651" s="62"/>
      <c r="L651" s="99"/>
      <c r="M651" s="99"/>
      <c r="N651" s="62"/>
    </row>
    <row r="652" spans="1:14" s="63" customFormat="1" x14ac:dyDescent="0.35">
      <c r="A652" s="105">
        <v>1</v>
      </c>
      <c r="B652" s="105"/>
      <c r="C652" s="60" t="s">
        <v>273</v>
      </c>
      <c r="D652" s="61">
        <f>(1.1*2.74+2.9*2.44+0.92*2.83+3.2*5.27+1.35*2.14+2.44*1.53+2.44*1.53+2.44*3+3.4*3.23+3.2*3.95+1.53*2.75+3.6*1.76)*10.764</f>
        <v>876.17345399999977</v>
      </c>
      <c r="E652" s="61">
        <v>0</v>
      </c>
      <c r="F652" s="61">
        <f t="shared" ref="F652:F654" si="149">D652*(($F$176)+1)+(IF(E652&lt;101,E652,IF(E652&lt;201,E652/2,IF(E652&lt;=301,E652/3,E652/4))))</f>
        <v>1401.8775263999996</v>
      </c>
      <c r="G652" s="110" t="str">
        <f>A651</f>
        <v>11th Floor</v>
      </c>
      <c r="H652" s="111"/>
      <c r="I652" s="62"/>
      <c r="L652" s="99"/>
      <c r="M652" s="99"/>
    </row>
    <row r="653" spans="1:14" s="63" customFormat="1" x14ac:dyDescent="0.35">
      <c r="A653" s="105">
        <v>2</v>
      </c>
      <c r="B653" s="105"/>
      <c r="C653" s="60" t="s">
        <v>273</v>
      </c>
      <c r="D653" s="61">
        <f>(1.1*2.74+2.9*2.44+0.92*2.83+3.2*5.27+1.35*2.14+2.44*1.53+2.44*1.53+2.44*3+3.4*3.23+3.2*3.95+1.53*2.75+3.6*1.76)*10.764</f>
        <v>876.17345399999977</v>
      </c>
      <c r="E653" s="61">
        <v>0</v>
      </c>
      <c r="F653" s="61">
        <f t="shared" si="149"/>
        <v>1401.8775263999996</v>
      </c>
      <c r="G653" s="112"/>
      <c r="H653" s="113"/>
      <c r="I653" s="62"/>
      <c r="N653" s="62"/>
    </row>
    <row r="654" spans="1:14" s="63" customFormat="1" ht="52.5" customHeight="1" x14ac:dyDescent="0.35">
      <c r="A654" s="105">
        <v>3</v>
      </c>
      <c r="B654" s="105"/>
      <c r="C654" s="60" t="s">
        <v>280</v>
      </c>
      <c r="D654" s="62">
        <f>((1.53*4.24+3.31*3.74+1.2*1.5+2.44*1.53+3.4*3.22+1.53*2.75+3.2*3.95+2.54*3+3.5*1+6.55*3.91+2.54*3.05+3.2*4.05+3.4*3.23+1.53*2.75+2.44*1.53+1.93*1+2.3*1.54+3*2+1.5*1.5+6.55*2.8+2.9*1.95+2.9*1.95)+(5.48*4.99+2*2+2.44*1.53+3.4*3.22+1.53*2.75+3.2*3.95+2.54*3+2.54*3+3.3*4.9+1.53*2.75+3.4*3.23+2.44*1.53+1.93*1+3.3*1.5+0.9*2.44))*10.764</f>
        <v>3166.8775163999999</v>
      </c>
      <c r="E654" s="61">
        <v>0</v>
      </c>
      <c r="F654" s="61">
        <f t="shared" si="149"/>
        <v>5067.0040262399998</v>
      </c>
      <c r="G654" s="112"/>
      <c r="H654" s="240"/>
      <c r="N654" s="62"/>
    </row>
    <row r="655" spans="1:14" s="63" customFormat="1" x14ac:dyDescent="0.35">
      <c r="A655" s="105">
        <v>6</v>
      </c>
      <c r="B655" s="105"/>
      <c r="C655" s="60" t="s">
        <v>274</v>
      </c>
      <c r="D655" s="67">
        <f>(6.04*5.13+3.81*3.38+2.13*5.57+3.05*2.29+3.05*3.35+3.05*4.45+2*(2.4*1.525)+2*(1.52*2.44)+2*(3.05*1)+3.05*3.35+3.05*4.45+5.73*1.7)*(10.764)</f>
        <v>1516.3268327999995</v>
      </c>
      <c r="E655" s="61">
        <v>0</v>
      </c>
      <c r="F655" s="61">
        <f t="shared" ref="F655" si="150">D655*(($F$176)+1)+(IF(E655&lt;101,E655,IF(E655&lt;201,E655/2,IF(E655&lt;=301,E655/3,E655/4))))</f>
        <v>2426.1229324799992</v>
      </c>
      <c r="G655" s="112"/>
      <c r="H655" s="113"/>
      <c r="I655" s="62">
        <f>10.764</f>
        <v>10.763999999999999</v>
      </c>
      <c r="N655" s="62"/>
    </row>
    <row r="656" spans="1:14" s="63" customFormat="1" x14ac:dyDescent="0.35">
      <c r="A656" s="106" t="s">
        <v>220</v>
      </c>
      <c r="B656" s="106"/>
      <c r="C656" s="106"/>
      <c r="D656" s="106"/>
      <c r="E656" s="106"/>
      <c r="F656" s="106"/>
      <c r="G656" s="106"/>
      <c r="H656" s="106"/>
      <c r="I656" s="62"/>
      <c r="L656" s="99"/>
      <c r="M656" s="99"/>
      <c r="N656" s="62"/>
    </row>
    <row r="657" spans="1:14" s="63" customFormat="1" x14ac:dyDescent="0.35">
      <c r="A657" s="105">
        <v>1</v>
      </c>
      <c r="B657" s="105"/>
      <c r="C657" s="60" t="s">
        <v>273</v>
      </c>
      <c r="D657" s="61">
        <f>(1.1*2.74+2.9*2.44+0.92*2.83+3.2*5.27+1.35*2.14+2.44*1.53+2.44*1.53+2.44*3+3.4*3.23+3.2*3.95+1.53*2.75+3.6*1.76)*10.764</f>
        <v>876.17345399999977</v>
      </c>
      <c r="E657" s="61">
        <v>0</v>
      </c>
      <c r="F657" s="61">
        <f t="shared" ref="F657:F661" si="151">D657*(($F$176)+1)+(IF(E657&lt;101,E657,IF(E657&lt;201,E657/2,IF(E657&lt;=301,E657/3,E657/4))))</f>
        <v>1401.8775263999996</v>
      </c>
      <c r="G657" s="110" t="str">
        <f>A656</f>
        <v>12th Floor</v>
      </c>
      <c r="H657" s="111"/>
      <c r="I657" s="62"/>
      <c r="L657" s="99"/>
      <c r="M657" s="99"/>
    </row>
    <row r="658" spans="1:14" s="63" customFormat="1" x14ac:dyDescent="0.35">
      <c r="A658" s="105">
        <v>2</v>
      </c>
      <c r="B658" s="105"/>
      <c r="C658" s="60" t="s">
        <v>273</v>
      </c>
      <c r="D658" s="61">
        <f>(1.1*2.74+2.9*2.44+0.92*2.83+3.2*5.27+1.35*2.14+2.44*1.53+2.44*1.53+2.44*3+3.4*3.23+3.2*3.95+1.53*2.75+3.6*1.76)*10.764</f>
        <v>876.17345399999977</v>
      </c>
      <c r="E658" s="61">
        <v>0</v>
      </c>
      <c r="F658" s="61">
        <f t="shared" si="151"/>
        <v>1401.8775263999996</v>
      </c>
      <c r="G658" s="112"/>
      <c r="H658" s="113"/>
      <c r="I658" s="62"/>
      <c r="N658" s="62"/>
    </row>
    <row r="659" spans="1:14" s="63" customFormat="1" ht="15.75" customHeight="1" x14ac:dyDescent="0.35">
      <c r="A659" s="105">
        <v>3</v>
      </c>
      <c r="B659" s="105"/>
      <c r="C659" s="107" t="s">
        <v>251</v>
      </c>
      <c r="D659" s="108"/>
      <c r="E659" s="108"/>
      <c r="F659" s="109"/>
      <c r="G659" s="112"/>
      <c r="H659" s="113"/>
      <c r="I659" s="62"/>
      <c r="N659" s="62"/>
    </row>
    <row r="660" spans="1:14" s="63" customFormat="1" x14ac:dyDescent="0.35">
      <c r="A660" s="105">
        <v>5</v>
      </c>
      <c r="B660" s="105"/>
      <c r="C660" s="60" t="s">
        <v>277</v>
      </c>
      <c r="D660" s="61">
        <f t="shared" ref="D660:D661" si="152">(3.05*5.83+3.54*0.76+1.22*2.14+2.14*3.1+1.7*1.35+3.05*3.36+3.05*4.46+2.44*1.53+1.53*2.44+1*3.05)*10.764</f>
        <v>714.50463239999988</v>
      </c>
      <c r="E660" s="61">
        <v>0</v>
      </c>
      <c r="F660" s="61">
        <f t="shared" si="151"/>
        <v>1143.2074118399998</v>
      </c>
      <c r="G660" s="112"/>
      <c r="H660" s="113"/>
      <c r="I660" s="62"/>
      <c r="N660" s="62"/>
    </row>
    <row r="661" spans="1:14" s="63" customFormat="1" x14ac:dyDescent="0.35">
      <c r="A661" s="105">
        <v>6</v>
      </c>
      <c r="B661" s="105"/>
      <c r="C661" s="60" t="s">
        <v>277</v>
      </c>
      <c r="D661" s="61">
        <f t="shared" si="152"/>
        <v>714.50463239999988</v>
      </c>
      <c r="E661" s="61">
        <v>0</v>
      </c>
      <c r="F661" s="61">
        <f t="shared" si="151"/>
        <v>1143.2074118399998</v>
      </c>
      <c r="G661" s="112"/>
      <c r="H661" s="113"/>
      <c r="I661" s="62"/>
      <c r="N661" s="62"/>
    </row>
    <row r="662" spans="1:14" s="63" customFormat="1" x14ac:dyDescent="0.35">
      <c r="A662" s="106" t="s">
        <v>272</v>
      </c>
      <c r="B662" s="106"/>
      <c r="C662" s="106"/>
      <c r="D662" s="106"/>
      <c r="E662" s="106"/>
      <c r="F662" s="106"/>
      <c r="G662" s="106"/>
      <c r="H662" s="106"/>
      <c r="I662" s="62"/>
      <c r="L662" s="99"/>
      <c r="M662" s="99"/>
      <c r="N662" s="62"/>
    </row>
    <row r="663" spans="1:14" s="63" customFormat="1" ht="15.75" customHeight="1" x14ac:dyDescent="0.35">
      <c r="A663" s="105">
        <v>1</v>
      </c>
      <c r="B663" s="105"/>
      <c r="C663" s="60" t="s">
        <v>273</v>
      </c>
      <c r="D663" s="61">
        <f t="shared" ref="D663:D664" si="153">(1.1*2.74+2.9*2.44+0.92*2.83+3.2*5.27+1.35*2.14+2.44*1.53+2.44*1.53+2.44*3+3.4*3.23+3.2*3.95+1.53*2.75+3.6*1.76)*10.764</f>
        <v>876.17345399999977</v>
      </c>
      <c r="E663" s="61">
        <v>0</v>
      </c>
      <c r="F663" s="61">
        <f t="shared" ref="F663:F668" si="154">D663*(($F$176)+1)+(IF(E663&lt;101,E663,IF(E663&lt;201,E663/2,IF(E663&lt;=301,E663/3,E663/4))))</f>
        <v>1401.8775263999996</v>
      </c>
      <c r="G663" s="110" t="str">
        <f>A662</f>
        <v>13th, 16th to 20th, 23rd to 27th, 30th to 34th, 37th to 41th, 44th to 49th &amp; 51st to 54th Floor</v>
      </c>
      <c r="H663" s="111"/>
      <c r="I663" s="62"/>
      <c r="L663" s="99"/>
      <c r="M663" s="99"/>
    </row>
    <row r="664" spans="1:14" s="63" customFormat="1" ht="15.75" customHeight="1" x14ac:dyDescent="0.35">
      <c r="A664" s="105">
        <f>A663+1</f>
        <v>2</v>
      </c>
      <c r="B664" s="105"/>
      <c r="C664" s="60" t="s">
        <v>273</v>
      </c>
      <c r="D664" s="61">
        <f t="shared" si="153"/>
        <v>876.17345399999977</v>
      </c>
      <c r="E664" s="61">
        <v>0</v>
      </c>
      <c r="F664" s="61">
        <f t="shared" si="154"/>
        <v>1401.8775263999996</v>
      </c>
      <c r="G664" s="112" t="str">
        <f>G663</f>
        <v>13th, 16th to 20th, 23rd to 27th, 30th to 34th, 37th to 41th, 44th to 49th &amp; 51st to 54th Floor</v>
      </c>
      <c r="H664" s="113"/>
      <c r="I664" s="62"/>
      <c r="N664" s="62"/>
    </row>
    <row r="665" spans="1:14" s="63" customFormat="1" ht="15.75" customHeight="1" x14ac:dyDescent="0.35">
      <c r="A665" s="105">
        <f>A664+1</f>
        <v>3</v>
      </c>
      <c r="B665" s="105"/>
      <c r="C665" s="60" t="s">
        <v>273</v>
      </c>
      <c r="D665" s="61">
        <f>(1.22*2.44+2.9*2.44+1*2.44+0.9*2.43+3.2*5.27+2.4*3.05+3.2*3.05+1.53*2.75+3.4*3.23+2.44*1.53+2.44*1+3.5*1.76)*10.764</f>
        <v>819.64092599999981</v>
      </c>
      <c r="E665" s="61">
        <v>0</v>
      </c>
      <c r="F665" s="61">
        <f t="shared" si="154"/>
        <v>1311.4254815999998</v>
      </c>
      <c r="G665" s="112" t="str">
        <f>G664</f>
        <v>13th, 16th to 20th, 23rd to 27th, 30th to 34th, 37th to 41th, 44th to 49th &amp; 51st to 54th Floor</v>
      </c>
      <c r="H665" s="113"/>
      <c r="I665" s="62"/>
      <c r="N665" s="62"/>
    </row>
    <row r="666" spans="1:14" s="63" customFormat="1" ht="15.75" customHeight="1" x14ac:dyDescent="0.35">
      <c r="A666" s="105">
        <f t="shared" ref="A666:A668" si="155">A665+1</f>
        <v>4</v>
      </c>
      <c r="B666" s="105"/>
      <c r="C666" s="60" t="s">
        <v>273</v>
      </c>
      <c r="D666" s="61">
        <f>(1.22*2.44+2.9*2.44+1*2.44+0.9*2.43+3.2*5.27+2.4*3.05+3.2*3.05+1.53*2.75+3.4*3.23+2.44*1.53+2.44*1+3.5*1.76)*10.764</f>
        <v>819.64092599999981</v>
      </c>
      <c r="E666" s="61">
        <v>0</v>
      </c>
      <c r="F666" s="61">
        <f t="shared" si="154"/>
        <v>1311.4254815999998</v>
      </c>
      <c r="G666" s="112" t="str">
        <f>G665</f>
        <v>13th, 16th to 20th, 23rd to 27th, 30th to 34th, 37th to 41th, 44th to 49th &amp; 51st to 54th Floor</v>
      </c>
      <c r="H666" s="113"/>
      <c r="I666" s="62"/>
      <c r="N666" s="62"/>
    </row>
    <row r="667" spans="1:14" s="63" customFormat="1" ht="15.75" customHeight="1" x14ac:dyDescent="0.35">
      <c r="A667" s="105">
        <f t="shared" si="155"/>
        <v>5</v>
      </c>
      <c r="B667" s="105"/>
      <c r="C667" s="60" t="s">
        <v>277</v>
      </c>
      <c r="D667" s="61">
        <f>(3.05*5.83+3.54*0.76+1.22*2.14+2.14*3.1+1.7*1.35+3.05*3.36+3.05*4.46+2.44*1.53+1.53*2.44+1*3.05+3*1.82)*10.764</f>
        <v>773.27607239999986</v>
      </c>
      <c r="E667" s="61">
        <v>0</v>
      </c>
      <c r="F667" s="61">
        <f t="shared" si="154"/>
        <v>1237.2417158399999</v>
      </c>
      <c r="G667" s="112" t="str">
        <f>G666</f>
        <v>13th, 16th to 20th, 23rd to 27th, 30th to 34th, 37th to 41th, 44th to 49th &amp; 51st to 54th Floor</v>
      </c>
      <c r="H667" s="113"/>
      <c r="I667" s="62"/>
      <c r="N667" s="62"/>
    </row>
    <row r="668" spans="1:14" s="63" customFormat="1" ht="15.75" customHeight="1" x14ac:dyDescent="0.35">
      <c r="A668" s="105">
        <f t="shared" si="155"/>
        <v>6</v>
      </c>
      <c r="B668" s="105"/>
      <c r="C668" s="60" t="s">
        <v>277</v>
      </c>
      <c r="D668" s="61">
        <f>(3.05*5.83+3.54*0.76+1.22*2.14+2.14*3.1+1.7*1.35+3.05*3.36+3.05*4.46+2.44*1.53+1.53*2.44+1*3.05+3*1.82)*10.764</f>
        <v>773.27607239999986</v>
      </c>
      <c r="E668" s="61">
        <v>0</v>
      </c>
      <c r="F668" s="61">
        <f t="shared" si="154"/>
        <v>1237.2417158399999</v>
      </c>
      <c r="G668" s="114" t="str">
        <f>G667</f>
        <v>13th, 16th to 20th, 23rd to 27th, 30th to 34th, 37th to 41th, 44th to 49th &amp; 51st to 54th Floor</v>
      </c>
      <c r="H668" s="115"/>
      <c r="I668" s="62"/>
      <c r="N668" s="62"/>
    </row>
    <row r="669" spans="1:14" s="63" customFormat="1" x14ac:dyDescent="0.35">
      <c r="A669" s="106" t="s">
        <v>230</v>
      </c>
      <c r="B669" s="106"/>
      <c r="C669" s="106"/>
      <c r="D669" s="106"/>
      <c r="E669" s="106"/>
      <c r="F669" s="106"/>
      <c r="G669" s="106"/>
      <c r="H669" s="106"/>
      <c r="I669" s="62"/>
      <c r="L669" s="99"/>
      <c r="M669" s="99"/>
    </row>
    <row r="670" spans="1:14" s="63" customFormat="1" x14ac:dyDescent="0.35">
      <c r="A670" s="106" t="s">
        <v>252</v>
      </c>
      <c r="B670" s="106"/>
      <c r="C670" s="106"/>
      <c r="D670" s="106"/>
      <c r="E670" s="106"/>
      <c r="F670" s="106"/>
      <c r="G670" s="106"/>
      <c r="H670" s="106"/>
      <c r="I670" s="62"/>
      <c r="L670" s="99"/>
      <c r="M670" s="99"/>
      <c r="N670" s="62"/>
    </row>
    <row r="671" spans="1:14" s="63" customFormat="1" ht="81.75" customHeight="1" x14ac:dyDescent="0.35">
      <c r="A671" s="105">
        <v>1</v>
      </c>
      <c r="B671" s="105"/>
      <c r="C671" s="60" t="s">
        <v>275</v>
      </c>
      <c r="D671" s="61">
        <f>((1.1*2.74+2.9*2.44+0.92*2.83+3.2*5.27+1.35*2.14+2.44*1.53+2.44*1.53+2.44*3+3.4*3.23+3.2*3.95+1.53*2.75+3.6*1.76)+(3.2*3.95+3.4*3.22+1.53*2.75+2.45*1.53+3*4+0.9*2+2*1.5+3*0.9))*10.764</f>
        <v>1425.6110699999999</v>
      </c>
      <c r="E671" s="61">
        <v>0</v>
      </c>
      <c r="F671" s="61">
        <f t="shared" ref="F671:F676" si="156">D671*(($F$176)+1)+(IF(E671&lt;101,E671,IF(E671&lt;201,E671/2,IF(E671&lt;=301,E671/3,E671/4))))</f>
        <v>2280.9777119999999</v>
      </c>
      <c r="G671" s="110" t="str">
        <f>A670</f>
        <v xml:space="preserve">14th, 21st, 28th, 35th &amp; 42nd Floor </v>
      </c>
      <c r="H671" s="111"/>
      <c r="I671" s="62">
        <f>(1.22*2.74+3.35*5.43+0.99*2.99+3.12*2.44+3.05*3.36+3.36*4.27+3.33*3.39+2.44*1.53+2.44*1.53+1.53*2.75+3.75*1.76+1.8*2.5+(3.05*3.46+3.36*4.27+3.3*3.3+1.53*2.15+2.44*1.53+1.5*1.84+0.9*4.53+0.9*3.3))*10.764</f>
        <v>1543.3842995999996</v>
      </c>
      <c r="L671" s="99"/>
      <c r="M671" s="99"/>
    </row>
    <row r="672" spans="1:14" s="63" customFormat="1" x14ac:dyDescent="0.35">
      <c r="A672" s="105">
        <f>A671+1</f>
        <v>2</v>
      </c>
      <c r="B672" s="105"/>
      <c r="C672" s="60" t="s">
        <v>273</v>
      </c>
      <c r="D672" s="61">
        <f t="shared" ref="D672" si="157">(1.1*2.74+2.9*2.44+0.92*2.83+3.2*5.27+1.35*2.14+2.44*1.53+2.44*1.53+2.44*3+3.4*3.23+3.2*3.95+1.53*2.75+3.6*1.76)*10.764</f>
        <v>876.17345399999977</v>
      </c>
      <c r="E672" s="61">
        <v>0</v>
      </c>
      <c r="F672" s="61">
        <f t="shared" si="156"/>
        <v>1401.8775263999996</v>
      </c>
      <c r="G672" s="112" t="str">
        <f>G671</f>
        <v xml:space="preserve">14th, 21st, 28th, 35th &amp; 42nd Floor </v>
      </c>
      <c r="H672" s="113"/>
      <c r="I672" s="62"/>
      <c r="N672" s="62"/>
    </row>
    <row r="673" spans="1:14" s="63" customFormat="1" ht="15.75" customHeight="1" x14ac:dyDescent="0.35">
      <c r="A673" s="105">
        <f>A672+1</f>
        <v>3</v>
      </c>
      <c r="B673" s="105"/>
      <c r="C673" s="60" t="s">
        <v>273</v>
      </c>
      <c r="D673" s="61">
        <f>(1.22*2.44+2.9*2.44+1*2.44+0.9*2.43+3.2*5.27+2.4*3.05+3.2*3.05+1.53*2.75+3.4*3.23+2.44*1.53+2.44*1+3.5*1.76)*10.764</f>
        <v>819.64092599999981</v>
      </c>
      <c r="E673" s="61">
        <v>0</v>
      </c>
      <c r="F673" s="61">
        <f t="shared" si="156"/>
        <v>1311.4254815999998</v>
      </c>
      <c r="G673" s="112" t="str">
        <f>G672</f>
        <v xml:space="preserve">14th, 21st, 28th, 35th &amp; 42nd Floor </v>
      </c>
      <c r="H673" s="113"/>
      <c r="I673" s="62"/>
      <c r="N673" s="62"/>
    </row>
    <row r="674" spans="1:14" s="63" customFormat="1" ht="15.75" customHeight="1" x14ac:dyDescent="0.35">
      <c r="A674" s="105">
        <f t="shared" ref="A674:A676" si="158">A673+1</f>
        <v>4</v>
      </c>
      <c r="B674" s="105"/>
      <c r="C674" s="60" t="s">
        <v>273</v>
      </c>
      <c r="D674" s="61">
        <f>(1.22*2.44+2.9*2.44+1*2.44+0.9*2.43+3.2*5.27+2.4*3.05+3.2*3.05+1.53*2.75+3.4*3.23+2.44*1.53+2.44*1+3.5*1.76)*10.764</f>
        <v>819.64092599999981</v>
      </c>
      <c r="E674" s="61">
        <v>0</v>
      </c>
      <c r="F674" s="61">
        <f t="shared" si="156"/>
        <v>1311.4254815999998</v>
      </c>
      <c r="G674" s="112" t="str">
        <f>G673</f>
        <v xml:space="preserve">14th, 21st, 28th, 35th &amp; 42nd Floor </v>
      </c>
      <c r="H674" s="113"/>
      <c r="I674" s="62"/>
      <c r="N674" s="62"/>
    </row>
    <row r="675" spans="1:14" s="63" customFormat="1" ht="15.75" customHeight="1" x14ac:dyDescent="0.35">
      <c r="A675" s="105">
        <f t="shared" si="158"/>
        <v>5</v>
      </c>
      <c r="B675" s="105"/>
      <c r="C675" s="60" t="s">
        <v>277</v>
      </c>
      <c r="D675" s="61">
        <f>(3.05*5.83+3.54*0.76+1.22*2.14+2.14*3.1+1.7*1.35+3.05*3.36+3.05*4.46+2.44*1.53+1.53*2.44+1*3.05+3*1.82)*10.764</f>
        <v>773.27607239999986</v>
      </c>
      <c r="E675" s="61">
        <v>0</v>
      </c>
      <c r="F675" s="61">
        <f t="shared" si="156"/>
        <v>1237.2417158399999</v>
      </c>
      <c r="G675" s="112" t="str">
        <f>G674</f>
        <v xml:space="preserve">14th, 21st, 28th, 35th &amp; 42nd Floor </v>
      </c>
      <c r="H675" s="113"/>
      <c r="I675" s="62"/>
      <c r="N675" s="62"/>
    </row>
    <row r="676" spans="1:14" s="63" customFormat="1" ht="15.75" customHeight="1" x14ac:dyDescent="0.35">
      <c r="A676" s="105">
        <f t="shared" si="158"/>
        <v>6</v>
      </c>
      <c r="B676" s="105"/>
      <c r="C676" s="60" t="s">
        <v>277</v>
      </c>
      <c r="D676" s="61">
        <f>(3.05*5.83+3.54*0.76+1.22*2.14+2.14*3.1+1.7*1.35+3.05*3.36+3.05*4.46+2.44*1.53+1.53*2.44+1*3.05+3*1.82)*10.764</f>
        <v>773.27607239999986</v>
      </c>
      <c r="E676" s="61">
        <v>0</v>
      </c>
      <c r="F676" s="61">
        <f t="shared" si="156"/>
        <v>1237.2417158399999</v>
      </c>
      <c r="G676" s="114" t="str">
        <f>G675</f>
        <v xml:space="preserve">14th, 21st, 28th, 35th &amp; 42nd Floor </v>
      </c>
      <c r="H676" s="115"/>
      <c r="I676" s="62"/>
      <c r="N676" s="62"/>
    </row>
    <row r="677" spans="1:14" s="63" customFormat="1" x14ac:dyDescent="0.35">
      <c r="A677" s="106" t="s">
        <v>235</v>
      </c>
      <c r="B677" s="106"/>
      <c r="C677" s="106"/>
      <c r="D677" s="106"/>
      <c r="E677" s="106"/>
      <c r="F677" s="106"/>
      <c r="G677" s="106"/>
      <c r="H677" s="106"/>
      <c r="I677" s="62"/>
      <c r="L677" s="99"/>
      <c r="M677" s="99"/>
      <c r="N677" s="62"/>
    </row>
    <row r="678" spans="1:14" s="63" customFormat="1" ht="15.75" customHeight="1" x14ac:dyDescent="0.35">
      <c r="A678" s="105">
        <v>1</v>
      </c>
      <c r="B678" s="105"/>
      <c r="C678" s="100" t="s">
        <v>254</v>
      </c>
      <c r="D678" s="216">
        <f>(1.22*2.74+3.35*5.43+2.99*0.99+3.12*2.44+1.35*1.84+2.44*1.53+2.44*1.53+3.47*1+3.05*3.36+3.36*4.27+3.33*3.39+1.53*2.75+3.75*1.76+3.33*3.39+2.44*1.53+3.36*4.27+3.05*3.46+1.53*2.75+1.35*2.75+0.9*0.25+0.9*4.53+1.5*1.84)*10.764</f>
        <v>1583.6222843999999</v>
      </c>
      <c r="E678" s="216">
        <v>0</v>
      </c>
      <c r="F678" s="101">
        <f t="shared" ref="F678" si="159">D678*(($F$176)+1)+(IF(E678&lt;101,E678,IF(E678&lt;201,E678/2,IF(E678&lt;=301,E678/3,E678/4))))</f>
        <v>2533.7956550399999</v>
      </c>
      <c r="G678" s="110" t="str">
        <f>A677</f>
        <v>15th, 22nd, 29th, 36th &amp; 43rd Floor (Part Refuge Area)</v>
      </c>
      <c r="H678" s="111"/>
      <c r="I678" s="62"/>
      <c r="N678" s="62"/>
    </row>
    <row r="679" spans="1:14" s="63" customFormat="1" ht="15.75" customHeight="1" x14ac:dyDescent="0.35">
      <c r="A679" s="105">
        <f t="shared" ref="A679:A683" si="160">A678+1</f>
        <v>2</v>
      </c>
      <c r="B679" s="105"/>
      <c r="C679" s="100" t="s">
        <v>197</v>
      </c>
      <c r="D679" s="216"/>
      <c r="E679" s="216">
        <v>0</v>
      </c>
      <c r="F679" s="101">
        <f t="shared" ref="F679:F681" si="161">D679*(($F$176)+1)+(IF(E679&lt;101,E679,IF(E679&lt;201,E679/2,IF(E679&lt;=301,E679/3,E679/4))))</f>
        <v>0</v>
      </c>
      <c r="G679" s="112"/>
      <c r="H679" s="113"/>
      <c r="I679" s="62"/>
      <c r="N679" s="62"/>
    </row>
    <row r="680" spans="1:14" s="63" customFormat="1" ht="15.75" customHeight="1" x14ac:dyDescent="0.35">
      <c r="A680" s="105">
        <f t="shared" si="160"/>
        <v>3</v>
      </c>
      <c r="B680" s="105"/>
      <c r="C680" s="60" t="s">
        <v>273</v>
      </c>
      <c r="D680" s="61">
        <f>(1.22*2.44+2.9*2.44+1*2.44+0.9*2.43+3.2*5.27+2.4*3.05+3.2*3.05+1.53*2.75+3.4*3.23+2.44*1.53+2.44*1+3.5*1.76)*10.764</f>
        <v>819.64092599999981</v>
      </c>
      <c r="E680" s="61">
        <v>0</v>
      </c>
      <c r="F680" s="61">
        <f t="shared" si="161"/>
        <v>1311.4254815999998</v>
      </c>
      <c r="G680" s="112"/>
      <c r="H680" s="113"/>
      <c r="I680" s="62"/>
      <c r="N680" s="62"/>
    </row>
    <row r="681" spans="1:14" s="63" customFormat="1" ht="15.75" customHeight="1" x14ac:dyDescent="0.35">
      <c r="A681" s="105">
        <f t="shared" si="160"/>
        <v>4</v>
      </c>
      <c r="B681" s="105"/>
      <c r="C681" s="60" t="s">
        <v>273</v>
      </c>
      <c r="D681" s="61">
        <f>(1.22*2.44+2.9*2.44+1*2.44+0.9*2.43+3.2*5.27+2.4*3.05+3.2*3.05+1.53*2.75+3.4*3.23+2.44*1.53+2.44*1+3.5*1.76)*10.764</f>
        <v>819.64092599999981</v>
      </c>
      <c r="E681" s="61">
        <v>0</v>
      </c>
      <c r="F681" s="61">
        <f t="shared" si="161"/>
        <v>1311.4254815999998</v>
      </c>
      <c r="G681" s="112"/>
      <c r="H681" s="113"/>
      <c r="I681" s="62"/>
      <c r="N681" s="62"/>
    </row>
    <row r="682" spans="1:14" s="63" customFormat="1" ht="15.75" customHeight="1" x14ac:dyDescent="0.35">
      <c r="A682" s="105">
        <f t="shared" si="160"/>
        <v>5</v>
      </c>
      <c r="B682" s="105"/>
      <c r="C682" s="60" t="s">
        <v>277</v>
      </c>
      <c r="D682" s="61">
        <f>(3.05*5.83+3.54*0.76+1.22*2.14+2.14*3.1+1.7*1.35+3.05*3.36+3.05*4.46+2.44*1.53+1.53*2.44+1*3.05+3*1.82)*10.764</f>
        <v>773.27607239999986</v>
      </c>
      <c r="E682" s="61">
        <v>0</v>
      </c>
      <c r="F682" s="61">
        <f t="shared" ref="F682:F683" si="162">D682*(($F$176)+1)+(IF(E682&lt;101,E682,IF(E682&lt;201,E682/2,IF(E682&lt;=301,E682/3,E682/4))))</f>
        <v>1237.2417158399999</v>
      </c>
      <c r="G682" s="112"/>
      <c r="H682" s="113"/>
      <c r="I682" s="62"/>
      <c r="N682" s="62"/>
    </row>
    <row r="683" spans="1:14" s="63" customFormat="1" ht="15.75" customHeight="1" x14ac:dyDescent="0.35">
      <c r="A683" s="105">
        <f t="shared" si="160"/>
        <v>6</v>
      </c>
      <c r="B683" s="105"/>
      <c r="C683" s="60" t="s">
        <v>277</v>
      </c>
      <c r="D683" s="61">
        <f>(3.05*5.83+3.54*0.76+1.22*2.14+2.14*3.1+1.7*1.35+3.05*3.36+3.05*4.46+2.44*1.53+1.53*2.44+1*3.05+3*1.82)*10.764</f>
        <v>773.27607239999986</v>
      </c>
      <c r="E683" s="61">
        <v>0</v>
      </c>
      <c r="F683" s="61">
        <f t="shared" si="162"/>
        <v>1237.2417158399999</v>
      </c>
      <c r="G683" s="114"/>
      <c r="H683" s="115"/>
      <c r="I683" s="62"/>
      <c r="N683" s="62"/>
    </row>
    <row r="684" spans="1:14" s="63" customFormat="1" x14ac:dyDescent="0.35">
      <c r="A684" s="106" t="s">
        <v>234</v>
      </c>
      <c r="B684" s="106"/>
      <c r="C684" s="106"/>
      <c r="D684" s="106"/>
      <c r="E684" s="106"/>
      <c r="F684" s="106"/>
      <c r="G684" s="106"/>
      <c r="H684" s="106"/>
      <c r="I684" s="62"/>
      <c r="L684" s="99"/>
      <c r="M684" s="99"/>
      <c r="N684" s="62"/>
    </row>
    <row r="685" spans="1:14" s="63" customFormat="1" ht="15.75" customHeight="1" x14ac:dyDescent="0.35">
      <c r="A685" s="105">
        <v>1</v>
      </c>
      <c r="B685" s="105"/>
      <c r="C685" s="60" t="s">
        <v>273</v>
      </c>
      <c r="D685" s="61">
        <f t="shared" ref="D685" si="163">(1.1*2.74+2.9*2.44+0.92*2.83+3.2*5.27+1.35*2.14+2.44*1.53+2.44*1.53+2.44*3+3.4*3.23+3.2*3.95+1.53*2.75+3.6*1.76)*10.764</f>
        <v>876.17345399999977</v>
      </c>
      <c r="E685" s="61">
        <v>0</v>
      </c>
      <c r="F685" s="61">
        <f t="shared" ref="F685" si="164">D685*(($F$176)+1)+(IF(E685&lt;101,E685,IF(E685&lt;201,E685/2,IF(E685&lt;=301,E685/3,E685/4))))</f>
        <v>1401.8775263999996</v>
      </c>
      <c r="G685" s="112" t="str">
        <f>A684</f>
        <v>50th Floor (Part Refuge Area)</v>
      </c>
      <c r="H685" s="113"/>
      <c r="I685" s="62"/>
      <c r="N685" s="62"/>
    </row>
    <row r="686" spans="1:14" s="63" customFormat="1" ht="15.75" customHeight="1" x14ac:dyDescent="0.35">
      <c r="A686" s="105">
        <f>A685+1</f>
        <v>2</v>
      </c>
      <c r="B686" s="105"/>
      <c r="C686" s="107" t="s">
        <v>197</v>
      </c>
      <c r="D686" s="108"/>
      <c r="E686" s="108"/>
      <c r="F686" s="109"/>
      <c r="G686" s="112" t="str">
        <f>G685</f>
        <v>50th Floor (Part Refuge Area)</v>
      </c>
      <c r="H686" s="113"/>
      <c r="I686" s="62"/>
      <c r="N686" s="62"/>
    </row>
    <row r="687" spans="1:14" s="63" customFormat="1" ht="15.75" customHeight="1" x14ac:dyDescent="0.35">
      <c r="A687" s="105">
        <f t="shared" ref="A687:A690" si="165">A686+1</f>
        <v>3</v>
      </c>
      <c r="B687" s="105"/>
      <c r="C687" s="60" t="s">
        <v>273</v>
      </c>
      <c r="D687" s="61">
        <f>(1.22*2.44+2.9*2.44+1*2.44+0.9*2.43+3.2*5.27+2.4*3.05+3.2*3.05+1.53*2.75+3.4*3.23+2.44*1.53+2.44*1+3.5*1.76)*10.764</f>
        <v>819.64092599999981</v>
      </c>
      <c r="E687" s="61">
        <v>0</v>
      </c>
      <c r="F687" s="61">
        <f t="shared" ref="F687:F690" si="166">D687*(($F$176)+1)+(IF(E687&lt;101,E687,IF(E687&lt;201,E687/2,IF(E687&lt;=301,E687/3,E687/4))))</f>
        <v>1311.4254815999998</v>
      </c>
      <c r="G687" s="112" t="str">
        <f>G686</f>
        <v>50th Floor (Part Refuge Area)</v>
      </c>
      <c r="H687" s="113"/>
      <c r="I687" s="62"/>
      <c r="N687" s="62"/>
    </row>
    <row r="688" spans="1:14" s="63" customFormat="1" ht="15.75" customHeight="1" x14ac:dyDescent="0.35">
      <c r="A688" s="105">
        <f t="shared" si="165"/>
        <v>4</v>
      </c>
      <c r="B688" s="105"/>
      <c r="C688" s="60" t="s">
        <v>273</v>
      </c>
      <c r="D688" s="61">
        <f>(1.22*2.44+2.9*2.44+1*2.44+0.9*2.43+3.2*5.27+2.4*3.05+3.2*3.05+1.53*2.75+3.4*3.23+2.44*1.53+2.44*1+3.5*1.76)*10.764</f>
        <v>819.64092599999981</v>
      </c>
      <c r="E688" s="61">
        <v>0</v>
      </c>
      <c r="F688" s="61">
        <f t="shared" si="166"/>
        <v>1311.4254815999998</v>
      </c>
      <c r="G688" s="112" t="str">
        <f>G687</f>
        <v>50th Floor (Part Refuge Area)</v>
      </c>
      <c r="H688" s="113"/>
      <c r="I688" s="62"/>
      <c r="N688" s="62"/>
    </row>
    <row r="689" spans="1:14" s="63" customFormat="1" ht="15.75" customHeight="1" x14ac:dyDescent="0.35">
      <c r="A689" s="105">
        <f t="shared" si="165"/>
        <v>5</v>
      </c>
      <c r="B689" s="105"/>
      <c r="C689" s="60" t="s">
        <v>277</v>
      </c>
      <c r="D689" s="61">
        <f>(3.05*5.83+3.54*0.76+1.22*2.14+2.14*3.1+1.7*1.35+3.05*3.36+3.05*4.46+2.44*1.53+1.53*2.44+1*3.05+3*1.82)*10.764</f>
        <v>773.27607239999986</v>
      </c>
      <c r="E689" s="61">
        <v>0</v>
      </c>
      <c r="F689" s="61">
        <f t="shared" si="166"/>
        <v>1237.2417158399999</v>
      </c>
      <c r="G689" s="112"/>
      <c r="H689" s="113"/>
      <c r="I689" s="62"/>
      <c r="N689" s="62"/>
    </row>
    <row r="690" spans="1:14" s="63" customFormat="1" ht="15.75" customHeight="1" x14ac:dyDescent="0.35">
      <c r="A690" s="105">
        <f t="shared" si="165"/>
        <v>6</v>
      </c>
      <c r="B690" s="105"/>
      <c r="C690" s="60" t="s">
        <v>277</v>
      </c>
      <c r="D690" s="61">
        <f>(3.05*5.83+3.54*0.76+1.22*2.14+2.14*3.1+1.7*1.35+3.05*3.36+3.05*4.46+2.44*1.53+1.53*2.44+1*3.05+3*1.82)*10.764</f>
        <v>773.27607239999986</v>
      </c>
      <c r="E690" s="61">
        <v>0</v>
      </c>
      <c r="F690" s="61">
        <f t="shared" si="166"/>
        <v>1237.2417158399999</v>
      </c>
      <c r="G690" s="114" t="str">
        <f>G688</f>
        <v>50th Floor (Part Refuge Area)</v>
      </c>
      <c r="H690" s="115"/>
      <c r="I690" s="62"/>
      <c r="N690" s="62"/>
    </row>
    <row r="691" spans="1:14" s="46" customFormat="1" x14ac:dyDescent="0.35">
      <c r="A691" s="212"/>
      <c r="B691" s="212"/>
      <c r="C691" s="212"/>
      <c r="D691" s="212"/>
      <c r="E691" s="212"/>
      <c r="F691" s="212"/>
      <c r="G691" s="212"/>
      <c r="H691" s="212"/>
      <c r="I691" s="36"/>
    </row>
    <row r="692" spans="1:14" s="46" customFormat="1" x14ac:dyDescent="0.35">
      <c r="A692" s="212" t="s">
        <v>67</v>
      </c>
      <c r="B692" s="212"/>
      <c r="C692" s="212"/>
      <c r="D692" s="212"/>
      <c r="E692" s="212"/>
      <c r="F692" s="212"/>
      <c r="G692" s="212"/>
      <c r="H692" s="212"/>
      <c r="I692" s="36"/>
    </row>
    <row r="693" spans="1:14" s="35" customFormat="1" x14ac:dyDescent="0.35">
      <c r="A693" s="45" t="s">
        <v>149</v>
      </c>
      <c r="B693" s="152" t="s">
        <v>291</v>
      </c>
      <c r="C693" s="153"/>
      <c r="D693" s="153"/>
      <c r="E693" s="153"/>
      <c r="F693" s="153"/>
      <c r="G693" s="153"/>
      <c r="H693" s="154"/>
    </row>
    <row r="694" spans="1:14" s="35" customFormat="1" x14ac:dyDescent="0.35">
      <c r="A694" s="45" t="s">
        <v>149</v>
      </c>
      <c r="B694" s="152" t="str">
        <f>(IF(F175="Saleable area Loading :","We have considered Saleable area of Flats as per our Calculation.","We considered Saleable area of Flat as per Builder area Sheet."))</f>
        <v>We have considered Saleable area of Flats as per our Calculation.</v>
      </c>
      <c r="C694" s="153"/>
      <c r="D694" s="153"/>
      <c r="E694" s="153"/>
      <c r="F694" s="153"/>
      <c r="G694" s="153"/>
      <c r="H694" s="154"/>
    </row>
    <row r="695" spans="1:14" s="35" customFormat="1" x14ac:dyDescent="0.35">
      <c r="A695" s="45" t="s">
        <v>149</v>
      </c>
      <c r="B695" s="161" t="s">
        <v>119</v>
      </c>
      <c r="C695" s="162"/>
      <c r="D695" s="162"/>
      <c r="E695" s="162"/>
      <c r="F695" s="162"/>
      <c r="G695" s="162"/>
      <c r="H695" s="163"/>
    </row>
    <row r="696" spans="1:14" s="35" customFormat="1" x14ac:dyDescent="0.35">
      <c r="A696" s="45" t="s">
        <v>149</v>
      </c>
      <c r="B696" s="161" t="s">
        <v>231</v>
      </c>
      <c r="C696" s="162"/>
      <c r="D696" s="162"/>
      <c r="E696" s="162"/>
      <c r="F696" s="162"/>
      <c r="G696" s="162"/>
      <c r="H696" s="163"/>
    </row>
    <row r="697" spans="1:14" s="35" customFormat="1" x14ac:dyDescent="0.35">
      <c r="A697" s="45" t="s">
        <v>149</v>
      </c>
      <c r="B697" s="161" t="s">
        <v>148</v>
      </c>
      <c r="C697" s="162"/>
      <c r="D697" s="162"/>
      <c r="E697" s="162"/>
      <c r="F697" s="162"/>
      <c r="G697" s="162"/>
      <c r="H697" s="163"/>
    </row>
    <row r="698" spans="1:14" s="35" customFormat="1" x14ac:dyDescent="0.35">
      <c r="A698" s="45" t="s">
        <v>149</v>
      </c>
      <c r="B698" s="161" t="s">
        <v>120</v>
      </c>
      <c r="C698" s="162"/>
      <c r="D698" s="162"/>
      <c r="E698" s="162"/>
      <c r="F698" s="162"/>
      <c r="G698" s="162"/>
      <c r="H698" s="163"/>
    </row>
    <row r="699" spans="1:14" s="35" customFormat="1" x14ac:dyDescent="0.35">
      <c r="A699" s="45" t="s">
        <v>149</v>
      </c>
      <c r="B699" s="161" t="s">
        <v>150</v>
      </c>
      <c r="C699" s="162"/>
      <c r="D699" s="162"/>
      <c r="E699" s="162"/>
      <c r="F699" s="162"/>
      <c r="G699" s="162"/>
      <c r="H699" s="163"/>
    </row>
    <row r="700" spans="1:14" s="35" customFormat="1" x14ac:dyDescent="0.35">
      <c r="A700" s="45" t="s">
        <v>149</v>
      </c>
      <c r="B700" s="161" t="s">
        <v>121</v>
      </c>
      <c r="C700" s="162"/>
      <c r="D700" s="162"/>
      <c r="E700" s="162"/>
      <c r="F700" s="162"/>
      <c r="G700" s="162"/>
      <c r="H700" s="163"/>
    </row>
    <row r="701" spans="1:14" s="35" customFormat="1" hidden="1" x14ac:dyDescent="0.35">
      <c r="A701" s="45" t="s">
        <v>149</v>
      </c>
      <c r="B701" s="152" t="s">
        <v>180</v>
      </c>
      <c r="C701" s="153"/>
      <c r="D701" s="153"/>
      <c r="E701" s="153"/>
      <c r="F701" s="153"/>
      <c r="G701" s="153"/>
      <c r="H701" s="154"/>
    </row>
    <row r="702" spans="1:14" s="35" customFormat="1" x14ac:dyDescent="0.35">
      <c r="A702" s="45" t="s">
        <v>149</v>
      </c>
      <c r="B702" s="152" t="s">
        <v>179</v>
      </c>
      <c r="C702" s="153"/>
      <c r="D702" s="153"/>
      <c r="E702" s="153"/>
      <c r="F702" s="153"/>
      <c r="G702" s="153"/>
      <c r="H702" s="154"/>
    </row>
    <row r="703" spans="1:14" s="35" customFormat="1" x14ac:dyDescent="0.35">
      <c r="A703" s="45" t="s">
        <v>149</v>
      </c>
      <c r="B703" s="152" t="s">
        <v>208</v>
      </c>
      <c r="C703" s="153"/>
      <c r="D703" s="153"/>
      <c r="E703" s="153"/>
      <c r="F703" s="153"/>
      <c r="G703" s="153"/>
      <c r="H703" s="154"/>
    </row>
    <row r="704" spans="1:14" s="35" customFormat="1" ht="33" customHeight="1" x14ac:dyDescent="0.35">
      <c r="A704" s="45" t="s">
        <v>149</v>
      </c>
      <c r="B704" s="152" t="s">
        <v>266</v>
      </c>
      <c r="C704" s="153"/>
      <c r="D704" s="153"/>
      <c r="E704" s="153"/>
      <c r="F704" s="153"/>
      <c r="G704" s="153"/>
      <c r="H704" s="154"/>
    </row>
    <row r="705" spans="1:8" s="69" customFormat="1" x14ac:dyDescent="0.35">
      <c r="A705" s="68" t="s">
        <v>149</v>
      </c>
      <c r="B705" s="152" t="s">
        <v>284</v>
      </c>
      <c r="C705" s="153"/>
      <c r="D705" s="153"/>
      <c r="E705" s="153"/>
      <c r="F705" s="153"/>
      <c r="G705" s="153"/>
      <c r="H705" s="154"/>
    </row>
    <row r="706" spans="1:8" s="35" customFormat="1" x14ac:dyDescent="0.35">
      <c r="A706" s="155" t="s">
        <v>60</v>
      </c>
      <c r="B706" s="155"/>
      <c r="C706" s="155"/>
      <c r="D706" s="155"/>
      <c r="E706" s="155"/>
      <c r="F706" s="155"/>
      <c r="G706" s="155"/>
      <c r="H706" s="155"/>
    </row>
    <row r="707" spans="1:8" x14ac:dyDescent="0.35">
      <c r="A707" s="129" t="s">
        <v>61</v>
      </c>
      <c r="B707" s="129"/>
      <c r="C707" s="129"/>
      <c r="D707" s="129"/>
      <c r="E707" s="129"/>
      <c r="F707" s="129"/>
      <c r="G707" s="129"/>
      <c r="H707" s="129"/>
    </row>
    <row r="708" spans="1:8" x14ac:dyDescent="0.35">
      <c r="A708" s="130" t="s">
        <v>62</v>
      </c>
      <c r="B708" s="130"/>
      <c r="C708" s="130"/>
      <c r="D708" s="130"/>
      <c r="E708" s="130"/>
      <c r="F708" s="130"/>
      <c r="G708" s="130"/>
      <c r="H708" s="130"/>
    </row>
    <row r="709" spans="1:8" ht="15.75" customHeight="1" x14ac:dyDescent="0.35">
      <c r="A709" s="129" t="s">
        <v>63</v>
      </c>
      <c r="B709" s="129"/>
      <c r="C709" s="129"/>
      <c r="D709" s="129"/>
      <c r="E709" s="129"/>
      <c r="F709" s="129"/>
      <c r="G709" s="129"/>
      <c r="H709" s="129"/>
    </row>
    <row r="710" spans="1:8" x14ac:dyDescent="0.35">
      <c r="A710" s="129" t="s">
        <v>64</v>
      </c>
      <c r="B710" s="129"/>
      <c r="C710" s="129"/>
      <c r="D710" s="129"/>
      <c r="E710" s="129"/>
      <c r="F710" s="129"/>
      <c r="G710" s="129"/>
      <c r="H710" s="129"/>
    </row>
    <row r="711" spans="1:8" x14ac:dyDescent="0.35">
      <c r="A711" s="129" t="s">
        <v>122</v>
      </c>
      <c r="B711" s="129"/>
      <c r="C711" s="129"/>
      <c r="D711" s="129"/>
      <c r="E711" s="129"/>
      <c r="F711" s="129"/>
      <c r="G711" s="129"/>
      <c r="H711" s="129"/>
    </row>
    <row r="712" spans="1:8" x14ac:dyDescent="0.35">
      <c r="A712" s="156" t="s">
        <v>123</v>
      </c>
      <c r="B712" s="156"/>
      <c r="C712" s="156"/>
      <c r="D712" s="156"/>
      <c r="E712" s="156"/>
      <c r="F712" s="156"/>
      <c r="G712" s="156"/>
      <c r="H712" s="156"/>
    </row>
    <row r="713" spans="1:8" x14ac:dyDescent="0.35">
      <c r="A713" s="167" t="s">
        <v>74</v>
      </c>
      <c r="B713" s="167"/>
      <c r="C713" s="167" t="s">
        <v>298</v>
      </c>
      <c r="D713" s="167"/>
      <c r="E713" s="167" t="s">
        <v>102</v>
      </c>
      <c r="F713" s="167"/>
      <c r="G713" s="167" t="s">
        <v>297</v>
      </c>
      <c r="H713" s="167"/>
    </row>
    <row r="714" spans="1:8" x14ac:dyDescent="0.35">
      <c r="A714" s="166" t="s">
        <v>76</v>
      </c>
      <c r="B714" s="166"/>
      <c r="C714" s="166"/>
      <c r="D714" s="166"/>
      <c r="E714" s="166"/>
      <c r="F714" s="166"/>
      <c r="G714" s="166"/>
      <c r="H714" s="166"/>
    </row>
    <row r="715" spans="1:8" x14ac:dyDescent="0.35">
      <c r="A715" s="166"/>
      <c r="B715" s="166"/>
      <c r="C715" s="166"/>
      <c r="D715" s="166"/>
      <c r="E715" s="166"/>
      <c r="F715" s="166"/>
      <c r="G715" s="166"/>
      <c r="H715" s="166"/>
    </row>
    <row r="716" spans="1:8" x14ac:dyDescent="0.35">
      <c r="A716" s="166"/>
      <c r="B716" s="166"/>
      <c r="C716" s="166"/>
      <c r="D716" s="166"/>
      <c r="E716" s="166"/>
      <c r="F716" s="166"/>
      <c r="G716" s="166"/>
      <c r="H716" s="166"/>
    </row>
    <row r="717" spans="1:8" x14ac:dyDescent="0.35">
      <c r="A717" s="166"/>
      <c r="B717" s="166"/>
      <c r="C717" s="166"/>
      <c r="D717" s="166"/>
      <c r="E717" s="166"/>
      <c r="F717" s="166"/>
      <c r="G717" s="166"/>
      <c r="H717" s="166"/>
    </row>
    <row r="718" spans="1:8" x14ac:dyDescent="0.35">
      <c r="A718" s="37" t="s">
        <v>65</v>
      </c>
      <c r="B718" s="38"/>
      <c r="C718" s="38"/>
      <c r="D718" s="37" t="str">
        <f>E9</f>
        <v>The Prestige City Bellanza Phase I &amp; II</v>
      </c>
      <c r="F718" s="38"/>
      <c r="G718" s="38"/>
      <c r="H718" s="38"/>
    </row>
    <row r="719" spans="1:8" x14ac:dyDescent="0.35">
      <c r="A719" s="38"/>
      <c r="B719" s="38"/>
      <c r="C719" s="38"/>
      <c r="D719" s="38"/>
      <c r="E719" s="38"/>
      <c r="F719" s="38"/>
      <c r="G719" s="38"/>
      <c r="H719" s="38"/>
    </row>
    <row r="720" spans="1:8" x14ac:dyDescent="0.35">
      <c r="A720" s="38"/>
      <c r="B720" s="38"/>
      <c r="C720" s="38"/>
      <c r="D720" s="38"/>
      <c r="E720" s="38"/>
      <c r="F720" s="38"/>
      <c r="G720" s="38"/>
      <c r="H720" s="38"/>
    </row>
    <row r="722" ht="15" customHeight="1" x14ac:dyDescent="0.35"/>
    <row r="723" ht="15" customHeight="1" x14ac:dyDescent="0.35"/>
    <row r="761" spans="1:1" x14ac:dyDescent="0.35">
      <c r="A761" s="40" t="s">
        <v>66</v>
      </c>
    </row>
  </sheetData>
  <mergeCells count="1096">
    <mergeCell ref="A682:B682"/>
    <mergeCell ref="A683:B683"/>
    <mergeCell ref="G678:H683"/>
    <mergeCell ref="B705:H705"/>
    <mergeCell ref="G652:H655"/>
    <mergeCell ref="A684:H684"/>
    <mergeCell ref="L684:M684"/>
    <mergeCell ref="A685:B685"/>
    <mergeCell ref="G685:H690"/>
    <mergeCell ref="A686:B686"/>
    <mergeCell ref="C686:F686"/>
    <mergeCell ref="A687:B687"/>
    <mergeCell ref="A688:B688"/>
    <mergeCell ref="A689:B689"/>
    <mergeCell ref="A690:B690"/>
    <mergeCell ref="A677:H677"/>
    <mergeCell ref="L677:M677"/>
    <mergeCell ref="C678:F678"/>
    <mergeCell ref="C679:F679"/>
    <mergeCell ref="A678:B678"/>
    <mergeCell ref="A679:B679"/>
    <mergeCell ref="A680:B680"/>
    <mergeCell ref="A681:B681"/>
    <mergeCell ref="A669:H669"/>
    <mergeCell ref="L669:M669"/>
    <mergeCell ref="A670:H670"/>
    <mergeCell ref="L670:M670"/>
    <mergeCell ref="A671:B671"/>
    <mergeCell ref="G671:H676"/>
    <mergeCell ref="L671:M671"/>
    <mergeCell ref="A691:H691"/>
    <mergeCell ref="B699:H699"/>
    <mergeCell ref="A675:B675"/>
    <mergeCell ref="A676:B676"/>
    <mergeCell ref="A662:H662"/>
    <mergeCell ref="L662:M662"/>
    <mergeCell ref="A663:B663"/>
    <mergeCell ref="G663:H668"/>
    <mergeCell ref="L663:M663"/>
    <mergeCell ref="A664:B664"/>
    <mergeCell ref="A665:B665"/>
    <mergeCell ref="A666:B666"/>
    <mergeCell ref="A667:B667"/>
    <mergeCell ref="A668:B668"/>
    <mergeCell ref="A656:H656"/>
    <mergeCell ref="L656:M656"/>
    <mergeCell ref="A657:B657"/>
    <mergeCell ref="G657:H661"/>
    <mergeCell ref="L657:M657"/>
    <mergeCell ref="A658:B658"/>
    <mergeCell ref="A659:B659"/>
    <mergeCell ref="A674:B674"/>
    <mergeCell ref="C659:F659"/>
    <mergeCell ref="A672:B672"/>
    <mergeCell ref="A673:B673"/>
    <mergeCell ref="A660:B660"/>
    <mergeCell ref="A661:B661"/>
    <mergeCell ref="A631:H631"/>
    <mergeCell ref="A649:H649"/>
    <mergeCell ref="A634:H634"/>
    <mergeCell ref="A606:H606"/>
    <mergeCell ref="L606:M606"/>
    <mergeCell ref="A625:B625"/>
    <mergeCell ref="A627:B627"/>
    <mergeCell ref="L649:M649"/>
    <mergeCell ref="A632:H632"/>
    <mergeCell ref="L632:M632"/>
    <mergeCell ref="A633:B633"/>
    <mergeCell ref="G633:H633"/>
    <mergeCell ref="L646:M646"/>
    <mergeCell ref="L640:M640"/>
    <mergeCell ref="C616:F616"/>
    <mergeCell ref="A619:B619"/>
    <mergeCell ref="A626:B626"/>
    <mergeCell ref="C623:F623"/>
    <mergeCell ref="A636:B636"/>
    <mergeCell ref="A637:H637"/>
    <mergeCell ref="L637:M637"/>
    <mergeCell ref="A638:B638"/>
    <mergeCell ref="L638:M638"/>
    <mergeCell ref="G635:H636"/>
    <mergeCell ref="A651:H651"/>
    <mergeCell ref="L651:M651"/>
    <mergeCell ref="A652:B652"/>
    <mergeCell ref="L652:M652"/>
    <mergeCell ref="A653:B653"/>
    <mergeCell ref="A654:B654"/>
    <mergeCell ref="A655:B655"/>
    <mergeCell ref="A621:H621"/>
    <mergeCell ref="L621:M621"/>
    <mergeCell ref="G622:H627"/>
    <mergeCell ref="A622:B622"/>
    <mergeCell ref="A623:B623"/>
    <mergeCell ref="A624:B624"/>
    <mergeCell ref="A629:H629"/>
    <mergeCell ref="A630:H630"/>
    <mergeCell ref="A641:B641"/>
    <mergeCell ref="L641:M641"/>
    <mergeCell ref="A642:B642"/>
    <mergeCell ref="G638:H639"/>
    <mergeCell ref="L647:M647"/>
    <mergeCell ref="A648:B648"/>
    <mergeCell ref="A650:H650"/>
    <mergeCell ref="L650:M650"/>
    <mergeCell ref="A628:H628"/>
    <mergeCell ref="A645:B645"/>
    <mergeCell ref="A646:H646"/>
    <mergeCell ref="G644:H645"/>
    <mergeCell ref="A639:B639"/>
    <mergeCell ref="A640:H640"/>
    <mergeCell ref="G641:H642"/>
    <mergeCell ref="A635:B635"/>
    <mergeCell ref="L635:M635"/>
    <mergeCell ref="C169:D169"/>
    <mergeCell ref="E169:F169"/>
    <mergeCell ref="G169:H169"/>
    <mergeCell ref="A170:B170"/>
    <mergeCell ref="C170:D170"/>
    <mergeCell ref="F161:H161"/>
    <mergeCell ref="A153:E153"/>
    <mergeCell ref="F152:H152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60:E160"/>
    <mergeCell ref="F155:H155"/>
    <mergeCell ref="F159:H159"/>
    <mergeCell ref="C165:D165"/>
    <mergeCell ref="G165:H165"/>
    <mergeCell ref="G170:H170"/>
    <mergeCell ref="A131:B131"/>
    <mergeCell ref="A132:B132"/>
    <mergeCell ref="A133:B133"/>
    <mergeCell ref="A134:B134"/>
    <mergeCell ref="A135:B135"/>
    <mergeCell ref="A136:B136"/>
    <mergeCell ref="G462:H463"/>
    <mergeCell ref="A643:H643"/>
    <mergeCell ref="L643:M643"/>
    <mergeCell ref="A644:B644"/>
    <mergeCell ref="L644:M644"/>
    <mergeCell ref="L633:M633"/>
    <mergeCell ref="L634:M634"/>
    <mergeCell ref="L587:M587"/>
    <mergeCell ref="L588:M588"/>
    <mergeCell ref="L584:M584"/>
    <mergeCell ref="L577:M577"/>
    <mergeCell ref="L578:M578"/>
    <mergeCell ref="A580:B580"/>
    <mergeCell ref="L585:M585"/>
    <mergeCell ref="G571:H576"/>
    <mergeCell ref="A599:H599"/>
    <mergeCell ref="L599:M599"/>
    <mergeCell ref="A600:B600"/>
    <mergeCell ref="G600:H605"/>
    <mergeCell ref="L600:M600"/>
    <mergeCell ref="A601:B601"/>
    <mergeCell ref="A602:B602"/>
    <mergeCell ref="A603:B603"/>
    <mergeCell ref="A604:B604"/>
    <mergeCell ref="A605:B605"/>
    <mergeCell ref="A607:H607"/>
    <mergeCell ref="A570:H570"/>
    <mergeCell ref="A549:H549"/>
    <mergeCell ref="A528:H528"/>
    <mergeCell ref="A576:B576"/>
    <mergeCell ref="A577:H577"/>
    <mergeCell ref="A614:H614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C495:F497"/>
    <mergeCell ref="C488:F490"/>
    <mergeCell ref="C481:F483"/>
    <mergeCell ref="C474:F476"/>
    <mergeCell ref="C467:F469"/>
    <mergeCell ref="C396:F398"/>
    <mergeCell ref="G647:H648"/>
    <mergeCell ref="A499:H499"/>
    <mergeCell ref="A520:H520"/>
    <mergeCell ref="A584:H584"/>
    <mergeCell ref="A647:B647"/>
    <mergeCell ref="G437:H442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69:B169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G394:H399"/>
    <mergeCell ref="G402:H403"/>
    <mergeCell ref="G405:H406"/>
    <mergeCell ref="G408:H413"/>
    <mergeCell ref="G415:H420"/>
    <mergeCell ref="G422:H427"/>
    <mergeCell ref="G429:H434"/>
    <mergeCell ref="A366:H366"/>
    <mergeCell ref="A367:H367"/>
    <mergeCell ref="A368:H368"/>
    <mergeCell ref="A369:H369"/>
    <mergeCell ref="A370:B370"/>
    <mergeCell ref="A361:B361"/>
    <mergeCell ref="A362:B362"/>
    <mergeCell ref="A363:B363"/>
    <mergeCell ref="A364:H364"/>
    <mergeCell ref="A365:H365"/>
    <mergeCell ref="A430:B430"/>
    <mergeCell ref="A431:B431"/>
    <mergeCell ref="A432:B432"/>
    <mergeCell ref="A433:B433"/>
    <mergeCell ref="A434:B434"/>
    <mergeCell ref="A411:B411"/>
    <mergeCell ref="A412:B412"/>
    <mergeCell ref="A387:B387"/>
    <mergeCell ref="L592:M592"/>
    <mergeCell ref="A593:B593"/>
    <mergeCell ref="L593:M593"/>
    <mergeCell ref="A594:B594"/>
    <mergeCell ref="A595:B595"/>
    <mergeCell ref="A596:B596"/>
    <mergeCell ref="A597:B597"/>
    <mergeCell ref="L607:M607"/>
    <mergeCell ref="A608:B608"/>
    <mergeCell ref="G608:H613"/>
    <mergeCell ref="L608:M608"/>
    <mergeCell ref="A609:B609"/>
    <mergeCell ref="A610:B610"/>
    <mergeCell ref="A611:B611"/>
    <mergeCell ref="L614:M614"/>
    <mergeCell ref="G615:H620"/>
    <mergeCell ref="A615:B615"/>
    <mergeCell ref="C615:F615"/>
    <mergeCell ref="A616:B616"/>
    <mergeCell ref="A617:B617"/>
    <mergeCell ref="A618:B618"/>
    <mergeCell ref="A620:B620"/>
    <mergeCell ref="A612:B612"/>
    <mergeCell ref="A613:B613"/>
    <mergeCell ref="L563:M563"/>
    <mergeCell ref="A564:B564"/>
    <mergeCell ref="L564:M564"/>
    <mergeCell ref="A565:B565"/>
    <mergeCell ref="A566:B566"/>
    <mergeCell ref="A567:B567"/>
    <mergeCell ref="C567:F568"/>
    <mergeCell ref="A568:B568"/>
    <mergeCell ref="G564:H569"/>
    <mergeCell ref="G588:H591"/>
    <mergeCell ref="A589:B589"/>
    <mergeCell ref="A590:B590"/>
    <mergeCell ref="A578:B578"/>
    <mergeCell ref="A579:B579"/>
    <mergeCell ref="L570:M570"/>
    <mergeCell ref="A571:B571"/>
    <mergeCell ref="L571:M571"/>
    <mergeCell ref="A572:B572"/>
    <mergeCell ref="A573:B573"/>
    <mergeCell ref="A574:B574"/>
    <mergeCell ref="C574:F575"/>
    <mergeCell ref="A575:B575"/>
    <mergeCell ref="A587:H587"/>
    <mergeCell ref="A588:B588"/>
    <mergeCell ref="L556:M556"/>
    <mergeCell ref="A557:B557"/>
    <mergeCell ref="L557:M557"/>
    <mergeCell ref="A558:B558"/>
    <mergeCell ref="A559:B559"/>
    <mergeCell ref="A560:B560"/>
    <mergeCell ref="C560:F561"/>
    <mergeCell ref="A561:B561"/>
    <mergeCell ref="G557:H562"/>
    <mergeCell ref="A556:H556"/>
    <mergeCell ref="A562:B562"/>
    <mergeCell ref="A563:H563"/>
    <mergeCell ref="A569:B569"/>
    <mergeCell ref="A535:H535"/>
    <mergeCell ref="L535:M535"/>
    <mergeCell ref="A536:B536"/>
    <mergeCell ref="C536:F536"/>
    <mergeCell ref="G536:H541"/>
    <mergeCell ref="L536:M536"/>
    <mergeCell ref="A537:B537"/>
    <mergeCell ref="A538:B538"/>
    <mergeCell ref="A539:B539"/>
    <mergeCell ref="A540:B540"/>
    <mergeCell ref="A541:B541"/>
    <mergeCell ref="L550:M550"/>
    <mergeCell ref="A551:B551"/>
    <mergeCell ref="A552:B552"/>
    <mergeCell ref="G550:H555"/>
    <mergeCell ref="A547:B547"/>
    <mergeCell ref="A546:H546"/>
    <mergeCell ref="A548:B548"/>
    <mergeCell ref="L548:M548"/>
    <mergeCell ref="L549:M549"/>
    <mergeCell ref="G547:H548"/>
    <mergeCell ref="A550:B550"/>
    <mergeCell ref="A555:B555"/>
    <mergeCell ref="A553:B553"/>
    <mergeCell ref="A554:B554"/>
    <mergeCell ref="C553:F554"/>
    <mergeCell ref="L528:M528"/>
    <mergeCell ref="A529:B529"/>
    <mergeCell ref="L529:M529"/>
    <mergeCell ref="A530:B530"/>
    <mergeCell ref="A531:B531"/>
    <mergeCell ref="A517:B517"/>
    <mergeCell ref="A518:B518"/>
    <mergeCell ref="A519:B519"/>
    <mergeCell ref="A521:H521"/>
    <mergeCell ref="L521:M521"/>
    <mergeCell ref="A522:B522"/>
    <mergeCell ref="L522:M522"/>
    <mergeCell ref="G514:H519"/>
    <mergeCell ref="A523:B523"/>
    <mergeCell ref="A524:B524"/>
    <mergeCell ref="A525:B525"/>
    <mergeCell ref="A526:B526"/>
    <mergeCell ref="A527:B527"/>
    <mergeCell ref="G522:H527"/>
    <mergeCell ref="G529:H534"/>
    <mergeCell ref="A532:B532"/>
    <mergeCell ref="A533:B533"/>
    <mergeCell ref="A534:B534"/>
    <mergeCell ref="C529:F529"/>
    <mergeCell ref="C530:F530"/>
    <mergeCell ref="A257:H257"/>
    <mergeCell ref="A252:B252"/>
    <mergeCell ref="A253:B253"/>
    <mergeCell ref="L513:M513"/>
    <mergeCell ref="A514:B514"/>
    <mergeCell ref="L514:M514"/>
    <mergeCell ref="A515:B515"/>
    <mergeCell ref="A516:B516"/>
    <mergeCell ref="L520:M520"/>
    <mergeCell ref="L507:M507"/>
    <mergeCell ref="A508:B508"/>
    <mergeCell ref="L508:M508"/>
    <mergeCell ref="A509:B509"/>
    <mergeCell ref="A510:B510"/>
    <mergeCell ref="A511:B511"/>
    <mergeCell ref="C510:F510"/>
    <mergeCell ref="G508:H512"/>
    <mergeCell ref="L502:M502"/>
    <mergeCell ref="A503:B503"/>
    <mergeCell ref="L503:M503"/>
    <mergeCell ref="A504:B504"/>
    <mergeCell ref="A505:B505"/>
    <mergeCell ref="A506:B506"/>
    <mergeCell ref="G503:H506"/>
    <mergeCell ref="A446:B446"/>
    <mergeCell ref="A401:H401"/>
    <mergeCell ref="A377:B377"/>
    <mergeCell ref="A378:B378"/>
    <mergeCell ref="A392:B392"/>
    <mergeCell ref="A388:B388"/>
    <mergeCell ref="L408:M408"/>
    <mergeCell ref="L402:M402"/>
    <mergeCell ref="B697:H697"/>
    <mergeCell ref="A241:B241"/>
    <mergeCell ref="A322:B322"/>
    <mergeCell ref="A323:B323"/>
    <mergeCell ref="C304:F305"/>
    <mergeCell ref="C297:F298"/>
    <mergeCell ref="C283:F284"/>
    <mergeCell ref="A317:B317"/>
    <mergeCell ref="A318:B318"/>
    <mergeCell ref="A319:B319"/>
    <mergeCell ref="A320:B320"/>
    <mergeCell ref="A312:B312"/>
    <mergeCell ref="A313:B313"/>
    <mergeCell ref="A298:B298"/>
    <mergeCell ref="A299:B299"/>
    <mergeCell ref="A281:B281"/>
    <mergeCell ref="A282:B282"/>
    <mergeCell ref="A283:B283"/>
    <mergeCell ref="A284:B284"/>
    <mergeCell ref="A272:H272"/>
    <mergeCell ref="A273:H273"/>
    <mergeCell ref="A274:H274"/>
    <mergeCell ref="A380:B380"/>
    <mergeCell ref="A381:B381"/>
    <mergeCell ref="A382:B382"/>
    <mergeCell ref="A383:B383"/>
    <mergeCell ref="A403:B403"/>
    <mergeCell ref="A404:H404"/>
    <mergeCell ref="A405:B405"/>
    <mergeCell ref="A429:B429"/>
    <mergeCell ref="A406:B406"/>
    <mergeCell ref="A407:H407"/>
    <mergeCell ref="L405:M405"/>
    <mergeCell ref="A413:B413"/>
    <mergeCell ref="A428:H428"/>
    <mergeCell ref="B703:H703"/>
    <mergeCell ref="A455:B455"/>
    <mergeCell ref="A456:B456"/>
    <mergeCell ref="A375:B375"/>
    <mergeCell ref="A394:B394"/>
    <mergeCell ref="A449:B449"/>
    <mergeCell ref="A450:H450"/>
    <mergeCell ref="A451:B451"/>
    <mergeCell ref="A452:B452"/>
    <mergeCell ref="C452:F452"/>
    <mergeCell ref="A453:B453"/>
    <mergeCell ref="A502:H502"/>
    <mergeCell ref="A507:H507"/>
    <mergeCell ref="A512:B512"/>
    <mergeCell ref="A454:B454"/>
    <mergeCell ref="A443:H443"/>
    <mergeCell ref="A513:H513"/>
    <mergeCell ref="C444:F444"/>
    <mergeCell ref="C445:F445"/>
    <mergeCell ref="A442:B442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02:B402"/>
    <mergeCell ref="A444:B444"/>
    <mergeCell ref="A445:B445"/>
    <mergeCell ref="A436:H436"/>
    <mergeCell ref="A437:B437"/>
    <mergeCell ref="A438:B438"/>
    <mergeCell ref="A439:B439"/>
    <mergeCell ref="A440:B440"/>
    <mergeCell ref="A441:B441"/>
    <mergeCell ref="A425:B425"/>
    <mergeCell ref="A426:B426"/>
    <mergeCell ref="A427:B427"/>
    <mergeCell ref="G444:H449"/>
    <mergeCell ref="L373:M373"/>
    <mergeCell ref="A373:B373"/>
    <mergeCell ref="A374:B374"/>
    <mergeCell ref="L400:M400"/>
    <mergeCell ref="A389:B389"/>
    <mergeCell ref="A390:B390"/>
    <mergeCell ref="A391:B391"/>
    <mergeCell ref="C382:F384"/>
    <mergeCell ref="C389:F391"/>
    <mergeCell ref="L394:M394"/>
    <mergeCell ref="A395:B395"/>
    <mergeCell ref="A396:B396"/>
    <mergeCell ref="A397:B397"/>
    <mergeCell ref="A398:B398"/>
    <mergeCell ref="A399:B399"/>
    <mergeCell ref="C375:F377"/>
    <mergeCell ref="A376:B376"/>
    <mergeCell ref="L379:M379"/>
    <mergeCell ref="A386:H386"/>
    <mergeCell ref="L386:M386"/>
    <mergeCell ref="L387:M387"/>
    <mergeCell ref="A393:H393"/>
    <mergeCell ref="L393:M393"/>
    <mergeCell ref="A384:B384"/>
    <mergeCell ref="A385:B385"/>
    <mergeCell ref="A379:H379"/>
    <mergeCell ref="L380:M380"/>
    <mergeCell ref="A321:H321"/>
    <mergeCell ref="A324:B324"/>
    <mergeCell ref="A325:B325"/>
    <mergeCell ref="A326:B326"/>
    <mergeCell ref="A327:B327"/>
    <mergeCell ref="A328:H328"/>
    <mergeCell ref="A329:B329"/>
    <mergeCell ref="A330:B330"/>
    <mergeCell ref="A331:B331"/>
    <mergeCell ref="G322:H327"/>
    <mergeCell ref="G329:H334"/>
    <mergeCell ref="G336:H341"/>
    <mergeCell ref="G344:H349"/>
    <mergeCell ref="G351:H356"/>
    <mergeCell ref="G358:H363"/>
    <mergeCell ref="G370:H371"/>
    <mergeCell ref="G373:H378"/>
    <mergeCell ref="G380:H385"/>
    <mergeCell ref="G387:H392"/>
    <mergeCell ref="A305:B305"/>
    <mergeCell ref="A306:B306"/>
    <mergeCell ref="C351:F351"/>
    <mergeCell ref="C352:F352"/>
    <mergeCell ref="A356:B356"/>
    <mergeCell ref="L371:M371"/>
    <mergeCell ref="A371:B371"/>
    <mergeCell ref="L372:M372"/>
    <mergeCell ref="A372:H372"/>
    <mergeCell ref="A346:B346"/>
    <mergeCell ref="A347:B347"/>
    <mergeCell ref="A348:B348"/>
    <mergeCell ref="A357:H357"/>
    <mergeCell ref="A358:B358"/>
    <mergeCell ref="A349:B349"/>
    <mergeCell ref="A350:H350"/>
    <mergeCell ref="A340:B340"/>
    <mergeCell ref="A341:B341"/>
    <mergeCell ref="A343:H343"/>
    <mergeCell ref="A344:B344"/>
    <mergeCell ref="A332:B332"/>
    <mergeCell ref="A359:B359"/>
    <mergeCell ref="A360:B360"/>
    <mergeCell ref="C359:F359"/>
    <mergeCell ref="A351:B351"/>
    <mergeCell ref="A352:B352"/>
    <mergeCell ref="A353:B353"/>
    <mergeCell ref="A354:B354"/>
    <mergeCell ref="A355:B355"/>
    <mergeCell ref="A338:B338"/>
    <mergeCell ref="A339:B339"/>
    <mergeCell ref="A310:B310"/>
    <mergeCell ref="A311:H311"/>
    <mergeCell ref="L311:M311"/>
    <mergeCell ref="A314:H314"/>
    <mergeCell ref="L300:M300"/>
    <mergeCell ref="A301:B301"/>
    <mergeCell ref="A302:B302"/>
    <mergeCell ref="A303:B303"/>
    <mergeCell ref="A304:B304"/>
    <mergeCell ref="L293:M293"/>
    <mergeCell ref="A294:B294"/>
    <mergeCell ref="A295:B295"/>
    <mergeCell ref="A296:B296"/>
    <mergeCell ref="A297:B297"/>
    <mergeCell ref="A287:B287"/>
    <mergeCell ref="A288:B288"/>
    <mergeCell ref="A300:H300"/>
    <mergeCell ref="L207:M207"/>
    <mergeCell ref="A208:B208"/>
    <mergeCell ref="A209:B209"/>
    <mergeCell ref="A210:B210"/>
    <mergeCell ref="A211:B211"/>
    <mergeCell ref="L218:M218"/>
    <mergeCell ref="A219:B219"/>
    <mergeCell ref="A220:B220"/>
    <mergeCell ref="G216:H217"/>
    <mergeCell ref="G219:H220"/>
    <mergeCell ref="A212:B212"/>
    <mergeCell ref="A213:B213"/>
    <mergeCell ref="A217:B217"/>
    <mergeCell ref="A218:H218"/>
    <mergeCell ref="C211:F212"/>
    <mergeCell ref="L215:M215"/>
    <mergeCell ref="A231:B231"/>
    <mergeCell ref="G229:H234"/>
    <mergeCell ref="L214:M214"/>
    <mergeCell ref="A221:H221"/>
    <mergeCell ref="L221:M221"/>
    <mergeCell ref="A222:B222"/>
    <mergeCell ref="A223:B223"/>
    <mergeCell ref="A226:B226"/>
    <mergeCell ref="A224:B224"/>
    <mergeCell ref="A225:B225"/>
    <mergeCell ref="C224:F225"/>
    <mergeCell ref="A214:H214"/>
    <mergeCell ref="L200:M200"/>
    <mergeCell ref="A201:B201"/>
    <mergeCell ref="A202:B202"/>
    <mergeCell ref="A203:B203"/>
    <mergeCell ref="G194:H199"/>
    <mergeCell ref="A195:B195"/>
    <mergeCell ref="A196:B196"/>
    <mergeCell ref="A197:B197"/>
    <mergeCell ref="A198:B198"/>
    <mergeCell ref="G201:H206"/>
    <mergeCell ref="A199:B199"/>
    <mergeCell ref="A200:H200"/>
    <mergeCell ref="C204:F205"/>
    <mergeCell ref="C197:F198"/>
    <mergeCell ref="L193:M193"/>
    <mergeCell ref="A194:B194"/>
    <mergeCell ref="L186:M186"/>
    <mergeCell ref="L183:M183"/>
    <mergeCell ref="A184:B184"/>
    <mergeCell ref="L184:M184"/>
    <mergeCell ref="A185:B185"/>
    <mergeCell ref="L185:M185"/>
    <mergeCell ref="A182:H182"/>
    <mergeCell ref="G183:H185"/>
    <mergeCell ref="G187:H192"/>
    <mergeCell ref="C190:F191"/>
    <mergeCell ref="A192:B192"/>
    <mergeCell ref="A188:B188"/>
    <mergeCell ref="A189:B189"/>
    <mergeCell ref="A190:B190"/>
    <mergeCell ref="A18:B18"/>
    <mergeCell ref="C18:H18"/>
    <mergeCell ref="A40:B40"/>
    <mergeCell ref="C40:H40"/>
    <mergeCell ref="A49:B49"/>
    <mergeCell ref="C49:H49"/>
    <mergeCell ref="A154:E154"/>
    <mergeCell ref="F154:H154"/>
    <mergeCell ref="F160:H160"/>
    <mergeCell ref="A167:B167"/>
    <mergeCell ref="F158:H158"/>
    <mergeCell ref="A161:E161"/>
    <mergeCell ref="G172:H172"/>
    <mergeCell ref="C167:D167"/>
    <mergeCell ref="E167:F167"/>
    <mergeCell ref="G167:H167"/>
    <mergeCell ref="A179:H179"/>
    <mergeCell ref="A168:B168"/>
    <mergeCell ref="B702:H702"/>
    <mergeCell ref="A181:H181"/>
    <mergeCell ref="A191:B191"/>
    <mergeCell ref="A193:H193"/>
    <mergeCell ref="A204:B204"/>
    <mergeCell ref="A205:B205"/>
    <mergeCell ref="A206:B206"/>
    <mergeCell ref="A207:H207"/>
    <mergeCell ref="C210:F210"/>
    <mergeCell ref="A215:H215"/>
    <mergeCell ref="A216:B216"/>
    <mergeCell ref="G208:H213"/>
    <mergeCell ref="A423:B423"/>
    <mergeCell ref="A424:B424"/>
    <mergeCell ref="A457:H457"/>
    <mergeCell ref="A458:H458"/>
    <mergeCell ref="C168:D168"/>
    <mergeCell ref="E168:F168"/>
    <mergeCell ref="A278:B278"/>
    <mergeCell ref="A279:H279"/>
    <mergeCell ref="A280:B280"/>
    <mergeCell ref="A270:B270"/>
    <mergeCell ref="A271:H271"/>
    <mergeCell ref="A262:B262"/>
    <mergeCell ref="A263:B263"/>
    <mergeCell ref="A264:H264"/>
    <mergeCell ref="A265:B265"/>
    <mergeCell ref="A266:B266"/>
    <mergeCell ref="A175:A176"/>
    <mergeCell ref="E170:F170"/>
    <mergeCell ref="A171:B171"/>
    <mergeCell ref="C171:D171"/>
    <mergeCell ref="E171:F171"/>
    <mergeCell ref="G171:H171"/>
    <mergeCell ref="A692:H692"/>
    <mergeCell ref="A152:E152"/>
    <mergeCell ref="A246:B246"/>
    <mergeCell ref="A243:B243"/>
    <mergeCell ref="A183:B183"/>
    <mergeCell ref="A180:H180"/>
    <mergeCell ref="G168:H168"/>
    <mergeCell ref="E166:F166"/>
    <mergeCell ref="G166:H166"/>
    <mergeCell ref="F157:H157"/>
    <mergeCell ref="C265:F265"/>
    <mergeCell ref="G258:H263"/>
    <mergeCell ref="G265:H270"/>
    <mergeCell ref="A258:B258"/>
    <mergeCell ref="A259:B259"/>
    <mergeCell ref="A260:B260"/>
    <mergeCell ref="A261:B261"/>
    <mergeCell ref="C259:F259"/>
    <mergeCell ref="C258:F258"/>
    <mergeCell ref="A333:B333"/>
    <mergeCell ref="A334:B334"/>
    <mergeCell ref="A345:B345"/>
    <mergeCell ref="A335:H335"/>
    <mergeCell ref="A336:B336"/>
    <mergeCell ref="A337:B337"/>
    <mergeCell ref="C166:D166"/>
    <mergeCell ref="A286:H286"/>
    <mergeCell ref="G236:H241"/>
    <mergeCell ref="A38:H38"/>
    <mergeCell ref="A37:B37"/>
    <mergeCell ref="C37:E37"/>
    <mergeCell ref="A42:D42"/>
    <mergeCell ref="E42:H42"/>
    <mergeCell ref="F34:H34"/>
    <mergeCell ref="F35:H35"/>
    <mergeCell ref="A41:H41"/>
    <mergeCell ref="A61:C61"/>
    <mergeCell ref="D61:H61"/>
    <mergeCell ref="A44:D44"/>
    <mergeCell ref="E44:H44"/>
    <mergeCell ref="E45:H45"/>
    <mergeCell ref="E46:H46"/>
    <mergeCell ref="E47:H47"/>
    <mergeCell ref="A45:D45"/>
    <mergeCell ref="F37:H37"/>
    <mergeCell ref="A39:B39"/>
    <mergeCell ref="A46:D46"/>
    <mergeCell ref="A47:D47"/>
    <mergeCell ref="A48:H48"/>
    <mergeCell ref="G51:H51"/>
    <mergeCell ref="A52:B53"/>
    <mergeCell ref="A56:H56"/>
    <mergeCell ref="A57:C57"/>
    <mergeCell ref="A58:C58"/>
    <mergeCell ref="G54:H54"/>
    <mergeCell ref="A54:B55"/>
    <mergeCell ref="C55:H55"/>
    <mergeCell ref="C54:E54"/>
    <mergeCell ref="A51:B51"/>
    <mergeCell ref="D58:H58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1:H1"/>
    <mergeCell ref="A2:H2"/>
    <mergeCell ref="A3:D3"/>
    <mergeCell ref="E3:H3"/>
    <mergeCell ref="A4:D4"/>
    <mergeCell ref="A9:D9"/>
    <mergeCell ref="E9:H9"/>
    <mergeCell ref="A11:D11"/>
    <mergeCell ref="E11:H11"/>
    <mergeCell ref="E4:H4"/>
    <mergeCell ref="A10:D10"/>
    <mergeCell ref="E10:H10"/>
    <mergeCell ref="A12:D12"/>
    <mergeCell ref="E12:H12"/>
    <mergeCell ref="A23:D24"/>
    <mergeCell ref="E23:H24"/>
    <mergeCell ref="E15:H15"/>
    <mergeCell ref="A16:B16"/>
    <mergeCell ref="C16:H16"/>
    <mergeCell ref="C17:H17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13:D13"/>
    <mergeCell ref="E13:H13"/>
    <mergeCell ref="A5:D5"/>
    <mergeCell ref="E5:H5"/>
    <mergeCell ref="A7:D7"/>
    <mergeCell ref="E7:H7"/>
    <mergeCell ref="A8:D8"/>
    <mergeCell ref="E8:H8"/>
    <mergeCell ref="A17:B17"/>
    <mergeCell ref="A14:D14"/>
    <mergeCell ref="E14:H14"/>
    <mergeCell ref="A15:D15"/>
    <mergeCell ref="A6:D6"/>
    <mergeCell ref="E6:H6"/>
    <mergeCell ref="A25:D25"/>
    <mergeCell ref="E25:H25"/>
    <mergeCell ref="A22:B22"/>
    <mergeCell ref="C22:D22"/>
    <mergeCell ref="E22:F22"/>
    <mergeCell ref="G22:H22"/>
    <mergeCell ref="E27:H27"/>
    <mergeCell ref="A29:D29"/>
    <mergeCell ref="B701:H701"/>
    <mergeCell ref="B698:H698"/>
    <mergeCell ref="A173:H173"/>
    <mergeCell ref="A414:H414"/>
    <mergeCell ref="G222:H227"/>
    <mergeCell ref="A227:B227"/>
    <mergeCell ref="A250:H250"/>
    <mergeCell ref="A247:B247"/>
    <mergeCell ref="A244:B244"/>
    <mergeCell ref="A228:H228"/>
    <mergeCell ref="A229:B229"/>
    <mergeCell ref="A230:B230"/>
    <mergeCell ref="A78:B78"/>
    <mergeCell ref="A71:B71"/>
    <mergeCell ref="A74:B74"/>
    <mergeCell ref="A70:B70"/>
    <mergeCell ref="A68:B68"/>
    <mergeCell ref="C68:H68"/>
    <mergeCell ref="A76:B76"/>
    <mergeCell ref="A177:H177"/>
    <mergeCell ref="A178:H178"/>
    <mergeCell ref="C172:D172"/>
    <mergeCell ref="E172:F172"/>
    <mergeCell ref="A174:H174"/>
    <mergeCell ref="A172:B172"/>
    <mergeCell ref="A156:E156"/>
    <mergeCell ref="F156:H156"/>
    <mergeCell ref="A157:E157"/>
    <mergeCell ref="A159:E159"/>
    <mergeCell ref="A158:E158"/>
    <mergeCell ref="A155:E155"/>
    <mergeCell ref="B175:B176"/>
    <mergeCell ref="A82:B82"/>
    <mergeCell ref="C82:H82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714:H717"/>
    <mergeCell ref="A713:B713"/>
    <mergeCell ref="E713:F713"/>
    <mergeCell ref="C713:D713"/>
    <mergeCell ref="G713:H713"/>
    <mergeCell ref="A162:E162"/>
    <mergeCell ref="F162:H162"/>
    <mergeCell ref="A163:E163"/>
    <mergeCell ref="F163:H163"/>
    <mergeCell ref="A186:H186"/>
    <mergeCell ref="A166:B166"/>
    <mergeCell ref="A245:B245"/>
    <mergeCell ref="A709:H709"/>
    <mergeCell ref="A164:H164"/>
    <mergeCell ref="A712:H712"/>
    <mergeCell ref="A710:H710"/>
    <mergeCell ref="C175:C176"/>
    <mergeCell ref="A707:H707"/>
    <mergeCell ref="E165:F165"/>
    <mergeCell ref="B700:H700"/>
    <mergeCell ref="B693:H693"/>
    <mergeCell ref="A84:B84"/>
    <mergeCell ref="C84:H84"/>
    <mergeCell ref="A85:B85"/>
    <mergeCell ref="E85:F85"/>
    <mergeCell ref="G85:H85"/>
    <mergeCell ref="A86:B86"/>
    <mergeCell ref="E86:F95"/>
    <mergeCell ref="G86:H95"/>
    <mergeCell ref="C53:H53"/>
    <mergeCell ref="A706:H706"/>
    <mergeCell ref="A65:C65"/>
    <mergeCell ref="D65:H65"/>
    <mergeCell ref="A66:C66"/>
    <mergeCell ref="D66:H66"/>
    <mergeCell ref="A72:B72"/>
    <mergeCell ref="G71:H71"/>
    <mergeCell ref="A62:C62"/>
    <mergeCell ref="E72:F81"/>
    <mergeCell ref="G72:H81"/>
    <mergeCell ref="A80:B80"/>
    <mergeCell ref="A81:B81"/>
    <mergeCell ref="D62:H62"/>
    <mergeCell ref="B694:H694"/>
    <mergeCell ref="B695:H695"/>
    <mergeCell ref="B696:H696"/>
    <mergeCell ref="D59:H59"/>
    <mergeCell ref="A59:C59"/>
    <mergeCell ref="A79:B79"/>
    <mergeCell ref="A483:B483"/>
    <mergeCell ref="A484:B484"/>
    <mergeCell ref="A400:H400"/>
    <mergeCell ref="A285:B285"/>
    <mergeCell ref="G243:H248"/>
    <mergeCell ref="A242:H242"/>
    <mergeCell ref="A248:B248"/>
    <mergeCell ref="A420:B420"/>
    <mergeCell ref="A421:H421"/>
    <mergeCell ref="A422:B422"/>
    <mergeCell ref="E43:H43"/>
    <mergeCell ref="A43:D43"/>
    <mergeCell ref="A711:H711"/>
    <mergeCell ref="A708:H708"/>
    <mergeCell ref="A187:B187"/>
    <mergeCell ref="A165:B165"/>
    <mergeCell ref="D175:D176"/>
    <mergeCell ref="E175:E176"/>
    <mergeCell ref="G175:H176"/>
    <mergeCell ref="A77:B77"/>
    <mergeCell ref="F153:H153"/>
    <mergeCell ref="A50:B50"/>
    <mergeCell ref="C50:E50"/>
    <mergeCell ref="G50:H50"/>
    <mergeCell ref="G52:H52"/>
    <mergeCell ref="D57:H57"/>
    <mergeCell ref="C52:E52"/>
    <mergeCell ref="A60:C60"/>
    <mergeCell ref="D60:H60"/>
    <mergeCell ref="C51:E51"/>
    <mergeCell ref="B704:H704"/>
    <mergeCell ref="G280:H285"/>
    <mergeCell ref="G287:H292"/>
    <mergeCell ref="G294:H299"/>
    <mergeCell ref="G301:H306"/>
    <mergeCell ref="G309:H310"/>
    <mergeCell ref="L286:M286"/>
    <mergeCell ref="G465:H470"/>
    <mergeCell ref="A459:H459"/>
    <mergeCell ref="A460:H460"/>
    <mergeCell ref="L342:M342"/>
    <mergeCell ref="L435:M435"/>
    <mergeCell ref="A254:B254"/>
    <mergeCell ref="A255:B255"/>
    <mergeCell ref="A256:B256"/>
    <mergeCell ref="G251:H256"/>
    <mergeCell ref="A251:B251"/>
    <mergeCell ref="A232:B232"/>
    <mergeCell ref="A233:B233"/>
    <mergeCell ref="A234:B234"/>
    <mergeCell ref="A235:H235"/>
    <mergeCell ref="A236:B236"/>
    <mergeCell ref="A237:B237"/>
    <mergeCell ref="A238:B238"/>
    <mergeCell ref="A239:B239"/>
    <mergeCell ref="A240:B240"/>
    <mergeCell ref="L278:M278"/>
    <mergeCell ref="L279:M279"/>
    <mergeCell ref="A275:H275"/>
    <mergeCell ref="A276:H276"/>
    <mergeCell ref="A277:B277"/>
    <mergeCell ref="G277:H278"/>
    <mergeCell ref="L314:M314"/>
    <mergeCell ref="A315:B315"/>
    <mergeCell ref="A316:B316"/>
    <mergeCell ref="A308:H308"/>
    <mergeCell ref="L308:M308"/>
    <mergeCell ref="A309:B309"/>
    <mergeCell ref="A466:B466"/>
    <mergeCell ref="A475:B475"/>
    <mergeCell ref="A435:H435"/>
    <mergeCell ref="A471:H471"/>
    <mergeCell ref="A542:H542"/>
    <mergeCell ref="A478:H478"/>
    <mergeCell ref="A482:B482"/>
    <mergeCell ref="A598:B598"/>
    <mergeCell ref="G593:H598"/>
    <mergeCell ref="A493:B493"/>
    <mergeCell ref="A543:H543"/>
    <mergeCell ref="A544:H544"/>
    <mergeCell ref="A545:H545"/>
    <mergeCell ref="A476:B476"/>
    <mergeCell ref="A477:B477"/>
    <mergeCell ref="A461:H461"/>
    <mergeCell ref="A462:B462"/>
    <mergeCell ref="A463:B463"/>
    <mergeCell ref="A585:H585"/>
    <mergeCell ref="A487:B487"/>
    <mergeCell ref="A488:B488"/>
    <mergeCell ref="A583:B583"/>
    <mergeCell ref="G578:H583"/>
    <mergeCell ref="A586:H586"/>
    <mergeCell ref="A591:B591"/>
    <mergeCell ref="A592:H592"/>
    <mergeCell ref="A581:B581"/>
    <mergeCell ref="C581:F582"/>
    <mergeCell ref="A582:B582"/>
    <mergeCell ref="A447:B447"/>
    <mergeCell ref="A448:B448"/>
    <mergeCell ref="G451:H456"/>
    <mergeCell ref="A495:B495"/>
    <mergeCell ref="G493:H498"/>
    <mergeCell ref="L500:M500"/>
    <mergeCell ref="A501:H501"/>
    <mergeCell ref="A496:B496"/>
    <mergeCell ref="A497:B497"/>
    <mergeCell ref="A498:B498"/>
    <mergeCell ref="A500:H500"/>
    <mergeCell ref="L499:M499"/>
    <mergeCell ref="A492:H492"/>
    <mergeCell ref="L471:M471"/>
    <mergeCell ref="A472:B472"/>
    <mergeCell ref="L472:M472"/>
    <mergeCell ref="A473:B473"/>
    <mergeCell ref="A474:B474"/>
    <mergeCell ref="G472:H477"/>
    <mergeCell ref="L478:M478"/>
    <mergeCell ref="A479:B479"/>
    <mergeCell ref="L479:M479"/>
    <mergeCell ref="A480:B480"/>
    <mergeCell ref="A481:B481"/>
    <mergeCell ref="G479:H484"/>
    <mergeCell ref="L485:M485"/>
    <mergeCell ref="A486:B486"/>
    <mergeCell ref="L486:M486"/>
    <mergeCell ref="G486:H491"/>
    <mergeCell ref="A489:B489"/>
    <mergeCell ref="A490:B490"/>
    <mergeCell ref="A491:B491"/>
    <mergeCell ref="A485:H485"/>
    <mergeCell ref="A137:B137"/>
    <mergeCell ref="L463:M463"/>
    <mergeCell ref="A470:B470"/>
    <mergeCell ref="L470:M470"/>
    <mergeCell ref="A467:B467"/>
    <mergeCell ref="A468:B468"/>
    <mergeCell ref="A469:B469"/>
    <mergeCell ref="L466:M466"/>
    <mergeCell ref="C39:H39"/>
    <mergeCell ref="L493:M493"/>
    <mergeCell ref="A494:B494"/>
    <mergeCell ref="L492:M492"/>
    <mergeCell ref="A249:H249"/>
    <mergeCell ref="L249:M249"/>
    <mergeCell ref="L307:M307"/>
    <mergeCell ref="L277:M277"/>
    <mergeCell ref="A267:B267"/>
    <mergeCell ref="A268:B268"/>
    <mergeCell ref="A269:B269"/>
    <mergeCell ref="A289:B289"/>
    <mergeCell ref="A290:B290"/>
    <mergeCell ref="C290:F290"/>
    <mergeCell ref="A291:B291"/>
    <mergeCell ref="C291:F291"/>
    <mergeCell ref="A292:B292"/>
    <mergeCell ref="A293:H293"/>
    <mergeCell ref="A307:H307"/>
    <mergeCell ref="A342:H342"/>
    <mergeCell ref="G312:H313"/>
    <mergeCell ref="G315:H320"/>
    <mergeCell ref="A464:H464"/>
    <mergeCell ref="A465:B465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E142:F151"/>
    <mergeCell ref="G142:H15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</mergeCells>
  <hyperlinks>
    <hyperlink ref="C40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95" max="16383" man="1"/>
    <brk id="717" max="16383" man="1"/>
    <brk id="76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41" t="s">
        <v>103</v>
      </c>
      <c r="C3" s="241"/>
      <c r="D3" s="241"/>
      <c r="E3" s="241"/>
      <c r="F3" s="241"/>
      <c r="G3" s="241"/>
      <c r="H3" s="241"/>
    </row>
    <row r="4" spans="1:9" x14ac:dyDescent="0.35">
      <c r="A4" s="2"/>
      <c r="B4" s="3" t="s">
        <v>104</v>
      </c>
      <c r="C4" s="3" t="s">
        <v>105</v>
      </c>
      <c r="D4" s="3" t="s">
        <v>68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2025-05-16T07:06:13Z</cp:lastPrinted>
  <dcterms:created xsi:type="dcterms:W3CDTF">2019-07-16T09:29:46Z</dcterms:created>
  <dcterms:modified xsi:type="dcterms:W3CDTF">2025-08-20T12:12:17Z</dcterms:modified>
</cp:coreProperties>
</file>