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20-08-2025\Axis Sanpada\"/>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Report!$A$1:$H$471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8" i="1" l="1"/>
  <c r="G50" i="1"/>
  <c r="E8" i="1" l="1"/>
  <c r="C16" i="1"/>
  <c r="E302" i="1" l="1"/>
  <c r="E300" i="1"/>
  <c r="E299" i="1"/>
  <c r="D302" i="1"/>
  <c r="D300" i="1"/>
  <c r="D299" i="1"/>
  <c r="D298" i="1"/>
  <c r="F298" i="1" s="1"/>
  <c r="H298" i="1" s="1"/>
  <c r="D297" i="1"/>
  <c r="F297" i="1" s="1"/>
  <c r="H297" i="1" s="1"/>
  <c r="D296" i="1"/>
  <c r="F296" i="1" s="1"/>
  <c r="H296" i="1" s="1"/>
  <c r="D295" i="1"/>
  <c r="F295" i="1" s="1"/>
  <c r="H295" i="1" s="1"/>
  <c r="E293" i="1"/>
  <c r="E292" i="1"/>
  <c r="E291" i="1"/>
  <c r="E290" i="1"/>
  <c r="D293" i="1"/>
  <c r="D292" i="1"/>
  <c r="D291" i="1"/>
  <c r="D290" i="1"/>
  <c r="D289" i="1"/>
  <c r="F289" i="1" s="1"/>
  <c r="H289" i="1" s="1"/>
  <c r="D288" i="1"/>
  <c r="F288" i="1" s="1"/>
  <c r="H288" i="1" s="1"/>
  <c r="D287" i="1"/>
  <c r="F287" i="1" s="1"/>
  <c r="H287" i="1" s="1"/>
  <c r="D286" i="1"/>
  <c r="E284" i="1"/>
  <c r="E283" i="1"/>
  <c r="E282" i="1"/>
  <c r="E281" i="1"/>
  <c r="D284" i="1"/>
  <c r="D283" i="1"/>
  <c r="D282" i="1"/>
  <c r="D281" i="1"/>
  <c r="D280" i="1"/>
  <c r="D279" i="1"/>
  <c r="F279" i="1" s="1"/>
  <c r="H279" i="1" s="1"/>
  <c r="D278" i="1"/>
  <c r="F278" i="1" s="1"/>
  <c r="H278" i="1" s="1"/>
  <c r="D277" i="1"/>
  <c r="F277" i="1" s="1"/>
  <c r="H277" i="1" s="1"/>
  <c r="E274" i="1"/>
  <c r="D274" i="1"/>
  <c r="E273" i="1"/>
  <c r="D273" i="1"/>
  <c r="D268" i="1"/>
  <c r="D267" i="1"/>
  <c r="E265" i="1"/>
  <c r="D265" i="1"/>
  <c r="E264" i="1"/>
  <c r="D264" i="1"/>
  <c r="D259" i="1"/>
  <c r="D258" i="1"/>
  <c r="E254" i="1"/>
  <c r="E253" i="1"/>
  <c r="E251" i="1"/>
  <c r="D254" i="1"/>
  <c r="D253" i="1"/>
  <c r="D251" i="1"/>
  <c r="D250" i="1"/>
  <c r="D249" i="1"/>
  <c r="D248" i="1"/>
  <c r="D247" i="1"/>
  <c r="E245" i="1"/>
  <c r="E244" i="1"/>
  <c r="E243" i="1"/>
  <c r="E242" i="1"/>
  <c r="D245" i="1"/>
  <c r="D244" i="1"/>
  <c r="D243" i="1"/>
  <c r="D242" i="1"/>
  <c r="D241" i="1"/>
  <c r="D240" i="1"/>
  <c r="D239" i="1"/>
  <c r="D238" i="1"/>
  <c r="E236" i="1"/>
  <c r="E235" i="1"/>
  <c r="E234" i="1"/>
  <c r="E233" i="1"/>
  <c r="D236" i="1"/>
  <c r="D235" i="1"/>
  <c r="D234" i="1"/>
  <c r="D233" i="1"/>
  <c r="D232" i="1"/>
  <c r="D231" i="1"/>
  <c r="D230" i="1"/>
  <c r="D229" i="1"/>
  <c r="E224" i="1"/>
  <c r="E223" i="1"/>
  <c r="D224" i="1"/>
  <c r="D223" i="1"/>
  <c r="D222" i="1"/>
  <c r="D221" i="1"/>
  <c r="D215" i="1"/>
  <c r="D214" i="1"/>
  <c r="D213" i="1"/>
  <c r="D212" i="1"/>
  <c r="E215" i="1"/>
  <c r="E214" i="1"/>
  <c r="K209" i="1"/>
  <c r="D200" i="1"/>
  <c r="F200" i="1" s="1"/>
  <c r="H200" i="1" s="1"/>
  <c r="D199" i="1"/>
  <c r="F199" i="1" s="1"/>
  <c r="H199" i="1" s="1"/>
  <c r="D193" i="1"/>
  <c r="D192" i="1"/>
  <c r="D191" i="1"/>
  <c r="D190" i="1"/>
  <c r="D189" i="1"/>
  <c r="D188" i="1"/>
  <c r="D187" i="1"/>
  <c r="D186" i="1"/>
  <c r="D185" i="1"/>
  <c r="D155" i="1"/>
  <c r="D154" i="1"/>
  <c r="D153" i="1"/>
  <c r="D152" i="1"/>
  <c r="D151" i="1"/>
  <c r="D150" i="1"/>
  <c r="D149" i="1"/>
  <c r="D148" i="1"/>
  <c r="D147"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J147" i="1"/>
  <c r="I199" i="1"/>
  <c r="A200" i="1"/>
  <c r="F290" i="1"/>
  <c r="H290" i="1" s="1"/>
  <c r="F286" i="1"/>
  <c r="H286" i="1" s="1"/>
  <c r="J283" i="1"/>
  <c r="I283" i="1"/>
  <c r="I277" i="1"/>
  <c r="F280" i="1"/>
  <c r="H280" i="1" s="1"/>
  <c r="A278" i="1"/>
  <c r="A279" i="1" s="1"/>
  <c r="A280" i="1" s="1"/>
  <c r="A281" i="1" s="1"/>
  <c r="A282" i="1" s="1"/>
  <c r="A283" i="1" s="1"/>
  <c r="A284" i="1" s="1"/>
  <c r="C133" i="1" l="1"/>
  <c r="C138" i="1"/>
  <c r="C132" i="1"/>
  <c r="C137" i="1"/>
  <c r="C139" i="1" s="1"/>
  <c r="C131" i="1"/>
  <c r="F284" i="1"/>
  <c r="H284" i="1" s="1"/>
  <c r="F291" i="1"/>
  <c r="H291" i="1" s="1"/>
  <c r="F292" i="1"/>
  <c r="H292" i="1" s="1"/>
  <c r="F281" i="1"/>
  <c r="H281" i="1" s="1"/>
  <c r="F283" i="1"/>
  <c r="H283" i="1" s="1"/>
  <c r="F302" i="1"/>
  <c r="H302" i="1" s="1"/>
  <c r="F300" i="1"/>
  <c r="H300" i="1" s="1"/>
  <c r="F282" i="1"/>
  <c r="H282" i="1" s="1"/>
  <c r="F293" i="1"/>
  <c r="H293" i="1" s="1"/>
  <c r="F299" i="1"/>
  <c r="H299" i="1" s="1"/>
  <c r="F193" i="1"/>
  <c r="H193" i="1" s="1"/>
  <c r="F191" i="1"/>
  <c r="H191" i="1" s="1"/>
  <c r="F190" i="1"/>
  <c r="H190" i="1" s="1"/>
  <c r="F188" i="1"/>
  <c r="H188" i="1" s="1"/>
  <c r="F186" i="1"/>
  <c r="H186" i="1" s="1"/>
  <c r="I193" i="1"/>
  <c r="I185" i="1"/>
  <c r="F192" i="1"/>
  <c r="H192" i="1" s="1"/>
  <c r="F189" i="1"/>
  <c r="H189" i="1" s="1"/>
  <c r="F187" i="1"/>
  <c r="H187" i="1" s="1"/>
  <c r="A186" i="1"/>
  <c r="A187" i="1" s="1"/>
  <c r="A188" i="1" s="1"/>
  <c r="A189" i="1" s="1"/>
  <c r="A190" i="1" s="1"/>
  <c r="A191" i="1" s="1"/>
  <c r="A192" i="1" s="1"/>
  <c r="A193" i="1" s="1"/>
  <c r="F185" i="1"/>
  <c r="F274" i="1"/>
  <c r="H274" i="1" s="1"/>
  <c r="F273" i="1"/>
  <c r="H273" i="1" s="1"/>
  <c r="F268" i="1"/>
  <c r="H268" i="1" s="1"/>
  <c r="F267" i="1"/>
  <c r="H267" i="1" s="1"/>
  <c r="A268" i="1"/>
  <c r="A269" i="1" s="1"/>
  <c r="F259" i="1"/>
  <c r="H259" i="1" s="1"/>
  <c r="F258" i="1"/>
  <c r="J265" i="1"/>
  <c r="I258" i="1"/>
  <c r="I265" i="1"/>
  <c r="F250" i="1"/>
  <c r="H250" i="1" s="1"/>
  <c r="I250" i="1" s="1"/>
  <c r="F249" i="1"/>
  <c r="H249" i="1" s="1"/>
  <c r="F248" i="1"/>
  <c r="H248" i="1" s="1"/>
  <c r="F247" i="1"/>
  <c r="H247" i="1" s="1"/>
  <c r="F244" i="1"/>
  <c r="H244" i="1" s="1"/>
  <c r="F243" i="1"/>
  <c r="H243" i="1" s="1"/>
  <c r="F241" i="1"/>
  <c r="H241" i="1" s="1"/>
  <c r="F240" i="1"/>
  <c r="H240" i="1" s="1"/>
  <c r="F238" i="1"/>
  <c r="H238" i="1" s="1"/>
  <c r="F239" i="1"/>
  <c r="H239" i="1" s="1"/>
  <c r="J236" i="1"/>
  <c r="F230" i="1"/>
  <c r="H230" i="1" s="1"/>
  <c r="F231" i="1"/>
  <c r="H231" i="1" s="1"/>
  <c r="I230" i="1"/>
  <c r="F229" i="1"/>
  <c r="H229" i="1" s="1"/>
  <c r="I236" i="1"/>
  <c r="F232" i="1"/>
  <c r="H232" i="1" s="1"/>
  <c r="A230" i="1"/>
  <c r="A231" i="1" s="1"/>
  <c r="A232" i="1" s="1"/>
  <c r="A233" i="1" s="1"/>
  <c r="A234" i="1" s="1"/>
  <c r="A235" i="1" s="1"/>
  <c r="A236" i="1" s="1"/>
  <c r="F182" i="1"/>
  <c r="H182" i="1" s="1"/>
  <c r="F180" i="1"/>
  <c r="H180" i="1" s="1"/>
  <c r="F179" i="1"/>
  <c r="H179" i="1" s="1"/>
  <c r="F178" i="1"/>
  <c r="H178" i="1" s="1"/>
  <c r="F177" i="1"/>
  <c r="H177" i="1" s="1"/>
  <c r="F176" i="1"/>
  <c r="H176" i="1" s="1"/>
  <c r="F175" i="1"/>
  <c r="H175" i="1" s="1"/>
  <c r="F174" i="1"/>
  <c r="H174" i="1" s="1"/>
  <c r="F173" i="1"/>
  <c r="H173" i="1" s="1"/>
  <c r="F172" i="1"/>
  <c r="H172" i="1" s="1"/>
  <c r="F171" i="1"/>
  <c r="H171" i="1" s="1"/>
  <c r="F170" i="1"/>
  <c r="H170" i="1" s="1"/>
  <c r="F168" i="1"/>
  <c r="H168" i="1" s="1"/>
  <c r="F167" i="1"/>
  <c r="H167" i="1" s="1"/>
  <c r="I167" i="1"/>
  <c r="F166" i="1"/>
  <c r="H166" i="1" s="1"/>
  <c r="F165" i="1"/>
  <c r="H165" i="1" s="1"/>
  <c r="F164" i="1"/>
  <c r="H164" i="1" s="1"/>
  <c r="F163" i="1"/>
  <c r="H163" i="1" s="1"/>
  <c r="F162" i="1"/>
  <c r="H162" i="1" s="1"/>
  <c r="F160" i="1"/>
  <c r="H160" i="1" s="1"/>
  <c r="F159" i="1"/>
  <c r="H159" i="1" s="1"/>
  <c r="I165" i="1"/>
  <c r="I158" i="1"/>
  <c r="F181" i="1"/>
  <c r="H181" i="1" s="1"/>
  <c r="F169" i="1"/>
  <c r="H169" i="1" s="1"/>
  <c r="F161" i="1"/>
  <c r="H161" i="1" s="1"/>
  <c r="A159" i="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F158" i="1"/>
  <c r="F224" i="1"/>
  <c r="H224" i="1" s="1"/>
  <c r="F222" i="1"/>
  <c r="H222" i="1" s="1"/>
  <c r="F221" i="1"/>
  <c r="H221" i="1" s="1"/>
  <c r="J221" i="1" s="1"/>
  <c r="A220" i="1"/>
  <c r="A221" i="1" s="1"/>
  <c r="A222" i="1" s="1"/>
  <c r="A223" i="1" s="1"/>
  <c r="A224" i="1" s="1"/>
  <c r="A225" i="1" s="1"/>
  <c r="A226" i="1" s="1"/>
  <c r="F215" i="1"/>
  <c r="H215" i="1" s="1"/>
  <c r="F213" i="1"/>
  <c r="H213" i="1" s="1"/>
  <c r="F212" i="1"/>
  <c r="J214" i="1"/>
  <c r="I214" i="1"/>
  <c r="I212" i="1"/>
  <c r="C134" i="1" l="1"/>
  <c r="H212" i="1"/>
  <c r="H258" i="1"/>
  <c r="H185" i="1"/>
  <c r="E133" i="1"/>
  <c r="H158" i="1"/>
  <c r="G132" i="1" s="1"/>
  <c r="E132" i="1"/>
  <c r="G133" i="1"/>
  <c r="F234" i="1"/>
  <c r="H234" i="1" s="1"/>
  <c r="F264" i="1"/>
  <c r="H264" i="1" s="1"/>
  <c r="F265" i="1"/>
  <c r="H265" i="1" s="1"/>
  <c r="F214" i="1"/>
  <c r="H214" i="1" s="1"/>
  <c r="F245" i="1"/>
  <c r="H245" i="1" s="1"/>
  <c r="F242" i="1"/>
  <c r="H242" i="1" s="1"/>
  <c r="F236" i="1"/>
  <c r="H236" i="1" s="1"/>
  <c r="F251" i="1"/>
  <c r="H251" i="1" s="1"/>
  <c r="A270" i="1"/>
  <c r="A271" i="1" s="1"/>
  <c r="A272" i="1" s="1"/>
  <c r="A273" i="1" s="1"/>
  <c r="A274" i="1" s="1"/>
  <c r="F235" i="1"/>
  <c r="H235" i="1" s="1"/>
  <c r="F253" i="1"/>
  <c r="H253" i="1" s="1"/>
  <c r="F254" i="1"/>
  <c r="H254" i="1" s="1"/>
  <c r="F233" i="1"/>
  <c r="H233" i="1" s="1"/>
  <c r="F223" i="1"/>
  <c r="H223" i="1" s="1"/>
  <c r="J223" i="1" s="1"/>
  <c r="F155" i="1"/>
  <c r="H155" i="1" s="1"/>
  <c r="F154" i="1"/>
  <c r="H154" i="1" s="1"/>
  <c r="F153" i="1"/>
  <c r="H153" i="1" s="1"/>
  <c r="F152" i="1"/>
  <c r="H152" i="1" s="1"/>
  <c r="F151" i="1"/>
  <c r="H151" i="1" s="1"/>
  <c r="I150" i="1"/>
  <c r="E137" i="1" l="1"/>
  <c r="G137" i="1"/>
  <c r="E138" i="1"/>
  <c r="E139" i="1" s="1"/>
  <c r="G138" i="1"/>
  <c r="B334" i="1"/>
  <c r="G139" i="1" l="1"/>
  <c r="F148" i="1"/>
  <c r="H148" i="1" s="1"/>
  <c r="F149" i="1"/>
  <c r="H149" i="1" s="1"/>
  <c r="F150" i="1"/>
  <c r="H150" i="1" s="1"/>
  <c r="F147" i="1"/>
  <c r="H147" i="1" l="1"/>
  <c r="G131" i="1" s="1"/>
  <c r="G134" i="1" s="1"/>
  <c r="E131" i="1"/>
  <c r="E134" i="1" s="1"/>
  <c r="G58" i="1"/>
  <c r="C58" i="1"/>
  <c r="G56" i="1"/>
  <c r="C56" i="1"/>
  <c r="S33" i="1" l="1"/>
  <c r="F11" i="5" l="1"/>
  <c r="G11" i="5" s="1"/>
  <c r="F10" i="5"/>
  <c r="G10" i="5" s="1"/>
  <c r="F9" i="5"/>
  <c r="G9" i="5" s="1"/>
  <c r="F8" i="5"/>
  <c r="G8" i="5" s="1"/>
  <c r="F7" i="5"/>
  <c r="G7" i="5" s="1"/>
  <c r="F6" i="5"/>
  <c r="G6" i="5" s="1"/>
  <c r="F5" i="5"/>
  <c r="G5" i="5" s="1"/>
  <c r="G12" i="5" s="1"/>
  <c r="D356" i="1"/>
  <c r="B335" i="1"/>
  <c r="F331" i="1"/>
  <c r="H331" i="1" s="1"/>
  <c r="F330" i="1"/>
  <c r="H330" i="1" s="1"/>
  <c r="F329" i="1"/>
  <c r="H329" i="1" s="1"/>
  <c r="F328" i="1"/>
  <c r="H328" i="1" s="1"/>
  <c r="F327" i="1"/>
  <c r="H327" i="1" s="1"/>
  <c r="F325" i="1"/>
  <c r="H325" i="1" s="1"/>
  <c r="F324" i="1"/>
  <c r="H324" i="1" s="1"/>
  <c r="F323" i="1"/>
  <c r="H323" i="1" s="1"/>
  <c r="F322" i="1"/>
  <c r="H322" i="1" s="1"/>
  <c r="F321" i="1"/>
  <c r="H321" i="1" s="1"/>
  <c r="F319" i="1"/>
  <c r="H319" i="1" s="1"/>
  <c r="F318" i="1"/>
  <c r="H318" i="1" s="1"/>
  <c r="F317" i="1"/>
  <c r="H317" i="1" s="1"/>
  <c r="F316" i="1"/>
  <c r="H316" i="1" s="1"/>
  <c r="F315" i="1"/>
  <c r="H315" i="1" s="1"/>
  <c r="F313" i="1"/>
  <c r="H313" i="1" s="1"/>
  <c r="F312" i="1"/>
  <c r="H312" i="1" s="1"/>
  <c r="F311" i="1"/>
  <c r="H311" i="1" s="1"/>
  <c r="F310" i="1"/>
  <c r="H310" i="1" s="1"/>
  <c r="F309" i="1"/>
  <c r="H309" i="1" s="1"/>
  <c r="A309" i="1"/>
  <c r="A310" i="1" s="1"/>
  <c r="A311" i="1" s="1"/>
  <c r="A312" i="1" s="1"/>
  <c r="A313" i="1" s="1"/>
  <c r="F307" i="1"/>
  <c r="H307" i="1" s="1"/>
  <c r="F306" i="1"/>
  <c r="H306" i="1" s="1"/>
  <c r="F305" i="1"/>
  <c r="H305" i="1" s="1"/>
  <c r="A305" i="1"/>
  <c r="A306" i="1" s="1"/>
  <c r="A307" i="1" s="1"/>
  <c r="F304" i="1"/>
  <c r="H304" i="1" s="1"/>
  <c r="A148" i="1"/>
  <c r="A149" i="1" s="1"/>
  <c r="A150" i="1" s="1"/>
  <c r="A151" i="1" s="1"/>
  <c r="A152" i="1" s="1"/>
  <c r="A153" i="1" s="1"/>
  <c r="A154" i="1" s="1"/>
  <c r="A155" i="1" s="1"/>
  <c r="G140" i="1"/>
  <c r="E140" i="1"/>
  <c r="C140" i="1"/>
  <c r="F128" i="1"/>
  <c r="C102" i="1"/>
  <c r="C88" i="1"/>
  <c r="C74" i="1"/>
  <c r="D68" i="1"/>
  <c r="D62" i="1"/>
  <c r="G51" i="1"/>
  <c r="C51" i="1"/>
  <c r="E44" i="1"/>
  <c r="E45" i="1" s="1"/>
  <c r="E31" i="1"/>
  <c r="E28" i="1"/>
  <c r="E26" i="1"/>
  <c r="I15" i="1"/>
  <c r="Z13" i="1"/>
  <c r="E3" i="1"/>
  <c r="H75" i="1"/>
  <c r="A321" i="1"/>
  <c r="H89" i="1"/>
  <c r="A327" i="1"/>
  <c r="H103" i="1"/>
  <c r="A315" i="1"/>
  <c r="J74" i="1" l="1"/>
  <c r="J76" i="1" s="1"/>
  <c r="J77" i="1"/>
  <c r="J78" i="1"/>
  <c r="J79" i="1"/>
  <c r="J93" i="1"/>
  <c r="C92" i="1" s="1"/>
  <c r="D97" i="1"/>
  <c r="D99" i="1"/>
  <c r="J92" i="1"/>
  <c r="D98" i="1"/>
  <c r="J88" i="1"/>
  <c r="J90" i="1" s="1"/>
  <c r="D96" i="1"/>
  <c r="J91" i="1"/>
  <c r="D95" i="1"/>
  <c r="D101" i="1"/>
  <c r="D100" i="1"/>
  <c r="D94" i="1"/>
  <c r="D82" i="1"/>
  <c r="D84" i="1"/>
  <c r="D83" i="1"/>
  <c r="D87" i="1"/>
  <c r="D81" i="1"/>
  <c r="D86" i="1"/>
  <c r="D80" i="1"/>
  <c r="D85" i="1"/>
  <c r="C108" i="1"/>
  <c r="J102" i="1" s="1"/>
  <c r="J104" i="1" s="1"/>
  <c r="D111" i="1"/>
  <c r="D113" i="1"/>
  <c r="J107" i="1"/>
  <c r="C106" i="1" s="1"/>
  <c r="D106" i="1" s="1"/>
  <c r="D112" i="1"/>
  <c r="J106" i="1"/>
  <c r="D110" i="1"/>
  <c r="J105" i="1"/>
  <c r="D109" i="1"/>
  <c r="D115" i="1"/>
  <c r="D114" i="1"/>
  <c r="B103" i="1"/>
  <c r="B89" i="1"/>
  <c r="B75" i="1"/>
  <c r="J80" i="1" s="1"/>
  <c r="A328" i="1"/>
  <c r="A316" i="1"/>
  <c r="A322" i="1"/>
  <c r="D92" i="1" l="1"/>
  <c r="D108" i="1"/>
  <c r="J113" i="1"/>
  <c r="J110" i="1"/>
  <c r="J112" i="1"/>
  <c r="J111" i="1"/>
  <c r="J108" i="1"/>
  <c r="J109" i="1" s="1"/>
  <c r="J114" i="1" s="1"/>
  <c r="J115" i="1" s="1"/>
  <c r="C107" i="1" s="1"/>
  <c r="E106" i="1" s="1"/>
  <c r="J99" i="1"/>
  <c r="J98" i="1"/>
  <c r="J97" i="1"/>
  <c r="J94" i="1"/>
  <c r="J95" i="1" s="1"/>
  <c r="J84" i="1"/>
  <c r="J83" i="1"/>
  <c r="J81" i="1"/>
  <c r="J85" i="1"/>
  <c r="A323" i="1"/>
  <c r="A329" i="1"/>
  <c r="A317" i="1"/>
  <c r="J96" i="1" l="1"/>
  <c r="G92" i="1"/>
  <c r="J86" i="1"/>
  <c r="J82" i="1"/>
  <c r="J87" i="1" s="1"/>
  <c r="C78" i="1" s="1"/>
  <c r="D78" i="1" s="1"/>
  <c r="J100" i="1"/>
  <c r="D107" i="1"/>
  <c r="I103" i="1" s="1"/>
  <c r="J103" i="1"/>
  <c r="G106" i="1"/>
  <c r="A330" i="1"/>
  <c r="A324" i="1"/>
  <c r="A318" i="1"/>
  <c r="J101" i="1" l="1"/>
  <c r="J89" i="1" s="1"/>
  <c r="E92" i="1"/>
  <c r="D93" i="1"/>
  <c r="I89" i="1" s="1"/>
  <c r="I90" i="1" s="1"/>
  <c r="G78" i="1"/>
  <c r="D72" i="1" s="1"/>
  <c r="F73" i="1" s="1"/>
  <c r="J75" i="1"/>
  <c r="D79" i="1"/>
  <c r="I75" i="1" s="1"/>
  <c r="I76" i="1" s="1"/>
  <c r="E78" i="1"/>
  <c r="I104" i="1"/>
  <c r="I102" i="1" s="1"/>
  <c r="C104" i="1" s="1"/>
  <c r="A319" i="1"/>
  <c r="A325" i="1"/>
  <c r="A331" i="1"/>
  <c r="I88" i="1" l="1"/>
  <c r="C90" i="1" s="1"/>
  <c r="I74" i="1"/>
  <c r="C76" i="1" s="1"/>
  <c r="D73"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20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<sst xmlns="http://schemas.openxmlformats.org/spreadsheetml/2006/main" count="759" uniqueCount="377">
  <si>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</si>
  <si>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</si>
  <si>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</si>
  <si>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</si>
  <si>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</si>
  <si>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</si>
  <si>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</si>
  <si>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</si>
  <si>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</si>
  <si>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</si>
  <si>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</si>
  <si>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</si>
  <si>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</si>
  <si>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</si>
  <si>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</si>
  <si>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</si>
  <si>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</si>
  <si>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</si>
  <si>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</si>
  <si>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</si>
  <si>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</si>
  <si>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</si>
  <si>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</si>
  <si>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</si>
  <si>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</si>
  <si>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</si>
  <si>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</si>
  <si>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</si>
  <si>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</si>
  <si>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</si>
  <si>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</si>
  <si>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</si>
  <si>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</si>
  <si>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</si>
  <si>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</si>
  <si>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</si>
  <si>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</si>
  <si>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</si>
  <si>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</si>
  <si>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</si>
  <si>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</si>
  <si>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</si>
  <si>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</si>
  <si>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</si>
  <si>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</si>
  <si>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</si>
  <si>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</si>
  <si>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</si>
  <si>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</si>
  <si>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</si>
  <si>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</si>
  <si>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</si>
  <si>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</si>
  <si>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</si>
  <si>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</si>
  <si>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</si>
  <si>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</si>
  <si>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</si>
  <si>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</si>
  <si>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</si>
  <si>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</si>
  <si>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</si>
  <si>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</si>
  <si>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</si>
  <si>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</si>
  <si>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</si>
  <si>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</si>
  <si>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</si>
  <si>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</si>
  <si>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</si>
  <si>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</si>
  <si>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</si>
  <si>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</si>
  <si>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</si>
  <si>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</si>
  <si>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</si>
  <si>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</si>
  <si>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</si>
  <si>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</si>
  <si>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</si>
  <si>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</si>
  <si>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</si>
  <si>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</si>
  <si>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</si>
  <si>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</si>
  <si>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</si>
  <si>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</si>
  <si>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</si>
  <si>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</si>
  <si>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</si>
  <si>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</si>
  <si>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</si>
  <si>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</si>
  <si>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</si>
  <si>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</si>
  <si>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</si>
  <si>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</si>
  <si>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</si>
  <si>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</si>
  <si>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</si>
  <si>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</si>
  <si>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</si>
  <si>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</si>
  <si>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</si>
  <si>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</si>
  <si>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</si>
  <si>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</si>
  <si>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</si>
  <si>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</si>
  <si>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</si>
  <si>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</si>
  <si>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</si>
  <si>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</si>
  <si>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</si>
  <si>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</si>
  <si>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</si>
  <si>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</si>
  <si>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</si>
  <si>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</si>
  <si>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</si>
  <si>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</si>
  <si>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</si>
  <si>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</si>
  <si>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</si>
  <si>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</si>
  <si>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</si>
  <si>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</si>
  <si>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</si>
  <si>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</si>
  <si>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</si>
  <si>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</si>
  <si>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</si>
  <si>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</si>
  <si>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</si>
  <si>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</si>
  <si>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</si>
  <si>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</si>
  <si>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</si>
  <si>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</si>
  <si>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</si>
  <si>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</si>
  <si>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</si>
  <si>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</si>
  <si>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</si>
  <si>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</si>
  <si>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</si>
  <si>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</si>
  <si>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</si>
  <si>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</si>
  <si>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</si>
  <si>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</si>
  <si>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</si>
  <si>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</si>
  <si>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</si>
  <si>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</si>
  <si>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</si>
  <si>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</si>
  <si>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</si>
  <si>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</si>
  <si>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</si>
  <si>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</si>
  <si>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</si>
  <si>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</si>
  <si>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</si>
  <si>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</si>
  <si>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</si>
  <si>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</si>
  <si>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</si>
  <si>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</si>
  <si>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</si>
  <si>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</si>
  <si>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</si>
  <si>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</si>
  <si>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</si>
  <si>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</si>
  <si>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</si>
  <si>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</si>
  <si>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</si>
  <si>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</si>
  <si>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</si>
  <si>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</si>
  <si>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</si>
  <si>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</si>
  <si>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</si>
  <si>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</si>
  <si>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</si>
  <si>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</si>
  <si>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</si>
  <si>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</si>
  <si>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</si>
  <si>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</si>
  <si>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</si>
  <si>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</si>
  <si>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</si>
  <si>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</si>
  <si>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</si>
  <si>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</si>
  <si>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</si>
  <si>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</si>
  <si>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</si>
  <si>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</si>
  <si>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</si>
  <si>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</si>
  <si>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</si>
  <si>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</si>
  <si>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</si>
  <si>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</si>
  <si>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</si>
  <si>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</si>
  <si>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</si>
  <si>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</si>
  <si>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</si>
  <si>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</si>
  <si>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</si>
  <si>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</si>
  <si>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</si>
  <si>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</si>
  <si>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</si>
  <si>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</si>
  <si>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</si>
  <si>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</si>
  <si>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</si>
  <si>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</si>
  <si>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</si>
  <si>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</si>
  <si>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</si>
  <si>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</si>
  <si>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</si>
  <si>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</si>
  <si>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</si>
  <si>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</si>
  <si>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</si>
  <si>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</si>
  <si>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</si>
  <si>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</si>
  <si>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</si>
  <si>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</si>
  <si>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</si>
  <si>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</si>
  <si>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</si>
  <si>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</si>
  <si>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</si>
  <si>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</si>
  <si>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</si>
  <si>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</si>
  <si>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</si>
  <si>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</si>
  <si>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</si>
  <si>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</si>
  <si>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</si>
  <si>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</si>
  <si>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</si>
  <si>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</si>
  <si>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</si>
  <si>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</si>
  <si>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</si>
  <si>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</si>
  <si>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</si>
  <si>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</si>
  <si>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</si>
  <si>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</si>
  <si>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</si>
  <si>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</si>
  <si>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</si>
  <si>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</si>
  <si>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</si>
  <si>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</si>
  <si>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</si>
  <si>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</si>
  <si>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</si>
  <si>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</si>
  <si>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</si>
  <si>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</si>
  <si>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</si>
  <si>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</si>
  <si>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</si>
  <si>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</si>
  <si>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</si>
  <si>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</si>
  <si>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</si>
  <si>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</si>
  <si>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</si>
  <si>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</si>
  <si>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</si>
  <si>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</si>
  <si>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</si>
  <si>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</si>
  <si>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</si>
  <si>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</si>
  <si>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</si>
  <si>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</si>
  <si>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</si>
  <si>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</si>
  <si>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</si>
  <si>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</si>
  <si>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</si>
  <si>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</si>
  <si>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</si>
  <si>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</si>
  <si>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</si>
  <si>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</si>
  <si>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</si>
  <si>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Agile Real Estate Pvt.Ltd.</t>
  </si>
  <si>
    <t>Primera</t>
  </si>
  <si>
    <t>022-3064-3278/ 91 9833226152</t>
  </si>
  <si>
    <t>Tower A &amp; B</t>
  </si>
  <si>
    <t>P51700055574</t>
  </si>
  <si>
    <t>Survey No</t>
  </si>
  <si>
    <t>Balkum</t>
  </si>
  <si>
    <t>TMCB/TDD/0097/[P/C]/2024/AutoDCR</t>
  </si>
  <si>
    <t>As per RERA - 31/12/2029</t>
  </si>
  <si>
    <t>1st Basement Floor For Parking</t>
  </si>
  <si>
    <t>2nd Basement Floor For  Fire Tank, Domestic Water Tank, Pump Room, Drinking Tank, Flushing Tank &amp; Parking</t>
  </si>
  <si>
    <t>Ground Floor For Commercials, Meter Room &amp; Parking</t>
  </si>
  <si>
    <t>Tower A + B</t>
  </si>
  <si>
    <t>Shop</t>
  </si>
  <si>
    <t>1st Podium Floor For Parking &amp; Voids</t>
  </si>
  <si>
    <t>Tower A</t>
  </si>
  <si>
    <t>2nd to 5th Podium Floor For Residential &amp; Parking</t>
  </si>
  <si>
    <t>2BHK</t>
  </si>
  <si>
    <t>-</t>
  </si>
  <si>
    <t>Parking</t>
  </si>
  <si>
    <t>Office</t>
  </si>
  <si>
    <t>8th Podium / Eco Deck Floor For Amenities</t>
  </si>
  <si>
    <t>6th Podium Floor For Residential, Drivers Room &amp; Parking</t>
  </si>
  <si>
    <t>2nd, 4th to 7th, 9th to 12th, 14th to 17th, 19th to 22nd, 24th to 27th, 29th to 32th, 34th to 37th, 39th, 40th Floor For Residential</t>
  </si>
  <si>
    <t>1st Floor For Residential ( Part Terrace Area)</t>
  </si>
  <si>
    <t>3rd, 8th, 13th, 18th, 23rd, 28th, 33th, 38th Floor ( Part Refuge Area)</t>
  </si>
  <si>
    <t>Refuge Area</t>
  </si>
  <si>
    <t>Tower B</t>
  </si>
  <si>
    <t xml:space="preserve">7th Podium Floor For Commercials, Society Office, Fitness Center, Audio Visual Room &amp; Parking ( Part Refuge Area) </t>
  </si>
  <si>
    <t xml:space="preserve">7th Podium Floor For Commercials, Society Office, Party Hall, Guest Room &amp; Parking ( Part Refuge Area) </t>
  </si>
  <si>
    <t>1 &amp; 2</t>
  </si>
  <si>
    <t>3 &amp; 4</t>
  </si>
  <si>
    <t>Guest Room</t>
  </si>
  <si>
    <t>Tower T3</t>
  </si>
  <si>
    <t>1st to 5th Floor For Commercial</t>
  </si>
  <si>
    <t>Ground Floor For Meter Room &amp; Parking</t>
  </si>
  <si>
    <t>Offices</t>
  </si>
  <si>
    <t>Shops</t>
  </si>
  <si>
    <t>Residential Area Details : Flats</t>
  </si>
  <si>
    <t>Swimming Pool, Waiting Lounge, Amphitheater, Cricket Pitch, Kid's Pool, Gymnasium, Senior Citizen Siteout, Indoor Games, Yoga/Meditation Area, Cycling &amp; Jogging Track, Party Hall, Children's Play Area, Recreation Facilities, Multipurpose Hall, CCTV, etc.</t>
  </si>
  <si>
    <t>Tower A = 2B + G to 8th P + 1st to 40th Floor
Tower B = 2B + G to 8th P + 1st to 40th Floor</t>
  </si>
  <si>
    <t>Mr. Sumit</t>
  </si>
  <si>
    <t>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t>
  </si>
  <si>
    <t>Dhokali</t>
  </si>
  <si>
    <t>Kolshet Road</t>
  </si>
  <si>
    <t>30 M W Road</t>
  </si>
  <si>
    <t>Other Plot</t>
  </si>
  <si>
    <t>Dosti West Country Road</t>
  </si>
  <si>
    <t>Thane West</t>
  </si>
  <si>
    <t>02 Towers</t>
  </si>
  <si>
    <t>https://maps.app.goo.gl/EpxvCYRqxxrHGTnh8</t>
  </si>
  <si>
    <t>Mr. Ajay Songare</t>
  </si>
  <si>
    <t>Approval No. doesn't Consist in Approval Sheet</t>
  </si>
  <si>
    <t>Flats - 664, Shops - 9, Offices - 34</t>
  </si>
  <si>
    <t>19.2286389,72.9924662</t>
  </si>
  <si>
    <r>
      <t xml:space="preserve">Proposed Amenities :                                                                                                                                                                                                                         </t>
    </r>
    <r>
      <rPr>
        <b/>
        <sz val="12"/>
        <rFont val="Times New Roman"/>
        <family val="1"/>
      </rPr>
      <t xml:space="preserve">                                               </t>
    </r>
  </si>
  <si>
    <t>6 KM from Thane Railway Station</t>
  </si>
  <si>
    <r>
      <t xml:space="preserve">Shop No.
</t>
    </r>
    <r>
      <rPr>
        <b/>
        <sz val="11"/>
        <rFont val="Times New Roman"/>
        <family val="1"/>
      </rPr>
      <t>(Approved Plan)</t>
    </r>
  </si>
  <si>
    <t>Please check for Environment Clearance Certificate.</t>
  </si>
  <si>
    <t>TMC/CFO/M/HR/268/262</t>
  </si>
  <si>
    <t>Tower A = 2B + G to 8th P + 1st to 40th Floor
Tower B = 2B + G to 8th P + 1st to 40th Floor With total height of 149.85M</t>
  </si>
  <si>
    <t>Tower A = 2B + G + 1st P to 8th P + 1st to 40th Floor
Tower B = 2B + G + 1st P to 8th P + 1st to 40th Floor</t>
  </si>
  <si>
    <t>Tower A = 2B + G + 1st P to 8th P + 1st to 40th Floor</t>
  </si>
  <si>
    <t>Tower B = 2B + G + 1st P to 8th P + 1st to 40th Floor</t>
  </si>
  <si>
    <t>Dosti Oak</t>
  </si>
  <si>
    <t>Balcony Area</t>
  </si>
  <si>
    <t>We considered Gross carpet area = Net carpet + Balcony Area.</t>
  </si>
  <si>
    <t>1.5BHK</t>
  </si>
  <si>
    <t>Akash Mote</t>
  </si>
  <si>
    <t>Verbal</t>
  </si>
  <si>
    <t>Recommended Rates / Other charges of the Property have been revised on 10/09/2024.</t>
  </si>
  <si>
    <t>11500 to 13000 &amp; Park</t>
  </si>
  <si>
    <t>Construction work is in process at the time of Visit. (Internal visit not allowed)</t>
  </si>
  <si>
    <t>1st slab completed as per visit date 28/05/2025</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</si>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</sst>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5">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5" fillId="0" borderId="0" applyNumberFormat="0" applyFill="0" applyBorder="0" applyAlignment="0" applyProtection="0"/>
  </cellStyleXfs>
  <cellXfs count="267">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4" fillId="0" borderId="1" xfId="1" applyFont="1" applyBorder="1" applyAlignment="1" applyProtection="1">
      <alignment horizontal="center" vertical="top"/>
      <protection locked="0"/>
    </xf>
    <xf numFmtId="0" fontId="16"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Border="1"/>
    <xf numFmtId="14" fontId="6" fillId="0" borderId="0" xfId="1" applyNumberFormat="1" applyFont="1" applyBorder="1"/>
    <xf numFmtId="1" fontId="6" fillId="0" borderId="0" xfId="1" applyNumberFormat="1" applyFont="1" applyBorder="1"/>
    <xf numFmtId="0" fontId="0" fillId="0" borderId="0" xfId="0" applyBorder="1"/>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5" fillId="3" borderId="1" xfId="1" applyFont="1" applyFill="1" applyBorder="1" applyAlignment="1" applyProtection="1">
      <alignment vertical="top" wrapText="1"/>
      <protection locked="0"/>
    </xf>
    <xf numFmtId="0" fontId="11" fillId="3" borderId="0" xfId="1" applyFont="1" applyFill="1"/>
    <xf numFmtId="0" fontId="0" fillId="3" borderId="0" xfId="0" applyFill="1"/>
    <xf numFmtId="0" fontId="6" fillId="3" borderId="0" xfId="1" applyFont="1" applyFill="1"/>
    <xf numFmtId="1" fontId="6" fillId="0" borderId="1" xfId="1" applyNumberFormat="1" applyFont="1" applyBorder="1" applyAlignment="1">
      <alignment horizontal="center" vertical="center"/>
    </xf>
    <xf numFmtId="0" fontId="5" fillId="0" borderId="1" xfId="1" applyFont="1" applyFill="1" applyBorder="1" applyAlignment="1" applyProtection="1">
      <alignment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0" fontId="6" fillId="2" borderId="0" xfId="1" applyFont="1" applyFill="1"/>
    <xf numFmtId="14" fontId="6" fillId="2" borderId="0" xfId="1" applyNumberFormat="1" applyFont="1" applyFill="1"/>
    <xf numFmtId="1" fontId="5" fillId="4" borderId="1" xfId="0" applyNumberFormat="1"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3" xfId="1" applyFont="1" applyBorder="1" applyAlignment="1" applyProtection="1">
      <alignment horizontal="center" vertical="top" wrapText="1"/>
      <protection locked="0"/>
    </xf>
    <xf numFmtId="9" fontId="6" fillId="0" borderId="3" xfId="8" applyFont="1" applyFill="1" applyBorder="1" applyAlignment="1" applyProtection="1">
      <alignment horizontal="center" vertical="top" wrapText="1"/>
      <protection locked="0"/>
    </xf>
    <xf numFmtId="1" fontId="12" fillId="4" borderId="8" xfId="0" applyNumberFormat="1" applyFont="1" applyFill="1" applyBorder="1" applyAlignment="1" applyProtection="1">
      <alignment vertical="top" wrapText="1"/>
      <protection locked="0"/>
    </xf>
    <xf numFmtId="1" fontId="12" fillId="4" borderId="21" xfId="0" applyNumberFormat="1" applyFont="1" applyFill="1" applyBorder="1" applyAlignment="1" applyProtection="1">
      <alignment vertical="top" wrapText="1"/>
      <protection locked="0"/>
    </xf>
    <xf numFmtId="1" fontId="12" fillId="4" borderId="9" xfId="0" applyNumberFormat="1" applyFont="1" applyFill="1" applyBorder="1" applyAlignment="1" applyProtection="1">
      <alignment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7" fillId="0" borderId="16" xfId="1" applyFont="1" applyBorder="1" applyAlignment="1" applyProtection="1">
      <alignment horizontal="center" vertical="top"/>
      <protection locked="0"/>
    </xf>
    <xf numFmtId="1" fontId="5" fillId="0" borderId="2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25"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top" wrapText="1"/>
      <protection locked="0"/>
    </xf>
    <xf numFmtId="1" fontId="7" fillId="0" borderId="21" xfId="1" applyNumberFormat="1" applyFont="1" applyBorder="1" applyAlignment="1" applyProtection="1">
      <alignment horizontal="center" vertical="top" wrapText="1"/>
      <protection locked="0"/>
    </xf>
    <xf numFmtId="1" fontId="7" fillId="0" borderId="9" xfId="1" applyNumberFormat="1" applyFont="1" applyBorder="1" applyAlignment="1" applyProtection="1">
      <alignment horizontal="center" vertical="top" wrapText="1"/>
      <protection locked="0"/>
    </xf>
    <xf numFmtId="1" fontId="7" fillId="0" borderId="17" xfId="1" applyNumberFormat="1" applyFont="1" applyBorder="1" applyAlignment="1" applyProtection="1">
      <alignment horizontal="center" vertical="top" wrapText="1"/>
      <protection locked="0"/>
    </xf>
    <xf numFmtId="1" fontId="7" fillId="0" borderId="19" xfId="1" applyNumberFormat="1" applyFont="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7" fillId="0" borderId="1" xfId="1" applyFont="1" applyBorder="1" applyAlignment="1" applyProtection="1">
      <alignment horizontal="center" vertical="top"/>
      <protection locked="0"/>
    </xf>
    <xf numFmtId="167" fontId="11" fillId="0" borderId="1" xfId="9" applyNumberFormat="1" applyFont="1" applyFill="1" applyBorder="1" applyAlignment="1" applyProtection="1">
      <alignment horizontal="left" vertical="top"/>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6" fillId="0" borderId="5" xfId="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25"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1" fontId="7" fillId="0" borderId="3" xfId="1" applyNumberFormat="1" applyFont="1" applyBorder="1" applyAlignment="1" applyProtection="1">
      <alignment horizontal="center" vertical="top" wrapText="1"/>
      <protection locked="0"/>
    </xf>
    <xf numFmtId="1" fontId="7" fillId="0" borderId="16" xfId="1" applyNumberFormat="1" applyFont="1" applyBorder="1" applyAlignment="1" applyProtection="1">
      <alignment horizontal="center" vertical="top" wrapText="1"/>
      <protection locked="0"/>
    </xf>
    <xf numFmtId="0" fontId="5" fillId="0" borderId="8" xfId="1" applyFont="1" applyFill="1" applyBorder="1" applyAlignment="1" applyProtection="1">
      <alignment vertical="top" wrapText="1"/>
      <protection locked="0"/>
    </xf>
    <xf numFmtId="0" fontId="5" fillId="0" borderId="21" xfId="1" applyFont="1" applyFill="1" applyBorder="1" applyAlignment="1" applyProtection="1">
      <alignment vertical="top" wrapText="1"/>
      <protection locked="0"/>
    </xf>
    <xf numFmtId="0" fontId="5" fillId="0" borderId="9" xfId="1" applyFont="1" applyFill="1" applyBorder="1" applyAlignment="1" applyProtection="1">
      <alignment vertical="top" wrapText="1"/>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0" fontId="5" fillId="0" borderId="16" xfId="1" applyFont="1" applyBorder="1" applyAlignment="1" applyProtection="1">
      <alignment horizontal="left" vertical="top"/>
      <protection locked="0"/>
    </xf>
    <xf numFmtId="0" fontId="5" fillId="0" borderId="19"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5" fillId="0" borderId="16"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5" fillId="3" borderId="8" xfId="1" applyFont="1" applyFill="1" applyBorder="1" applyAlignment="1" applyProtection="1">
      <alignment horizontal="left" vertical="top" wrapText="1"/>
      <protection locked="0"/>
    </xf>
    <xf numFmtId="0" fontId="5" fillId="3" borderId="21" xfId="1" applyFont="1" applyFill="1" applyBorder="1" applyAlignment="1" applyProtection="1">
      <alignment horizontal="left" vertical="top" wrapText="1"/>
      <protection locked="0"/>
    </xf>
    <xf numFmtId="0" fontId="5" fillId="3" borderId="9" xfId="1" applyFont="1" applyFill="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11" fillId="0" borderId="1" xfId="1" applyFont="1" applyBorder="1" applyAlignment="1" applyProtection="1">
      <alignment horizontal="left"/>
      <protection locked="0"/>
    </xf>
    <xf numFmtId="0" fontId="11" fillId="0" borderId="1" xfId="1" applyFont="1" applyFill="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14" fontId="11" fillId="0" borderId="1" xfId="1" applyNumberFormat="1" applyFont="1" applyBorder="1" applyAlignment="1" applyProtection="1">
      <alignment horizontal="left" vertical="top"/>
      <protection locked="0"/>
    </xf>
    <xf numFmtId="0" fontId="5" fillId="0" borderId="1" xfId="1" applyFont="1" applyFill="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1" fontId="12" fillId="0" borderId="8" xfId="0" applyNumberFormat="1" applyFont="1" applyFill="1" applyBorder="1" applyAlignment="1" applyProtection="1">
      <alignment vertical="top" wrapText="1"/>
      <protection locked="0"/>
    </xf>
    <xf numFmtId="1" fontId="12" fillId="0" borderId="21" xfId="0" applyNumberFormat="1" applyFont="1" applyFill="1" applyBorder="1" applyAlignment="1" applyProtection="1">
      <alignment vertical="top" wrapText="1"/>
      <protection locked="0"/>
    </xf>
    <xf numFmtId="1" fontId="12" fillId="0" borderId="9" xfId="0" applyNumberFormat="1" applyFont="1" applyFill="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11" fillId="0" borderId="19" xfId="1" applyFont="1" applyBorder="1" applyAlignment="1" applyProtection="1">
      <alignment horizontal="left" vertical="top" wrapText="1"/>
      <protection locked="0"/>
    </xf>
    <xf numFmtId="0" fontId="11" fillId="0" borderId="2" xfId="1" applyFont="1" applyBorder="1" applyAlignment="1" applyProtection="1">
      <alignment horizontal="left" vertical="top" wrapText="1"/>
      <protection locked="0"/>
    </xf>
    <xf numFmtId="0" fontId="11" fillId="0" borderId="20" xfId="1" applyFont="1" applyBorder="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5" fillId="0" borderId="1" xfId="1" applyFont="1" applyBorder="1" applyAlignment="1" applyProtection="1">
      <alignment vertical="top"/>
      <protection locked="0"/>
    </xf>
    <xf numFmtId="0" fontId="6" fillId="0" borderId="32" xfId="1" applyFont="1" applyBorder="1" applyAlignment="1" applyProtection="1">
      <alignment horizontal="center" vertical="top" wrapText="1"/>
      <protection locked="0"/>
    </xf>
    <xf numFmtId="0" fontId="6" fillId="0" borderId="3" xfId="1" applyFont="1" applyBorder="1" applyAlignment="1" applyProtection="1">
      <alignment horizontal="center" vertical="top" wrapText="1"/>
      <protection locked="0"/>
    </xf>
    <xf numFmtId="0" fontId="5" fillId="0" borderId="8" xfId="1" applyFont="1" applyFill="1" applyBorder="1" applyAlignment="1" applyProtection="1">
      <alignment horizontal="left" vertical="top" wrapText="1"/>
      <protection locked="0"/>
    </xf>
    <xf numFmtId="0" fontId="5" fillId="0" borderId="21" xfId="1" applyFont="1" applyFill="1" applyBorder="1" applyAlignment="1" applyProtection="1">
      <alignment horizontal="left" vertical="top" wrapText="1"/>
      <protection locked="0"/>
    </xf>
    <xf numFmtId="0" fontId="5" fillId="0" borderId="9" xfId="1" applyFont="1" applyFill="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11" fillId="0" borderId="8" xfId="1" applyFont="1" applyBorder="1" applyAlignment="1" applyProtection="1">
      <alignment horizontal="left" vertical="top" wrapText="1"/>
      <protection locked="0"/>
    </xf>
    <xf numFmtId="0" fontId="11" fillId="0" borderId="9" xfId="1" applyFont="1" applyBorder="1" applyAlignment="1" applyProtection="1">
      <alignment horizontal="left" vertical="top" wrapText="1"/>
      <protection locked="0"/>
    </xf>
    <xf numFmtId="0" fontId="11" fillId="0" borderId="1" xfId="1" applyFont="1" applyFill="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1" fillId="0" borderId="17" xfId="1" applyFont="1" applyFill="1" applyBorder="1" applyAlignment="1" applyProtection="1">
      <alignment horizontal="left" vertical="top" wrapText="1"/>
      <protection locked="0"/>
    </xf>
    <xf numFmtId="0" fontId="11" fillId="0" borderId="18" xfId="1" applyFont="1" applyFill="1" applyBorder="1" applyAlignment="1" applyProtection="1">
      <alignment horizontal="left" vertical="top" wrapText="1"/>
      <protection locked="0"/>
    </xf>
    <xf numFmtId="0" fontId="11" fillId="0" borderId="19" xfId="1" applyFont="1" applyFill="1" applyBorder="1" applyAlignment="1" applyProtection="1">
      <alignment horizontal="left" vertical="top" wrapText="1"/>
      <protection locked="0"/>
    </xf>
    <xf numFmtId="0" fontId="11" fillId="0" borderId="20" xfId="1" applyFont="1" applyFill="1" applyBorder="1" applyAlignment="1" applyProtection="1">
      <alignment horizontal="left" vertical="top" wrapText="1"/>
      <protection locked="0"/>
    </xf>
    <xf numFmtId="14" fontId="5" fillId="0" borderId="8" xfId="1" applyNumberFormat="1" applyFont="1" applyFill="1" applyBorder="1" applyAlignment="1" applyProtection="1">
      <alignment horizontal="left" vertical="top" wrapText="1"/>
      <protection locked="0"/>
    </xf>
    <xf numFmtId="0" fontId="14" fillId="3" borderId="17" xfId="1" applyFont="1" applyFill="1" applyBorder="1" applyAlignment="1" applyProtection="1">
      <alignment horizontal="left" vertical="top" wrapText="1"/>
      <protection locked="0"/>
    </xf>
    <xf numFmtId="0" fontId="14" fillId="3" borderId="18" xfId="1" applyFont="1" applyFill="1" applyBorder="1" applyAlignment="1" applyProtection="1">
      <alignment horizontal="left" vertical="top" wrapText="1"/>
      <protection locked="0"/>
    </xf>
    <xf numFmtId="0" fontId="14" fillId="3" borderId="19" xfId="1" applyFont="1" applyFill="1" applyBorder="1" applyAlignment="1" applyProtection="1">
      <alignment horizontal="left" vertical="top" wrapText="1"/>
      <protection locked="0"/>
    </xf>
    <xf numFmtId="0" fontId="14" fillId="3" borderId="20" xfId="1" applyFont="1" applyFill="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8" fillId="0" borderId="1" xfId="5" applyFont="1" applyBorder="1" applyAlignment="1">
      <alignment horizontal="left"/>
    </xf>
    <xf numFmtId="0" fontId="23" fillId="2" borderId="15" xfId="0" applyFont="1" applyFill="1" applyBorder="1"/>
    <xf numFmtId="0" fontId="24" fillId="0" borderId="9" xfId="0" applyFont="1" applyBorder="1"/>
    <xf numFmtId="0" fontId="7" fillId="0" borderId="1" xfId="1" applyFont="1" applyBorder="1" applyAlignment="1" applyProtection="1">
      <alignment horizontal="left" vertical="top" wrapText="1"/>
      <protection locked="0"/>
    </xf>
    <xf numFmtId="1" fontId="9" fillId="0" borderId="1" xfId="0" applyNumberFormat="1" applyFont="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1112439</xdr:colOff>
      <xdr:row>260</xdr:row>
      <xdr:rowOff>107986</xdr:rowOff>
    </xdr:from>
    <xdr:to>
      <xdr:col>13</xdr:col>
      <xdr:colOff>683415</xdr:colOff>
      <xdr:row>274</xdr:row>
      <xdr:rowOff>33618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7421351" y="54826310"/>
          <a:ext cx="4008505" cy="2749514"/>
        </a:xfrm>
        <a:prstGeom prst="rect">
          <a:avLst/>
        </a:prstGeom>
      </xdr:spPr>
    </xdr:pic>
    <xdr:clientData/>
  </xdr:twoCellAnchor>
  <xdr:twoCellAnchor editAs="oneCell">
    <xdr:from>
      <xdr:col>9</xdr:col>
      <xdr:colOff>414618</xdr:colOff>
      <xdr:row>284</xdr:row>
      <xdr:rowOff>156883</xdr:rowOff>
    </xdr:from>
    <xdr:to>
      <xdr:col>14</xdr:col>
      <xdr:colOff>292536</xdr:colOff>
      <xdr:row>301</xdr:row>
      <xdr:rowOff>685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888942" y="59716148"/>
          <a:ext cx="3990476" cy="3485714"/>
        </a:xfrm>
        <a:prstGeom prst="rect">
          <a:avLst/>
        </a:prstGeom>
      </xdr:spPr>
    </xdr:pic>
    <xdr:clientData/>
  </xdr:twoCellAnchor>
  <xdr:twoCellAnchor editAs="oneCell">
    <xdr:from>
      <xdr:col>0</xdr:col>
      <xdr:colOff>665478</xdr:colOff>
      <xdr:row>388</xdr:row>
      <xdr:rowOff>89646</xdr:rowOff>
    </xdr:from>
    <xdr:to>
      <xdr:col>6</xdr:col>
      <xdr:colOff>508331</xdr:colOff>
      <xdr:row>406</xdr:row>
      <xdr:rowOff>58941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65478" y="77656764"/>
          <a:ext cx="4695000" cy="3600000"/>
        </a:xfrm>
        <a:prstGeom prst="rect">
          <a:avLst/>
        </a:prstGeom>
        <a:ln>
          <a:solidFill>
            <a:schemeClr val="tx1"/>
          </a:solidFill>
        </a:ln>
      </xdr:spPr>
    </xdr:pic>
    <xdr:clientData/>
  </xdr:twoCellAnchor>
  <xdr:twoCellAnchor editAs="oneCell">
    <xdr:from>
      <xdr:col>0</xdr:col>
      <xdr:colOff>212910</xdr:colOff>
      <xdr:row>407</xdr:row>
      <xdr:rowOff>21863</xdr:rowOff>
    </xdr:from>
    <xdr:to>
      <xdr:col>7</xdr:col>
      <xdr:colOff>632381</xdr:colOff>
      <xdr:row>424</xdr:row>
      <xdr:rowOff>192863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212910" y="81421392"/>
          <a:ext cx="6000000" cy="3600000"/>
        </a:xfrm>
        <a:prstGeom prst="rect">
          <a:avLst/>
        </a:prstGeom>
        <a:ln>
          <a:solidFill>
            <a:schemeClr val="tx1"/>
          </a:solidFill>
        </a:ln>
      </xdr:spPr>
    </xdr:pic>
    <xdr:clientData/>
  </xdr:twoCellAnchor>
  <xdr:twoCellAnchor editAs="oneCell">
    <xdr:from>
      <xdr:col>9</xdr:col>
      <xdr:colOff>560293</xdr:colOff>
      <xdr:row>209</xdr:row>
      <xdr:rowOff>123265</xdr:rowOff>
    </xdr:from>
    <xdr:to>
      <xdr:col>14</xdr:col>
      <xdr:colOff>400116</xdr:colOff>
      <xdr:row>215</xdr:row>
      <xdr:rowOff>17792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8034617" y="44341677"/>
          <a:ext cx="3952381" cy="1104762"/>
        </a:xfrm>
        <a:prstGeom prst="rect">
          <a:avLst/>
        </a:prstGeom>
      </xdr:spPr>
    </xdr:pic>
    <xdr:clientData/>
  </xdr:twoCellAnchor>
  <xdr:twoCellAnchor editAs="oneCell">
    <xdr:from>
      <xdr:col>9</xdr:col>
      <xdr:colOff>257735</xdr:colOff>
      <xdr:row>147</xdr:row>
      <xdr:rowOff>0</xdr:rowOff>
    </xdr:from>
    <xdr:to>
      <xdr:col>14</xdr:col>
      <xdr:colOff>126129</xdr:colOff>
      <xdr:row>154</xdr:row>
      <xdr:rowOff>7107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7732059" y="31667824"/>
          <a:ext cx="3980952" cy="1419048"/>
        </a:xfrm>
        <a:prstGeom prst="rect">
          <a:avLst/>
        </a:prstGeom>
      </xdr:spPr>
    </xdr:pic>
    <xdr:clientData/>
  </xdr:twoCellAnchor>
  <xdr:twoCellAnchor editAs="oneCell">
    <xdr:from>
      <xdr:col>9</xdr:col>
      <xdr:colOff>112058</xdr:colOff>
      <xdr:row>157</xdr:row>
      <xdr:rowOff>179294</xdr:rowOff>
    </xdr:from>
    <xdr:to>
      <xdr:col>13</xdr:col>
      <xdr:colOff>801846</xdr:colOff>
      <xdr:row>177</xdr:row>
      <xdr:rowOff>164224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7586382" y="34088294"/>
          <a:ext cx="3961905" cy="4019048"/>
        </a:xfrm>
        <a:prstGeom prst="rect">
          <a:avLst/>
        </a:prstGeom>
      </xdr:spPr>
    </xdr:pic>
    <xdr:clientData/>
  </xdr:twoCellAnchor>
  <xdr:twoCellAnchor editAs="oneCell">
    <xdr:from>
      <xdr:col>13</xdr:col>
      <xdr:colOff>504265</xdr:colOff>
      <xdr:row>218</xdr:row>
      <xdr:rowOff>11206</xdr:rowOff>
    </xdr:from>
    <xdr:to>
      <xdr:col>19</xdr:col>
      <xdr:colOff>95876</xdr:colOff>
      <xdr:row>241</xdr:row>
      <xdr:rowOff>2010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1161059" y="44352882"/>
          <a:ext cx="3961905" cy="4838095"/>
        </a:xfrm>
        <a:prstGeom prst="rect">
          <a:avLst/>
        </a:prstGeom>
      </xdr:spPr>
    </xdr:pic>
    <xdr:clientData/>
  </xdr:twoCellAnchor>
  <xdr:twoCellAnchor editAs="oneCell">
    <xdr:from>
      <xdr:col>9</xdr:col>
      <xdr:colOff>56029</xdr:colOff>
      <xdr:row>184</xdr:row>
      <xdr:rowOff>11206</xdr:rowOff>
    </xdr:from>
    <xdr:to>
      <xdr:col>13</xdr:col>
      <xdr:colOff>793436</xdr:colOff>
      <xdr:row>192</xdr:row>
      <xdr:rowOff>149940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stretch>
          <a:fillRect/>
        </a:stretch>
      </xdr:blipFill>
      <xdr:spPr>
        <a:xfrm>
          <a:off x="7530353" y="39590382"/>
          <a:ext cx="4009524" cy="1752381"/>
        </a:xfrm>
        <a:prstGeom prst="rect">
          <a:avLst/>
        </a:prstGeom>
      </xdr:spPr>
    </xdr:pic>
    <xdr:clientData/>
  </xdr:twoCellAnchor>
  <xdr:twoCellAnchor>
    <xdr:from>
      <xdr:col>0</xdr:col>
      <xdr:colOff>694764</xdr:colOff>
      <xdr:row>449</xdr:row>
      <xdr:rowOff>201704</xdr:rowOff>
    </xdr:from>
    <xdr:to>
      <xdr:col>6</xdr:col>
      <xdr:colOff>605117</xdr:colOff>
      <xdr:row>469</xdr:row>
      <xdr:rowOff>63311</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694764" y="84605904"/>
          <a:ext cx="4996703" cy="3804957"/>
          <a:chOff x="761999" y="90364233"/>
          <a:chExt cx="4762500" cy="3895725"/>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761999" y="90364233"/>
            <a:ext cx="4762500" cy="3895725"/>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id="{00000000-0008-0000-0000-000011000000}"/>
              </a:ext>
            </a:extLst>
          </xdr:cNvPr>
          <xdr:cNvSpPr/>
        </xdr:nvSpPr>
        <xdr:spPr>
          <a:xfrm rot="1079143">
            <a:off x="1662919" y="92061320"/>
            <a:ext cx="859499" cy="154333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xdr:col>
      <xdr:colOff>100853</xdr:colOff>
      <xdr:row>431</xdr:row>
      <xdr:rowOff>56030</xdr:rowOff>
    </xdr:from>
    <xdr:to>
      <xdr:col>6</xdr:col>
      <xdr:colOff>462767</xdr:colOff>
      <xdr:row>449</xdr:row>
      <xdr:rowOff>97324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862853" y="84066530"/>
          <a:ext cx="4452061" cy="3672000"/>
        </a:xfrm>
        <a:prstGeom prst="rect">
          <a:avLst/>
        </a:prstGeom>
        <a:ln>
          <a:solidFill>
            <a:schemeClr val="tx1"/>
          </a:solidFill>
        </a:ln>
      </xdr:spPr>
    </xdr:pic>
    <xdr:clientData/>
  </xdr:twoCellAnchor>
  <xdr:twoCellAnchor editAs="oneCell">
    <xdr:from>
      <xdr:col>8</xdr:col>
      <xdr:colOff>708025</xdr:colOff>
      <xdr:row>69</xdr:row>
      <xdr:rowOff>1009651</xdr:rowOff>
    </xdr:from>
    <xdr:to>
      <xdr:col>14</xdr:col>
      <xdr:colOff>634325</xdr:colOff>
      <xdr:row>72</xdr:row>
      <xdr:rowOff>207094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2"/>
        <a:stretch>
          <a:fillRect/>
        </a:stretch>
      </xdr:blipFill>
      <xdr:spPr>
        <a:xfrm>
          <a:off x="7023100" y="17992726"/>
          <a:ext cx="5193625" cy="616668"/>
        </a:xfrm>
        <a:prstGeom prst="rect">
          <a:avLst/>
        </a:prstGeom>
      </xdr:spPr>
    </xdr:pic>
    <xdr:clientData/>
  </xdr:twoCellAnchor>
  <xdr:oneCellAnchor>
    <xdr:from>
      <xdr:col>9</xdr:col>
      <xdr:colOff>387350</xdr:colOff>
      <xdr:row>360</xdr:row>
      <xdr:rowOff>0</xdr:rowOff>
    </xdr:from>
    <xdr:ext cx="776623" cy="342786"/>
    <xdr:sp macro="" textlink="">
      <xdr:nvSpPr>
        <xdr:cNvPr id="13" name="TextBox 12"/>
        <xdr:cNvSpPr txBox="1"/>
      </xdr:nvSpPr>
      <xdr:spPr>
        <a:xfrm>
          <a:off x="8229600" y="66890900"/>
          <a:ext cx="77662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rgbClr val="FFFF00"/>
              </a:solidFill>
              <a:effectLst>
                <a:outerShdw blurRad="38100" dist="25400" dir="5400000" algn="ctr" rotWithShape="0">
                  <a:srgbClr val="6E747A">
                    <a:alpha val="43000"/>
                  </a:srgbClr>
                </a:outerShdw>
              </a:effectLst>
            </a:rPr>
            <a:t>B</a:t>
          </a:r>
          <a:r>
            <a:rPr lang="en-IN" sz="1600" b="0" cap="none" spc="0" baseline="0">
              <a:ln w="0"/>
              <a:solidFill>
                <a:srgbClr val="FFFF00"/>
              </a:solidFill>
              <a:effectLst>
                <a:outerShdw blurRad="38100" dist="25400" dir="5400000" algn="ctr" rotWithShape="0">
                  <a:srgbClr val="6E747A">
                    <a:alpha val="43000"/>
                  </a:srgbClr>
                </a:outerShdw>
              </a:effectLst>
            </a:rPr>
            <a:t> Wing</a:t>
          </a:r>
          <a:endParaRPr lang="en-IN" sz="1600" b="0" cap="none" spc="0">
            <a:ln w="0"/>
            <a:solidFill>
              <a:srgbClr val="FFFF00"/>
            </a:solidFill>
            <a:effectLst>
              <a:outerShdw blurRad="38100" dist="25400" dir="5400000" algn="ctr" rotWithShape="0">
                <a:srgbClr val="6E747A">
                  <a:alpha val="43000"/>
                </a:srgbClr>
              </a:outerShdw>
            </a:effectLst>
          </a:endParaRPr>
        </a:p>
      </xdr:txBody>
    </xdr:sp>
    <xdr:clientData/>
  </xdr:oneCellAnchor>
  <xdr:twoCellAnchor>
    <xdr:from>
      <xdr:col>0</xdr:col>
      <xdr:colOff>107950</xdr:colOff>
      <xdr:row>356</xdr:row>
      <xdr:rowOff>107950</xdr:rowOff>
    </xdr:from>
    <xdr:to>
      <xdr:col>7</xdr:col>
      <xdr:colOff>699370</xdr:colOff>
      <xdr:row>386</xdr:row>
      <xdr:rowOff>97808</xdr:rowOff>
    </xdr:to>
    <xdr:grpSp>
      <xdr:nvGrpSpPr>
        <xdr:cNvPr id="14" name="Group 13"/>
        <xdr:cNvGrpSpPr/>
      </xdr:nvGrpSpPr>
      <xdr:grpSpPr>
        <a:xfrm>
          <a:off x="107950" y="66217800"/>
          <a:ext cx="6446120" cy="5889008"/>
          <a:chOff x="107950" y="66217800"/>
          <a:chExt cx="6446120" cy="5889008"/>
        </a:xfrm>
      </xdr:grpSpPr>
      <xdr:pic>
        <xdr:nvPicPr>
          <xdr:cNvPr id="22" name="Picture 2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83106" y="69226808"/>
            <a:ext cx="3836444" cy="288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07950" y="66217800"/>
            <a:ext cx="2157751" cy="2880000"/>
          </a:xfrm>
          <a:prstGeom prst="rect">
            <a:avLst/>
          </a:prstGeom>
          <a:ln>
            <a:solidFill>
              <a:schemeClr val="tx1"/>
            </a:solidFill>
          </a:ln>
        </xdr:spPr>
      </xdr:pic>
      <xdr:pic>
        <xdr:nvPicPr>
          <xdr:cNvPr id="27" name="Picture 26"/>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a:ext>
            </a:extLst>
          </a:blip>
          <a:srcRect b="7490"/>
          <a:stretch/>
        </xdr:blipFill>
        <xdr:spPr>
          <a:xfrm>
            <a:off x="2406999" y="66217800"/>
            <a:ext cx="4147071" cy="2880000"/>
          </a:xfrm>
          <a:prstGeom prst="rect">
            <a:avLst/>
          </a:prstGeom>
          <a:ln>
            <a:solidFill>
              <a:schemeClr val="tx1"/>
            </a:solidFill>
          </a:ln>
        </xdr:spPr>
      </xdr:pic>
      <xdr:pic>
        <xdr:nvPicPr>
          <xdr:cNvPr id="28" name="Picture 27"/>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a:ext>
            </a:extLst>
          </a:blip>
          <a:srcRect/>
          <a:stretch/>
        </xdr:blipFill>
        <xdr:spPr>
          <a:xfrm>
            <a:off x="4162046" y="69226808"/>
            <a:ext cx="2296148" cy="2880000"/>
          </a:xfrm>
          <a:prstGeom prst="rect">
            <a:avLst/>
          </a:prstGeom>
          <a:ln>
            <a:solidFill>
              <a:schemeClr val="tx1"/>
            </a:solidFill>
          </a:ln>
        </xdr:spPr>
      </xdr:pic>
      <xdr:sp macro="" textlink="">
        <xdr:nvSpPr>
          <xdr:cNvPr id="29" name="TextBox 28"/>
          <xdr:cNvSpPr txBox="1"/>
        </xdr:nvSpPr>
        <xdr:spPr>
          <a:xfrm>
            <a:off x="3003899" y="67773550"/>
            <a:ext cx="77662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rgbClr val="FFFF00"/>
                </a:solidFill>
                <a:effectLst>
                  <a:outerShdw blurRad="38100" dist="25400" dir="5400000" algn="ctr" rotWithShape="0">
                    <a:srgbClr val="6E747A">
                      <a:alpha val="43000"/>
                    </a:srgbClr>
                  </a:outerShdw>
                </a:effectLst>
              </a:rPr>
              <a:t>B</a:t>
            </a:r>
            <a:r>
              <a:rPr lang="en-IN" sz="1600" b="0" cap="none" spc="0" baseline="0">
                <a:ln w="0"/>
                <a:solidFill>
                  <a:srgbClr val="FFFF00"/>
                </a:solidFill>
                <a:effectLst>
                  <a:outerShdw blurRad="38100" dist="25400" dir="5400000" algn="ctr" rotWithShape="0">
                    <a:srgbClr val="6E747A">
                      <a:alpha val="43000"/>
                    </a:srgbClr>
                  </a:outerShdw>
                </a:effectLst>
              </a:rPr>
              <a:t> Wing</a:t>
            </a:r>
            <a:endParaRPr lang="en-IN" sz="1600" b="0" cap="none" spc="0">
              <a:ln w="0"/>
              <a:solidFill>
                <a:srgbClr val="FFFF00"/>
              </a:solidFill>
              <a:effectLst>
                <a:outerShdw blurRad="38100" dist="25400" dir="5400000" algn="ctr" rotWithShape="0">
                  <a:srgbClr val="6E747A">
                    <a:alpha val="43000"/>
                  </a:srgbClr>
                </a:outerShdw>
              </a:effectLst>
            </a:endParaRPr>
          </a:p>
        </xdr:txBody>
      </xdr:sp>
      <xdr:sp macro="" textlink="">
        <xdr:nvSpPr>
          <xdr:cNvPr id="30" name="TextBox 29"/>
          <xdr:cNvSpPr txBox="1"/>
        </xdr:nvSpPr>
        <xdr:spPr>
          <a:xfrm>
            <a:off x="241300" y="67900550"/>
            <a:ext cx="77662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rgbClr val="FFFF00"/>
                </a:solidFill>
                <a:effectLst>
                  <a:outerShdw blurRad="38100" dist="25400" dir="5400000" algn="ctr" rotWithShape="0">
                    <a:srgbClr val="6E747A">
                      <a:alpha val="43000"/>
                    </a:srgbClr>
                  </a:outerShdw>
                </a:effectLst>
              </a:rPr>
              <a:t>A</a:t>
            </a:r>
            <a:r>
              <a:rPr lang="en-IN" sz="1600" b="0" cap="none" spc="0" baseline="0">
                <a:ln w="0"/>
                <a:solidFill>
                  <a:srgbClr val="FFFF00"/>
                </a:solidFill>
                <a:effectLst>
                  <a:outerShdw blurRad="38100" dist="25400" dir="5400000" algn="ctr" rotWithShape="0">
                    <a:srgbClr val="6E747A">
                      <a:alpha val="43000"/>
                    </a:srgbClr>
                  </a:outerShdw>
                </a:effectLst>
              </a:rPr>
              <a:t> Wing</a:t>
            </a:r>
            <a:endParaRPr lang="en-IN" sz="1600" b="0" cap="none" spc="0">
              <a:ln w="0"/>
              <a:solidFill>
                <a:srgbClr val="FFFF00"/>
              </a:solidFill>
              <a:effectLst>
                <a:outerShdw blurRad="38100" dist="25400" dir="5400000" algn="ctr" rotWithShape="0">
                  <a:srgbClr val="6E747A">
                    <a:alpha val="43000"/>
                  </a:srgb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1</xdr:colOff>
      <xdr:row>14</xdr:row>
      <xdr:rowOff>0</xdr:rowOff>
    </xdr:from>
    <xdr:to>
      <xdr:col>6</xdr:col>
      <xdr:colOff>4567</xdr:colOff>
      <xdr:row>32</xdr:row>
      <xdr:rowOff>171000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707" y="2678206"/>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pxvCYRqxxrHGTnh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431"/>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1" customWidth="1"/>
    <col min="10" max="10" width="11.453125" style="21" customWidth="1"/>
    <col min="11" max="11" width="11.8164062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10" t="s">
        <v>165</v>
      </c>
      <c r="B1" s="210"/>
      <c r="C1" s="210"/>
      <c r="D1" s="210"/>
      <c r="E1" s="210"/>
      <c r="F1" s="210"/>
      <c r="G1" s="210"/>
      <c r="H1" s="210"/>
    </row>
    <row r="2" spans="1:26" ht="16.5" customHeight="1" x14ac:dyDescent="0.35">
      <c r="A2" s="147" t="s">
        <v>0</v>
      </c>
      <c r="B2" s="147"/>
      <c r="C2" s="147"/>
      <c r="D2" s="147"/>
      <c r="E2" s="147"/>
      <c r="F2" s="147"/>
      <c r="G2" s="147"/>
      <c r="H2" s="147"/>
    </row>
    <row r="3" spans="1:26" x14ac:dyDescent="0.35">
      <c r="A3" s="179" t="s">
        <v>1</v>
      </c>
      <c r="B3" s="179"/>
      <c r="C3" s="179"/>
      <c r="D3" s="179"/>
      <c r="E3" s="179" t="str">
        <f ca="1">TEXT(TODAY(),"DD/MM/YYYY")</f>
        <v>22/08/2025</v>
      </c>
      <c r="F3" s="179"/>
      <c r="G3" s="179"/>
      <c r="H3" s="179"/>
      <c r="K3" s="57" t="s">
        <v>236</v>
      </c>
      <c r="L3" s="54" t="s">
        <v>234</v>
      </c>
      <c r="M3" s="54" t="s">
        <v>239</v>
      </c>
      <c r="N3" s="54" t="s">
        <v>237</v>
      </c>
      <c r="O3" s="54" t="s">
        <v>238</v>
      </c>
      <c r="P3" s="54" t="s">
        <v>240</v>
      </c>
    </row>
    <row r="4" spans="1:26" ht="15" customHeight="1" x14ac:dyDescent="0.35">
      <c r="A4" s="179" t="s">
        <v>233</v>
      </c>
      <c r="B4" s="179"/>
      <c r="C4" s="179"/>
      <c r="D4" s="179"/>
      <c r="E4" s="179" t="s">
        <v>234</v>
      </c>
      <c r="F4" s="179"/>
      <c r="G4" s="179"/>
      <c r="H4" s="179"/>
      <c r="K4" s="53" t="s">
        <v>235</v>
      </c>
      <c r="L4" s="54" t="s">
        <v>171</v>
      </c>
      <c r="M4" s="54" t="s">
        <v>244</v>
      </c>
      <c r="N4" s="54" t="s">
        <v>246</v>
      </c>
      <c r="O4" s="54" t="s">
        <v>248</v>
      </c>
      <c r="P4" s="54"/>
    </row>
    <row r="5" spans="1:26" ht="15" customHeight="1" x14ac:dyDescent="0.35">
      <c r="A5" s="179" t="s">
        <v>2</v>
      </c>
      <c r="B5" s="179"/>
      <c r="C5" s="179"/>
      <c r="D5" s="179"/>
      <c r="E5" s="179" t="s">
        <v>171</v>
      </c>
      <c r="F5" s="179"/>
      <c r="G5" s="179"/>
      <c r="H5" s="179"/>
      <c r="K5" s="53"/>
      <c r="L5" s="54" t="s">
        <v>241</v>
      </c>
      <c r="M5" s="54" t="s">
        <v>245</v>
      </c>
      <c r="N5" s="54" t="s">
        <v>247</v>
      </c>
      <c r="O5" s="54" t="s">
        <v>249</v>
      </c>
      <c r="P5" s="54"/>
    </row>
    <row r="6" spans="1:26" x14ac:dyDescent="0.35">
      <c r="A6" s="179" t="s">
        <v>3</v>
      </c>
      <c r="B6" s="179"/>
      <c r="C6" s="179"/>
      <c r="D6" s="179"/>
      <c r="E6" s="211">
        <v>45878</v>
      </c>
      <c r="F6" s="179"/>
      <c r="G6" s="179"/>
      <c r="H6" s="179"/>
      <c r="K6" s="53"/>
      <c r="L6" s="54" t="s">
        <v>242</v>
      </c>
      <c r="M6" s="54"/>
      <c r="N6" s="54"/>
      <c r="O6" s="54" t="s">
        <v>250</v>
      </c>
      <c r="P6" s="54"/>
    </row>
    <row r="7" spans="1:26" ht="16.5" customHeight="1" x14ac:dyDescent="0.35">
      <c r="A7" s="179" t="s">
        <v>4</v>
      </c>
      <c r="B7" s="179"/>
      <c r="C7" s="179"/>
      <c r="D7" s="179"/>
      <c r="E7" s="179" t="s">
        <v>302</v>
      </c>
      <c r="F7" s="179"/>
      <c r="G7" s="179"/>
      <c r="H7" s="179"/>
      <c r="K7" s="53"/>
      <c r="L7" s="54" t="s">
        <v>243</v>
      </c>
      <c r="M7" s="54"/>
      <c r="N7" s="54"/>
      <c r="O7" s="54" t="s">
        <v>250</v>
      </c>
      <c r="P7" s="54"/>
    </row>
    <row r="8" spans="1:26" ht="15" customHeight="1" x14ac:dyDescent="0.35">
      <c r="A8" s="179" t="s">
        <v>5</v>
      </c>
      <c r="B8" s="179"/>
      <c r="C8" s="179"/>
      <c r="D8" s="179"/>
      <c r="E8" s="179" t="str">
        <f>E7</f>
        <v>Agile Real Estate Pvt.Ltd.</v>
      </c>
      <c r="F8" s="179"/>
      <c r="G8" s="179"/>
      <c r="H8" s="179"/>
      <c r="K8" s="53"/>
      <c r="L8" s="54"/>
      <c r="M8" s="54"/>
      <c r="N8" s="54"/>
      <c r="O8" s="54" t="s">
        <v>251</v>
      </c>
      <c r="P8" s="54"/>
    </row>
    <row r="9" spans="1:26" x14ac:dyDescent="0.35">
      <c r="A9" s="179" t="s">
        <v>6</v>
      </c>
      <c r="B9" s="179"/>
      <c r="C9" s="179"/>
      <c r="D9" s="179"/>
      <c r="E9" s="163" t="s">
        <v>303</v>
      </c>
      <c r="F9" s="163"/>
      <c r="G9" s="163"/>
      <c r="H9" s="163"/>
      <c r="I9" s="21" t="s">
        <v>354</v>
      </c>
      <c r="K9" s="53"/>
      <c r="L9" s="54"/>
      <c r="M9" s="54"/>
      <c r="N9" s="54"/>
      <c r="O9" s="54" t="s">
        <v>252</v>
      </c>
      <c r="P9" s="54"/>
    </row>
    <row r="10" spans="1:26" x14ac:dyDescent="0.35">
      <c r="A10" s="179" t="s">
        <v>168</v>
      </c>
      <c r="B10" s="179"/>
      <c r="C10" s="179"/>
      <c r="D10" s="179"/>
      <c r="E10" s="179" t="s">
        <v>304</v>
      </c>
      <c r="F10" s="179"/>
      <c r="G10" s="179"/>
      <c r="H10" s="179"/>
      <c r="K10" s="53"/>
      <c r="L10" s="54"/>
      <c r="M10" s="54"/>
      <c r="N10" s="54"/>
      <c r="O10" s="54"/>
      <c r="P10" s="54"/>
    </row>
    <row r="11" spans="1:26" hidden="1" x14ac:dyDescent="0.35">
      <c r="A11" s="179" t="s">
        <v>169</v>
      </c>
      <c r="B11" s="179"/>
      <c r="C11" s="179"/>
      <c r="D11" s="179"/>
      <c r="E11" s="179" t="s">
        <v>343</v>
      </c>
      <c r="F11" s="179"/>
      <c r="G11" s="179"/>
      <c r="H11" s="179"/>
    </row>
    <row r="12" spans="1:26" x14ac:dyDescent="0.35">
      <c r="A12" s="179" t="s">
        <v>7</v>
      </c>
      <c r="B12" s="179"/>
      <c r="C12" s="179"/>
      <c r="D12" s="179"/>
      <c r="E12" s="179" t="s">
        <v>305</v>
      </c>
      <c r="F12" s="179"/>
      <c r="G12" s="179"/>
      <c r="H12" s="179"/>
    </row>
    <row r="13" spans="1:26" x14ac:dyDescent="0.35">
      <c r="A13" s="179" t="s">
        <v>172</v>
      </c>
      <c r="B13" s="179"/>
      <c r="C13" s="179"/>
      <c r="D13" s="179"/>
      <c r="E13" s="179" t="s">
        <v>28</v>
      </c>
      <c r="F13" s="179"/>
      <c r="G13" s="179"/>
      <c r="H13" s="179"/>
      <c r="S13" s="54" t="s">
        <v>179</v>
      </c>
      <c r="T13" s="54" t="s">
        <v>189</v>
      </c>
      <c r="U13" s="54" t="s">
        <v>173</v>
      </c>
      <c r="V13" s="54" t="s">
        <v>194</v>
      </c>
      <c r="W13" s="54" t="s">
        <v>212</v>
      </c>
      <c r="X13"/>
      <c r="Y13" t="s">
        <v>194</v>
      </c>
      <c r="Z13" t="e">
        <f ca="1">OFFSET($S$13,1,MATCH($G20,$S$13:$W$13,0)-1,15,1)</f>
        <v>#VALUE!</v>
      </c>
    </row>
    <row r="14" spans="1:26" x14ac:dyDescent="0.35">
      <c r="A14" s="132" t="s">
        <v>279</v>
      </c>
      <c r="B14" s="132"/>
      <c r="C14" s="132"/>
      <c r="D14" s="132"/>
      <c r="E14" s="209" t="s">
        <v>227</v>
      </c>
      <c r="F14" s="209"/>
      <c r="G14" s="209"/>
      <c r="H14" s="209"/>
      <c r="S14" s="54" t="s">
        <v>180</v>
      </c>
      <c r="T14" s="54" t="s">
        <v>187</v>
      </c>
      <c r="U14" s="54" t="s">
        <v>209</v>
      </c>
      <c r="V14" s="54" t="s">
        <v>195</v>
      </c>
      <c r="W14" s="54" t="s">
        <v>213</v>
      </c>
      <c r="X14"/>
      <c r="Y14"/>
      <c r="Z14"/>
    </row>
    <row r="15" spans="1:26" x14ac:dyDescent="0.35">
      <c r="A15" s="132" t="s">
        <v>8</v>
      </c>
      <c r="B15" s="132"/>
      <c r="C15" s="132"/>
      <c r="D15" s="132"/>
      <c r="E15" s="167" t="s">
        <v>306</v>
      </c>
      <c r="F15" s="179"/>
      <c r="G15" s="179"/>
      <c r="H15" s="179"/>
      <c r="I15" s="256" t="e">
        <f ca="1">OFFSET($D$5,1,MATCH($J13,$D$5:$H$5,0)-1,15,1)</f>
        <v>#N/A</v>
      </c>
      <c r="J15" s="257"/>
      <c r="K15" s="257"/>
      <c r="L15" s="257"/>
      <c r="M15" s="257"/>
      <c r="N15" s="257"/>
      <c r="O15" s="257"/>
      <c r="P15" s="257"/>
      <c r="S15" s="54" t="s">
        <v>181</v>
      </c>
      <c r="T15" s="54" t="s">
        <v>188</v>
      </c>
      <c r="U15" s="54" t="s">
        <v>210</v>
      </c>
      <c r="V15" s="54" t="s">
        <v>196</v>
      </c>
      <c r="W15" s="54" t="s">
        <v>226</v>
      </c>
      <c r="X15"/>
      <c r="Y15"/>
      <c r="Z15"/>
    </row>
    <row r="16" spans="1:26" ht="129.75" customHeight="1" x14ac:dyDescent="0.35">
      <c r="A16" s="207" t="s">
        <v>9</v>
      </c>
      <c r="B16" s="207"/>
      <c r="C16" s="207" t="str">
        <f>CONCATENATE((IF(OR(E9="",E9="NA"),"",E9)),", ",(IF(OR(A17="",A17="NA"),"",A17)),".",(IF(OR(C17="",C17="NA"),"",C17)),", near ",(IF(OR(C22="",C22="NA"),"",C22)),", ",(IF(OR(C19="",C19="NA"),"",C19)),", ",(IF(OR(C18="",C18="NA"),"",C18)),", ",(IF(OR(G19="",G19="NA"),"",G19)),", ",(IF(OR(C20="",C20="NA"),"",C20)),", ",(IF(OR(C21="",C21="NA"),"",C21)),", ",(IF(OR(G20="",G20="NA"),"",G20))," - ",(IF(OR(G21="",G21="NA"),"",G21)),".")</f>
        <v>Primera, Survey No.19/1B, 19/2 to 19/5, 19/6(pt.), 19/7, 19/9 to 19/12, 19/13/A, 19/13/B, 19/14, 19/15, 19/16A, 19/16B, 19/17 to 19/19, 19/20/A, 19/20/B, 19/21, 19/22, 19/24, 19/25/A, 19/25/B, 19/26, 19/27/A, 19/27/B, 19/28, 19/34/B, 19/34/C, 19/35, 19/36, 19/39/A, 19/39/B, 19/41/A, 19/41/B, 19/44, 19/46, 20/1 to 20/3, 80/2/B, 80/2/C, 82, 83/2/B/2, 83/4/1/B, 83/4/2/A, 83/4/2B, 83/6/B, 83/7/A, 83/7/B, 83/7/C, 83/11/B, 83/12, 85/3, 85/4, 86/1/B, 86/2/B, 86/3/B, 87/1/C &amp; 81, near Dosti Oak, Kolshet Road, Dhokali, Balkum, Thane West, Thane, Thane  - 400607.</v>
      </c>
      <c r="D16" s="207"/>
      <c r="E16" s="207"/>
      <c r="F16" s="207"/>
      <c r="G16" s="207"/>
      <c r="H16" s="207"/>
      <c r="S16" s="54" t="s">
        <v>182</v>
      </c>
      <c r="T16" s="54" t="s">
        <v>190</v>
      </c>
      <c r="U16" s="54" t="s">
        <v>211</v>
      </c>
      <c r="V16" s="54" t="s">
        <v>197</v>
      </c>
      <c r="W16" s="54" t="s">
        <v>214</v>
      </c>
      <c r="X16"/>
      <c r="Y16"/>
      <c r="Z16"/>
    </row>
    <row r="17" spans="1:26" ht="113.25" customHeight="1" x14ac:dyDescent="0.35">
      <c r="A17" s="167" t="s">
        <v>307</v>
      </c>
      <c r="B17" s="167"/>
      <c r="C17" s="167" t="s">
        <v>344</v>
      </c>
      <c r="D17" s="167"/>
      <c r="E17" s="167"/>
      <c r="F17" s="167"/>
      <c r="G17" s="167"/>
      <c r="H17" s="167"/>
      <c r="S17" s="54" t="s">
        <v>183</v>
      </c>
      <c r="T17" s="54" t="s">
        <v>191</v>
      </c>
      <c r="U17" s="54" t="s">
        <v>173</v>
      </c>
      <c r="V17" s="54" t="s">
        <v>198</v>
      </c>
      <c r="W17" s="54" t="s">
        <v>215</v>
      </c>
      <c r="X17"/>
      <c r="Y17"/>
      <c r="Z17"/>
    </row>
    <row r="18" spans="1:26" ht="15.75" customHeight="1" x14ac:dyDescent="0.35">
      <c r="A18" s="167" t="s">
        <v>163</v>
      </c>
      <c r="B18" s="167"/>
      <c r="C18" s="167" t="s">
        <v>345</v>
      </c>
      <c r="D18" s="167"/>
      <c r="E18" s="167"/>
      <c r="F18" s="167"/>
      <c r="G18" s="167"/>
      <c r="H18" s="167"/>
      <c r="S18" s="54" t="s">
        <v>184</v>
      </c>
      <c r="T18" s="54" t="s">
        <v>189</v>
      </c>
      <c r="U18" s="54"/>
      <c r="V18" s="54" t="s">
        <v>199</v>
      </c>
      <c r="W18" s="54" t="s">
        <v>216</v>
      </c>
      <c r="X18"/>
      <c r="Y18"/>
      <c r="Z18"/>
    </row>
    <row r="19" spans="1:26" ht="15.75" customHeight="1" x14ac:dyDescent="0.35">
      <c r="A19" s="207" t="s">
        <v>10</v>
      </c>
      <c r="B19" s="207"/>
      <c r="C19" s="179" t="s">
        <v>346</v>
      </c>
      <c r="D19" s="179"/>
      <c r="E19" s="207" t="s">
        <v>69</v>
      </c>
      <c r="F19" s="207"/>
      <c r="G19" s="167" t="s">
        <v>308</v>
      </c>
      <c r="H19" s="167"/>
      <c r="S19" s="54" t="s">
        <v>185</v>
      </c>
      <c r="T19" s="54" t="s">
        <v>192</v>
      </c>
      <c r="U19" s="54"/>
      <c r="V19" s="54" t="s">
        <v>200</v>
      </c>
      <c r="W19" s="54" t="s">
        <v>217</v>
      </c>
      <c r="X19"/>
      <c r="Y19"/>
      <c r="Z19"/>
    </row>
    <row r="20" spans="1:26" x14ac:dyDescent="0.35">
      <c r="A20" s="132" t="s">
        <v>12</v>
      </c>
      <c r="B20" s="132"/>
      <c r="C20" s="167" t="s">
        <v>350</v>
      </c>
      <c r="D20" s="167"/>
      <c r="E20" s="207" t="s">
        <v>11</v>
      </c>
      <c r="F20" s="207"/>
      <c r="G20" s="208" t="s">
        <v>179</v>
      </c>
      <c r="H20" s="208"/>
      <c r="S20" s="54" t="s">
        <v>186</v>
      </c>
      <c r="T20" s="54" t="s">
        <v>193</v>
      </c>
      <c r="U20" s="54"/>
      <c r="V20" s="54" t="s">
        <v>201</v>
      </c>
      <c r="W20" s="54" t="s">
        <v>218</v>
      </c>
      <c r="X20"/>
      <c r="Y20"/>
      <c r="Z20"/>
    </row>
    <row r="21" spans="1:26" x14ac:dyDescent="0.35">
      <c r="A21" s="132" t="s">
        <v>70</v>
      </c>
      <c r="B21" s="132"/>
      <c r="C21" s="167" t="s">
        <v>180</v>
      </c>
      <c r="D21" s="167"/>
      <c r="E21" s="207" t="s">
        <v>13</v>
      </c>
      <c r="F21" s="207"/>
      <c r="G21" s="167">
        <v>400607</v>
      </c>
      <c r="H21" s="167"/>
      <c r="S21" s="54"/>
      <c r="T21" s="54"/>
      <c r="U21" s="54"/>
      <c r="V21" s="54" t="s">
        <v>202</v>
      </c>
      <c r="W21" s="54" t="s">
        <v>219</v>
      </c>
      <c r="X21"/>
      <c r="Y21"/>
      <c r="Z21"/>
    </row>
    <row r="22" spans="1:26" ht="32.25" customHeight="1" x14ac:dyDescent="0.35">
      <c r="A22" s="132" t="s">
        <v>119</v>
      </c>
      <c r="B22" s="132"/>
      <c r="C22" s="167" t="s">
        <v>366</v>
      </c>
      <c r="D22" s="167"/>
      <c r="E22" s="207" t="s">
        <v>14</v>
      </c>
      <c r="F22" s="207"/>
      <c r="G22" s="167" t="s">
        <v>358</v>
      </c>
      <c r="H22" s="167"/>
      <c r="S22" s="54"/>
      <c r="T22" s="54"/>
      <c r="U22" s="54"/>
      <c r="V22" s="54" t="s">
        <v>203</v>
      </c>
      <c r="W22" s="54" t="s">
        <v>220</v>
      </c>
      <c r="X22"/>
      <c r="Y22"/>
      <c r="Z22"/>
    </row>
    <row r="23" spans="1:26" ht="15" customHeight="1" x14ac:dyDescent="0.35">
      <c r="A23" s="207" t="s">
        <v>72</v>
      </c>
      <c r="B23" s="207"/>
      <c r="C23" s="207"/>
      <c r="D23" s="207"/>
      <c r="E23" s="179" t="s">
        <v>15</v>
      </c>
      <c r="F23" s="179"/>
      <c r="G23" s="179"/>
      <c r="H23" s="179"/>
      <c r="S23" s="54"/>
      <c r="T23" s="54"/>
      <c r="U23" s="54"/>
      <c r="V23" s="54" t="s">
        <v>204</v>
      </c>
      <c r="W23" s="54" t="s">
        <v>221</v>
      </c>
      <c r="X23"/>
      <c r="Y23"/>
      <c r="Z23"/>
    </row>
    <row r="24" spans="1:26" ht="18.75" customHeight="1" x14ac:dyDescent="0.35">
      <c r="A24" s="207"/>
      <c r="B24" s="207"/>
      <c r="C24" s="207"/>
      <c r="D24" s="207"/>
      <c r="E24" s="179"/>
      <c r="F24" s="179"/>
      <c r="G24" s="179"/>
      <c r="H24" s="179"/>
      <c r="S24" s="54"/>
      <c r="T24" s="54"/>
      <c r="U24" s="54"/>
      <c r="V24" s="54" t="s">
        <v>205</v>
      </c>
      <c r="W24" s="54" t="s">
        <v>222</v>
      </c>
      <c r="X24"/>
      <c r="Y24"/>
      <c r="Z24"/>
    </row>
    <row r="25" spans="1:26" ht="15" customHeight="1" x14ac:dyDescent="0.35">
      <c r="A25" s="207" t="s">
        <v>16</v>
      </c>
      <c r="B25" s="207"/>
      <c r="C25" s="207"/>
      <c r="D25" s="207"/>
      <c r="E25" s="167" t="s">
        <v>17</v>
      </c>
      <c r="F25" s="167"/>
      <c r="G25" s="167"/>
      <c r="H25" s="167"/>
      <c r="S25" s="54"/>
      <c r="T25" s="54"/>
      <c r="U25" s="54"/>
      <c r="V25" s="54" t="s">
        <v>206</v>
      </c>
      <c r="W25" s="54" t="s">
        <v>223</v>
      </c>
      <c r="X25"/>
      <c r="Y25"/>
      <c r="Z25"/>
    </row>
    <row r="26" spans="1:26" ht="15" customHeight="1" x14ac:dyDescent="0.35">
      <c r="A26" s="132" t="s">
        <v>18</v>
      </c>
      <c r="B26" s="132"/>
      <c r="C26" s="132"/>
      <c r="D26" s="132"/>
      <c r="E26" s="167" t="str">
        <f>IF(AND(G20="Mumbai"),"Upper Class","Middle Class")</f>
        <v>Middle Class</v>
      </c>
      <c r="F26" s="167"/>
      <c r="G26" s="167"/>
      <c r="H26" s="167"/>
      <c r="S26" s="54"/>
      <c r="T26" s="54"/>
      <c r="U26" s="54"/>
      <c r="V26" s="54" t="s">
        <v>207</v>
      </c>
      <c r="W26" s="54" t="s">
        <v>224</v>
      </c>
      <c r="X26"/>
      <c r="Y26"/>
      <c r="Z26"/>
    </row>
    <row r="27" spans="1:26" x14ac:dyDescent="0.35">
      <c r="A27" s="132" t="s">
        <v>19</v>
      </c>
      <c r="B27" s="132"/>
      <c r="C27" s="132"/>
      <c r="D27" s="132"/>
      <c r="E27" s="167" t="s">
        <v>20</v>
      </c>
      <c r="F27" s="167"/>
      <c r="G27" s="167"/>
      <c r="H27" s="167"/>
      <c r="S27" s="54"/>
      <c r="T27" s="54"/>
      <c r="U27" s="54"/>
      <c r="V27" s="54" t="s">
        <v>208</v>
      </c>
      <c r="W27" s="54" t="s">
        <v>225</v>
      </c>
      <c r="X27"/>
      <c r="Y27"/>
      <c r="Z27"/>
    </row>
    <row r="28" spans="1:26" ht="15.75" customHeight="1" x14ac:dyDescent="0.35">
      <c r="A28" s="132" t="s">
        <v>21</v>
      </c>
      <c r="B28" s="132"/>
      <c r="C28" s="132"/>
      <c r="D28" s="132"/>
      <c r="E28" s="167" t="str">
        <f>IF(AND(G20="Mumbai"),"Developed","Developing")</f>
        <v>Developing</v>
      </c>
      <c r="F28" s="167"/>
      <c r="G28" s="167"/>
      <c r="H28" s="167"/>
    </row>
    <row r="29" spans="1:26" x14ac:dyDescent="0.35">
      <c r="A29" s="132" t="s">
        <v>22</v>
      </c>
      <c r="B29" s="132"/>
      <c r="C29" s="132"/>
      <c r="D29" s="132"/>
      <c r="E29" s="167" t="s">
        <v>23</v>
      </c>
      <c r="F29" s="167"/>
      <c r="G29" s="167"/>
      <c r="H29" s="167"/>
    </row>
    <row r="30" spans="1:26" ht="15.75" customHeight="1" x14ac:dyDescent="0.35">
      <c r="A30" s="132" t="s">
        <v>77</v>
      </c>
      <c r="B30" s="132"/>
      <c r="C30" s="132"/>
      <c r="D30" s="132"/>
      <c r="E30" s="167" t="s">
        <v>78</v>
      </c>
      <c r="F30" s="167"/>
      <c r="G30" s="167"/>
      <c r="H30" s="167"/>
    </row>
    <row r="31" spans="1:26" ht="15" customHeight="1" x14ac:dyDescent="0.35">
      <c r="A31" s="132" t="s">
        <v>30</v>
      </c>
      <c r="B31" s="132"/>
      <c r="C31" s="132"/>
      <c r="D31" s="132"/>
      <c r="E31" s="16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67"/>
      <c r="G31" s="167"/>
      <c r="H31" s="167"/>
    </row>
    <row r="32" spans="1:26" ht="15.75" customHeight="1" x14ac:dyDescent="0.35">
      <c r="A32" s="132" t="s">
        <v>89</v>
      </c>
      <c r="B32" s="132"/>
      <c r="C32" s="132"/>
      <c r="D32" s="132"/>
      <c r="E32" s="167" t="s">
        <v>31</v>
      </c>
      <c r="F32" s="167"/>
      <c r="G32" s="167"/>
      <c r="H32" s="167"/>
    </row>
    <row r="33" spans="1:19" s="22" customFormat="1" x14ac:dyDescent="0.35">
      <c r="A33" s="206" t="s">
        <v>90</v>
      </c>
      <c r="B33" s="206"/>
      <c r="C33" s="203" t="s">
        <v>174</v>
      </c>
      <c r="D33" s="204"/>
      <c r="E33" s="205"/>
      <c r="F33" s="203" t="s">
        <v>29</v>
      </c>
      <c r="G33" s="204"/>
      <c r="H33" s="205"/>
      <c r="S33" s="22" t="e">
        <f ca="1">OFFSET($S$13,1,MATCH($G20,$S$13:$W$13,0)-1,15,1)</f>
        <v>#VALUE!</v>
      </c>
    </row>
    <row r="34" spans="1:19" s="22" customFormat="1" x14ac:dyDescent="0.35">
      <c r="A34" s="185" t="s">
        <v>24</v>
      </c>
      <c r="B34" s="185" t="s">
        <v>28</v>
      </c>
      <c r="C34" s="186" t="s">
        <v>348</v>
      </c>
      <c r="D34" s="187"/>
      <c r="E34" s="188"/>
      <c r="F34" s="186" t="s">
        <v>348</v>
      </c>
      <c r="G34" s="187"/>
      <c r="H34" s="188"/>
    </row>
    <row r="35" spans="1:19" x14ac:dyDescent="0.35">
      <c r="A35" s="185" t="s">
        <v>25</v>
      </c>
      <c r="B35" s="185" t="s">
        <v>28</v>
      </c>
      <c r="C35" s="186" t="s">
        <v>347</v>
      </c>
      <c r="D35" s="187"/>
      <c r="E35" s="188"/>
      <c r="F35" s="186" t="s">
        <v>349</v>
      </c>
      <c r="G35" s="187"/>
      <c r="H35" s="188"/>
    </row>
    <row r="36" spans="1:19" s="22" customFormat="1" x14ac:dyDescent="0.35">
      <c r="A36" s="185" t="s">
        <v>27</v>
      </c>
      <c r="B36" s="185" t="s">
        <v>28</v>
      </c>
      <c r="C36" s="186" t="s">
        <v>348</v>
      </c>
      <c r="D36" s="187"/>
      <c r="E36" s="188"/>
      <c r="F36" s="186" t="s">
        <v>348</v>
      </c>
      <c r="G36" s="187"/>
      <c r="H36" s="188"/>
    </row>
    <row r="37" spans="1:19" x14ac:dyDescent="0.35">
      <c r="A37" s="185" t="s">
        <v>26</v>
      </c>
      <c r="B37" s="185" t="s">
        <v>28</v>
      </c>
      <c r="C37" s="186" t="s">
        <v>348</v>
      </c>
      <c r="D37" s="187"/>
      <c r="E37" s="188"/>
      <c r="F37" s="186" t="s">
        <v>348</v>
      </c>
      <c r="G37" s="187"/>
      <c r="H37" s="188"/>
    </row>
    <row r="38" spans="1:19" x14ac:dyDescent="0.35">
      <c r="A38" s="132" t="s">
        <v>280</v>
      </c>
      <c r="B38" s="132"/>
      <c r="C38" s="132"/>
      <c r="D38" s="132"/>
      <c r="E38" s="132"/>
      <c r="F38" s="132"/>
      <c r="G38" s="132"/>
      <c r="H38" s="132"/>
    </row>
    <row r="39" spans="1:19" ht="15.75" customHeight="1" x14ac:dyDescent="0.35">
      <c r="A39" s="132" t="s">
        <v>166</v>
      </c>
      <c r="B39" s="132"/>
      <c r="C39" s="160" t="s">
        <v>356</v>
      </c>
      <c r="D39" s="160"/>
      <c r="E39" s="160"/>
      <c r="F39" s="160"/>
      <c r="G39" s="160"/>
      <c r="H39" s="160"/>
    </row>
    <row r="40" spans="1:19" x14ac:dyDescent="0.35">
      <c r="A40" s="132" t="s">
        <v>162</v>
      </c>
      <c r="B40" s="132"/>
      <c r="C40" s="166" t="s">
        <v>352</v>
      </c>
      <c r="D40" s="167"/>
      <c r="E40" s="167"/>
      <c r="F40" s="167"/>
      <c r="G40" s="167"/>
      <c r="H40" s="167"/>
    </row>
    <row r="41" spans="1:19" x14ac:dyDescent="0.35">
      <c r="A41" s="160" t="s">
        <v>32</v>
      </c>
      <c r="B41" s="160"/>
      <c r="C41" s="160"/>
      <c r="D41" s="160"/>
      <c r="E41" s="160"/>
      <c r="F41" s="160"/>
      <c r="G41" s="160"/>
      <c r="H41" s="160"/>
    </row>
    <row r="42" spans="1:19" x14ac:dyDescent="0.35">
      <c r="A42" s="132" t="s">
        <v>33</v>
      </c>
      <c r="B42" s="132"/>
      <c r="C42" s="132"/>
      <c r="D42" s="132"/>
      <c r="E42" s="189">
        <v>63540</v>
      </c>
      <c r="F42" s="189"/>
      <c r="G42" s="189"/>
      <c r="H42" s="189"/>
    </row>
    <row r="43" spans="1:19" x14ac:dyDescent="0.35">
      <c r="A43" s="132" t="s">
        <v>34</v>
      </c>
      <c r="B43" s="132"/>
      <c r="C43" s="132"/>
      <c r="D43" s="132"/>
      <c r="E43" s="198">
        <v>1.1000000000000001</v>
      </c>
      <c r="F43" s="198"/>
      <c r="G43" s="198"/>
      <c r="H43" s="198"/>
    </row>
    <row r="44" spans="1:19" x14ac:dyDescent="0.35">
      <c r="A44" s="132" t="s">
        <v>35</v>
      </c>
      <c r="B44" s="132"/>
      <c r="C44" s="132"/>
      <c r="D44" s="132"/>
      <c r="E44" s="198">
        <f>E46/E42-E43</f>
        <v>0.41617878501731176</v>
      </c>
      <c r="F44" s="198"/>
      <c r="G44" s="198"/>
      <c r="H44" s="198"/>
    </row>
    <row r="45" spans="1:19" x14ac:dyDescent="0.35">
      <c r="A45" s="132" t="s">
        <v>36</v>
      </c>
      <c r="B45" s="132"/>
      <c r="C45" s="132"/>
      <c r="D45" s="132"/>
      <c r="E45" s="198">
        <f>E43+E44</f>
        <v>1.5161787850173118</v>
      </c>
      <c r="F45" s="198"/>
      <c r="G45" s="198"/>
      <c r="H45" s="198"/>
    </row>
    <row r="46" spans="1:19" x14ac:dyDescent="0.35">
      <c r="A46" s="132" t="s">
        <v>88</v>
      </c>
      <c r="B46" s="132"/>
      <c r="C46" s="132"/>
      <c r="D46" s="132"/>
      <c r="E46" s="199">
        <v>96338</v>
      </c>
      <c r="F46" s="199"/>
      <c r="G46" s="199"/>
      <c r="H46" s="199"/>
    </row>
    <row r="47" spans="1:19" x14ac:dyDescent="0.35">
      <c r="A47" s="179" t="s">
        <v>37</v>
      </c>
      <c r="B47" s="179"/>
      <c r="C47" s="179"/>
      <c r="D47" s="179"/>
      <c r="E47" s="179" t="s">
        <v>351</v>
      </c>
      <c r="F47" s="179"/>
      <c r="G47" s="179"/>
      <c r="H47" s="179"/>
    </row>
    <row r="48" spans="1:19" x14ac:dyDescent="0.35">
      <c r="A48" s="160" t="s">
        <v>38</v>
      </c>
      <c r="B48" s="160"/>
      <c r="C48" s="160"/>
      <c r="D48" s="160"/>
      <c r="E48" s="160"/>
      <c r="F48" s="160"/>
      <c r="G48" s="160"/>
      <c r="H48" s="160"/>
    </row>
    <row r="49" spans="1:24" ht="33.75" customHeight="1" x14ac:dyDescent="0.35">
      <c r="A49" s="149" t="s">
        <v>151</v>
      </c>
      <c r="B49" s="150"/>
      <c r="C49" s="151" t="s">
        <v>260</v>
      </c>
      <c r="D49" s="152"/>
      <c r="E49" s="152"/>
      <c r="F49" s="152"/>
      <c r="G49" s="152"/>
      <c r="H49" s="153"/>
      <c r="R49" t="s">
        <v>253</v>
      </c>
      <c r="S49" t="s">
        <v>173</v>
      </c>
      <c r="T49" t="s">
        <v>179</v>
      </c>
      <c r="U49" t="s">
        <v>194</v>
      </c>
      <c r="V49" t="s">
        <v>189</v>
      </c>
    </row>
    <row r="50" spans="1:24" ht="15" customHeight="1" x14ac:dyDescent="0.35">
      <c r="A50" s="237" t="s">
        <v>39</v>
      </c>
      <c r="B50" s="238"/>
      <c r="C50" s="233" t="s">
        <v>309</v>
      </c>
      <c r="D50" s="234"/>
      <c r="E50" s="235"/>
      <c r="F50" s="18" t="s">
        <v>40</v>
      </c>
      <c r="G50" s="236">
        <f>G52</f>
        <v>45355</v>
      </c>
      <c r="H50" s="150"/>
      <c r="R50"/>
      <c r="S50" t="s">
        <v>254</v>
      </c>
      <c r="T50" t="s">
        <v>259</v>
      </c>
      <c r="U50" t="s">
        <v>270</v>
      </c>
      <c r="V50" t="s">
        <v>275</v>
      </c>
    </row>
    <row r="51" spans="1:24" x14ac:dyDescent="0.35">
      <c r="A51" s="237" t="s">
        <v>41</v>
      </c>
      <c r="B51" s="238"/>
      <c r="C51" s="233" t="str">
        <f>C50</f>
        <v>TMCB/TDD/0097/[P/C]/2024/AutoDCR</v>
      </c>
      <c r="D51" s="234"/>
      <c r="E51" s="235"/>
      <c r="F51" s="18" t="s">
        <v>40</v>
      </c>
      <c r="G51" s="236">
        <f>G50</f>
        <v>45355</v>
      </c>
      <c r="H51" s="251"/>
      <c r="R51"/>
      <c r="S51" t="s">
        <v>255</v>
      </c>
      <c r="T51" t="s">
        <v>260</v>
      </c>
      <c r="U51" t="s">
        <v>268</v>
      </c>
      <c r="V51" t="s">
        <v>276</v>
      </c>
    </row>
    <row r="52" spans="1:24" s="23" customFormat="1" ht="15.75" customHeight="1" x14ac:dyDescent="0.35">
      <c r="A52" s="252" t="s">
        <v>155</v>
      </c>
      <c r="B52" s="253"/>
      <c r="C52" s="149" t="s">
        <v>309</v>
      </c>
      <c r="D52" s="255"/>
      <c r="E52" s="150"/>
      <c r="F52" s="18" t="s">
        <v>40</v>
      </c>
      <c r="G52" s="236">
        <v>45355</v>
      </c>
      <c r="H52" s="150"/>
      <c r="R52"/>
      <c r="S52" t="s">
        <v>256</v>
      </c>
      <c r="T52" t="s">
        <v>261</v>
      </c>
      <c r="U52" t="s">
        <v>258</v>
      </c>
      <c r="V52" t="s">
        <v>277</v>
      </c>
    </row>
    <row r="53" spans="1:24" s="23" customFormat="1" ht="33.75" customHeight="1" x14ac:dyDescent="0.35">
      <c r="A53" s="192"/>
      <c r="B53" s="254"/>
      <c r="C53" s="149" t="s">
        <v>342</v>
      </c>
      <c r="D53" s="255"/>
      <c r="E53" s="255"/>
      <c r="F53" s="255"/>
      <c r="G53" s="255"/>
      <c r="H53" s="150"/>
      <c r="R53"/>
      <c r="S53" t="s">
        <v>257</v>
      </c>
      <c r="T53" t="s">
        <v>264</v>
      </c>
      <c r="U53" t="s">
        <v>271</v>
      </c>
    </row>
    <row r="54" spans="1:24" s="81" customFormat="1" x14ac:dyDescent="0.35">
      <c r="A54" s="242" t="s">
        <v>281</v>
      </c>
      <c r="B54" s="243"/>
      <c r="C54" s="233" t="s">
        <v>361</v>
      </c>
      <c r="D54" s="234"/>
      <c r="E54" s="235"/>
      <c r="F54" s="85" t="s">
        <v>40</v>
      </c>
      <c r="G54" s="246">
        <v>45271</v>
      </c>
      <c r="H54" s="235"/>
      <c r="R54" s="82"/>
      <c r="S54" s="82" t="s">
        <v>256</v>
      </c>
      <c r="T54" s="82" t="s">
        <v>261</v>
      </c>
      <c r="U54" s="82" t="s">
        <v>258</v>
      </c>
      <c r="V54" s="82" t="s">
        <v>277</v>
      </c>
    </row>
    <row r="55" spans="1:24" s="81" customFormat="1" ht="36.65" customHeight="1" x14ac:dyDescent="0.35">
      <c r="A55" s="244"/>
      <c r="B55" s="245"/>
      <c r="C55" s="171" t="s">
        <v>362</v>
      </c>
      <c r="D55" s="172"/>
      <c r="E55" s="172"/>
      <c r="F55" s="172"/>
      <c r="G55" s="172"/>
      <c r="H55" s="173"/>
      <c r="R55" s="82"/>
      <c r="S55" s="82" t="s">
        <v>258</v>
      </c>
      <c r="T55" s="82" t="s">
        <v>262</v>
      </c>
      <c r="U55" s="82" t="s">
        <v>272</v>
      </c>
      <c r="V55" s="83"/>
      <c r="W55" s="83"/>
      <c r="X55" s="83"/>
    </row>
    <row r="56" spans="1:24" s="81" customFormat="1" ht="34.5" hidden="1" customHeight="1" x14ac:dyDescent="0.35">
      <c r="A56" s="247" t="s">
        <v>282</v>
      </c>
      <c r="B56" s="248"/>
      <c r="C56" s="200" t="str">
        <f>C55</f>
        <v>Tower A = 2B + G to 8th P + 1st to 40th Floor
Tower B = 2B + G to 8th P + 1st to 40th Floor With total height of 149.85M</v>
      </c>
      <c r="D56" s="201"/>
      <c r="E56" s="202"/>
      <c r="F56" s="80" t="s">
        <v>40</v>
      </c>
      <c r="G56" s="200">
        <f>G55</f>
        <v>0</v>
      </c>
      <c r="H56" s="202"/>
      <c r="R56" s="82"/>
      <c r="S56" s="83"/>
      <c r="T56" s="82" t="s">
        <v>263</v>
      </c>
      <c r="U56" s="82" t="s">
        <v>273</v>
      </c>
      <c r="V56" s="83"/>
      <c r="W56" s="83"/>
      <c r="X56" s="83"/>
    </row>
    <row r="57" spans="1:24" s="81" customFormat="1" ht="41.25" hidden="1" customHeight="1" x14ac:dyDescent="0.35">
      <c r="A57" s="249"/>
      <c r="B57" s="250"/>
      <c r="C57" s="200"/>
      <c r="D57" s="201"/>
      <c r="E57" s="201"/>
      <c r="F57" s="201"/>
      <c r="G57" s="201"/>
      <c r="H57" s="202"/>
      <c r="R57" s="82"/>
      <c r="S57" s="83"/>
      <c r="T57" s="82" t="s">
        <v>265</v>
      </c>
      <c r="U57" s="82" t="s">
        <v>274</v>
      </c>
      <c r="V57" s="83"/>
      <c r="W57" s="83"/>
      <c r="X57" s="83"/>
    </row>
    <row r="58" spans="1:24" s="81" customFormat="1" ht="15.75" hidden="1" customHeight="1" x14ac:dyDescent="0.35">
      <c r="A58" s="247" t="s">
        <v>283</v>
      </c>
      <c r="B58" s="248"/>
      <c r="C58" s="200">
        <f>C57</f>
        <v>0</v>
      </c>
      <c r="D58" s="201"/>
      <c r="E58" s="202"/>
      <c r="F58" s="80" t="s">
        <v>40</v>
      </c>
      <c r="G58" s="200">
        <f>G57</f>
        <v>0</v>
      </c>
      <c r="H58" s="202"/>
      <c r="R58" s="82"/>
      <c r="S58" s="83"/>
      <c r="T58" s="82" t="s">
        <v>266</v>
      </c>
      <c r="U58" s="83" t="s">
        <v>297</v>
      </c>
      <c r="V58" s="83"/>
      <c r="W58" s="83"/>
      <c r="X58" s="83"/>
    </row>
    <row r="59" spans="1:24" s="81" customFormat="1" ht="33.75" hidden="1" customHeight="1" x14ac:dyDescent="0.35">
      <c r="A59" s="249"/>
      <c r="B59" s="250"/>
      <c r="C59" s="200"/>
      <c r="D59" s="201"/>
      <c r="E59" s="201"/>
      <c r="F59" s="201"/>
      <c r="G59" s="201"/>
      <c r="H59" s="202"/>
      <c r="R59" s="82"/>
      <c r="S59" s="83"/>
      <c r="T59" s="82" t="s">
        <v>267</v>
      </c>
      <c r="U59" s="83"/>
      <c r="V59" s="83"/>
      <c r="W59" s="83"/>
      <c r="X59" s="83"/>
    </row>
    <row r="60" spans="1:24" x14ac:dyDescent="0.35">
      <c r="A60" s="259" t="s">
        <v>42</v>
      </c>
      <c r="B60" s="260"/>
      <c r="C60" s="259" t="s">
        <v>102</v>
      </c>
      <c r="D60" s="261"/>
      <c r="E60" s="260"/>
      <c r="F60" s="44" t="s">
        <v>40</v>
      </c>
      <c r="G60" s="240" t="s">
        <v>28</v>
      </c>
      <c r="H60" s="241"/>
      <c r="R60"/>
      <c r="T60" t="s">
        <v>269</v>
      </c>
    </row>
    <row r="61" spans="1:24" x14ac:dyDescent="0.35">
      <c r="A61" s="215" t="s">
        <v>44</v>
      </c>
      <c r="B61" s="215"/>
      <c r="C61" s="215"/>
      <c r="D61" s="215"/>
      <c r="E61" s="215"/>
      <c r="F61" s="215"/>
      <c r="G61" s="215"/>
      <c r="H61" s="215"/>
      <c r="T61" t="s">
        <v>278</v>
      </c>
    </row>
    <row r="62" spans="1:24" x14ac:dyDescent="0.35">
      <c r="A62" s="207" t="s">
        <v>87</v>
      </c>
      <c r="B62" s="207"/>
      <c r="C62" s="207"/>
      <c r="D62" s="132">
        <f>E46</f>
        <v>96338</v>
      </c>
      <c r="E62" s="132"/>
      <c r="F62" s="132"/>
      <c r="G62" s="132"/>
      <c r="H62" s="132"/>
      <c r="R62"/>
    </row>
    <row r="63" spans="1:24" x14ac:dyDescent="0.35">
      <c r="A63" s="167" t="s">
        <v>45</v>
      </c>
      <c r="B63" s="179"/>
      <c r="C63" s="179"/>
      <c r="D63" s="239" t="s">
        <v>355</v>
      </c>
      <c r="E63" s="239"/>
      <c r="F63" s="239"/>
      <c r="G63" s="239"/>
      <c r="H63" s="239"/>
      <c r="I63" s="24"/>
      <c r="R63"/>
    </row>
    <row r="64" spans="1:24" ht="31.5" customHeight="1" x14ac:dyDescent="0.35">
      <c r="A64" s="182" t="s">
        <v>46</v>
      </c>
      <c r="B64" s="183"/>
      <c r="C64" s="184"/>
      <c r="D64" s="180" t="s">
        <v>363</v>
      </c>
      <c r="E64" s="181"/>
      <c r="F64" s="181"/>
      <c r="G64" s="181"/>
      <c r="H64" s="181"/>
      <c r="R64"/>
    </row>
    <row r="65" spans="1:19" ht="15.75" customHeight="1" x14ac:dyDescent="0.35">
      <c r="A65" s="182" t="s">
        <v>85</v>
      </c>
      <c r="B65" s="183"/>
      <c r="C65" s="184"/>
      <c r="D65" s="224" t="s">
        <v>364</v>
      </c>
      <c r="E65" s="225"/>
      <c r="F65" s="225"/>
      <c r="G65" s="225"/>
      <c r="H65" s="226"/>
      <c r="R65"/>
    </row>
    <row r="66" spans="1:19" ht="15.75" customHeight="1" x14ac:dyDescent="0.35">
      <c r="A66" s="221"/>
      <c r="B66" s="222"/>
      <c r="C66" s="223"/>
      <c r="D66" s="227" t="s">
        <v>365</v>
      </c>
      <c r="E66" s="228"/>
      <c r="F66" s="228"/>
      <c r="G66" s="228"/>
      <c r="H66" s="229"/>
      <c r="R66"/>
    </row>
    <row r="67" spans="1:19" s="74" customFormat="1" ht="15.75" customHeight="1" x14ac:dyDescent="0.35">
      <c r="A67" s="190" t="s">
        <v>43</v>
      </c>
      <c r="B67" s="190"/>
      <c r="C67" s="190"/>
      <c r="D67" s="192" t="s">
        <v>310</v>
      </c>
      <c r="E67" s="193"/>
      <c r="F67" s="193"/>
      <c r="G67" s="193"/>
      <c r="H67" s="193"/>
      <c r="J67" s="75"/>
      <c r="K67" s="76"/>
      <c r="N67" s="76"/>
      <c r="S67" s="77"/>
    </row>
    <row r="68" spans="1:19" ht="15.75" customHeight="1" x14ac:dyDescent="0.35">
      <c r="A68" s="191" t="s">
        <v>83</v>
      </c>
      <c r="B68" s="191"/>
      <c r="C68" s="191"/>
      <c r="D68" s="197" t="str">
        <f>(IF(G60="NA","60 Years After Completion",IF(G60&lt;&gt;"NA",""&amp;60-ROUNDDOWN((E3-G60)/360,0)&amp;" Years"," ")))</f>
        <v>60 Years After Completion</v>
      </c>
      <c r="E68" s="197"/>
      <c r="F68" s="197"/>
      <c r="G68" s="197"/>
      <c r="H68" s="197"/>
      <c r="N68" s="24"/>
      <c r="S68"/>
    </row>
    <row r="69" spans="1:19" ht="15.75" customHeight="1" x14ac:dyDescent="0.35">
      <c r="A69" s="132" t="s">
        <v>84</v>
      </c>
      <c r="B69" s="132"/>
      <c r="C69" s="132"/>
      <c r="D69" s="207" t="s">
        <v>23</v>
      </c>
      <c r="E69" s="207"/>
      <c r="F69" s="207"/>
      <c r="G69" s="207"/>
      <c r="H69" s="207"/>
      <c r="J69" s="25"/>
      <c r="K69" s="25"/>
      <c r="S69"/>
    </row>
    <row r="70" spans="1:19" ht="80.25" customHeight="1" x14ac:dyDescent="0.35">
      <c r="A70" s="179" t="s">
        <v>357</v>
      </c>
      <c r="B70" s="179"/>
      <c r="C70" s="179"/>
      <c r="D70" s="209" t="s">
        <v>341</v>
      </c>
      <c r="E70" s="212"/>
      <c r="F70" s="212"/>
      <c r="G70" s="212"/>
      <c r="H70" s="212"/>
      <c r="S70"/>
    </row>
    <row r="71" spans="1:19" x14ac:dyDescent="0.35">
      <c r="A71" s="207" t="s">
        <v>147</v>
      </c>
      <c r="B71" s="207"/>
      <c r="C71" s="207"/>
      <c r="D71" s="207" t="s">
        <v>28</v>
      </c>
      <c r="E71" s="207"/>
      <c r="F71" s="207"/>
      <c r="G71" s="207"/>
      <c r="H71" s="207"/>
      <c r="I71" s="26"/>
      <c r="J71" s="26"/>
      <c r="K71" s="26"/>
      <c r="L71" s="26"/>
      <c r="M71" s="26"/>
      <c r="N71" s="26"/>
    </row>
    <row r="72" spans="1:19" ht="15.75" customHeight="1" x14ac:dyDescent="0.35">
      <c r="A72" s="132" t="s">
        <v>82</v>
      </c>
      <c r="B72" s="132"/>
      <c r="C72" s="132"/>
      <c r="D72" s="167" t="str">
        <f ca="1">(IF(G78&gt;95%,"Nothing",IF(G78&gt;0%,"Cement, Aggregate, Steel, etc",IF(G78=0%,"Work not yet Started"))))</f>
        <v>Cement, Aggregate, Steel, etc</v>
      </c>
      <c r="E72" s="167"/>
      <c r="F72" s="167"/>
      <c r="G72" s="167"/>
      <c r="H72" s="167"/>
      <c r="J72" s="25"/>
      <c r="S72"/>
    </row>
    <row r="73" spans="1:19" ht="33.75" customHeight="1" thickBot="1" x14ac:dyDescent="0.4">
      <c r="A73" s="207" t="s">
        <v>115</v>
      </c>
      <c r="B73" s="207"/>
      <c r="C73" s="207"/>
      <c r="D73" s="167" t="str">
        <f ca="1">(IF(D72="Nothing","Yes",IF(D72="Cement, Aggregate, Steel, etc","Under Construction",IF(D72="Work not yet Started","Work not yet Started"))))</f>
        <v>Under Construction</v>
      </c>
      <c r="E73" s="167"/>
      <c r="F73" s="167" t="str">
        <f ca="1">(IF(D72="Nothing","Yes",IF(D72="Cement, Aggregate, Steel, etc","Under Construction",IF(D72="Work not yet Started","Work not yet Started"))))</f>
        <v>Under Construction</v>
      </c>
      <c r="G73" s="167"/>
      <c r="H73" s="167"/>
      <c r="S73"/>
    </row>
    <row r="74" spans="1:19" ht="15.75" customHeight="1" x14ac:dyDescent="0.35">
      <c r="A74" s="265" t="s">
        <v>137</v>
      </c>
      <c r="B74" s="265"/>
      <c r="C74" s="265" t="str">
        <f>D65</f>
        <v>Tower A = 2B + G + 1st P to 8th P + 1st to 40th Floor</v>
      </c>
      <c r="D74" s="265"/>
      <c r="E74" s="265"/>
      <c r="F74" s="265"/>
      <c r="G74" s="265"/>
      <c r="H74" s="265"/>
      <c r="I74" s="263" t="str">
        <f ca="1">IF(D87=100%,"All work Completed. Possession granted to the Building.",IF(D86=100%,"All work Completed, Waiting for OC",I75&amp;""&amp;I76&amp;""&amp;J75&amp;""&amp;J74&amp;" "&amp;J76))</f>
        <v>Excavation, Plinth Completed, RCC upto 8 Slab Completed</v>
      </c>
      <c r="J74" s="49"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8 Slab</v>
      </c>
      <c r="S74"/>
    </row>
    <row r="75" spans="1:19" x14ac:dyDescent="0.35">
      <c r="A75" s="52" t="s">
        <v>139</v>
      </c>
      <c r="B75" s="52">
        <f>IF(AND(ISNUMBER(SEARCH("1B",C74))),1,IF(AND(ISNUMBER(SEARCH("2B",C74))),2,IF(AND(ISNUMBER(SEARCH("3B",C74))),3,IF(AND(ISNUMBER(SEARCH("4B",C74))),4,IF(ISNUMBER(SEARCH("5B",C74)),5,0)))))</f>
        <v>2</v>
      </c>
      <c r="C75" s="52" t="s">
        <v>68</v>
      </c>
      <c r="D75" s="52">
        <v>1</v>
      </c>
      <c r="E75" s="52" t="s">
        <v>67</v>
      </c>
      <c r="F75" s="52">
        <v>8</v>
      </c>
      <c r="G75" s="47" t="s">
        <v>76</v>
      </c>
      <c r="H75" s="52">
        <f ca="1">--TRIM(RIGHT(SUBSTITUTE(LEFT(C74,_xlfn.AGGREGATE(16,6,FIND({0,1,2,3,4,5,6,7,8,9},C74,ROW(INDIRECT("1:"&amp;LEN(C74)))),1))," ",REPT(" ",LEN(C74))),LEN(C74)))</f>
        <v>40</v>
      </c>
      <c r="I75" s="264" t="str">
        <f ca="1">IF(D78=100%,"Excavation","")&amp;IF(D79=100%,", Plinth","")&amp;IF(D80=100%,", RCC Slab","")&amp;IF(D81=100%,", Brickwork","")&amp;IF(D82=100%,", Internal Plaster","")&amp;IF(D83=100%,", External Plaster","")&amp;IF(D84=100%,", Flooring","")&amp;IF(D85=100%,", Painting","")&amp;IF(D86=100%,", Building common Amenities","")</f>
        <v>Excavation, Plinth</v>
      </c>
      <c r="J75" s="51"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x14ac:dyDescent="0.35">
      <c r="A76" s="162" t="s">
        <v>86</v>
      </c>
      <c r="B76" s="163"/>
      <c r="C76" s="137" t="str">
        <f ca="1">I74</f>
        <v>Excavation, Plinth Completed, RCC upto 8 Slab Completed</v>
      </c>
      <c r="D76" s="137"/>
      <c r="E76" s="137"/>
      <c r="F76" s="137"/>
      <c r="G76" s="137"/>
      <c r="H76" s="138"/>
      <c r="I76" s="50" t="str">
        <f ca="1">IF(I75&lt;&gt;""," Completed","")</f>
        <v xml:space="preserve"> Completed</v>
      </c>
      <c r="J76" s="51" t="str">
        <f ca="1">IF(J74&lt;&gt;"","Completed","")</f>
        <v>Completed</v>
      </c>
      <c r="S76"/>
    </row>
    <row r="77" spans="1:19" ht="15.75" customHeight="1" x14ac:dyDescent="0.35">
      <c r="A77" s="135" t="s">
        <v>47</v>
      </c>
      <c r="B77" s="136"/>
      <c r="C77" s="42" t="s">
        <v>136</v>
      </c>
      <c r="D77" s="42" t="s">
        <v>79</v>
      </c>
      <c r="E77" s="136" t="s">
        <v>81</v>
      </c>
      <c r="F77" s="136"/>
      <c r="G77" s="136" t="s">
        <v>80</v>
      </c>
      <c r="H77" s="161"/>
      <c r="I77" s="13" t="s">
        <v>138</v>
      </c>
      <c r="J77" s="27">
        <f ca="1">H75*25%</f>
        <v>10</v>
      </c>
      <c r="S77"/>
    </row>
    <row r="78" spans="1:19" x14ac:dyDescent="0.35">
      <c r="A78" s="135" t="s">
        <v>125</v>
      </c>
      <c r="B78" s="136"/>
      <c r="C78" s="89">
        <f ca="1">J87</f>
        <v>40</v>
      </c>
      <c r="D78" s="19">
        <f ca="1">((100/H75)*C78)/100</f>
        <v>1</v>
      </c>
      <c r="E78" s="154">
        <f ca="1">(((C79/H75*10)+(40/(D75+F75+H75)*C80)+(7.5/(H75)*C81)+(7.5/(H75)*C82)+(10/H75*C83)+(10/H75*C84)+(5/H75*C85)+(5/H75*C86)+(5/H75*C87))/100)</f>
        <v>0.1653061224489796</v>
      </c>
      <c r="F78" s="194"/>
      <c r="G78" s="154">
        <f ca="1">((((C78/H75)*20)+((C79/H75)*25)+(30/(H75+F75+D75)*C80)+(5/H75*C81)+(5/H75*C82)+(5/H75*C83)+(5/H75*C84)+(0/H75*C85)+(0/H75*C86)+(5/H75*C87))/100)</f>
        <v>0.49897959183673474</v>
      </c>
      <c r="H78" s="155"/>
      <c r="I78" s="13" t="s">
        <v>97</v>
      </c>
      <c r="J78" s="28">
        <f ca="1">H75*50%</f>
        <v>20</v>
      </c>
    </row>
    <row r="79" spans="1:19" x14ac:dyDescent="0.35">
      <c r="A79" s="135" t="s">
        <v>48</v>
      </c>
      <c r="B79" s="136"/>
      <c r="C79" s="94">
        <v>40</v>
      </c>
      <c r="D79" s="19">
        <f ca="1">((100/H75)*C79)/100</f>
        <v>1</v>
      </c>
      <c r="E79" s="156"/>
      <c r="F79" s="195"/>
      <c r="G79" s="156"/>
      <c r="H79" s="157"/>
      <c r="I79" s="13" t="s">
        <v>98</v>
      </c>
      <c r="J79" s="28">
        <f ca="1">H75</f>
        <v>40</v>
      </c>
      <c r="S79"/>
    </row>
    <row r="80" spans="1:19" ht="15.75" customHeight="1" x14ac:dyDescent="0.35">
      <c r="A80" s="135" t="s">
        <v>126</v>
      </c>
      <c r="B80" s="136"/>
      <c r="C80" s="42">
        <v>8</v>
      </c>
      <c r="D80" s="19">
        <f ca="1">((100/(D75+F75+H75))*C80)/100</f>
        <v>0.16326530612244899</v>
      </c>
      <c r="E80" s="156"/>
      <c r="F80" s="195"/>
      <c r="G80" s="156"/>
      <c r="H80" s="157"/>
      <c r="I80" s="13" t="s">
        <v>99</v>
      </c>
      <c r="J80" s="29">
        <f ca="1">(IF(B75&gt;1,(H75/(B75+2)),H75/4))</f>
        <v>10</v>
      </c>
      <c r="S80"/>
    </row>
    <row r="81" spans="1:12" ht="15.75" customHeight="1" x14ac:dyDescent="0.35">
      <c r="A81" s="135" t="s">
        <v>133</v>
      </c>
      <c r="B81" s="136" t="s">
        <v>127</v>
      </c>
      <c r="C81" s="42">
        <v>0</v>
      </c>
      <c r="D81" s="19">
        <f ca="1">((100/H75)*C81)/100</f>
        <v>0</v>
      </c>
      <c r="E81" s="156"/>
      <c r="F81" s="195"/>
      <c r="G81" s="156"/>
      <c r="H81" s="157"/>
      <c r="I81" s="13" t="s">
        <v>100</v>
      </c>
      <c r="J81" s="29">
        <f ca="1">(IF(B75&gt;1,(H75/(B75+2)+J80),H75/4+J80))</f>
        <v>20</v>
      </c>
    </row>
    <row r="82" spans="1:12" ht="15.75" customHeight="1" x14ac:dyDescent="0.35">
      <c r="A82" s="135" t="s">
        <v>134</v>
      </c>
      <c r="B82" s="136" t="s">
        <v>127</v>
      </c>
      <c r="C82" s="42">
        <v>0</v>
      </c>
      <c r="D82" s="19">
        <f ca="1">((100/H75)*C82)/100</f>
        <v>0</v>
      </c>
      <c r="E82" s="156"/>
      <c r="F82" s="195"/>
      <c r="G82" s="156"/>
      <c r="H82" s="157"/>
      <c r="I82" s="13" t="s">
        <v>145</v>
      </c>
      <c r="J82" s="29">
        <f ca="1">(IF(B75&gt;1,(H75/(B75+2)+J81),0))</f>
        <v>30</v>
      </c>
    </row>
    <row r="83" spans="1:12" ht="15" customHeight="1" x14ac:dyDescent="0.35">
      <c r="A83" s="135" t="s">
        <v>132</v>
      </c>
      <c r="B83" s="136" t="s">
        <v>129</v>
      </c>
      <c r="C83" s="63">
        <v>0</v>
      </c>
      <c r="D83" s="19">
        <f ca="1">((100/(H75))*C83)/100</f>
        <v>0</v>
      </c>
      <c r="E83" s="156"/>
      <c r="F83" s="195"/>
      <c r="G83" s="156"/>
      <c r="H83" s="157"/>
      <c r="I83" s="13" t="s">
        <v>140</v>
      </c>
      <c r="J83" s="29">
        <f>(IF(B75&gt;2,(H75/(B75+2)+J82),0))</f>
        <v>0</v>
      </c>
    </row>
    <row r="84" spans="1:12" ht="15.75" customHeight="1" x14ac:dyDescent="0.35">
      <c r="A84" s="135" t="s">
        <v>128</v>
      </c>
      <c r="B84" s="136" t="s">
        <v>128</v>
      </c>
      <c r="C84" s="42">
        <v>0</v>
      </c>
      <c r="D84" s="19">
        <f ca="1">((100/H75)*C84)/100</f>
        <v>0</v>
      </c>
      <c r="E84" s="156"/>
      <c r="F84" s="195"/>
      <c r="G84" s="156"/>
      <c r="H84" s="157"/>
      <c r="I84" s="13" t="s">
        <v>141</v>
      </c>
      <c r="J84" s="30">
        <f>(IF(B75&gt;3,(H75/(B75+2)+J83),0))</f>
        <v>0</v>
      </c>
    </row>
    <row r="85" spans="1:12" ht="15.75" customHeight="1" x14ac:dyDescent="0.35">
      <c r="A85" s="135" t="s">
        <v>135</v>
      </c>
      <c r="B85" s="136"/>
      <c r="C85" s="42">
        <v>0</v>
      </c>
      <c r="D85" s="19">
        <f ca="1">((100/H75)*C85)/100</f>
        <v>0</v>
      </c>
      <c r="E85" s="156"/>
      <c r="F85" s="195"/>
      <c r="G85" s="156"/>
      <c r="H85" s="157"/>
      <c r="I85" s="13" t="s">
        <v>142</v>
      </c>
      <c r="J85" s="29">
        <f>(IF(B75&gt;4,(H75/(B75+2)+J84),0))</f>
        <v>0</v>
      </c>
    </row>
    <row r="86" spans="1:12" ht="15.75" customHeight="1" x14ac:dyDescent="0.35">
      <c r="A86" s="135" t="s">
        <v>130</v>
      </c>
      <c r="B86" s="136" t="s">
        <v>130</v>
      </c>
      <c r="C86" s="42">
        <v>0</v>
      </c>
      <c r="D86" s="19">
        <f ca="1">((100/(H75))*C86)/100</f>
        <v>0</v>
      </c>
      <c r="E86" s="156"/>
      <c r="F86" s="195"/>
      <c r="G86" s="156"/>
      <c r="H86" s="157"/>
      <c r="I86" s="13" t="s">
        <v>146</v>
      </c>
      <c r="J86" s="29">
        <f>(IF(B75=1,(H75/(B75+3)+J81),IF(B75=0,(H75/4+J81),IF(B75&gt;1,0))))</f>
        <v>0</v>
      </c>
    </row>
    <row r="87" spans="1:12" ht="16" thickBot="1" x14ac:dyDescent="0.4">
      <c r="A87" s="133" t="s">
        <v>131</v>
      </c>
      <c r="B87" s="134"/>
      <c r="C87" s="43">
        <v>0</v>
      </c>
      <c r="D87" s="20">
        <f ca="1">((100/(H75))*C87)/100</f>
        <v>0</v>
      </c>
      <c r="E87" s="158"/>
      <c r="F87" s="196"/>
      <c r="G87" s="158"/>
      <c r="H87" s="159"/>
      <c r="I87" s="15" t="s">
        <v>101</v>
      </c>
      <c r="J87" s="31">
        <f ca="1">(IF(B75&gt;1.5,(H75/(B75+2)+J81+MAX(0,J82-J81)+MAX(0,J83-J82)+MAX(0,J84-J83)+MAX(0,J85-J84)+MAX(0,J86-J85)),IF(B75=1,(H75/(B75+3)+J86),IF(B75=0,H75/4+J86))))</f>
        <v>40</v>
      </c>
    </row>
    <row r="88" spans="1:12" ht="15.75" customHeight="1" x14ac:dyDescent="0.35">
      <c r="A88" s="174" t="s">
        <v>137</v>
      </c>
      <c r="B88" s="175"/>
      <c r="C88" s="176" t="str">
        <f>D66</f>
        <v>Tower B = 2B + G + 1st P to 8th P + 1st to 40th Floor</v>
      </c>
      <c r="D88" s="177"/>
      <c r="E88" s="177"/>
      <c r="F88" s="177"/>
      <c r="G88" s="177"/>
      <c r="H88" s="178"/>
      <c r="I88" s="48" t="str">
        <f ca="1">IF(D101=100%,"All work Completed. Possession granted to the Building.",IF(D100=100%,"All work Completed, Waiting for OC",I89&amp;""&amp;I90&amp;""&amp;J89&amp;""&amp;J88&amp;" "&amp;J90))</f>
        <v>Excavation, Plinth Completed, RCC upto 4 Slab Completed</v>
      </c>
      <c r="J88" s="49"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4 Slab</v>
      </c>
    </row>
    <row r="89" spans="1:12" x14ac:dyDescent="0.35">
      <c r="A89" s="16" t="s">
        <v>139</v>
      </c>
      <c r="B89" s="52">
        <f>IF(AND(ISNUMBER(SEARCH("1B",C88))),1,IF(AND(ISNUMBER(SEARCH("2B",C88))),2,IF(AND(ISNUMBER(SEARCH("3B",C88))),3,IF(AND(ISNUMBER(SEARCH("4B",C88))),4,IF(ISNUMBER(SEARCH("5B",C88)),5,0)))))</f>
        <v>2</v>
      </c>
      <c r="C89" s="46" t="s">
        <v>68</v>
      </c>
      <c r="D89" s="46">
        <v>1</v>
      </c>
      <c r="E89" s="46" t="s">
        <v>67</v>
      </c>
      <c r="F89" s="52">
        <v>8</v>
      </c>
      <c r="G89" s="47" t="s">
        <v>76</v>
      </c>
      <c r="H89" s="17">
        <f ca="1">--TRIM(RIGHT(SUBSTITUTE(LEFT(C88,_xlfn.AGGREGATE(16,6,FIND({0,1,2,3,4,5,6,7,8,9},C88,ROW(INDIRECT("1:"&amp;LEN(C88)))),1))," ",REPT(" ",LEN(C88))),LEN(C88)))</f>
        <v>40</v>
      </c>
      <c r="I89" s="50" t="str">
        <f ca="1">IF(D92=100%,"Excavation","")&amp;IF(D93=100%,", Plinth","")&amp;IF(D94=100%,", RCC Slab","")&amp;IF(D95=100%,", Brickwork","")&amp;IF(D96=100%,", Internal Plaster","")&amp;IF(D97=100%,", External Plaster","")&amp;IF(D98=100%,", Flooring","")&amp;IF(D99=100%,", Painting","")&amp;IF(D100=100%,", Building common Amenities","")</f>
        <v>Excavation, Plinth</v>
      </c>
      <c r="J89" s="51"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2" x14ac:dyDescent="0.35">
      <c r="A90" s="162" t="s">
        <v>86</v>
      </c>
      <c r="B90" s="163"/>
      <c r="C90" s="137" t="str">
        <f ca="1">(IF($G$60="NA",I88,"All work Completed. OC Received."))</f>
        <v>Excavation, Plinth Completed, RCC upto 4 Slab Completed</v>
      </c>
      <c r="D90" s="137"/>
      <c r="E90" s="137"/>
      <c r="F90" s="137"/>
      <c r="G90" s="137"/>
      <c r="H90" s="138"/>
      <c r="I90" s="50" t="str">
        <f ca="1">IF(I89&lt;&gt;""," Completed","")</f>
        <v xml:space="preserve"> Completed</v>
      </c>
      <c r="J90" s="51" t="str">
        <f ca="1">IF(J88&lt;&gt;"","Completed","")</f>
        <v>Completed</v>
      </c>
    </row>
    <row r="91" spans="1:12" ht="15.75" customHeight="1" x14ac:dyDescent="0.35">
      <c r="A91" s="135" t="s">
        <v>47</v>
      </c>
      <c r="B91" s="136"/>
      <c r="C91" s="42" t="s">
        <v>136</v>
      </c>
      <c r="D91" s="42" t="s">
        <v>79</v>
      </c>
      <c r="E91" s="136" t="s">
        <v>81</v>
      </c>
      <c r="F91" s="136"/>
      <c r="G91" s="136" t="s">
        <v>80</v>
      </c>
      <c r="H91" s="161"/>
      <c r="I91" s="13" t="s">
        <v>138</v>
      </c>
      <c r="J91" s="27">
        <f ca="1">H89*25%</f>
        <v>10</v>
      </c>
    </row>
    <row r="92" spans="1:12" x14ac:dyDescent="0.35">
      <c r="A92" s="135" t="s">
        <v>125</v>
      </c>
      <c r="B92" s="136"/>
      <c r="C92" s="88">
        <f ca="1">J93</f>
        <v>40</v>
      </c>
      <c r="D92" s="19">
        <f ca="1">((100/H89)*C92)/100</f>
        <v>1</v>
      </c>
      <c r="E92" s="154">
        <f ca="1">(((C93/H89*10)+(40/(D89+F89+H89)*C94)+(7.5/(H89)*C95)+(7.5/(H89)*C96)+(10/H89*C97)+(10/H89*C98)+(5/H89*C99)+(5/H89*C100)+(5/H89*C101))/100)</f>
        <v>0.1326530612244898</v>
      </c>
      <c r="F92" s="194"/>
      <c r="G92" s="154">
        <f ca="1">((((C92/H89)*20)+((C93/H89)*25)+(30/(H89+F89+D89)*C94)+(5/H89*C95)+(5/H89*C96)+(5/H89*C97)+(5/H89*C98)+(0/H89*C99)+(0/H89*C100)+(5/H89*C101))/100)</f>
        <v>0.47448979591836732</v>
      </c>
      <c r="H92" s="155"/>
      <c r="I92" s="13" t="s">
        <v>97</v>
      </c>
      <c r="J92" s="28">
        <f ca="1">H89*50%</f>
        <v>20</v>
      </c>
    </row>
    <row r="93" spans="1:12" x14ac:dyDescent="0.35">
      <c r="A93" s="135" t="s">
        <v>48</v>
      </c>
      <c r="B93" s="136"/>
      <c r="C93" s="89">
        <v>40</v>
      </c>
      <c r="D93" s="19">
        <f ca="1">((100/H89)*C93)/100</f>
        <v>1</v>
      </c>
      <c r="E93" s="156"/>
      <c r="F93" s="195"/>
      <c r="G93" s="156"/>
      <c r="H93" s="157"/>
      <c r="I93" s="13" t="s">
        <v>98</v>
      </c>
      <c r="J93" s="28">
        <f ca="1">H89</f>
        <v>40</v>
      </c>
    </row>
    <row r="94" spans="1:12" ht="15.75" customHeight="1" x14ac:dyDescent="0.35">
      <c r="A94" s="135" t="s">
        <v>126</v>
      </c>
      <c r="B94" s="136"/>
      <c r="C94" s="42">
        <v>4</v>
      </c>
      <c r="D94" s="19">
        <f ca="1">((100/(D89+F89+H89))*C94)/100</f>
        <v>8.1632653061224497E-2</v>
      </c>
      <c r="E94" s="156"/>
      <c r="F94" s="195"/>
      <c r="G94" s="156"/>
      <c r="H94" s="157"/>
      <c r="I94" s="13" t="s">
        <v>99</v>
      </c>
      <c r="J94" s="29">
        <f ca="1">(IF(B89&gt;1,(H89/(B89+2)),H89/4))</f>
        <v>10</v>
      </c>
      <c r="L94" s="22" t="s">
        <v>375</v>
      </c>
    </row>
    <row r="95" spans="1:12" ht="15.75" customHeight="1" x14ac:dyDescent="0.35">
      <c r="A95" s="135" t="s">
        <v>133</v>
      </c>
      <c r="B95" s="136" t="s">
        <v>127</v>
      </c>
      <c r="C95" s="62">
        <v>0</v>
      </c>
      <c r="D95" s="19">
        <f ca="1">((100/H89)*C95)/100</f>
        <v>0</v>
      </c>
      <c r="E95" s="156"/>
      <c r="F95" s="195"/>
      <c r="G95" s="156"/>
      <c r="H95" s="157"/>
      <c r="I95" s="13" t="s">
        <v>100</v>
      </c>
      <c r="J95" s="29">
        <f ca="1">(IF(B89&gt;1,(H89/(B89+2)+J94),H89/4+J94))</f>
        <v>20</v>
      </c>
    </row>
    <row r="96" spans="1:12" ht="15.75" customHeight="1" x14ac:dyDescent="0.35">
      <c r="A96" s="135" t="s">
        <v>134</v>
      </c>
      <c r="B96" s="136" t="s">
        <v>127</v>
      </c>
      <c r="C96" s="62">
        <v>0</v>
      </c>
      <c r="D96" s="19">
        <f ca="1">((100/H89)*C96)/100</f>
        <v>0</v>
      </c>
      <c r="E96" s="156"/>
      <c r="F96" s="195"/>
      <c r="G96" s="156"/>
      <c r="H96" s="157"/>
      <c r="I96" s="13" t="s">
        <v>145</v>
      </c>
      <c r="J96" s="29">
        <f ca="1">(IF(B89&gt;1,(H89/(B89+2)+J95),0))</f>
        <v>30</v>
      </c>
    </row>
    <row r="97" spans="1:10" ht="15" customHeight="1" x14ac:dyDescent="0.35">
      <c r="A97" s="135" t="s">
        <v>132</v>
      </c>
      <c r="B97" s="136" t="s">
        <v>129</v>
      </c>
      <c r="C97" s="62">
        <v>0</v>
      </c>
      <c r="D97" s="19">
        <f ca="1">((100/(H89))*C97)/100</f>
        <v>0</v>
      </c>
      <c r="E97" s="156"/>
      <c r="F97" s="195"/>
      <c r="G97" s="156"/>
      <c r="H97" s="157"/>
      <c r="I97" s="13" t="s">
        <v>140</v>
      </c>
      <c r="J97" s="29">
        <f>(IF(B89&gt;2,(H89/(B89+2)+J96),0))</f>
        <v>0</v>
      </c>
    </row>
    <row r="98" spans="1:10" ht="15.75" customHeight="1" x14ac:dyDescent="0.35">
      <c r="A98" s="135" t="s">
        <v>128</v>
      </c>
      <c r="B98" s="136" t="s">
        <v>128</v>
      </c>
      <c r="C98" s="62">
        <v>0</v>
      </c>
      <c r="D98" s="19">
        <f ca="1">((100/H89)*C98)/100</f>
        <v>0</v>
      </c>
      <c r="E98" s="156"/>
      <c r="F98" s="195"/>
      <c r="G98" s="156"/>
      <c r="H98" s="157"/>
      <c r="I98" s="13" t="s">
        <v>141</v>
      </c>
      <c r="J98" s="30">
        <f>(IF(B89&gt;3,(H89/(B89+2)+J97),0))</f>
        <v>0</v>
      </c>
    </row>
    <row r="99" spans="1:10" ht="15.75" customHeight="1" x14ac:dyDescent="0.35">
      <c r="A99" s="135" t="s">
        <v>135</v>
      </c>
      <c r="B99" s="136"/>
      <c r="C99" s="42">
        <v>0</v>
      </c>
      <c r="D99" s="19">
        <f ca="1">((100/H89)*C99)/100</f>
        <v>0</v>
      </c>
      <c r="E99" s="156"/>
      <c r="F99" s="195"/>
      <c r="G99" s="156"/>
      <c r="H99" s="157"/>
      <c r="I99" s="13" t="s">
        <v>142</v>
      </c>
      <c r="J99" s="29">
        <f>(IF(B89&gt;4,(H89/(B89+2)+J98),0))</f>
        <v>0</v>
      </c>
    </row>
    <row r="100" spans="1:10" ht="15.75" customHeight="1" x14ac:dyDescent="0.35">
      <c r="A100" s="135" t="s">
        <v>130</v>
      </c>
      <c r="B100" s="136" t="s">
        <v>130</v>
      </c>
      <c r="C100" s="42">
        <v>0</v>
      </c>
      <c r="D100" s="19">
        <f ca="1">((100/(H89))*C100)/100</f>
        <v>0</v>
      </c>
      <c r="E100" s="156"/>
      <c r="F100" s="195"/>
      <c r="G100" s="156"/>
      <c r="H100" s="157"/>
      <c r="I100" s="13" t="s">
        <v>146</v>
      </c>
      <c r="J100" s="29">
        <f>(IF(B89=1,(H89/(B89+3)+J95),IF(B89=0,(H89/4+J95),IF(B89&gt;1,0))))</f>
        <v>0</v>
      </c>
    </row>
    <row r="101" spans="1:10" ht="16" thickBot="1" x14ac:dyDescent="0.4">
      <c r="A101" s="133" t="s">
        <v>131</v>
      </c>
      <c r="B101" s="134"/>
      <c r="C101" s="43">
        <v>0</v>
      </c>
      <c r="D101" s="20">
        <f ca="1">((100/(H89))*C101)/100</f>
        <v>0</v>
      </c>
      <c r="E101" s="158"/>
      <c r="F101" s="196"/>
      <c r="G101" s="158"/>
      <c r="H101" s="159"/>
      <c r="I101" s="15" t="s">
        <v>101</v>
      </c>
      <c r="J101" s="31">
        <f ca="1">(IF(B89&gt;1.5,(H89/(B89+2)+J95+MAX(0,J96-J95)+MAX(0,J97-J96)+MAX(0,J98-J97)+MAX(0,J99-J98)+MAX(0,J100-J99)),IF(B89=1,(H89/(B89+3)+J100),IF(B89=0,H89/4+J100))))</f>
        <v>40</v>
      </c>
    </row>
    <row r="102" spans="1:10" ht="15.75" hidden="1" customHeight="1" x14ac:dyDescent="0.35">
      <c r="A102" s="174" t="s">
        <v>137</v>
      </c>
      <c r="B102" s="175"/>
      <c r="C102" s="176" t="e">
        <f>#REF!</f>
        <v>#REF!</v>
      </c>
      <c r="D102" s="177"/>
      <c r="E102" s="177"/>
      <c r="F102" s="177"/>
      <c r="G102" s="177"/>
      <c r="H102" s="178"/>
      <c r="I102" s="48" t="e">
        <f ca="1">IF(D115=100%,"All work Completed. Possession granted to the Building.",IF(D114=100%,"All work Completed, Waiting for OC",I103&amp;""&amp;I104&amp;""&amp;J103&amp;""&amp;J102&amp;" "&amp;J104))</f>
        <v>#REF!</v>
      </c>
      <c r="J102" s="49"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row>
    <row r="103" spans="1:10" hidden="1" x14ac:dyDescent="0.35">
      <c r="A103" s="16" t="s">
        <v>139</v>
      </c>
      <c r="B103" s="52">
        <f>IF(AND(ISNUMBER(SEARCH("1B",C102))),1,IF(AND(ISNUMBER(SEARCH("2B",C102))),2,IF(AND(ISNUMBER(SEARCH("3B",C102))),3,IF(AND(ISNUMBER(SEARCH("4B",C102))),4,IF(ISNUMBER(SEARCH("5B",C102)),5,0)))))</f>
        <v>0</v>
      </c>
      <c r="C103" s="46" t="s">
        <v>68</v>
      </c>
      <c r="D103" s="46">
        <v>1</v>
      </c>
      <c r="E103" s="46" t="s">
        <v>67</v>
      </c>
      <c r="F103" s="14">
        <v>0</v>
      </c>
      <c r="G103" s="47" t="s">
        <v>76</v>
      </c>
      <c r="H103" s="17" t="e">
        <f ca="1">--TRIM(RIGHT(SUBSTITUTE(LEFT(C102,_xlfn.AGGREGATE(16,6,FIND({0,1,2,3,4,5,6,7,8,9},C102,ROW(INDIRECT("1:"&amp;LEN(C102)))),1))," ",REPT(" ",LEN(C102))),LEN(C102)))</f>
        <v>#REF!</v>
      </c>
      <c r="I103" s="50" t="e">
        <f ca="1">IF(D106=100%,"Excavation","")&amp;IF(D107=100%,", Plinth","")&amp;IF(D108=100%,", RCC Slab","")&amp;IF(D109=100%,", Brickwork","")&amp;IF(D110=100%,", Internal Plaster","")&amp;IF(D111=100%,", External Plaster","")&amp;IF(D112=100%,", Flooring","")&amp;IF(D113=100%,", Painting","")&amp;IF(D114=100%,", Building common Amenities","")</f>
        <v>#REF!</v>
      </c>
      <c r="J103" s="51"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row>
    <row r="104" spans="1:10" hidden="1" x14ac:dyDescent="0.35">
      <c r="A104" s="162" t="s">
        <v>86</v>
      </c>
      <c r="B104" s="163"/>
      <c r="C104" s="137" t="e">
        <f ca="1">(IF($G$60="NA",I102,"All work Completed. OC Received."))</f>
        <v>#REF!</v>
      </c>
      <c r="D104" s="137"/>
      <c r="E104" s="137"/>
      <c r="F104" s="137"/>
      <c r="G104" s="137"/>
      <c r="H104" s="138"/>
      <c r="I104" s="50" t="e">
        <f ca="1">IF(I103&lt;&gt;""," Completed","")</f>
        <v>#REF!</v>
      </c>
      <c r="J104" s="51" t="e">
        <f ca="1">IF(J102&lt;&gt;"","Completed","")</f>
        <v>#REF!</v>
      </c>
    </row>
    <row r="105" spans="1:10" ht="15.75" hidden="1" customHeight="1" x14ac:dyDescent="0.35">
      <c r="A105" s="135" t="s">
        <v>47</v>
      </c>
      <c r="B105" s="136"/>
      <c r="C105" s="42" t="s">
        <v>136</v>
      </c>
      <c r="D105" s="42" t="s">
        <v>79</v>
      </c>
      <c r="E105" s="136" t="s">
        <v>81</v>
      </c>
      <c r="F105" s="136"/>
      <c r="G105" s="136" t="s">
        <v>80</v>
      </c>
      <c r="H105" s="161"/>
      <c r="I105" s="13" t="s">
        <v>138</v>
      </c>
      <c r="J105" s="27" t="e">
        <f ca="1">H103*25%</f>
        <v>#REF!</v>
      </c>
    </row>
    <row r="106" spans="1:10" hidden="1" x14ac:dyDescent="0.35">
      <c r="A106" s="135" t="s">
        <v>125</v>
      </c>
      <c r="B106" s="136"/>
      <c r="C106" s="42" t="e">
        <f ca="1">J107</f>
        <v>#REF!</v>
      </c>
      <c r="D106" s="19" t="e">
        <f ca="1">((100/H103)*C106)/100</f>
        <v>#REF!</v>
      </c>
      <c r="E106" s="154" t="e">
        <f ca="1">(((C107/H103*10)+(40/(D103+F103+H103)*C108)+(7.5/(H103)*C109)+(7.5/(H103)*C110)+(10/H103*C111)+(10/H103*C112)+(5/H103*C113)+(5/H103*C114)+(5/H103*C115))/100)</f>
        <v>#REF!</v>
      </c>
      <c r="F106" s="194"/>
      <c r="G106" s="154" t="e">
        <f ca="1">((((C106/H103)*20)+((C107/H103)*25)+(30/(H103+F103+D103)*C108)+(5/H103*C109)+(5/H103*C110)+(5/H103*C111)+(5/H103*C112)+(0/H103*C113)+(0/H103*C114)+(5/H103*C115))/100)</f>
        <v>#REF!</v>
      </c>
      <c r="H106" s="155"/>
      <c r="I106" s="13" t="s">
        <v>97</v>
      </c>
      <c r="J106" s="28" t="e">
        <f ca="1">H103*50%</f>
        <v>#REF!</v>
      </c>
    </row>
    <row r="107" spans="1:10" hidden="1" x14ac:dyDescent="0.35">
      <c r="A107" s="135" t="s">
        <v>48</v>
      </c>
      <c r="B107" s="136"/>
      <c r="C107" s="42" t="e">
        <f ca="1">J115</f>
        <v>#REF!</v>
      </c>
      <c r="D107" s="19" t="e">
        <f ca="1">((100/H103)*C107)/100</f>
        <v>#REF!</v>
      </c>
      <c r="E107" s="156"/>
      <c r="F107" s="195"/>
      <c r="G107" s="156"/>
      <c r="H107" s="157"/>
      <c r="I107" s="13" t="s">
        <v>98</v>
      </c>
      <c r="J107" s="28" t="e">
        <f ca="1">H103</f>
        <v>#REF!</v>
      </c>
    </row>
    <row r="108" spans="1:10" ht="15.75" hidden="1" customHeight="1" x14ac:dyDescent="0.35">
      <c r="A108" s="135" t="s">
        <v>126</v>
      </c>
      <c r="B108" s="136"/>
      <c r="C108" s="42" t="e">
        <f ca="1">D103+H103</f>
        <v>#REF!</v>
      </c>
      <c r="D108" s="19" t="e">
        <f ca="1">((100/(D103+F103+H103))*C108)/100</f>
        <v>#REF!</v>
      </c>
      <c r="E108" s="156"/>
      <c r="F108" s="195"/>
      <c r="G108" s="156"/>
      <c r="H108" s="157"/>
      <c r="I108" s="13" t="s">
        <v>99</v>
      </c>
      <c r="J108" s="29" t="e">
        <f ca="1">(IF(B103&gt;1,(H103/(B103+2)),H103/4))</f>
        <v>#REF!</v>
      </c>
    </row>
    <row r="109" spans="1:10" ht="15.75" hidden="1" customHeight="1" x14ac:dyDescent="0.35">
      <c r="A109" s="135" t="s">
        <v>133</v>
      </c>
      <c r="B109" s="136" t="s">
        <v>127</v>
      </c>
      <c r="C109" s="42">
        <v>0</v>
      </c>
      <c r="D109" s="19" t="e">
        <f ca="1">((100/H103)*C109)/100</f>
        <v>#REF!</v>
      </c>
      <c r="E109" s="156"/>
      <c r="F109" s="195"/>
      <c r="G109" s="156"/>
      <c r="H109" s="157"/>
      <c r="I109" s="13" t="s">
        <v>100</v>
      </c>
      <c r="J109" s="29" t="e">
        <f ca="1">(IF(B103&gt;1,(H103/(B103+2)+J108),H103/4+J108))</f>
        <v>#REF!</v>
      </c>
    </row>
    <row r="110" spans="1:10" ht="15.75" hidden="1" customHeight="1" x14ac:dyDescent="0.35">
      <c r="A110" s="135" t="s">
        <v>134</v>
      </c>
      <c r="B110" s="136" t="s">
        <v>127</v>
      </c>
      <c r="C110" s="42">
        <v>0</v>
      </c>
      <c r="D110" s="19" t="e">
        <f ca="1">((100/H103)*C110)/100</f>
        <v>#REF!</v>
      </c>
      <c r="E110" s="156"/>
      <c r="F110" s="195"/>
      <c r="G110" s="156"/>
      <c r="H110" s="157"/>
      <c r="I110" s="13" t="s">
        <v>145</v>
      </c>
      <c r="J110" s="29">
        <f>(IF(B103&gt;1,(H103/(B103+2)+J109),0))</f>
        <v>0</v>
      </c>
    </row>
    <row r="111" spans="1:10" ht="15" hidden="1" customHeight="1" x14ac:dyDescent="0.35">
      <c r="A111" s="135" t="s">
        <v>132</v>
      </c>
      <c r="B111" s="136" t="s">
        <v>129</v>
      </c>
      <c r="C111" s="42">
        <v>0</v>
      </c>
      <c r="D111" s="19" t="e">
        <f ca="1">((100/(H103))*C111)/100</f>
        <v>#REF!</v>
      </c>
      <c r="E111" s="156"/>
      <c r="F111" s="195"/>
      <c r="G111" s="156"/>
      <c r="H111" s="157"/>
      <c r="I111" s="13" t="s">
        <v>140</v>
      </c>
      <c r="J111" s="29">
        <f>(IF(B103&gt;2,(H103/(B103+2)+J110),0))</f>
        <v>0</v>
      </c>
    </row>
    <row r="112" spans="1:10" ht="15.75" hidden="1" customHeight="1" x14ac:dyDescent="0.35">
      <c r="A112" s="135" t="s">
        <v>128</v>
      </c>
      <c r="B112" s="136" t="s">
        <v>128</v>
      </c>
      <c r="C112" s="42">
        <v>0</v>
      </c>
      <c r="D112" s="19" t="e">
        <f ca="1">((100/H103)*C112)/100</f>
        <v>#REF!</v>
      </c>
      <c r="E112" s="156"/>
      <c r="F112" s="195"/>
      <c r="G112" s="156"/>
      <c r="H112" s="157"/>
      <c r="I112" s="13" t="s">
        <v>141</v>
      </c>
      <c r="J112" s="30">
        <f>(IF(B103&gt;3,(H103/(B103+2)+J111),0))</f>
        <v>0</v>
      </c>
    </row>
    <row r="113" spans="1:22" ht="15.75" hidden="1" customHeight="1" x14ac:dyDescent="0.35">
      <c r="A113" s="135" t="s">
        <v>135</v>
      </c>
      <c r="B113" s="136"/>
      <c r="C113" s="42">
        <v>0</v>
      </c>
      <c r="D113" s="19" t="e">
        <f ca="1">((100/H103)*C113)/100</f>
        <v>#REF!</v>
      </c>
      <c r="E113" s="156"/>
      <c r="F113" s="195"/>
      <c r="G113" s="156"/>
      <c r="H113" s="157"/>
      <c r="I113" s="13" t="s">
        <v>142</v>
      </c>
      <c r="J113" s="29">
        <f>(IF(B103&gt;4,(H103/(B103+2)+J112),0))</f>
        <v>0</v>
      </c>
    </row>
    <row r="114" spans="1:22" ht="15.75" hidden="1" customHeight="1" x14ac:dyDescent="0.35">
      <c r="A114" s="135" t="s">
        <v>130</v>
      </c>
      <c r="B114" s="136" t="s">
        <v>130</v>
      </c>
      <c r="C114" s="42">
        <v>0</v>
      </c>
      <c r="D114" s="19" t="e">
        <f ca="1">((100/(H103))*C114)/100</f>
        <v>#REF!</v>
      </c>
      <c r="E114" s="156"/>
      <c r="F114" s="195"/>
      <c r="G114" s="156"/>
      <c r="H114" s="157"/>
      <c r="I114" s="13" t="s">
        <v>146</v>
      </c>
      <c r="J114" s="29" t="e">
        <f ca="1">(IF(B103=1,(H103/(B103+3)+J109),IF(B103=0,(H103/4+J109),IF(B103&gt;1,0))))</f>
        <v>#REF!</v>
      </c>
    </row>
    <row r="115" spans="1:22" ht="16" hidden="1" thickBot="1" x14ac:dyDescent="0.4">
      <c r="A115" s="231" t="s">
        <v>131</v>
      </c>
      <c r="B115" s="232"/>
      <c r="C115" s="97">
        <v>0</v>
      </c>
      <c r="D115" s="98" t="e">
        <f ca="1">((100/(H103))*C115)/100</f>
        <v>#REF!</v>
      </c>
      <c r="E115" s="156"/>
      <c r="F115" s="195"/>
      <c r="G115" s="156"/>
      <c r="H115" s="157"/>
      <c r="I115" s="15" t="s">
        <v>101</v>
      </c>
      <c r="J115" s="31" t="e">
        <f ca="1">(IF(B103&gt;1.5,(H103/(B103+2)+J109+MAX(0,J110-J109)+MAX(0,J111-J110)+MAX(0,J112-J111)+MAX(0,J113-J112)+MAX(0,J114-J113)),IF(B103=1,(H103/(B103+3)+J114),IF(B103=0,H103/4+J114))))</f>
        <v>#REF!</v>
      </c>
    </row>
    <row r="116" spans="1:22" x14ac:dyDescent="0.35">
      <c r="A116" s="160" t="s">
        <v>157</v>
      </c>
      <c r="B116" s="160"/>
      <c r="C116" s="160"/>
      <c r="D116" s="160"/>
      <c r="E116" s="160"/>
      <c r="F116" s="147" t="s">
        <v>161</v>
      </c>
      <c r="G116" s="147"/>
      <c r="H116" s="147"/>
      <c r="R116" t="s">
        <v>253</v>
      </c>
      <c r="S116" t="s">
        <v>173</v>
      </c>
      <c r="T116" t="s">
        <v>179</v>
      </c>
      <c r="U116" t="s">
        <v>194</v>
      </c>
      <c r="V116" t="s">
        <v>189</v>
      </c>
    </row>
    <row r="117" spans="1:22" x14ac:dyDescent="0.35">
      <c r="A117" s="132" t="s">
        <v>159</v>
      </c>
      <c r="B117" s="132"/>
      <c r="C117" s="132"/>
      <c r="D117" s="132"/>
      <c r="E117" s="132"/>
      <c r="F117" s="148">
        <v>13000</v>
      </c>
      <c r="G117" s="148"/>
      <c r="H117" s="148"/>
      <c r="I117" s="91" t="s">
        <v>373</v>
      </c>
      <c r="K117" s="91" t="s">
        <v>370</v>
      </c>
      <c r="L117" s="92">
        <v>45545</v>
      </c>
      <c r="M117" s="91" t="s">
        <v>371</v>
      </c>
      <c r="R117"/>
      <c r="S117">
        <v>800000</v>
      </c>
      <c r="T117">
        <v>150000</v>
      </c>
      <c r="U117">
        <v>100000</v>
      </c>
      <c r="V117">
        <v>100000</v>
      </c>
    </row>
    <row r="118" spans="1:22" x14ac:dyDescent="0.35">
      <c r="A118" s="132" t="s">
        <v>158</v>
      </c>
      <c r="B118" s="132"/>
      <c r="C118" s="132"/>
      <c r="D118" s="132"/>
      <c r="E118" s="132"/>
      <c r="F118" s="148">
        <v>18000</v>
      </c>
      <c r="G118" s="148"/>
      <c r="H118" s="148"/>
      <c r="R118"/>
      <c r="S118">
        <v>900000</v>
      </c>
      <c r="T118">
        <v>200000</v>
      </c>
      <c r="U118">
        <v>150000</v>
      </c>
      <c r="V118">
        <v>150000</v>
      </c>
    </row>
    <row r="119" spans="1:22" x14ac:dyDescent="0.35">
      <c r="A119" s="132" t="s">
        <v>160</v>
      </c>
      <c r="B119" s="132"/>
      <c r="C119" s="132"/>
      <c r="D119" s="132"/>
      <c r="E119" s="132"/>
      <c r="F119" s="148">
        <v>16000</v>
      </c>
      <c r="G119" s="148"/>
      <c r="H119" s="148"/>
      <c r="R119"/>
      <c r="S119">
        <v>1000000</v>
      </c>
      <c r="T119">
        <v>250000</v>
      </c>
      <c r="U119">
        <v>200000</v>
      </c>
      <c r="V119">
        <v>200000</v>
      </c>
    </row>
    <row r="120" spans="1:22" s="32" customFormat="1" hidden="1" x14ac:dyDescent="0.35">
      <c r="A120" s="132" t="s">
        <v>176</v>
      </c>
      <c r="B120" s="132"/>
      <c r="C120" s="132"/>
      <c r="D120" s="132"/>
      <c r="E120" s="132"/>
      <c r="F120" s="148"/>
      <c r="G120" s="148"/>
      <c r="H120" s="148"/>
      <c r="R120"/>
      <c r="S120">
        <v>1100000</v>
      </c>
      <c r="T120">
        <v>300000</v>
      </c>
      <c r="U120">
        <v>250000</v>
      </c>
      <c r="V120" s="23">
        <v>250000</v>
      </c>
    </row>
    <row r="121" spans="1:22" s="32" customFormat="1" hidden="1" x14ac:dyDescent="0.35">
      <c r="A121" s="132" t="s">
        <v>91</v>
      </c>
      <c r="B121" s="132"/>
      <c r="C121" s="132"/>
      <c r="D121" s="132"/>
      <c r="E121" s="132"/>
      <c r="F121" s="148"/>
      <c r="G121" s="148"/>
      <c r="H121" s="148"/>
      <c r="R121"/>
      <c r="S121">
        <v>1200000</v>
      </c>
      <c r="T121">
        <v>350000</v>
      </c>
      <c r="U121">
        <v>300000</v>
      </c>
      <c r="V121">
        <v>300000</v>
      </c>
    </row>
    <row r="122" spans="1:22" s="32" customFormat="1" hidden="1" x14ac:dyDescent="0.35">
      <c r="A122" s="132" t="s">
        <v>92</v>
      </c>
      <c r="B122" s="132"/>
      <c r="C122" s="132"/>
      <c r="D122" s="132"/>
      <c r="E122" s="132"/>
      <c r="F122" s="148"/>
      <c r="G122" s="148"/>
      <c r="H122" s="148"/>
      <c r="R122"/>
      <c r="S122">
        <v>1300000</v>
      </c>
      <c r="T122">
        <v>400000</v>
      </c>
      <c r="U122">
        <v>350000</v>
      </c>
      <c r="V122" s="23">
        <v>400000</v>
      </c>
    </row>
    <row r="123" spans="1:22" s="32" customFormat="1" hidden="1" x14ac:dyDescent="0.35">
      <c r="A123" s="132" t="s">
        <v>93</v>
      </c>
      <c r="B123" s="132"/>
      <c r="C123" s="132"/>
      <c r="D123" s="132"/>
      <c r="E123" s="132"/>
      <c r="F123" s="148"/>
      <c r="G123" s="148"/>
      <c r="H123" s="148"/>
      <c r="R123"/>
      <c r="S123">
        <v>1400000</v>
      </c>
      <c r="T123">
        <v>500000</v>
      </c>
      <c r="U123">
        <v>400000</v>
      </c>
      <c r="V123"/>
    </row>
    <row r="124" spans="1:22" s="32" customFormat="1" hidden="1" x14ac:dyDescent="0.35">
      <c r="A124" s="132" t="s">
        <v>94</v>
      </c>
      <c r="B124" s="132"/>
      <c r="C124" s="132"/>
      <c r="D124" s="132"/>
      <c r="E124" s="132"/>
      <c r="F124" s="148"/>
      <c r="G124" s="148"/>
      <c r="H124" s="148"/>
      <c r="R124"/>
      <c r="S124">
        <v>1500000</v>
      </c>
      <c r="T124">
        <v>600000</v>
      </c>
      <c r="U124">
        <v>500000</v>
      </c>
      <c r="V124" s="23"/>
    </row>
    <row r="125" spans="1:22" s="32" customFormat="1" hidden="1" x14ac:dyDescent="0.35">
      <c r="A125" s="132" t="s">
        <v>95</v>
      </c>
      <c r="B125" s="132"/>
      <c r="C125" s="132"/>
      <c r="D125" s="132"/>
      <c r="E125" s="132"/>
      <c r="F125" s="148"/>
      <c r="G125" s="148"/>
      <c r="H125" s="148"/>
      <c r="R125"/>
      <c r="S125">
        <v>1600000</v>
      </c>
      <c r="T125">
        <v>700000</v>
      </c>
      <c r="U125">
        <v>600000</v>
      </c>
      <c r="V125"/>
    </row>
    <row r="126" spans="1:22" s="32" customFormat="1" hidden="1" x14ac:dyDescent="0.35">
      <c r="A126" s="132" t="s">
        <v>96</v>
      </c>
      <c r="B126" s="132"/>
      <c r="C126" s="132"/>
      <c r="D126" s="132"/>
      <c r="E126" s="132"/>
      <c r="F126" s="148"/>
      <c r="G126" s="148"/>
      <c r="H126" s="148"/>
      <c r="R126"/>
      <c r="S126">
        <v>1700000</v>
      </c>
      <c r="T126">
        <v>800000</v>
      </c>
      <c r="U126"/>
      <c r="V126" s="23"/>
    </row>
    <row r="127" spans="1:22" x14ac:dyDescent="0.35">
      <c r="A127" s="132" t="s">
        <v>49</v>
      </c>
      <c r="B127" s="132"/>
      <c r="C127" s="132"/>
      <c r="D127" s="132"/>
      <c r="E127" s="132"/>
      <c r="F127" s="148">
        <v>700000</v>
      </c>
      <c r="G127" s="148"/>
      <c r="H127" s="148"/>
      <c r="R127"/>
      <c r="S127">
        <v>1800000</v>
      </c>
      <c r="T127">
        <v>900000</v>
      </c>
      <c r="U127"/>
    </row>
    <row r="128" spans="1:22" s="33" customFormat="1" x14ac:dyDescent="0.35">
      <c r="A128" s="160" t="s">
        <v>50</v>
      </c>
      <c r="B128" s="160"/>
      <c r="C128" s="160"/>
      <c r="D128" s="160"/>
      <c r="E128" s="160"/>
      <c r="F128" s="148">
        <f>F117*0.8</f>
        <v>10400</v>
      </c>
      <c r="G128" s="148"/>
      <c r="H128" s="148"/>
      <c r="R128" s="21"/>
      <c r="S128" s="21"/>
      <c r="T128">
        <v>1000000</v>
      </c>
      <c r="U128"/>
      <c r="V128" s="21"/>
    </row>
    <row r="129" spans="1:22" s="34" customFormat="1" ht="15.75" customHeight="1" x14ac:dyDescent="0.35">
      <c r="A129" s="141" t="s">
        <v>71</v>
      </c>
      <c r="B129" s="141"/>
      <c r="C129" s="141"/>
      <c r="D129" s="141"/>
      <c r="E129" s="141"/>
      <c r="F129" s="141"/>
      <c r="G129" s="141"/>
      <c r="H129" s="141"/>
      <c r="R129"/>
      <c r="S129" s="21"/>
      <c r="T129"/>
      <c r="U129"/>
      <c r="V129" s="21"/>
    </row>
    <row r="130" spans="1:22" s="34" customFormat="1" ht="15.75" customHeight="1" x14ac:dyDescent="0.35">
      <c r="A130" s="216" t="s">
        <v>51</v>
      </c>
      <c r="B130" s="216"/>
      <c r="C130" s="140" t="s">
        <v>74</v>
      </c>
      <c r="D130" s="140"/>
      <c r="E130" s="108" t="s">
        <v>52</v>
      </c>
      <c r="F130" s="108"/>
      <c r="G130" s="216" t="s">
        <v>53</v>
      </c>
      <c r="H130" s="216"/>
      <c r="R130"/>
      <c r="S130" s="21"/>
      <c r="T130"/>
      <c r="U130" s="21"/>
      <c r="V130" s="21"/>
    </row>
    <row r="131" spans="1:22" s="34" customFormat="1" ht="32.25" customHeight="1" x14ac:dyDescent="0.35">
      <c r="A131" s="96" t="s">
        <v>339</v>
      </c>
      <c r="B131" s="96" t="s">
        <v>314</v>
      </c>
      <c r="C131" s="143">
        <f>COUNT(D147:D155)</f>
        <v>9</v>
      </c>
      <c r="D131" s="168"/>
      <c r="E131" s="143">
        <f t="shared" ref="E131" si="0">SUM(F147:F155)</f>
        <v>10858.830839999999</v>
      </c>
      <c r="F131" s="168"/>
      <c r="G131" s="143">
        <f t="shared" ref="G131" si="1">SUM(H147:H155)</f>
        <v>16831.187801999997</v>
      </c>
      <c r="H131" s="168"/>
      <c r="R131"/>
      <c r="S131" s="21"/>
      <c r="T131"/>
      <c r="U131" s="21"/>
      <c r="V131" s="21"/>
    </row>
    <row r="132" spans="1:22" s="34" customFormat="1" ht="15.75" customHeight="1" x14ac:dyDescent="0.35">
      <c r="A132" s="96" t="s">
        <v>338</v>
      </c>
      <c r="B132" s="96" t="s">
        <v>317</v>
      </c>
      <c r="C132" s="143">
        <f>COUNT(D158:D182)</f>
        <v>25</v>
      </c>
      <c r="D132" s="168"/>
      <c r="E132" s="143">
        <f t="shared" ref="E132" si="2">SUM(F158:F182)</f>
        <v>1023.3334799999999</v>
      </c>
      <c r="F132" s="168"/>
      <c r="G132" s="143">
        <f t="shared" ref="G132" si="3">SUM(H158:H182)</f>
        <v>1586.166894</v>
      </c>
      <c r="H132" s="168"/>
      <c r="R132"/>
      <c r="S132" s="21"/>
      <c r="T132"/>
      <c r="U132" s="21"/>
      <c r="V132" s="21"/>
    </row>
    <row r="133" spans="1:22" s="34" customFormat="1" ht="15.75" customHeight="1" x14ac:dyDescent="0.35">
      <c r="A133" s="96" t="s">
        <v>338</v>
      </c>
      <c r="B133" s="96" t="s">
        <v>329</v>
      </c>
      <c r="C133" s="143">
        <f>COUNT(D185:D193)</f>
        <v>9</v>
      </c>
      <c r="D133" s="168"/>
      <c r="E133" s="143">
        <f t="shared" ref="E133" si="4">SUM(F185:F193)</f>
        <v>378.35459999999989</v>
      </c>
      <c r="F133" s="168"/>
      <c r="G133" s="143">
        <f t="shared" ref="G133" si="5">SUM(H185:H193)</f>
        <v>586.44962999999996</v>
      </c>
      <c r="H133" s="168"/>
      <c r="R133"/>
      <c r="S133" s="21"/>
      <c r="T133"/>
      <c r="U133" s="21"/>
      <c r="V133" s="21"/>
    </row>
    <row r="134" spans="1:22" s="34" customFormat="1" x14ac:dyDescent="0.35">
      <c r="A134" s="141" t="s">
        <v>150</v>
      </c>
      <c r="B134" s="141"/>
      <c r="C134" s="139">
        <f>SUM(C131:D133)</f>
        <v>43</v>
      </c>
      <c r="D134" s="140"/>
      <c r="E134" s="139">
        <f>SUM(E131:F133)</f>
        <v>12260.518919999999</v>
      </c>
      <c r="F134" s="140"/>
      <c r="G134" s="139">
        <f>SUM(G131:H133)</f>
        <v>19003.804325999994</v>
      </c>
      <c r="H134" s="140"/>
      <c r="R134"/>
      <c r="S134" s="21"/>
      <c r="T134"/>
      <c r="U134" s="21"/>
      <c r="V134" s="21"/>
    </row>
    <row r="135" spans="1:22" s="34" customFormat="1" x14ac:dyDescent="0.35">
      <c r="A135" s="141" t="s">
        <v>340</v>
      </c>
      <c r="B135" s="141"/>
      <c r="C135" s="141"/>
      <c r="D135" s="141"/>
      <c r="E135" s="141"/>
      <c r="F135" s="141"/>
      <c r="G135" s="141"/>
      <c r="H135" s="141"/>
      <c r="T135"/>
    </row>
    <row r="136" spans="1:22" s="34" customFormat="1" ht="15.75" customHeight="1" x14ac:dyDescent="0.35">
      <c r="A136" s="216" t="s">
        <v>51</v>
      </c>
      <c r="B136" s="216"/>
      <c r="C136" s="140" t="s">
        <v>74</v>
      </c>
      <c r="D136" s="140"/>
      <c r="E136" s="108" t="s">
        <v>52</v>
      </c>
      <c r="F136" s="108"/>
      <c r="G136" s="216" t="s">
        <v>53</v>
      </c>
      <c r="H136" s="216"/>
      <c r="T136"/>
    </row>
    <row r="137" spans="1:22" s="34" customFormat="1" x14ac:dyDescent="0.35">
      <c r="A137" s="142" t="s">
        <v>317</v>
      </c>
      <c r="B137" s="142"/>
      <c r="C137" s="143">
        <f>COUNT(D212:D215)*4+COUNT(D221:D224)+COUNT(D229:D236)+COUNT(D238:D245)*31+COUNT(D247:D251)*8+COUNT(D253:D254)*8</f>
        <v>332</v>
      </c>
      <c r="D137" s="143"/>
      <c r="E137" s="143">
        <f>SUM(F212:F215)*4+SUM(F221:F224)+SUM(F229:F236)+SUM(F238:F245)*31+SUM(F247:F251)*8+SUM(F253:F254)*8</f>
        <v>193745.97216000003</v>
      </c>
      <c r="F137" s="143"/>
      <c r="G137" s="143">
        <f t="shared" ref="G137" si="6">SUM(H212:H215)*4+SUM(H221:H224)+SUM(H229:H236)+SUM(H238:H245)*31+SUM(H247:H251)*8+SUM(H253:H254)*8</f>
        <v>280931.65963199997</v>
      </c>
      <c r="H137" s="143"/>
      <c r="T137"/>
    </row>
    <row r="138" spans="1:22" s="34" customFormat="1" x14ac:dyDescent="0.35">
      <c r="A138" s="142" t="s">
        <v>329</v>
      </c>
      <c r="B138" s="142"/>
      <c r="C138" s="143">
        <f>COUNT(D258:D259)*4+COUNT(D264:D265)*4+COUNT(D267:D268)+COUNT(D273:D274)+COUNT(D277:D284)+COUNT(D286:D293)*31+COUNT(D295:D300)*8+COUNT(D302)*8</f>
        <v>332</v>
      </c>
      <c r="D138" s="143"/>
      <c r="E138" s="143">
        <f t="shared" ref="E138" si="7">SUM(F258:F259)*4+SUM(F264:F265)*4+SUM(F267:F268)+SUM(F273:F274)+SUM(F277:F284)+SUM(F286:F293)*31+SUM(F295:F300)*8+SUM(F302)*8</f>
        <v>193745.97216000003</v>
      </c>
      <c r="F138" s="143"/>
      <c r="G138" s="143">
        <f t="shared" ref="G138" si="8">SUM(H258:H259)*4+SUM(H264:H265)*4+SUM(H267:H268)+SUM(H273:H274)+SUM(H277:H284)+SUM(H286:H293)*31+SUM(H295:H300)*8+SUM(H302)*8</f>
        <v>280931.65963199997</v>
      </c>
      <c r="H138" s="143"/>
      <c r="T138"/>
    </row>
    <row r="139" spans="1:22" s="34" customFormat="1" x14ac:dyDescent="0.35">
      <c r="A139" s="141" t="s">
        <v>150</v>
      </c>
      <c r="B139" s="141"/>
      <c r="C139" s="139">
        <f>SUM(C137:D138)</f>
        <v>664</v>
      </c>
      <c r="D139" s="140"/>
      <c r="E139" s="139">
        <f>SUM(E137:F138)</f>
        <v>387491.94432000007</v>
      </c>
      <c r="F139" s="140"/>
      <c r="G139" s="139">
        <f>SUM(G137:H138)</f>
        <v>561863.31926399993</v>
      </c>
      <c r="H139" s="140"/>
      <c r="T139"/>
    </row>
    <row r="140" spans="1:22" s="34" customFormat="1" x14ac:dyDescent="0.35">
      <c r="A140" s="141" t="s">
        <v>167</v>
      </c>
      <c r="B140" s="141"/>
      <c r="C140" s="139">
        <f>C134+C139</f>
        <v>707</v>
      </c>
      <c r="D140" s="139"/>
      <c r="E140" s="266">
        <f>E134+E139</f>
        <v>399752.46324000007</v>
      </c>
      <c r="F140" s="266"/>
      <c r="G140" s="216">
        <f>G134+G139</f>
        <v>580867.12358999997</v>
      </c>
      <c r="H140" s="216"/>
      <c r="T140"/>
    </row>
    <row r="141" spans="1:22" s="33" customFormat="1" x14ac:dyDescent="0.35">
      <c r="A141" s="109" t="s">
        <v>54</v>
      </c>
      <c r="B141" s="109"/>
      <c r="C141" s="109"/>
      <c r="D141" s="109"/>
      <c r="E141" s="109"/>
      <c r="F141" s="109"/>
      <c r="G141" s="109"/>
      <c r="H141" s="109"/>
      <c r="T141" s="34"/>
    </row>
    <row r="142" spans="1:22" x14ac:dyDescent="0.35">
      <c r="A142" s="258" t="s">
        <v>175</v>
      </c>
      <c r="B142" s="258"/>
      <c r="C142" s="258"/>
      <c r="D142" s="258"/>
      <c r="E142" s="258"/>
      <c r="F142" s="258"/>
      <c r="G142" s="258"/>
      <c r="H142" s="258"/>
      <c r="T142" s="34"/>
    </row>
    <row r="143" spans="1:22" ht="47.25" customHeight="1" x14ac:dyDescent="0.35">
      <c r="A143" s="127" t="s">
        <v>359</v>
      </c>
      <c r="B143" s="127" t="s">
        <v>177</v>
      </c>
      <c r="C143" s="127" t="s">
        <v>55</v>
      </c>
      <c r="D143" s="127" t="s">
        <v>232</v>
      </c>
      <c r="E143" s="164" t="s">
        <v>156</v>
      </c>
      <c r="F143" s="127" t="s">
        <v>56</v>
      </c>
      <c r="G143" s="164" t="s">
        <v>57</v>
      </c>
      <c r="H143" s="86" t="s">
        <v>148</v>
      </c>
      <c r="T143" s="34"/>
    </row>
    <row r="144" spans="1:22" s="36" customFormat="1" x14ac:dyDescent="0.35">
      <c r="A144" s="128"/>
      <c r="B144" s="128"/>
      <c r="C144" s="128"/>
      <c r="D144" s="128"/>
      <c r="E144" s="165"/>
      <c r="F144" s="128"/>
      <c r="G144" s="165"/>
      <c r="H144" s="87">
        <v>0.55000000000000004</v>
      </c>
      <c r="T144" s="34"/>
    </row>
    <row r="145" spans="1:20" s="71" customFormat="1" x14ac:dyDescent="0.35">
      <c r="A145" s="122" t="s">
        <v>314</v>
      </c>
      <c r="B145" s="123"/>
      <c r="C145" s="123"/>
      <c r="D145" s="123"/>
      <c r="E145" s="123"/>
      <c r="F145" s="123"/>
      <c r="G145" s="123"/>
      <c r="H145" s="124"/>
      <c r="T145" s="34"/>
    </row>
    <row r="146" spans="1:20" s="36" customFormat="1" x14ac:dyDescent="0.35">
      <c r="A146" s="105" t="s">
        <v>313</v>
      </c>
      <c r="B146" s="106"/>
      <c r="C146" s="106"/>
      <c r="D146" s="106"/>
      <c r="E146" s="106"/>
      <c r="F146" s="106"/>
      <c r="G146" s="106"/>
      <c r="H146" s="107"/>
      <c r="J146" s="35"/>
      <c r="T146" s="34"/>
    </row>
    <row r="147" spans="1:20" s="36" customFormat="1" ht="15.75" customHeight="1" x14ac:dyDescent="0.35">
      <c r="A147" s="102">
        <v>1</v>
      </c>
      <c r="B147" s="103"/>
      <c r="C147" s="41" t="s">
        <v>315</v>
      </c>
      <c r="D147" s="84">
        <f>(146.39)*(10.764)</f>
        <v>1575.7419599999998</v>
      </c>
      <c r="E147" s="41">
        <v>0</v>
      </c>
      <c r="F147" s="64">
        <f>D147+(IF(E147&lt;201,E147,IF(E147&lt;301,E147/2,E147/3)))</f>
        <v>1575.7419599999998</v>
      </c>
      <c r="G147" s="65">
        <v>0</v>
      </c>
      <c r="H147" s="64">
        <f>(F147+(IF(G147&lt;101,G147,IF(G147&lt;201,G147/2,IF(G147&lt;=301,G147/3,G147/4)))))*(($H$144)+1)</f>
        <v>2442.4000379999998</v>
      </c>
      <c r="I147" s="35"/>
      <c r="J147" s="35">
        <f>10.764</f>
        <v>10.763999999999999</v>
      </c>
      <c r="L147" s="120"/>
      <c r="M147" s="120"/>
      <c r="N147" s="35"/>
      <c r="T147" s="34"/>
    </row>
    <row r="148" spans="1:20" s="36" customFormat="1" ht="15.75" customHeight="1" x14ac:dyDescent="0.35">
      <c r="A148" s="102">
        <f>A147+1</f>
        <v>2</v>
      </c>
      <c r="B148" s="103"/>
      <c r="C148" s="70" t="s">
        <v>315</v>
      </c>
      <c r="D148" s="84">
        <f>(210.65)*(10.764)</f>
        <v>2267.4366</v>
      </c>
      <c r="E148" s="41">
        <v>0</v>
      </c>
      <c r="F148" s="64">
        <f t="shared" ref="F148:F150" si="9">D148+(IF(E148&lt;201,E148,IF(E148&lt;301,E148/2,E148/3)))</f>
        <v>2267.4366</v>
      </c>
      <c r="G148" s="55">
        <v>0</v>
      </c>
      <c r="H148" s="64">
        <f t="shared" ref="H148:H150" si="10">(F148+(IF(G148&lt;101,G148,IF(G148&lt;201,G148/2,IF(G148&lt;=301,G148/3,G148/4)))))*(($H$144)+1)</f>
        <v>3514.52673</v>
      </c>
      <c r="I148" s="35"/>
      <c r="L148" s="120"/>
      <c r="M148" s="120"/>
      <c r="N148" s="35"/>
      <c r="T148" s="33"/>
    </row>
    <row r="149" spans="1:20" s="36" customFormat="1" ht="15.75" customHeight="1" x14ac:dyDescent="0.35">
      <c r="A149" s="102">
        <f>A148+1</f>
        <v>3</v>
      </c>
      <c r="B149" s="103"/>
      <c r="C149" s="70" t="s">
        <v>315</v>
      </c>
      <c r="D149" s="84">
        <f>(26.45)*(10.764)</f>
        <v>284.70779999999996</v>
      </c>
      <c r="E149" s="41">
        <v>0</v>
      </c>
      <c r="F149" s="64">
        <f t="shared" si="9"/>
        <v>284.70779999999996</v>
      </c>
      <c r="G149" s="55">
        <v>0</v>
      </c>
      <c r="H149" s="64">
        <f t="shared" si="10"/>
        <v>441.29708999999997</v>
      </c>
      <c r="I149" s="35"/>
      <c r="L149" s="120"/>
      <c r="M149" s="120"/>
      <c r="N149" s="35"/>
      <c r="T149" s="21"/>
    </row>
    <row r="150" spans="1:20" s="36" customFormat="1" ht="15.75" customHeight="1" x14ac:dyDescent="0.35">
      <c r="A150" s="102">
        <f>A149+1</f>
        <v>4</v>
      </c>
      <c r="B150" s="103"/>
      <c r="C150" s="70" t="s">
        <v>315</v>
      </c>
      <c r="D150" s="84">
        <f>(78.16)*(10.764)</f>
        <v>841.31423999999993</v>
      </c>
      <c r="E150" s="41">
        <v>0</v>
      </c>
      <c r="F150" s="64">
        <f t="shared" si="9"/>
        <v>841.31423999999993</v>
      </c>
      <c r="G150" s="55">
        <v>0</v>
      </c>
      <c r="H150" s="64">
        <f t="shared" si="10"/>
        <v>1304.0370719999999</v>
      </c>
      <c r="I150" s="35">
        <f>4.9*14.65+1.54*2.7+1.39*1.5</f>
        <v>78.028000000000006</v>
      </c>
      <c r="L150" s="120"/>
      <c r="M150" s="120"/>
      <c r="N150" s="35"/>
      <c r="T150" s="21"/>
    </row>
    <row r="151" spans="1:20" s="71" customFormat="1" ht="15.75" customHeight="1" x14ac:dyDescent="0.35">
      <c r="A151" s="102">
        <f t="shared" ref="A151:A155" si="11">A150+1</f>
        <v>5</v>
      </c>
      <c r="B151" s="103"/>
      <c r="C151" s="70" t="s">
        <v>315</v>
      </c>
      <c r="D151" s="84">
        <f>(73.15)*(10.764)</f>
        <v>787.38660000000004</v>
      </c>
      <c r="E151" s="70">
        <v>0</v>
      </c>
      <c r="F151" s="70">
        <f>D151+(IF(E151&lt;201,E151,IF(E151&lt;301,E151/2,E151/3)))</f>
        <v>787.38660000000004</v>
      </c>
      <c r="G151" s="65">
        <v>0</v>
      </c>
      <c r="H151" s="70">
        <f>(F151+(IF(G151&lt;101,G151,IF(G151&lt;201,G151/2,IF(G151&lt;=301,G151/3,G151/4)))))*(($H$144)+1)</f>
        <v>1220.4492300000002</v>
      </c>
      <c r="I151" s="35"/>
      <c r="L151" s="120"/>
      <c r="M151" s="120"/>
      <c r="N151" s="35"/>
      <c r="T151" s="34"/>
    </row>
    <row r="152" spans="1:20" s="71" customFormat="1" ht="15.75" customHeight="1" x14ac:dyDescent="0.35">
      <c r="A152" s="102">
        <f t="shared" si="11"/>
        <v>6</v>
      </c>
      <c r="B152" s="103"/>
      <c r="C152" s="70" t="s">
        <v>315</v>
      </c>
      <c r="D152" s="84">
        <f>(93.81)*(10.764)</f>
        <v>1009.7708399999999</v>
      </c>
      <c r="E152" s="70">
        <v>0</v>
      </c>
      <c r="F152" s="70">
        <f t="shared" ref="F152:F154" si="12">D152+(IF(E152&lt;201,E152,IF(E152&lt;301,E152/2,E152/3)))</f>
        <v>1009.7708399999999</v>
      </c>
      <c r="G152" s="70">
        <v>0</v>
      </c>
      <c r="H152" s="70">
        <f t="shared" ref="H152:H154" si="13">(F152+(IF(G152&lt;101,G152,IF(G152&lt;201,G152/2,IF(G152&lt;=301,G152/3,G152/4)))))*(($H$144)+1)</f>
        <v>1565.1448019999998</v>
      </c>
      <c r="I152" s="35"/>
      <c r="L152" s="120"/>
      <c r="M152" s="120"/>
      <c r="N152" s="35"/>
      <c r="T152" s="33"/>
    </row>
    <row r="153" spans="1:20" s="71" customFormat="1" ht="15.75" customHeight="1" x14ac:dyDescent="0.35">
      <c r="A153" s="102">
        <f t="shared" si="11"/>
        <v>7</v>
      </c>
      <c r="B153" s="103"/>
      <c r="C153" s="70" t="s">
        <v>315</v>
      </c>
      <c r="D153" s="84">
        <f>(70)*(10.764)</f>
        <v>753.4799999999999</v>
      </c>
      <c r="E153" s="70">
        <v>0</v>
      </c>
      <c r="F153" s="70">
        <f t="shared" si="12"/>
        <v>753.4799999999999</v>
      </c>
      <c r="G153" s="70">
        <v>0</v>
      </c>
      <c r="H153" s="70">
        <f t="shared" si="13"/>
        <v>1167.8939999999998</v>
      </c>
      <c r="I153" s="35"/>
      <c r="L153" s="120"/>
      <c r="M153" s="120"/>
      <c r="N153" s="35"/>
      <c r="T153" s="21"/>
    </row>
    <row r="154" spans="1:20" s="71" customFormat="1" ht="15.75" customHeight="1" x14ac:dyDescent="0.35">
      <c r="A154" s="102">
        <f t="shared" si="11"/>
        <v>8</v>
      </c>
      <c r="B154" s="103"/>
      <c r="C154" s="70" t="s">
        <v>315</v>
      </c>
      <c r="D154" s="84">
        <f>(164.52)*(10.764)</f>
        <v>1770.89328</v>
      </c>
      <c r="E154" s="70">
        <v>0</v>
      </c>
      <c r="F154" s="70">
        <f t="shared" si="12"/>
        <v>1770.89328</v>
      </c>
      <c r="G154" s="70">
        <v>0</v>
      </c>
      <c r="H154" s="70">
        <f t="shared" si="13"/>
        <v>2744.8845839999999</v>
      </c>
      <c r="I154" s="35"/>
      <c r="L154" s="120"/>
      <c r="M154" s="120"/>
      <c r="N154" s="35"/>
      <c r="T154" s="21"/>
    </row>
    <row r="155" spans="1:20" s="71" customFormat="1" ht="15.75" customHeight="1" x14ac:dyDescent="0.35">
      <c r="A155" s="102">
        <f t="shared" si="11"/>
        <v>9</v>
      </c>
      <c r="B155" s="103"/>
      <c r="C155" s="70" t="s">
        <v>315</v>
      </c>
      <c r="D155" s="84">
        <f>(145.68)*(10.764)</f>
        <v>1568.09952</v>
      </c>
      <c r="E155" s="70">
        <v>0</v>
      </c>
      <c r="F155" s="70">
        <f t="shared" ref="F155" si="14">D155+(IF(E155&lt;201,E155,IF(E155&lt;301,E155/2,E155/3)))</f>
        <v>1568.09952</v>
      </c>
      <c r="G155" s="70">
        <v>0</v>
      </c>
      <c r="H155" s="70">
        <f t="shared" ref="H155" si="15">(F155+(IF(G155&lt;101,G155,IF(G155&lt;201,G155/2,IF(G155&lt;=301,G155/3,G155/4)))))*(($H$144)+1)</f>
        <v>2430.5542559999999</v>
      </c>
      <c r="I155" s="35"/>
      <c r="L155" s="120"/>
      <c r="M155" s="120"/>
      <c r="N155" s="35"/>
      <c r="T155" s="21"/>
    </row>
    <row r="156" spans="1:20" s="73" customFormat="1" ht="15.75" customHeight="1" x14ac:dyDescent="0.35">
      <c r="A156" s="122" t="s">
        <v>317</v>
      </c>
      <c r="B156" s="123"/>
      <c r="C156" s="123"/>
      <c r="D156" s="123"/>
      <c r="E156" s="123"/>
      <c r="F156" s="123"/>
      <c r="G156" s="123"/>
      <c r="H156" s="124"/>
      <c r="I156" s="35"/>
      <c r="N156" s="35"/>
      <c r="T156" s="21"/>
    </row>
    <row r="157" spans="1:20" s="73" customFormat="1" ht="33.75" customHeight="1" x14ac:dyDescent="0.35">
      <c r="A157" s="121" t="s">
        <v>330</v>
      </c>
      <c r="B157" s="121"/>
      <c r="C157" s="121"/>
      <c r="D157" s="121"/>
      <c r="E157" s="121"/>
      <c r="F157" s="121"/>
      <c r="G157" s="121"/>
      <c r="H157" s="121"/>
      <c r="J157" s="35"/>
      <c r="T157" s="34"/>
    </row>
    <row r="158" spans="1:20" s="73" customFormat="1" ht="15.75" customHeight="1" x14ac:dyDescent="0.35">
      <c r="A158" s="104">
        <v>10</v>
      </c>
      <c r="B158" s="104"/>
      <c r="C158" s="95" t="s">
        <v>322</v>
      </c>
      <c r="D158" s="84">
        <f>(4.33)*(10.764)</f>
        <v>46.60812</v>
      </c>
      <c r="E158" s="95">
        <v>0</v>
      </c>
      <c r="F158" s="95">
        <f>D158+(IF(E158&lt;201,E158,IF(E158&lt;301,E158/2,E158/3)))</f>
        <v>46.60812</v>
      </c>
      <c r="G158" s="65">
        <v>0</v>
      </c>
      <c r="H158" s="95">
        <f>(F158+(IF(G158&lt;101,G158,IF(G158&lt;201,G158/2,IF(G158&lt;=301,G158/3,G158/4)))))*(($H$144)+1)</f>
        <v>72.242586000000003</v>
      </c>
      <c r="I158" s="35">
        <f>1.7*2.49</f>
        <v>4.2330000000000005</v>
      </c>
      <c r="L158" s="120"/>
      <c r="M158" s="120"/>
      <c r="N158" s="35"/>
      <c r="T158" s="34"/>
    </row>
    <row r="159" spans="1:20" s="73" customFormat="1" ht="15.75" customHeight="1" x14ac:dyDescent="0.35">
      <c r="A159" s="104">
        <f>A158+1</f>
        <v>11</v>
      </c>
      <c r="B159" s="104"/>
      <c r="C159" s="95" t="s">
        <v>322</v>
      </c>
      <c r="D159" s="84">
        <f>(3.8)*(10.764)</f>
        <v>40.903199999999998</v>
      </c>
      <c r="E159" s="95">
        <v>0</v>
      </c>
      <c r="F159" s="95">
        <f t="shared" ref="F159:F161" si="16">D159+(IF(E159&lt;201,E159,IF(E159&lt;301,E159/2,E159/3)))</f>
        <v>40.903199999999998</v>
      </c>
      <c r="G159" s="95">
        <v>0</v>
      </c>
      <c r="H159" s="95">
        <f t="shared" ref="H159:H161" si="17">(F159+(IF(G159&lt;101,G159,IF(G159&lt;201,G159/2,IF(G159&lt;=301,G159/3,G159/4)))))*(($H$144)+1)</f>
        <v>63.39996</v>
      </c>
      <c r="I159" s="35"/>
      <c r="L159" s="120"/>
      <c r="M159" s="120"/>
      <c r="N159" s="35"/>
      <c r="T159" s="33"/>
    </row>
    <row r="160" spans="1:20" s="73" customFormat="1" ht="15.75" customHeight="1" x14ac:dyDescent="0.35">
      <c r="A160" s="104">
        <f>A159+1</f>
        <v>12</v>
      </c>
      <c r="B160" s="104"/>
      <c r="C160" s="95" t="s">
        <v>322</v>
      </c>
      <c r="D160" s="84">
        <f>(4.13)*(10.764)</f>
        <v>44.455319999999993</v>
      </c>
      <c r="E160" s="95">
        <v>0</v>
      </c>
      <c r="F160" s="95">
        <f t="shared" si="16"/>
        <v>44.455319999999993</v>
      </c>
      <c r="G160" s="95">
        <v>0</v>
      </c>
      <c r="H160" s="95">
        <f t="shared" si="17"/>
        <v>68.905745999999994</v>
      </c>
      <c r="I160" s="35"/>
      <c r="L160" s="120"/>
      <c r="M160" s="120"/>
      <c r="N160" s="35"/>
      <c r="T160" s="21"/>
    </row>
    <row r="161" spans="1:20" s="73" customFormat="1" ht="15.75" customHeight="1" x14ac:dyDescent="0.35">
      <c r="A161" s="104">
        <f>A160+1</f>
        <v>13</v>
      </c>
      <c r="B161" s="104"/>
      <c r="C161" s="95" t="s">
        <v>322</v>
      </c>
      <c r="D161" s="84">
        <f>(3.99)*(10.764)</f>
        <v>42.948360000000001</v>
      </c>
      <c r="E161" s="95">
        <v>0</v>
      </c>
      <c r="F161" s="95">
        <f t="shared" si="16"/>
        <v>42.948360000000001</v>
      </c>
      <c r="G161" s="95">
        <v>0</v>
      </c>
      <c r="H161" s="95">
        <f t="shared" si="17"/>
        <v>66.569958</v>
      </c>
      <c r="I161" s="35"/>
      <c r="L161" s="120"/>
      <c r="M161" s="120"/>
      <c r="N161" s="35"/>
      <c r="T161" s="21"/>
    </row>
    <row r="162" spans="1:20" s="73" customFormat="1" ht="15.75" customHeight="1" x14ac:dyDescent="0.35">
      <c r="A162" s="104">
        <f t="shared" ref="A162:A182" si="18">A161+1</f>
        <v>14</v>
      </c>
      <c r="B162" s="104"/>
      <c r="C162" s="95" t="s">
        <v>322</v>
      </c>
      <c r="D162" s="84">
        <f>(2.55)*(10.764)</f>
        <v>27.448199999999996</v>
      </c>
      <c r="E162" s="95">
        <v>0</v>
      </c>
      <c r="F162" s="95">
        <f>D162+(IF(E162&lt;201,E162,IF(E162&lt;301,E162/2,E162/3)))</f>
        <v>27.448199999999996</v>
      </c>
      <c r="G162" s="65">
        <v>0</v>
      </c>
      <c r="H162" s="95">
        <f>(F162+(IF(G162&lt;101,G162,IF(G162&lt;201,G162/2,IF(G162&lt;=301,G162/3,G162/4)))))*(($H$144)+1)</f>
        <v>42.544709999999995</v>
      </c>
      <c r="I162" s="35"/>
      <c r="L162" s="120"/>
      <c r="M162" s="120"/>
      <c r="N162" s="35"/>
      <c r="T162" s="34"/>
    </row>
    <row r="163" spans="1:20" s="73" customFormat="1" ht="15.75" customHeight="1" x14ac:dyDescent="0.35">
      <c r="A163" s="104">
        <f t="shared" si="18"/>
        <v>15</v>
      </c>
      <c r="B163" s="104"/>
      <c r="C163" s="95" t="s">
        <v>322</v>
      </c>
      <c r="D163" s="84">
        <f>(4.09)*(10.764)</f>
        <v>44.024759999999993</v>
      </c>
      <c r="E163" s="95">
        <v>0</v>
      </c>
      <c r="F163" s="95">
        <f t="shared" ref="F163:F166" si="19">D163+(IF(E163&lt;201,E163,IF(E163&lt;301,E163/2,E163/3)))</f>
        <v>44.024759999999993</v>
      </c>
      <c r="G163" s="95">
        <v>0</v>
      </c>
      <c r="H163" s="95">
        <f t="shared" ref="H163:H166" si="20">(F163+(IF(G163&lt;101,G163,IF(G163&lt;201,G163/2,IF(G163&lt;=301,G163/3,G163/4)))))*(($H$144)+1)</f>
        <v>68.238377999999997</v>
      </c>
      <c r="I163" s="35"/>
      <c r="L163" s="120"/>
      <c r="M163" s="120"/>
      <c r="N163" s="35"/>
      <c r="T163" s="33"/>
    </row>
    <row r="164" spans="1:20" s="73" customFormat="1" ht="15.75" customHeight="1" x14ac:dyDescent="0.35">
      <c r="A164" s="104">
        <f t="shared" si="18"/>
        <v>16</v>
      </c>
      <c r="B164" s="104"/>
      <c r="C164" s="95" t="s">
        <v>322</v>
      </c>
      <c r="D164" s="84">
        <f>(4.23)*(10.764)</f>
        <v>45.53172</v>
      </c>
      <c r="E164" s="95">
        <v>0</v>
      </c>
      <c r="F164" s="95">
        <f t="shared" si="19"/>
        <v>45.53172</v>
      </c>
      <c r="G164" s="95">
        <v>0</v>
      </c>
      <c r="H164" s="95">
        <f t="shared" si="20"/>
        <v>70.574166000000005</v>
      </c>
      <c r="I164" s="35"/>
      <c r="L164" s="120"/>
      <c r="M164" s="120"/>
      <c r="N164" s="35"/>
      <c r="T164" s="21"/>
    </row>
    <row r="165" spans="1:20" s="73" customFormat="1" ht="15.75" customHeight="1" x14ac:dyDescent="0.35">
      <c r="A165" s="104">
        <f t="shared" si="18"/>
        <v>17</v>
      </c>
      <c r="B165" s="104"/>
      <c r="C165" s="95" t="s">
        <v>322</v>
      </c>
      <c r="D165" s="84">
        <f>(4)*(10.764)</f>
        <v>43.055999999999997</v>
      </c>
      <c r="E165" s="95">
        <v>0</v>
      </c>
      <c r="F165" s="95">
        <f t="shared" si="19"/>
        <v>43.055999999999997</v>
      </c>
      <c r="G165" s="95">
        <v>0</v>
      </c>
      <c r="H165" s="95">
        <f t="shared" si="20"/>
        <v>66.736800000000002</v>
      </c>
      <c r="I165" s="35">
        <f>1.48*2.65</f>
        <v>3.9219999999999997</v>
      </c>
      <c r="L165" s="120"/>
      <c r="M165" s="120"/>
      <c r="N165" s="35"/>
      <c r="T165" s="21"/>
    </row>
    <row r="166" spans="1:20" s="73" customFormat="1" ht="15.75" customHeight="1" x14ac:dyDescent="0.35">
      <c r="A166" s="104">
        <f t="shared" si="18"/>
        <v>18</v>
      </c>
      <c r="B166" s="104"/>
      <c r="C166" s="95" t="s">
        <v>322</v>
      </c>
      <c r="D166" s="84">
        <f>(4.01)*(10.764)</f>
        <v>43.163639999999994</v>
      </c>
      <c r="E166" s="95">
        <v>0</v>
      </c>
      <c r="F166" s="95">
        <f t="shared" si="19"/>
        <v>43.163639999999994</v>
      </c>
      <c r="G166" s="95">
        <v>0</v>
      </c>
      <c r="H166" s="95">
        <f t="shared" si="20"/>
        <v>66.903641999999991</v>
      </c>
      <c r="I166" s="35"/>
      <c r="L166" s="120"/>
      <c r="M166" s="120"/>
      <c r="N166" s="35"/>
      <c r="T166" s="21"/>
    </row>
    <row r="167" spans="1:20" s="73" customFormat="1" ht="15.75" customHeight="1" x14ac:dyDescent="0.35">
      <c r="A167" s="104">
        <f t="shared" si="18"/>
        <v>19</v>
      </c>
      <c r="B167" s="104"/>
      <c r="C167" s="95" t="s">
        <v>322</v>
      </c>
      <c r="D167" s="84">
        <f>(3.17)*(10.764)</f>
        <v>34.121879999999997</v>
      </c>
      <c r="E167" s="95">
        <v>0</v>
      </c>
      <c r="F167" s="95">
        <f>D167+(IF(E167&lt;201,E167,IF(E167&lt;301,E167/2,E167/3)))</f>
        <v>34.121879999999997</v>
      </c>
      <c r="G167" s="65">
        <v>0</v>
      </c>
      <c r="H167" s="95">
        <f>(F167+(IF(G167&lt;101,G167,IF(G167&lt;201,G167/2,IF(G167&lt;=301,G167/3,G167/4)))))*(($H$144)+1)</f>
        <v>52.888914</v>
      </c>
      <c r="I167" s="35">
        <f>1.4*2.2</f>
        <v>3.08</v>
      </c>
      <c r="L167" s="120"/>
      <c r="M167" s="120"/>
      <c r="N167" s="35"/>
      <c r="T167" s="34"/>
    </row>
    <row r="168" spans="1:20" s="73" customFormat="1" ht="15.75" customHeight="1" x14ac:dyDescent="0.35">
      <c r="A168" s="104">
        <f t="shared" si="18"/>
        <v>20</v>
      </c>
      <c r="B168" s="104"/>
      <c r="C168" s="95" t="s">
        <v>322</v>
      </c>
      <c r="D168" s="84">
        <f>(3.4)*(10.764)</f>
        <v>36.5976</v>
      </c>
      <c r="E168" s="95">
        <v>0</v>
      </c>
      <c r="F168" s="95">
        <f t="shared" ref="F168:F170" si="21">D168+(IF(E168&lt;201,E168,IF(E168&lt;301,E168/2,E168/3)))</f>
        <v>36.5976</v>
      </c>
      <c r="G168" s="95">
        <v>0</v>
      </c>
      <c r="H168" s="95">
        <f t="shared" ref="H168:H170" si="22">(F168+(IF(G168&lt;101,G168,IF(G168&lt;201,G168/2,IF(G168&lt;=301,G168/3,G168/4)))))*(($H$144)+1)</f>
        <v>56.726280000000003</v>
      </c>
      <c r="I168" s="35"/>
      <c r="L168" s="120"/>
      <c r="M168" s="120"/>
      <c r="N168" s="35"/>
      <c r="T168" s="33"/>
    </row>
    <row r="169" spans="1:20" s="73" customFormat="1" ht="15.75" customHeight="1" x14ac:dyDescent="0.35">
      <c r="A169" s="104">
        <f t="shared" si="18"/>
        <v>21</v>
      </c>
      <c r="B169" s="104"/>
      <c r="C169" s="95" t="s">
        <v>322</v>
      </c>
      <c r="D169" s="84">
        <f>(3.74)*(10.764)</f>
        <v>40.257359999999998</v>
      </c>
      <c r="E169" s="95">
        <v>0</v>
      </c>
      <c r="F169" s="95">
        <f t="shared" si="21"/>
        <v>40.257359999999998</v>
      </c>
      <c r="G169" s="95">
        <v>0</v>
      </c>
      <c r="H169" s="95">
        <f t="shared" si="22"/>
        <v>62.398907999999999</v>
      </c>
      <c r="I169" s="35"/>
      <c r="L169" s="120"/>
      <c r="M169" s="120"/>
      <c r="N169" s="35"/>
      <c r="T169" s="21"/>
    </row>
    <row r="170" spans="1:20" s="73" customFormat="1" ht="15.75" customHeight="1" x14ac:dyDescent="0.35">
      <c r="A170" s="104">
        <f t="shared" si="18"/>
        <v>22</v>
      </c>
      <c r="B170" s="104"/>
      <c r="C170" s="95" t="s">
        <v>322</v>
      </c>
      <c r="D170" s="84">
        <f>(4.74)*(10.764)</f>
        <v>51.021360000000001</v>
      </c>
      <c r="E170" s="95">
        <v>0</v>
      </c>
      <c r="F170" s="95">
        <f t="shared" si="21"/>
        <v>51.021360000000001</v>
      </c>
      <c r="G170" s="95">
        <v>0</v>
      </c>
      <c r="H170" s="95">
        <f t="shared" si="22"/>
        <v>79.08310800000001</v>
      </c>
      <c r="I170" s="35"/>
      <c r="L170" s="120"/>
      <c r="M170" s="120"/>
      <c r="N170" s="35"/>
      <c r="T170" s="21"/>
    </row>
    <row r="171" spans="1:20" s="73" customFormat="1" ht="15.75" customHeight="1" x14ac:dyDescent="0.35">
      <c r="A171" s="102">
        <f t="shared" si="18"/>
        <v>23</v>
      </c>
      <c r="B171" s="103"/>
      <c r="C171" s="72" t="s">
        <v>322</v>
      </c>
      <c r="D171" s="84">
        <f>(3.64)*(10.764)</f>
        <v>39.180959999999999</v>
      </c>
      <c r="E171" s="72">
        <v>0</v>
      </c>
      <c r="F171" s="72">
        <f>D171+(IF(E171&lt;201,E171,IF(E171&lt;301,E171/2,E171/3)))</f>
        <v>39.180959999999999</v>
      </c>
      <c r="G171" s="65">
        <v>0</v>
      </c>
      <c r="H171" s="72">
        <f>(F171+(IF(G171&lt;101,G171,IF(G171&lt;201,G171/2,IF(G171&lt;=301,G171/3,G171/4)))))*(($H$144)+1)</f>
        <v>60.730488000000001</v>
      </c>
      <c r="I171" s="35"/>
      <c r="L171" s="120"/>
      <c r="M171" s="120"/>
      <c r="N171" s="35"/>
      <c r="T171" s="34"/>
    </row>
    <row r="172" spans="1:20" s="73" customFormat="1" ht="15.75" customHeight="1" x14ac:dyDescent="0.35">
      <c r="A172" s="102">
        <f t="shared" si="18"/>
        <v>24</v>
      </c>
      <c r="B172" s="103"/>
      <c r="C172" s="72" t="s">
        <v>322</v>
      </c>
      <c r="D172" s="84">
        <f>(3.65)*(10.764)</f>
        <v>39.288599999999995</v>
      </c>
      <c r="E172" s="72">
        <v>0</v>
      </c>
      <c r="F172" s="72">
        <f t="shared" ref="F172:F175" si="23">D172+(IF(E172&lt;201,E172,IF(E172&lt;301,E172/2,E172/3)))</f>
        <v>39.288599999999995</v>
      </c>
      <c r="G172" s="72">
        <v>0</v>
      </c>
      <c r="H172" s="72">
        <f t="shared" ref="H172:H175" si="24">(F172+(IF(G172&lt;101,G172,IF(G172&lt;201,G172/2,IF(G172&lt;=301,G172/3,G172/4)))))*(($H$144)+1)</f>
        <v>60.897329999999997</v>
      </c>
      <c r="I172" s="35"/>
      <c r="L172" s="120"/>
      <c r="M172" s="120"/>
      <c r="N172" s="35"/>
      <c r="T172" s="33"/>
    </row>
    <row r="173" spans="1:20" s="73" customFormat="1" ht="15.75" customHeight="1" x14ac:dyDescent="0.35">
      <c r="A173" s="102">
        <f t="shared" si="18"/>
        <v>25</v>
      </c>
      <c r="B173" s="103"/>
      <c r="C173" s="72" t="s">
        <v>322</v>
      </c>
      <c r="D173" s="84">
        <f>(3.74)*(10.764)</f>
        <v>40.257359999999998</v>
      </c>
      <c r="E173" s="72">
        <v>0</v>
      </c>
      <c r="F173" s="72">
        <f t="shared" si="23"/>
        <v>40.257359999999998</v>
      </c>
      <c r="G173" s="72">
        <v>0</v>
      </c>
      <c r="H173" s="72">
        <f t="shared" si="24"/>
        <v>62.398907999999999</v>
      </c>
      <c r="I173" s="35"/>
      <c r="L173" s="120"/>
      <c r="M173" s="120"/>
      <c r="N173" s="35"/>
      <c r="T173" s="21"/>
    </row>
    <row r="174" spans="1:20" s="73" customFormat="1" ht="15.75" customHeight="1" x14ac:dyDescent="0.35">
      <c r="A174" s="102">
        <f t="shared" si="18"/>
        <v>26</v>
      </c>
      <c r="B174" s="103"/>
      <c r="C174" s="72" t="s">
        <v>322</v>
      </c>
      <c r="D174" s="84">
        <f>(3.86)*(10.764)</f>
        <v>41.549039999999998</v>
      </c>
      <c r="E174" s="72">
        <v>0</v>
      </c>
      <c r="F174" s="72">
        <f t="shared" si="23"/>
        <v>41.549039999999998</v>
      </c>
      <c r="G174" s="72">
        <v>0</v>
      </c>
      <c r="H174" s="72">
        <f t="shared" si="24"/>
        <v>64.401011999999994</v>
      </c>
      <c r="I174" s="35"/>
      <c r="L174" s="120"/>
      <c r="M174" s="120"/>
      <c r="N174" s="35"/>
      <c r="T174" s="21"/>
    </row>
    <row r="175" spans="1:20" s="73" customFormat="1" ht="15.75" customHeight="1" x14ac:dyDescent="0.35">
      <c r="A175" s="102">
        <f t="shared" si="18"/>
        <v>27</v>
      </c>
      <c r="B175" s="103"/>
      <c r="C175" s="72" t="s">
        <v>322</v>
      </c>
      <c r="D175" s="84">
        <f>(3.87)*(10.764)</f>
        <v>41.656680000000001</v>
      </c>
      <c r="E175" s="72">
        <v>0</v>
      </c>
      <c r="F175" s="72">
        <f t="shared" si="23"/>
        <v>41.656680000000001</v>
      </c>
      <c r="G175" s="72">
        <v>0</v>
      </c>
      <c r="H175" s="72">
        <f t="shared" si="24"/>
        <v>64.567854000000011</v>
      </c>
      <c r="I175" s="35"/>
      <c r="L175" s="120"/>
      <c r="M175" s="120"/>
      <c r="N175" s="35"/>
      <c r="T175" s="21"/>
    </row>
    <row r="176" spans="1:20" s="73" customFormat="1" ht="15.75" customHeight="1" x14ac:dyDescent="0.35">
      <c r="A176" s="102">
        <f t="shared" si="18"/>
        <v>28</v>
      </c>
      <c r="B176" s="103"/>
      <c r="C176" s="72" t="s">
        <v>322</v>
      </c>
      <c r="D176" s="84">
        <f>(3.79)*(10.764)</f>
        <v>40.795559999999995</v>
      </c>
      <c r="E176" s="72">
        <v>0</v>
      </c>
      <c r="F176" s="72">
        <f>D176+(IF(E176&lt;201,E176,IF(E176&lt;301,E176/2,E176/3)))</f>
        <v>40.795559999999995</v>
      </c>
      <c r="G176" s="65">
        <v>0</v>
      </c>
      <c r="H176" s="72">
        <f>(F176+(IF(G176&lt;101,G176,IF(G176&lt;201,G176/2,IF(G176&lt;=301,G176/3,G176/4)))))*(($H$144)+1)</f>
        <v>63.23311799999999</v>
      </c>
      <c r="I176" s="35"/>
      <c r="L176" s="120"/>
      <c r="M176" s="120"/>
      <c r="N176" s="35"/>
      <c r="T176" s="34"/>
    </row>
    <row r="177" spans="1:20" s="73" customFormat="1" ht="15.75" customHeight="1" x14ac:dyDescent="0.35">
      <c r="A177" s="102">
        <f t="shared" si="18"/>
        <v>29</v>
      </c>
      <c r="B177" s="103"/>
      <c r="C177" s="72" t="s">
        <v>322</v>
      </c>
      <c r="D177" s="84">
        <f>(3.65)*(10.764)</f>
        <v>39.288599999999995</v>
      </c>
      <c r="E177" s="72">
        <v>0</v>
      </c>
      <c r="F177" s="72">
        <f t="shared" ref="F177:F180" si="25">D177+(IF(E177&lt;201,E177,IF(E177&lt;301,E177/2,E177/3)))</f>
        <v>39.288599999999995</v>
      </c>
      <c r="G177" s="72">
        <v>0</v>
      </c>
      <c r="H177" s="72">
        <f t="shared" ref="H177:H180" si="26">(F177+(IF(G177&lt;101,G177,IF(G177&lt;201,G177/2,IF(G177&lt;=301,G177/3,G177/4)))))*(($H$144)+1)</f>
        <v>60.897329999999997</v>
      </c>
      <c r="I177" s="35"/>
      <c r="L177" s="120"/>
      <c r="M177" s="120"/>
      <c r="N177" s="35"/>
      <c r="T177" s="33"/>
    </row>
    <row r="178" spans="1:20" s="73" customFormat="1" ht="15.75" customHeight="1" x14ac:dyDescent="0.35">
      <c r="A178" s="102">
        <f t="shared" si="18"/>
        <v>30</v>
      </c>
      <c r="B178" s="103"/>
      <c r="C178" s="72" t="s">
        <v>322</v>
      </c>
      <c r="D178" s="84">
        <f>(3.64)*(10.764)</f>
        <v>39.180959999999999</v>
      </c>
      <c r="E178" s="72">
        <v>0</v>
      </c>
      <c r="F178" s="72">
        <f t="shared" si="25"/>
        <v>39.180959999999999</v>
      </c>
      <c r="G178" s="72">
        <v>0</v>
      </c>
      <c r="H178" s="72">
        <f t="shared" si="26"/>
        <v>60.730488000000001</v>
      </c>
      <c r="I178" s="35"/>
      <c r="L178" s="120"/>
      <c r="M178" s="120"/>
      <c r="N178" s="35"/>
      <c r="T178" s="21"/>
    </row>
    <row r="179" spans="1:20" s="73" customFormat="1" ht="15.75" customHeight="1" x14ac:dyDescent="0.35">
      <c r="A179" s="102">
        <f t="shared" si="18"/>
        <v>31</v>
      </c>
      <c r="B179" s="103"/>
      <c r="C179" s="72" t="s">
        <v>322</v>
      </c>
      <c r="D179" s="84">
        <f>(4.73)*(10.764)</f>
        <v>50.913720000000005</v>
      </c>
      <c r="E179" s="72">
        <v>0</v>
      </c>
      <c r="F179" s="72">
        <f t="shared" si="25"/>
        <v>50.913720000000005</v>
      </c>
      <c r="G179" s="72">
        <v>0</v>
      </c>
      <c r="H179" s="72">
        <f t="shared" si="26"/>
        <v>78.916266000000007</v>
      </c>
      <c r="I179" s="35"/>
      <c r="L179" s="120"/>
      <c r="M179" s="120"/>
      <c r="N179" s="35"/>
      <c r="T179" s="21"/>
    </row>
    <row r="180" spans="1:20" s="73" customFormat="1" ht="15.75" customHeight="1" x14ac:dyDescent="0.35">
      <c r="A180" s="102">
        <f t="shared" si="18"/>
        <v>32</v>
      </c>
      <c r="B180" s="103"/>
      <c r="C180" s="72" t="s">
        <v>322</v>
      </c>
      <c r="D180" s="84">
        <f>(3.74)*(10.764)</f>
        <v>40.257359999999998</v>
      </c>
      <c r="E180" s="72">
        <v>0</v>
      </c>
      <c r="F180" s="72">
        <f t="shared" si="25"/>
        <v>40.257359999999998</v>
      </c>
      <c r="G180" s="72">
        <v>0</v>
      </c>
      <c r="H180" s="72">
        <f t="shared" si="26"/>
        <v>62.398907999999999</v>
      </c>
      <c r="I180" s="35"/>
      <c r="L180" s="120"/>
      <c r="M180" s="120"/>
      <c r="N180" s="35"/>
      <c r="T180" s="21"/>
    </row>
    <row r="181" spans="1:20" s="73" customFormat="1" ht="15.75" customHeight="1" x14ac:dyDescent="0.35">
      <c r="A181" s="102">
        <f t="shared" si="18"/>
        <v>33</v>
      </c>
      <c r="B181" s="103"/>
      <c r="C181" s="72" t="s">
        <v>322</v>
      </c>
      <c r="D181" s="84">
        <f>(3.4)*(10.764)</f>
        <v>36.5976</v>
      </c>
      <c r="E181" s="72">
        <v>0</v>
      </c>
      <c r="F181" s="72">
        <f t="shared" ref="F181:F182" si="27">D181+(IF(E181&lt;201,E181,IF(E181&lt;301,E181/2,E181/3)))</f>
        <v>36.5976</v>
      </c>
      <c r="G181" s="72">
        <v>0</v>
      </c>
      <c r="H181" s="72">
        <f t="shared" ref="H181:H182" si="28">(F181+(IF(G181&lt;101,G181,IF(G181&lt;201,G181/2,IF(G181&lt;=301,G181/3,G181/4)))))*(($H$144)+1)</f>
        <v>56.726280000000003</v>
      </c>
      <c r="I181" s="35"/>
      <c r="L181" s="120"/>
      <c r="M181" s="120"/>
      <c r="N181" s="35"/>
      <c r="T181" s="21"/>
    </row>
    <row r="182" spans="1:20" s="73" customFormat="1" ht="15.75" customHeight="1" x14ac:dyDescent="0.35">
      <c r="A182" s="102">
        <f t="shared" si="18"/>
        <v>34</v>
      </c>
      <c r="B182" s="103"/>
      <c r="C182" s="72" t="s">
        <v>322</v>
      </c>
      <c r="D182" s="84">
        <f>(3.18)*(10.764)</f>
        <v>34.229520000000001</v>
      </c>
      <c r="E182" s="72">
        <v>0</v>
      </c>
      <c r="F182" s="72">
        <f t="shared" si="27"/>
        <v>34.229520000000001</v>
      </c>
      <c r="G182" s="72">
        <v>0</v>
      </c>
      <c r="H182" s="72">
        <f t="shared" si="28"/>
        <v>53.055756000000002</v>
      </c>
      <c r="I182" s="35"/>
      <c r="L182" s="120"/>
      <c r="M182" s="120"/>
      <c r="N182" s="35"/>
      <c r="T182" s="21"/>
    </row>
    <row r="183" spans="1:20" s="73" customFormat="1" ht="15.75" customHeight="1" x14ac:dyDescent="0.35">
      <c r="A183" s="122" t="s">
        <v>329</v>
      </c>
      <c r="B183" s="123"/>
      <c r="C183" s="123"/>
      <c r="D183" s="123"/>
      <c r="E183" s="123"/>
      <c r="F183" s="123"/>
      <c r="G183" s="123"/>
      <c r="H183" s="124"/>
      <c r="I183" s="35"/>
      <c r="N183" s="35"/>
      <c r="T183" s="21"/>
    </row>
    <row r="184" spans="1:20" s="73" customFormat="1" ht="33.75" customHeight="1" x14ac:dyDescent="0.35">
      <c r="A184" s="105" t="s">
        <v>331</v>
      </c>
      <c r="B184" s="106"/>
      <c r="C184" s="106"/>
      <c r="D184" s="106"/>
      <c r="E184" s="106"/>
      <c r="F184" s="106"/>
      <c r="G184" s="106"/>
      <c r="H184" s="107"/>
      <c r="J184" s="35"/>
      <c r="T184" s="34"/>
    </row>
    <row r="185" spans="1:20" s="73" customFormat="1" ht="15.75" customHeight="1" x14ac:dyDescent="0.35">
      <c r="A185" s="102">
        <v>1</v>
      </c>
      <c r="B185" s="103"/>
      <c r="C185" s="72" t="s">
        <v>322</v>
      </c>
      <c r="D185" s="84">
        <f>(4.01)*(10.764)</f>
        <v>43.163639999999994</v>
      </c>
      <c r="E185" s="72">
        <v>0</v>
      </c>
      <c r="F185" s="72">
        <f>D185+(IF(E185&lt;201,E185,IF(E185&lt;301,E185/2,E185/3)))</f>
        <v>43.163639999999994</v>
      </c>
      <c r="G185" s="65">
        <v>0</v>
      </c>
      <c r="H185" s="72">
        <f>(F185+(IF(G185&lt;101,G185,IF(G185&lt;201,G185/2,IF(G185&lt;=301,G185/3,G185/4)))))*(($H$144)+1)</f>
        <v>66.903641999999991</v>
      </c>
      <c r="I185" s="35">
        <f>1.48*2.65</f>
        <v>3.9219999999999997</v>
      </c>
      <c r="L185" s="120"/>
      <c r="M185" s="120"/>
      <c r="N185" s="35"/>
      <c r="T185" s="34"/>
    </row>
    <row r="186" spans="1:20" s="73" customFormat="1" ht="15.75" customHeight="1" x14ac:dyDescent="0.35">
      <c r="A186" s="102">
        <f>A185+1</f>
        <v>2</v>
      </c>
      <c r="B186" s="103"/>
      <c r="C186" s="72" t="s">
        <v>322</v>
      </c>
      <c r="D186" s="84">
        <f>(4.01)*(10.764)</f>
        <v>43.163639999999994</v>
      </c>
      <c r="E186" s="72">
        <v>0</v>
      </c>
      <c r="F186" s="72">
        <f t="shared" ref="F186:F188" si="29">D186+(IF(E186&lt;201,E186,IF(E186&lt;301,E186/2,E186/3)))</f>
        <v>43.163639999999994</v>
      </c>
      <c r="G186" s="72">
        <v>0</v>
      </c>
      <c r="H186" s="72">
        <f t="shared" ref="H186:H188" si="30">(F186+(IF(G186&lt;101,G186,IF(G186&lt;201,G186/2,IF(G186&lt;=301,G186/3,G186/4)))))*(($H$144)+1)</f>
        <v>66.903641999999991</v>
      </c>
      <c r="I186" s="35"/>
      <c r="L186" s="120"/>
      <c r="M186" s="120"/>
      <c r="N186" s="35"/>
      <c r="T186" s="33"/>
    </row>
    <row r="187" spans="1:20" s="73" customFormat="1" ht="15.75" customHeight="1" x14ac:dyDescent="0.35">
      <c r="A187" s="102">
        <f>A186+1</f>
        <v>3</v>
      </c>
      <c r="B187" s="103"/>
      <c r="C187" s="72" t="s">
        <v>322</v>
      </c>
      <c r="D187" s="84">
        <f>(4.23)*(10.764)</f>
        <v>45.53172</v>
      </c>
      <c r="E187" s="72">
        <v>0</v>
      </c>
      <c r="F187" s="72">
        <f t="shared" si="29"/>
        <v>45.53172</v>
      </c>
      <c r="G187" s="72">
        <v>0</v>
      </c>
      <c r="H187" s="72">
        <f t="shared" si="30"/>
        <v>70.574166000000005</v>
      </c>
      <c r="I187" s="35"/>
      <c r="L187" s="120"/>
      <c r="M187" s="120"/>
      <c r="N187" s="35"/>
      <c r="T187" s="21"/>
    </row>
    <row r="188" spans="1:20" s="73" customFormat="1" ht="15.75" customHeight="1" x14ac:dyDescent="0.35">
      <c r="A188" s="102">
        <f>A187+1</f>
        <v>4</v>
      </c>
      <c r="B188" s="103"/>
      <c r="C188" s="72" t="s">
        <v>322</v>
      </c>
      <c r="D188" s="84">
        <f>(4.09)*(10.764)</f>
        <v>44.024759999999993</v>
      </c>
      <c r="E188" s="72">
        <v>0</v>
      </c>
      <c r="F188" s="72">
        <f t="shared" si="29"/>
        <v>44.024759999999993</v>
      </c>
      <c r="G188" s="72">
        <v>0</v>
      </c>
      <c r="H188" s="72">
        <f t="shared" si="30"/>
        <v>68.238377999999997</v>
      </c>
      <c r="I188" s="35"/>
      <c r="L188" s="120"/>
      <c r="M188" s="120"/>
      <c r="N188" s="35"/>
      <c r="T188" s="21"/>
    </row>
    <row r="189" spans="1:20" s="73" customFormat="1" ht="15.75" customHeight="1" x14ac:dyDescent="0.35">
      <c r="A189" s="102">
        <f t="shared" ref="A189:A193" si="31">A188+1</f>
        <v>5</v>
      </c>
      <c r="B189" s="103"/>
      <c r="C189" s="72" t="s">
        <v>322</v>
      </c>
      <c r="D189" s="84">
        <f>(2.53)*(10.764)</f>
        <v>27.232919999999996</v>
      </c>
      <c r="E189" s="72">
        <v>0</v>
      </c>
      <c r="F189" s="72">
        <f>D189+(IF(E189&lt;201,E189,IF(E189&lt;301,E189/2,E189/3)))</f>
        <v>27.232919999999996</v>
      </c>
      <c r="G189" s="65">
        <v>0</v>
      </c>
      <c r="H189" s="72">
        <f>(F189+(IF(G189&lt;101,G189,IF(G189&lt;201,G189/2,IF(G189&lt;=301,G189/3,G189/4)))))*(($H$144)+1)</f>
        <v>42.211025999999997</v>
      </c>
      <c r="I189" s="35"/>
      <c r="L189" s="120"/>
      <c r="M189" s="120"/>
      <c r="N189" s="35"/>
      <c r="T189" s="34"/>
    </row>
    <row r="190" spans="1:20" s="73" customFormat="1" ht="15.75" customHeight="1" x14ac:dyDescent="0.35">
      <c r="A190" s="102">
        <f t="shared" si="31"/>
        <v>6</v>
      </c>
      <c r="B190" s="103"/>
      <c r="C190" s="72" t="s">
        <v>322</v>
      </c>
      <c r="D190" s="84">
        <f>(4.01)*(10.764)</f>
        <v>43.163639999999994</v>
      </c>
      <c r="E190" s="72">
        <v>0</v>
      </c>
      <c r="F190" s="72">
        <f t="shared" ref="F190:F193" si="32">D190+(IF(E190&lt;201,E190,IF(E190&lt;301,E190/2,E190/3)))</f>
        <v>43.163639999999994</v>
      </c>
      <c r="G190" s="72">
        <v>0</v>
      </c>
      <c r="H190" s="72">
        <f t="shared" ref="H190:H193" si="33">(F190+(IF(G190&lt;101,G190,IF(G190&lt;201,G190/2,IF(G190&lt;=301,G190/3,G190/4)))))*(($H$144)+1)</f>
        <v>66.903641999999991</v>
      </c>
      <c r="I190" s="35"/>
      <c r="L190" s="120"/>
      <c r="M190" s="120"/>
      <c r="N190" s="35"/>
      <c r="T190" s="33"/>
    </row>
    <row r="191" spans="1:20" s="73" customFormat="1" ht="15.75" customHeight="1" x14ac:dyDescent="0.35">
      <c r="A191" s="102">
        <f t="shared" si="31"/>
        <v>7</v>
      </c>
      <c r="B191" s="103"/>
      <c r="C191" s="72" t="s">
        <v>322</v>
      </c>
      <c r="D191" s="84">
        <f>(4.14)*(10.764)</f>
        <v>44.562959999999997</v>
      </c>
      <c r="E191" s="72">
        <v>0</v>
      </c>
      <c r="F191" s="72">
        <f t="shared" si="32"/>
        <v>44.562959999999997</v>
      </c>
      <c r="G191" s="72">
        <v>0</v>
      </c>
      <c r="H191" s="72">
        <f t="shared" si="33"/>
        <v>69.072587999999996</v>
      </c>
      <c r="I191" s="35"/>
      <c r="L191" s="120"/>
      <c r="M191" s="120"/>
      <c r="N191" s="35"/>
      <c r="T191" s="21"/>
    </row>
    <row r="192" spans="1:20" s="73" customFormat="1" ht="15.75" customHeight="1" x14ac:dyDescent="0.35">
      <c r="A192" s="102">
        <f t="shared" si="31"/>
        <v>8</v>
      </c>
      <c r="B192" s="103"/>
      <c r="C192" s="72" t="s">
        <v>322</v>
      </c>
      <c r="D192" s="84">
        <f>(3.81)*(10.764)</f>
        <v>41.010839999999995</v>
      </c>
      <c r="E192" s="72">
        <v>0</v>
      </c>
      <c r="F192" s="72">
        <f t="shared" si="32"/>
        <v>41.010839999999995</v>
      </c>
      <c r="G192" s="72">
        <v>0</v>
      </c>
      <c r="H192" s="72">
        <f t="shared" si="33"/>
        <v>63.566801999999996</v>
      </c>
      <c r="I192" s="35"/>
      <c r="L192" s="120"/>
      <c r="M192" s="120"/>
      <c r="N192" s="35"/>
      <c r="T192" s="21"/>
    </row>
    <row r="193" spans="1:20" s="73" customFormat="1" ht="15.75" customHeight="1" x14ac:dyDescent="0.35">
      <c r="A193" s="102">
        <f t="shared" si="31"/>
        <v>9</v>
      </c>
      <c r="B193" s="103"/>
      <c r="C193" s="72" t="s">
        <v>322</v>
      </c>
      <c r="D193" s="84">
        <f>(4.32)*(10.764)</f>
        <v>46.500480000000003</v>
      </c>
      <c r="E193" s="72">
        <v>0</v>
      </c>
      <c r="F193" s="72">
        <f t="shared" si="32"/>
        <v>46.500480000000003</v>
      </c>
      <c r="G193" s="72">
        <v>0</v>
      </c>
      <c r="H193" s="72">
        <f t="shared" si="33"/>
        <v>72.075744</v>
      </c>
      <c r="I193" s="35">
        <f>1.7*2.49</f>
        <v>4.2330000000000005</v>
      </c>
      <c r="L193" s="120"/>
      <c r="M193" s="120"/>
      <c r="N193" s="35"/>
      <c r="T193" s="21"/>
    </row>
    <row r="194" spans="1:20" s="73" customFormat="1" ht="15.75" customHeight="1" x14ac:dyDescent="0.35">
      <c r="A194" s="102" t="s">
        <v>332</v>
      </c>
      <c r="B194" s="103"/>
      <c r="C194" s="111" t="s">
        <v>334</v>
      </c>
      <c r="D194" s="112"/>
      <c r="E194" s="112"/>
      <c r="F194" s="112"/>
      <c r="G194" s="112"/>
      <c r="H194" s="113"/>
      <c r="I194" s="35"/>
      <c r="L194" s="120"/>
      <c r="M194" s="120"/>
      <c r="N194" s="35"/>
      <c r="T194" s="34"/>
    </row>
    <row r="195" spans="1:20" s="73" customFormat="1" ht="15.75" customHeight="1" x14ac:dyDescent="0.35">
      <c r="A195" s="102" t="s">
        <v>333</v>
      </c>
      <c r="B195" s="103"/>
      <c r="C195" s="117"/>
      <c r="D195" s="118"/>
      <c r="E195" s="118"/>
      <c r="F195" s="118"/>
      <c r="G195" s="118"/>
      <c r="H195" s="119"/>
      <c r="I195" s="35"/>
      <c r="L195" s="120"/>
      <c r="M195" s="120"/>
      <c r="N195" s="35"/>
      <c r="T195" s="33"/>
    </row>
    <row r="196" spans="1:20" s="78" customFormat="1" ht="15.75" hidden="1" customHeight="1" x14ac:dyDescent="0.35">
      <c r="A196" s="122" t="s">
        <v>335</v>
      </c>
      <c r="B196" s="123"/>
      <c r="C196" s="123"/>
      <c r="D196" s="123"/>
      <c r="E196" s="123"/>
      <c r="F196" s="123"/>
      <c r="G196" s="123"/>
      <c r="H196" s="124"/>
      <c r="I196" s="35"/>
      <c r="N196" s="35"/>
      <c r="T196" s="21"/>
    </row>
    <row r="197" spans="1:20" s="78" customFormat="1" ht="15.75" hidden="1" customHeight="1" x14ac:dyDescent="0.35">
      <c r="A197" s="122" t="s">
        <v>337</v>
      </c>
      <c r="B197" s="123"/>
      <c r="C197" s="123"/>
      <c r="D197" s="123"/>
      <c r="E197" s="123"/>
      <c r="F197" s="123"/>
      <c r="G197" s="123"/>
      <c r="H197" s="124"/>
      <c r="I197" s="35"/>
      <c r="N197" s="35"/>
      <c r="T197" s="21"/>
    </row>
    <row r="198" spans="1:20" s="78" customFormat="1" hidden="1" x14ac:dyDescent="0.35">
      <c r="A198" s="105" t="s">
        <v>336</v>
      </c>
      <c r="B198" s="106"/>
      <c r="C198" s="106"/>
      <c r="D198" s="106"/>
      <c r="E198" s="106"/>
      <c r="F198" s="106"/>
      <c r="G198" s="106"/>
      <c r="H198" s="107"/>
      <c r="J198" s="35"/>
      <c r="T198" s="34"/>
    </row>
    <row r="199" spans="1:20" s="78" customFormat="1" ht="15.75" hidden="1" customHeight="1" x14ac:dyDescent="0.35">
      <c r="A199" s="102">
        <v>1</v>
      </c>
      <c r="B199" s="103"/>
      <c r="C199" s="79" t="s">
        <v>322</v>
      </c>
      <c r="D199" s="84">
        <f>(178.66)*(10.764)</f>
        <v>1923.0962399999999</v>
      </c>
      <c r="E199" s="79">
        <v>0</v>
      </c>
      <c r="F199" s="79">
        <f>D199+(IF(E199&lt;201,E199,IF(E199&lt;301,E199/2,E199/3)))</f>
        <v>1923.0962399999999</v>
      </c>
      <c r="G199" s="65">
        <v>0</v>
      </c>
      <c r="H199" s="79">
        <f>(F199+(IF(G199&lt;101,G199,IF(G199&lt;201,G199/2,IF(G199&lt;=301,G199/3,G199/4)))))*(($H$144)+1)</f>
        <v>2980.799172</v>
      </c>
      <c r="I199" s="35">
        <f>(12.72*10.94+2.6*8.34+3.3*1.2+3.3*1.1+3.3*1.2+3.3*1.1)</f>
        <v>176.02080000000001</v>
      </c>
      <c r="L199" s="120"/>
      <c r="M199" s="120"/>
      <c r="N199" s="35"/>
      <c r="T199" s="34"/>
    </row>
    <row r="200" spans="1:20" s="78" customFormat="1" ht="15.75" hidden="1" customHeight="1" x14ac:dyDescent="0.35">
      <c r="A200" s="102">
        <f>A199+1</f>
        <v>2</v>
      </c>
      <c r="B200" s="103"/>
      <c r="C200" s="79" t="s">
        <v>322</v>
      </c>
      <c r="D200" s="84">
        <f>(178.66)*(10.764)</f>
        <v>1923.0962399999999</v>
      </c>
      <c r="E200" s="79">
        <v>0</v>
      </c>
      <c r="F200" s="79">
        <f t="shared" ref="F200" si="34">D200+(IF(E200&lt;201,E200,IF(E200&lt;301,E200/2,E200/3)))</f>
        <v>1923.0962399999999</v>
      </c>
      <c r="G200" s="79">
        <v>0</v>
      </c>
      <c r="H200" s="79">
        <f>(F200+(IF(G200&lt;101,G200,IF(G200&lt;201,G200/2,IF(G200&lt;=301,G200/3,G200/4)))))*(($H$144)+1)</f>
        <v>2980.799172</v>
      </c>
      <c r="I200" s="35"/>
      <c r="L200" s="120"/>
      <c r="M200" s="120"/>
      <c r="N200" s="35"/>
      <c r="T200" s="33"/>
    </row>
    <row r="201" spans="1:20" s="36" customFormat="1" x14ac:dyDescent="0.35">
      <c r="A201" s="102"/>
      <c r="B201" s="110"/>
      <c r="C201" s="110"/>
      <c r="D201" s="110"/>
      <c r="E201" s="110"/>
      <c r="F201" s="110"/>
      <c r="G201" s="110"/>
      <c r="H201" s="103"/>
      <c r="I201" s="35"/>
      <c r="N201" s="35"/>
    </row>
    <row r="202" spans="1:20" ht="47.25" customHeight="1" x14ac:dyDescent="0.35">
      <c r="A202" s="125" t="s">
        <v>118</v>
      </c>
      <c r="B202" s="169" t="s">
        <v>178</v>
      </c>
      <c r="C202" s="169" t="s">
        <v>55</v>
      </c>
      <c r="D202" s="127" t="s">
        <v>232</v>
      </c>
      <c r="E202" s="127" t="s">
        <v>367</v>
      </c>
      <c r="F202" s="127" t="s">
        <v>56</v>
      </c>
      <c r="G202" s="164" t="s">
        <v>57</v>
      </c>
      <c r="H202" s="86" t="s">
        <v>148</v>
      </c>
      <c r="I202" s="35"/>
      <c r="T202" s="36"/>
    </row>
    <row r="203" spans="1:20" s="36" customFormat="1" x14ac:dyDescent="0.35">
      <c r="A203" s="126"/>
      <c r="B203" s="170"/>
      <c r="C203" s="170"/>
      <c r="D203" s="128"/>
      <c r="E203" s="128"/>
      <c r="F203" s="128"/>
      <c r="G203" s="165"/>
      <c r="H203" s="87">
        <v>0.45</v>
      </c>
      <c r="I203" s="35"/>
    </row>
    <row r="204" spans="1:20" s="71" customFormat="1" x14ac:dyDescent="0.35">
      <c r="A204" s="122" t="s">
        <v>314</v>
      </c>
      <c r="B204" s="123"/>
      <c r="C204" s="123"/>
      <c r="D204" s="123"/>
      <c r="E204" s="123"/>
      <c r="F204" s="123"/>
      <c r="G204" s="123"/>
      <c r="H204" s="124"/>
      <c r="I204" s="35"/>
    </row>
    <row r="205" spans="1:20" s="71" customFormat="1" x14ac:dyDescent="0.35">
      <c r="A205" s="122" t="s">
        <v>311</v>
      </c>
      <c r="B205" s="123"/>
      <c r="C205" s="123"/>
      <c r="D205" s="123"/>
      <c r="E205" s="123"/>
      <c r="F205" s="123"/>
      <c r="G205" s="123"/>
      <c r="H205" s="124"/>
      <c r="I205" s="35"/>
    </row>
    <row r="206" spans="1:20" s="71" customFormat="1" ht="31.5" customHeight="1" x14ac:dyDescent="0.35">
      <c r="A206" s="122" t="s">
        <v>312</v>
      </c>
      <c r="B206" s="123"/>
      <c r="C206" s="123"/>
      <c r="D206" s="123"/>
      <c r="E206" s="123"/>
      <c r="F206" s="123"/>
      <c r="G206" s="123"/>
      <c r="H206" s="124"/>
      <c r="I206" s="35"/>
    </row>
    <row r="207" spans="1:20" s="71" customFormat="1" x14ac:dyDescent="0.35">
      <c r="A207" s="122" t="s">
        <v>317</v>
      </c>
      <c r="B207" s="123"/>
      <c r="C207" s="123"/>
      <c r="D207" s="123"/>
      <c r="E207" s="123"/>
      <c r="F207" s="123"/>
      <c r="G207" s="123"/>
      <c r="H207" s="124"/>
      <c r="I207" s="35"/>
    </row>
    <row r="208" spans="1:20" s="71" customFormat="1" x14ac:dyDescent="0.35">
      <c r="A208" s="122" t="s">
        <v>316</v>
      </c>
      <c r="B208" s="123"/>
      <c r="C208" s="123"/>
      <c r="D208" s="123"/>
      <c r="E208" s="123"/>
      <c r="F208" s="123"/>
      <c r="G208" s="123"/>
      <c r="H208" s="124"/>
      <c r="I208" s="35"/>
    </row>
    <row r="209" spans="1:14" s="73" customFormat="1" x14ac:dyDescent="0.35">
      <c r="A209" s="105" t="s">
        <v>318</v>
      </c>
      <c r="B209" s="106"/>
      <c r="C209" s="106"/>
      <c r="D209" s="106"/>
      <c r="E209" s="106"/>
      <c r="F209" s="106"/>
      <c r="G209" s="106"/>
      <c r="H209" s="107"/>
      <c r="I209" s="35"/>
      <c r="K209" s="84">
        <f>10.764</f>
        <v>10.763999999999999</v>
      </c>
    </row>
    <row r="210" spans="1:14" s="73" customFormat="1" ht="15.75" customHeight="1" x14ac:dyDescent="0.35">
      <c r="A210" s="102">
        <v>1</v>
      </c>
      <c r="B210" s="103"/>
      <c r="C210" s="111" t="s">
        <v>321</v>
      </c>
      <c r="D210" s="112"/>
      <c r="E210" s="112"/>
      <c r="F210" s="112"/>
      <c r="G210" s="112"/>
      <c r="H210" s="113"/>
      <c r="I210" s="35"/>
    </row>
    <row r="211" spans="1:14" s="73" customFormat="1" ht="15.75" customHeight="1" x14ac:dyDescent="0.35">
      <c r="A211" s="102">
        <v>2</v>
      </c>
      <c r="B211" s="103"/>
      <c r="C211" s="117"/>
      <c r="D211" s="118"/>
      <c r="E211" s="118"/>
      <c r="F211" s="118"/>
      <c r="G211" s="118"/>
      <c r="H211" s="119"/>
      <c r="I211" s="35"/>
    </row>
    <row r="212" spans="1:14" s="73" customFormat="1" ht="15.75" customHeight="1" x14ac:dyDescent="0.35">
      <c r="A212" s="102">
        <v>3</v>
      </c>
      <c r="B212" s="103"/>
      <c r="C212" s="90" t="s">
        <v>369</v>
      </c>
      <c r="D212" s="84">
        <f>(43.7)*(10.764)</f>
        <v>470.38679999999999</v>
      </c>
      <c r="E212" s="72">
        <v>0</v>
      </c>
      <c r="F212" s="72">
        <f>D212+E212</f>
        <v>470.38679999999999</v>
      </c>
      <c r="G212" s="72">
        <v>0</v>
      </c>
      <c r="H212" s="72">
        <f>F212*(($H$203)+1)+(IF(G212&lt;101,G212,IF(G212&lt;201,G212/2,IF(G212&lt;=301,G212/3,G212/4))))</f>
        <v>682.06085999999993</v>
      </c>
      <c r="I212" s="35">
        <f>(3.8*2.95+2.15*2.45+2.45*2.1+3.6*2.75+1*2.15+0.23*1.3+1.18*2.15+0.05*1.3+1*2.2+1.38*0.6+0.2*1.5+0.15*2.55+1.35*0.9)</f>
        <v>41.499000000000002</v>
      </c>
    </row>
    <row r="213" spans="1:14" s="73" customFormat="1" ht="15.75" customHeight="1" x14ac:dyDescent="0.35">
      <c r="A213" s="102">
        <v>4</v>
      </c>
      <c r="B213" s="103"/>
      <c r="C213" s="90" t="s">
        <v>369</v>
      </c>
      <c r="D213" s="84">
        <f>(43.7)*(10.764)</f>
        <v>470.38679999999999</v>
      </c>
      <c r="E213" s="72">
        <v>0</v>
      </c>
      <c r="F213" s="72">
        <f>D213+E213</f>
        <v>470.38679999999999</v>
      </c>
      <c r="G213" s="72">
        <v>0</v>
      </c>
      <c r="H213" s="72">
        <f>F213*(($H$203)+1)+(IF(G213&lt;101,G213,IF(G213&lt;201,G213/2,IF(G213&lt;=301,G213/3,G213/4))))</f>
        <v>682.06085999999993</v>
      </c>
      <c r="I213" s="35"/>
    </row>
    <row r="214" spans="1:14" s="73" customFormat="1" ht="15.75" customHeight="1" x14ac:dyDescent="0.35">
      <c r="A214" s="102">
        <v>5</v>
      </c>
      <c r="B214" s="103"/>
      <c r="C214" s="72" t="s">
        <v>319</v>
      </c>
      <c r="D214" s="84">
        <f>(61.19)*(10.764)</f>
        <v>658.64915999999994</v>
      </c>
      <c r="E214" s="84">
        <f>(3.55)*(10.764)</f>
        <v>38.212199999999996</v>
      </c>
      <c r="F214" s="72">
        <f>D214+E214</f>
        <v>696.86135999999988</v>
      </c>
      <c r="G214" s="72">
        <v>0</v>
      </c>
      <c r="H214" s="72">
        <f>F214*(($H$203)+1)+(IF(G214&lt;101,G214,IF(G214&lt;201,G214/2,IF(G214&lt;=301,G214/3,G214/4))))</f>
        <v>1010.4489719999998</v>
      </c>
      <c r="I214" s="35">
        <f>(3.05*5.01+2.75*2.29+2.89*3.2+3*4.28+2.36*1.38+2.28*1.2+1.6*0.18+0.55*0.93+2.64*0.93+1.25*1.53+1.5*0.2+0.9*1.49+1.25*0.62)</f>
        <v>57.241999999999983</v>
      </c>
      <c r="J214" s="73">
        <f>3.02*1.05</f>
        <v>3.1710000000000003</v>
      </c>
    </row>
    <row r="215" spans="1:14" s="73" customFormat="1" ht="15.75" customHeight="1" x14ac:dyDescent="0.35">
      <c r="A215" s="102">
        <v>6</v>
      </c>
      <c r="B215" s="103"/>
      <c r="C215" s="72" t="s">
        <v>319</v>
      </c>
      <c r="D215" s="84">
        <f>(61.19)*(10.764)</f>
        <v>658.64915999999994</v>
      </c>
      <c r="E215" s="84">
        <f>(3.55)*(10.764)</f>
        <v>38.212199999999996</v>
      </c>
      <c r="F215" s="72">
        <f>D215+E215</f>
        <v>696.86135999999988</v>
      </c>
      <c r="G215" s="72">
        <v>0</v>
      </c>
      <c r="H215" s="72">
        <f>F215*(($H$203)+1)+(IF(G215&lt;101,G215,IF(G215&lt;201,G215/2,IF(G215&lt;=301,G215/3,G215/4))))</f>
        <v>1010.4489719999998</v>
      </c>
      <c r="I215" s="35"/>
    </row>
    <row r="216" spans="1:14" s="73" customFormat="1" ht="15.75" customHeight="1" x14ac:dyDescent="0.35">
      <c r="A216" s="102">
        <v>7</v>
      </c>
      <c r="B216" s="103"/>
      <c r="C216" s="111" t="s">
        <v>321</v>
      </c>
      <c r="D216" s="112" t="s">
        <v>321</v>
      </c>
      <c r="E216" s="112"/>
      <c r="F216" s="112"/>
      <c r="G216" s="112"/>
      <c r="H216" s="113"/>
      <c r="I216" s="35"/>
    </row>
    <row r="217" spans="1:14" s="73" customFormat="1" ht="15.75" customHeight="1" x14ac:dyDescent="0.35">
      <c r="A217" s="102">
        <v>8</v>
      </c>
      <c r="B217" s="103"/>
      <c r="C217" s="117" t="s">
        <v>320</v>
      </c>
      <c r="D217" s="118"/>
      <c r="E217" s="118"/>
      <c r="F217" s="118"/>
      <c r="G217" s="118"/>
      <c r="H217" s="119"/>
      <c r="I217" s="35"/>
    </row>
    <row r="218" spans="1:14" s="73" customFormat="1" x14ac:dyDescent="0.35">
      <c r="A218" s="121" t="s">
        <v>324</v>
      </c>
      <c r="B218" s="121"/>
      <c r="C218" s="121"/>
      <c r="D218" s="121"/>
      <c r="E218" s="121"/>
      <c r="F218" s="121"/>
      <c r="G218" s="121"/>
      <c r="H218" s="121"/>
      <c r="I218" s="35"/>
      <c r="L218" s="120">
        <f>22500/1.45</f>
        <v>15517.241379310346</v>
      </c>
      <c r="M218" s="120"/>
    </row>
    <row r="219" spans="1:14" s="73" customFormat="1" x14ac:dyDescent="0.35">
      <c r="A219" s="104">
        <v>1</v>
      </c>
      <c r="B219" s="104"/>
      <c r="C219" s="111" t="s">
        <v>321</v>
      </c>
      <c r="D219" s="112" t="s">
        <v>321</v>
      </c>
      <c r="E219" s="112"/>
      <c r="F219" s="112"/>
      <c r="G219" s="112"/>
      <c r="H219" s="113"/>
      <c r="I219" s="35"/>
      <c r="N219" s="35"/>
    </row>
    <row r="220" spans="1:14" s="73" customFormat="1" x14ac:dyDescent="0.35">
      <c r="A220" s="104">
        <f t="shared" ref="A220:A226" si="35">A219+1</f>
        <v>2</v>
      </c>
      <c r="B220" s="104"/>
      <c r="C220" s="117" t="s">
        <v>320</v>
      </c>
      <c r="D220" s="118"/>
      <c r="E220" s="118"/>
      <c r="F220" s="118"/>
      <c r="G220" s="118"/>
      <c r="H220" s="119"/>
      <c r="I220" s="35"/>
      <c r="N220" s="35"/>
    </row>
    <row r="221" spans="1:14" s="73" customFormat="1" x14ac:dyDescent="0.35">
      <c r="A221" s="104">
        <f t="shared" si="35"/>
        <v>3</v>
      </c>
      <c r="B221" s="104"/>
      <c r="C221" s="90" t="s">
        <v>369</v>
      </c>
      <c r="D221" s="84">
        <f>(43.7)*(10.764)</f>
        <v>470.38679999999999</v>
      </c>
      <c r="E221" s="72">
        <v>0</v>
      </c>
      <c r="F221" s="72">
        <f>D221+E221</f>
        <v>470.38679999999999</v>
      </c>
      <c r="G221" s="72">
        <v>0</v>
      </c>
      <c r="H221" s="72">
        <f>F221*(($H$203)+1)+(IF(G221&lt;101,G221,IF(G221&lt;201,G221/2,IF(G221&lt;=301,G221/3,G221/4))))</f>
        <v>682.06085999999993</v>
      </c>
      <c r="I221" s="35"/>
      <c r="J221" s="73">
        <f>86000000/H221</f>
        <v>126088.45492174996</v>
      </c>
      <c r="N221" s="35"/>
    </row>
    <row r="222" spans="1:14" s="73" customFormat="1" x14ac:dyDescent="0.35">
      <c r="A222" s="104">
        <f t="shared" si="35"/>
        <v>4</v>
      </c>
      <c r="B222" s="104"/>
      <c r="C222" s="90" t="s">
        <v>369</v>
      </c>
      <c r="D222" s="84">
        <f>(43.7)*(10.764)</f>
        <v>470.38679999999999</v>
      </c>
      <c r="E222" s="72">
        <v>0</v>
      </c>
      <c r="F222" s="72">
        <f>D222+E222</f>
        <v>470.38679999999999</v>
      </c>
      <c r="G222" s="72">
        <v>0</v>
      </c>
      <c r="H222" s="72">
        <f>F222*(($H$203)+1)+(IF(G222&lt;101,G222,IF(G222&lt;201,G222/2,IF(G222&lt;=301,G222/3,G222/4))))</f>
        <v>682.06085999999993</v>
      </c>
      <c r="I222" s="35"/>
      <c r="N222" s="35"/>
    </row>
    <row r="223" spans="1:14" s="73" customFormat="1" x14ac:dyDescent="0.35">
      <c r="A223" s="104">
        <f t="shared" si="35"/>
        <v>5</v>
      </c>
      <c r="B223" s="104"/>
      <c r="C223" s="72" t="s">
        <v>319</v>
      </c>
      <c r="D223" s="84">
        <f>(61.19)*(10.764)</f>
        <v>658.64915999999994</v>
      </c>
      <c r="E223" s="84">
        <f>(3.55)*(10.764)</f>
        <v>38.212199999999996</v>
      </c>
      <c r="F223" s="72">
        <f>D223+E223</f>
        <v>696.86135999999988</v>
      </c>
      <c r="G223" s="72">
        <v>0</v>
      </c>
      <c r="H223" s="72">
        <f>F223*(($H$203)+1)+(IF(G223&lt;101,G223,IF(G223&lt;201,G223/2,IF(G223&lt;=301,G223/3,G223/4))))</f>
        <v>1010.4489719999998</v>
      </c>
      <c r="I223" s="35"/>
      <c r="J223" s="73">
        <f>12600000/H223</f>
        <v>12469.704407794679</v>
      </c>
      <c r="N223" s="35"/>
    </row>
    <row r="224" spans="1:14" s="73" customFormat="1" x14ac:dyDescent="0.35">
      <c r="A224" s="104">
        <f t="shared" si="35"/>
        <v>6</v>
      </c>
      <c r="B224" s="104"/>
      <c r="C224" s="72" t="s">
        <v>319</v>
      </c>
      <c r="D224" s="84">
        <f>(61.19)*(10.764)</f>
        <v>658.64915999999994</v>
      </c>
      <c r="E224" s="84">
        <f>(3.55)*(10.764)</f>
        <v>38.212199999999996</v>
      </c>
      <c r="F224" s="72">
        <f>D224+E224</f>
        <v>696.86135999999988</v>
      </c>
      <c r="G224" s="72">
        <v>0</v>
      </c>
      <c r="H224" s="72">
        <f>F224*(($H$203)+1)+(IF(G224&lt;101,G224,IF(G224&lt;201,G224/2,IF(G224&lt;=301,G224/3,G224/4))))</f>
        <v>1010.4489719999998</v>
      </c>
      <c r="I224" s="35"/>
      <c r="N224" s="35"/>
    </row>
    <row r="225" spans="1:14" s="73" customFormat="1" x14ac:dyDescent="0.35">
      <c r="A225" s="104">
        <f t="shared" si="35"/>
        <v>7</v>
      </c>
      <c r="B225" s="104"/>
      <c r="C225" s="111" t="s">
        <v>321</v>
      </c>
      <c r="D225" s="112"/>
      <c r="E225" s="112"/>
      <c r="F225" s="112"/>
      <c r="G225" s="112"/>
      <c r="H225" s="113"/>
      <c r="I225" s="35"/>
      <c r="N225" s="35"/>
    </row>
    <row r="226" spans="1:14" s="73" customFormat="1" x14ac:dyDescent="0.35">
      <c r="A226" s="104">
        <f t="shared" si="35"/>
        <v>8</v>
      </c>
      <c r="B226" s="104"/>
      <c r="C226" s="117"/>
      <c r="D226" s="118"/>
      <c r="E226" s="118"/>
      <c r="F226" s="118"/>
      <c r="G226" s="118"/>
      <c r="H226" s="119"/>
      <c r="I226" s="35"/>
      <c r="N226" s="35"/>
    </row>
    <row r="227" spans="1:14" s="73" customFormat="1" x14ac:dyDescent="0.35">
      <c r="A227" s="105" t="s">
        <v>323</v>
      </c>
      <c r="B227" s="106"/>
      <c r="C227" s="106"/>
      <c r="D227" s="106"/>
      <c r="E227" s="106"/>
      <c r="F227" s="106"/>
      <c r="G227" s="106"/>
      <c r="H227" s="107"/>
      <c r="I227" s="35"/>
      <c r="N227" s="35"/>
    </row>
    <row r="228" spans="1:14" s="73" customFormat="1" x14ac:dyDescent="0.35">
      <c r="A228" s="121" t="s">
        <v>326</v>
      </c>
      <c r="B228" s="121"/>
      <c r="C228" s="121"/>
      <c r="D228" s="121"/>
      <c r="E228" s="121"/>
      <c r="F228" s="121"/>
      <c r="G228" s="121"/>
      <c r="H228" s="121"/>
      <c r="I228" s="35"/>
      <c r="L228" s="120"/>
      <c r="M228" s="120"/>
    </row>
    <row r="229" spans="1:14" s="73" customFormat="1" x14ac:dyDescent="0.35">
      <c r="A229" s="104">
        <v>1</v>
      </c>
      <c r="B229" s="104"/>
      <c r="C229" s="72" t="s">
        <v>369</v>
      </c>
      <c r="D229" s="84">
        <f>(43.95)*(10.764)</f>
        <v>473.07780000000002</v>
      </c>
      <c r="E229" s="72">
        <v>0</v>
      </c>
      <c r="F229" s="72">
        <f t="shared" ref="F229:F236" si="36">D229+E229</f>
        <v>473.07780000000002</v>
      </c>
      <c r="G229" s="72">
        <v>0</v>
      </c>
      <c r="H229" s="72">
        <f t="shared" ref="H229:H236" si="37">F229*(($H$203)+1)+(IF(G229&lt;101,G229,IF(G229&lt;201,G229/2,IF(G229&lt;=301,G229/3,G229/4))))</f>
        <v>685.96280999999999</v>
      </c>
      <c r="I229" s="35"/>
      <c r="N229" s="35"/>
    </row>
    <row r="230" spans="1:14" s="73" customFormat="1" x14ac:dyDescent="0.35">
      <c r="A230" s="104">
        <f t="shared" ref="A230:A236" si="38">A229+1</f>
        <v>2</v>
      </c>
      <c r="B230" s="104"/>
      <c r="C230" s="90" t="s">
        <v>369</v>
      </c>
      <c r="D230" s="84">
        <f>(43.95)*(10.764)</f>
        <v>473.07780000000002</v>
      </c>
      <c r="E230" s="72">
        <v>0</v>
      </c>
      <c r="F230" s="72">
        <f t="shared" si="36"/>
        <v>473.07780000000002</v>
      </c>
      <c r="G230" s="72">
        <v>0</v>
      </c>
      <c r="H230" s="72">
        <f t="shared" si="37"/>
        <v>685.96280999999999</v>
      </c>
      <c r="I230" s="35">
        <f>(2.95*3.8+3.35*1.35+2.15*2.45+2.75*3.6+2.15*1.23+2.15*1.23+2.15*1+0.6*1.38+2.45*0.8+1.5*0.2+2.55*0.15)</f>
        <v>41.8095</v>
      </c>
      <c r="N230" s="35"/>
    </row>
    <row r="231" spans="1:14" s="73" customFormat="1" x14ac:dyDescent="0.35">
      <c r="A231" s="104">
        <f t="shared" si="38"/>
        <v>3</v>
      </c>
      <c r="B231" s="104"/>
      <c r="C231" s="90" t="s">
        <v>369</v>
      </c>
      <c r="D231" s="84">
        <f>(43.95)*(10.764)</f>
        <v>473.07780000000002</v>
      </c>
      <c r="E231" s="72">
        <v>0</v>
      </c>
      <c r="F231" s="72">
        <f t="shared" si="36"/>
        <v>473.07780000000002</v>
      </c>
      <c r="G231" s="72">
        <v>0</v>
      </c>
      <c r="H231" s="72">
        <f t="shared" si="37"/>
        <v>685.96280999999999</v>
      </c>
      <c r="I231" s="35"/>
      <c r="N231" s="35"/>
    </row>
    <row r="232" spans="1:14" s="73" customFormat="1" x14ac:dyDescent="0.35">
      <c r="A232" s="104">
        <f t="shared" si="38"/>
        <v>4</v>
      </c>
      <c r="B232" s="104"/>
      <c r="C232" s="90" t="s">
        <v>369</v>
      </c>
      <c r="D232" s="84">
        <f>(43.95)*(10.764)</f>
        <v>473.07780000000002</v>
      </c>
      <c r="E232" s="72">
        <v>0</v>
      </c>
      <c r="F232" s="72">
        <f t="shared" si="36"/>
        <v>473.07780000000002</v>
      </c>
      <c r="G232" s="72">
        <v>0</v>
      </c>
      <c r="H232" s="72">
        <f t="shared" si="37"/>
        <v>685.96280999999999</v>
      </c>
      <c r="I232" s="35"/>
      <c r="N232" s="35"/>
    </row>
    <row r="233" spans="1:14" s="73" customFormat="1" x14ac:dyDescent="0.35">
      <c r="A233" s="104">
        <f t="shared" si="38"/>
        <v>5</v>
      </c>
      <c r="B233" s="104"/>
      <c r="C233" s="72" t="s">
        <v>319</v>
      </c>
      <c r="D233" s="84">
        <f>(61.47)*(10.764)</f>
        <v>661.66307999999992</v>
      </c>
      <c r="E233" s="84">
        <f>(3.55)*(10.764)</f>
        <v>38.212199999999996</v>
      </c>
      <c r="F233" s="72">
        <f t="shared" si="36"/>
        <v>699.87527999999998</v>
      </c>
      <c r="G233" s="72">
        <v>0</v>
      </c>
      <c r="H233" s="72">
        <f t="shared" si="37"/>
        <v>1014.8191559999999</v>
      </c>
      <c r="I233" s="35"/>
      <c r="N233" s="35"/>
    </row>
    <row r="234" spans="1:14" s="73" customFormat="1" x14ac:dyDescent="0.35">
      <c r="A234" s="104">
        <f t="shared" si="38"/>
        <v>6</v>
      </c>
      <c r="B234" s="104"/>
      <c r="C234" s="72" t="s">
        <v>319</v>
      </c>
      <c r="D234" s="84">
        <f>(61.47)*(10.764)</f>
        <v>661.66307999999992</v>
      </c>
      <c r="E234" s="84">
        <f>(3.55)*(10.764)</f>
        <v>38.212199999999996</v>
      </c>
      <c r="F234" s="72">
        <f t="shared" si="36"/>
        <v>699.87527999999998</v>
      </c>
      <c r="G234" s="72">
        <v>0</v>
      </c>
      <c r="H234" s="72">
        <f t="shared" si="37"/>
        <v>1014.8191559999999</v>
      </c>
      <c r="I234" s="35"/>
      <c r="N234" s="35"/>
    </row>
    <row r="235" spans="1:14" s="73" customFormat="1" x14ac:dyDescent="0.35">
      <c r="A235" s="104">
        <f t="shared" si="38"/>
        <v>7</v>
      </c>
      <c r="B235" s="104"/>
      <c r="C235" s="72" t="s">
        <v>319</v>
      </c>
      <c r="D235" s="84">
        <f>(61.47)*(10.764)</f>
        <v>661.66307999999992</v>
      </c>
      <c r="E235" s="84">
        <f>(3.55)*(10.764)</f>
        <v>38.212199999999996</v>
      </c>
      <c r="F235" s="72">
        <f t="shared" si="36"/>
        <v>699.87527999999998</v>
      </c>
      <c r="G235" s="72">
        <v>0</v>
      </c>
      <c r="H235" s="72">
        <f t="shared" si="37"/>
        <v>1014.8191559999999</v>
      </c>
      <c r="I235" s="35"/>
      <c r="N235" s="35"/>
    </row>
    <row r="236" spans="1:14" s="73" customFormat="1" x14ac:dyDescent="0.35">
      <c r="A236" s="104">
        <f t="shared" si="38"/>
        <v>8</v>
      </c>
      <c r="B236" s="104"/>
      <c r="C236" s="72" t="s">
        <v>319</v>
      </c>
      <c r="D236" s="84">
        <f>(61.47)*(10.764)</f>
        <v>661.66307999999992</v>
      </c>
      <c r="E236" s="84">
        <f>(3.55)*(10.764)</f>
        <v>38.212199999999996</v>
      </c>
      <c r="F236" s="72">
        <f t="shared" si="36"/>
        <v>699.87527999999998</v>
      </c>
      <c r="G236" s="72">
        <v>0</v>
      </c>
      <c r="H236" s="72">
        <f t="shared" si="37"/>
        <v>1014.8191559999999</v>
      </c>
      <c r="I236" s="35">
        <f>(5.01*3.05+2.29*2.75+1.49*0.9+3.2*2.89+4.28*3.05+0.93*0.55+1.38*2.41+1.38*2.28+1.53*1.25+0.9*2.7+0.2*1.5+0.62*1.25)</f>
        <v>57.622199999999999</v>
      </c>
      <c r="J236" s="35">
        <f>1.05*3.02+0.28*0.2</f>
        <v>3.2270000000000003</v>
      </c>
      <c r="N236" s="35"/>
    </row>
    <row r="237" spans="1:14" s="73" customFormat="1" ht="32.25" customHeight="1" x14ac:dyDescent="0.35">
      <c r="A237" s="105" t="s">
        <v>325</v>
      </c>
      <c r="B237" s="106"/>
      <c r="C237" s="106"/>
      <c r="D237" s="106"/>
      <c r="E237" s="106"/>
      <c r="F237" s="106"/>
      <c r="G237" s="106"/>
      <c r="H237" s="107"/>
      <c r="I237" s="35"/>
    </row>
    <row r="238" spans="1:14" s="73" customFormat="1" ht="15.75" customHeight="1" x14ac:dyDescent="0.35">
      <c r="A238" s="102">
        <v>1</v>
      </c>
      <c r="B238" s="103"/>
      <c r="C238" s="90" t="s">
        <v>369</v>
      </c>
      <c r="D238" s="84">
        <f>(43.95)*(10.764)</f>
        <v>473.07780000000002</v>
      </c>
      <c r="E238" s="72">
        <v>0</v>
      </c>
      <c r="F238" s="72">
        <f t="shared" ref="F238:F245" si="39">D238+E238</f>
        <v>473.07780000000002</v>
      </c>
      <c r="G238" s="72">
        <v>0</v>
      </c>
      <c r="H238" s="72">
        <f t="shared" ref="H238:H245" si="40">F238*(($H$203)+1)+(IF(G238&lt;101,G238,IF(G238&lt;201,G238/2,IF(G238&lt;=301,G238/3,G238/4))))</f>
        <v>685.96280999999999</v>
      </c>
      <c r="I238" s="35"/>
    </row>
    <row r="239" spans="1:14" s="73" customFormat="1" ht="15.75" customHeight="1" x14ac:dyDescent="0.35">
      <c r="A239" s="102">
        <v>2</v>
      </c>
      <c r="B239" s="103"/>
      <c r="C239" s="90" t="s">
        <v>369</v>
      </c>
      <c r="D239" s="84">
        <f>(43.95)*(10.764)</f>
        <v>473.07780000000002</v>
      </c>
      <c r="E239" s="72">
        <v>0</v>
      </c>
      <c r="F239" s="72">
        <f t="shared" si="39"/>
        <v>473.07780000000002</v>
      </c>
      <c r="G239" s="72">
        <v>0</v>
      </c>
      <c r="H239" s="72">
        <f t="shared" si="40"/>
        <v>685.96280999999999</v>
      </c>
      <c r="I239" s="35"/>
    </row>
    <row r="240" spans="1:14" s="73" customFormat="1" ht="15.75" customHeight="1" x14ac:dyDescent="0.35">
      <c r="A240" s="102">
        <v>3</v>
      </c>
      <c r="B240" s="103"/>
      <c r="C240" s="90" t="s">
        <v>369</v>
      </c>
      <c r="D240" s="84">
        <f>(43.95)*(10.764)</f>
        <v>473.07780000000002</v>
      </c>
      <c r="E240" s="72">
        <v>0</v>
      </c>
      <c r="F240" s="72">
        <f t="shared" si="39"/>
        <v>473.07780000000002</v>
      </c>
      <c r="G240" s="72">
        <v>0</v>
      </c>
      <c r="H240" s="72">
        <f t="shared" si="40"/>
        <v>685.96280999999999</v>
      </c>
      <c r="I240" s="35"/>
    </row>
    <row r="241" spans="1:9" s="73" customFormat="1" ht="15.75" customHeight="1" x14ac:dyDescent="0.35">
      <c r="A241" s="102">
        <v>4</v>
      </c>
      <c r="B241" s="103"/>
      <c r="C241" s="90" t="s">
        <v>369</v>
      </c>
      <c r="D241" s="84">
        <f>(43.95)*(10.764)</f>
        <v>473.07780000000002</v>
      </c>
      <c r="E241" s="72">
        <v>0</v>
      </c>
      <c r="F241" s="72">
        <f t="shared" si="39"/>
        <v>473.07780000000002</v>
      </c>
      <c r="G241" s="72">
        <v>0</v>
      </c>
      <c r="H241" s="72">
        <f t="shared" si="40"/>
        <v>685.96280999999999</v>
      </c>
      <c r="I241" s="35"/>
    </row>
    <row r="242" spans="1:9" s="73" customFormat="1" ht="15.75" customHeight="1" x14ac:dyDescent="0.35">
      <c r="A242" s="102">
        <v>5</v>
      </c>
      <c r="B242" s="103"/>
      <c r="C242" s="72" t="s">
        <v>319</v>
      </c>
      <c r="D242" s="84">
        <f>(61.47)*(10.764)</f>
        <v>661.66307999999992</v>
      </c>
      <c r="E242" s="84">
        <f>(3.55)*(10.764)</f>
        <v>38.212199999999996</v>
      </c>
      <c r="F242" s="72">
        <f t="shared" si="39"/>
        <v>699.87527999999998</v>
      </c>
      <c r="G242" s="72">
        <v>0</v>
      </c>
      <c r="H242" s="72">
        <f t="shared" si="40"/>
        <v>1014.8191559999999</v>
      </c>
      <c r="I242" s="35"/>
    </row>
    <row r="243" spans="1:9" s="73" customFormat="1" ht="15.75" customHeight="1" x14ac:dyDescent="0.35">
      <c r="A243" s="102">
        <v>6</v>
      </c>
      <c r="B243" s="103"/>
      <c r="C243" s="72" t="s">
        <v>319</v>
      </c>
      <c r="D243" s="84">
        <f>(61.47)*(10.764)</f>
        <v>661.66307999999992</v>
      </c>
      <c r="E243" s="84">
        <f>(3.55)*(10.764)</f>
        <v>38.212199999999996</v>
      </c>
      <c r="F243" s="72">
        <f t="shared" si="39"/>
        <v>699.87527999999998</v>
      </c>
      <c r="G243" s="72">
        <v>0</v>
      </c>
      <c r="H243" s="72">
        <f t="shared" si="40"/>
        <v>1014.8191559999999</v>
      </c>
      <c r="I243" s="35"/>
    </row>
    <row r="244" spans="1:9" s="73" customFormat="1" ht="15.75" customHeight="1" x14ac:dyDescent="0.35">
      <c r="A244" s="102">
        <v>7</v>
      </c>
      <c r="B244" s="103"/>
      <c r="C244" s="72" t="s">
        <v>319</v>
      </c>
      <c r="D244" s="84">
        <f>(61.47)*(10.764)</f>
        <v>661.66307999999992</v>
      </c>
      <c r="E244" s="84">
        <f>(3.55)*(10.764)</f>
        <v>38.212199999999996</v>
      </c>
      <c r="F244" s="72">
        <f t="shared" si="39"/>
        <v>699.87527999999998</v>
      </c>
      <c r="G244" s="72">
        <v>0</v>
      </c>
      <c r="H244" s="72">
        <f t="shared" si="40"/>
        <v>1014.8191559999999</v>
      </c>
      <c r="I244" s="35"/>
    </row>
    <row r="245" spans="1:9" s="73" customFormat="1" ht="15.75" customHeight="1" x14ac:dyDescent="0.35">
      <c r="A245" s="102">
        <v>8</v>
      </c>
      <c r="B245" s="103"/>
      <c r="C245" s="72" t="s">
        <v>319</v>
      </c>
      <c r="D245" s="84">
        <f>(61.47)*(10.764)</f>
        <v>661.66307999999992</v>
      </c>
      <c r="E245" s="84">
        <f>(3.55)*(10.764)</f>
        <v>38.212199999999996</v>
      </c>
      <c r="F245" s="72">
        <f t="shared" si="39"/>
        <v>699.87527999999998</v>
      </c>
      <c r="G245" s="72">
        <v>0</v>
      </c>
      <c r="H245" s="72">
        <f t="shared" si="40"/>
        <v>1014.8191559999999</v>
      </c>
      <c r="I245" s="35"/>
    </row>
    <row r="246" spans="1:9" s="73" customFormat="1" x14ac:dyDescent="0.35">
      <c r="A246" s="105" t="s">
        <v>327</v>
      </c>
      <c r="B246" s="106"/>
      <c r="C246" s="106"/>
      <c r="D246" s="106"/>
      <c r="E246" s="106"/>
      <c r="F246" s="106"/>
      <c r="G246" s="106"/>
      <c r="H246" s="107"/>
      <c r="I246" s="35"/>
    </row>
    <row r="247" spans="1:9" s="73" customFormat="1" ht="15.75" customHeight="1" x14ac:dyDescent="0.35">
      <c r="A247" s="102">
        <v>1</v>
      </c>
      <c r="B247" s="103"/>
      <c r="C247" s="90" t="s">
        <v>369</v>
      </c>
      <c r="D247" s="84">
        <f>(43.95)*(10.764)</f>
        <v>473.07780000000002</v>
      </c>
      <c r="E247" s="72">
        <v>0</v>
      </c>
      <c r="F247" s="72">
        <f>D247+E247</f>
        <v>473.07780000000002</v>
      </c>
      <c r="G247" s="72">
        <v>0</v>
      </c>
      <c r="H247" s="72">
        <f>F247*(($H$203)+1)+(IF(G247&lt;101,G247,IF(G247&lt;201,G247/2,IF(G247&lt;=301,G247/3,G247/4))))</f>
        <v>685.96280999999999</v>
      </c>
      <c r="I247" s="35"/>
    </row>
    <row r="248" spans="1:9" s="73" customFormat="1" ht="15.75" customHeight="1" x14ac:dyDescent="0.35">
      <c r="A248" s="102">
        <v>2</v>
      </c>
      <c r="B248" s="103"/>
      <c r="C248" s="90" t="s">
        <v>369</v>
      </c>
      <c r="D248" s="84">
        <f>(43.95)*(10.764)</f>
        <v>473.07780000000002</v>
      </c>
      <c r="E248" s="72">
        <v>0</v>
      </c>
      <c r="F248" s="72">
        <f>D248+E248</f>
        <v>473.07780000000002</v>
      </c>
      <c r="G248" s="72">
        <v>0</v>
      </c>
      <c r="H248" s="72">
        <f>F248*(($H$203)+1)+(IF(G248&lt;101,G248,IF(G248&lt;201,G248/2,IF(G248&lt;=301,G248/3,G248/4))))</f>
        <v>685.96280999999999</v>
      </c>
      <c r="I248" s="35"/>
    </row>
    <row r="249" spans="1:9" s="73" customFormat="1" ht="15.75" customHeight="1" x14ac:dyDescent="0.35">
      <c r="A249" s="102">
        <v>3</v>
      </c>
      <c r="B249" s="103"/>
      <c r="C249" s="90" t="s">
        <v>369</v>
      </c>
      <c r="D249" s="84">
        <f>(43.95)*(10.764)</f>
        <v>473.07780000000002</v>
      </c>
      <c r="E249" s="72">
        <v>0</v>
      </c>
      <c r="F249" s="72">
        <f>D249+E249</f>
        <v>473.07780000000002</v>
      </c>
      <c r="G249" s="72">
        <v>0</v>
      </c>
      <c r="H249" s="72">
        <f>F249*(($H$203)+1)+(IF(G249&lt;101,G249,IF(G249&lt;201,G249/2,IF(G249&lt;=301,G249/3,G249/4))))</f>
        <v>685.96280999999999</v>
      </c>
      <c r="I249" s="35"/>
    </row>
    <row r="250" spans="1:9" s="73" customFormat="1" ht="15.75" customHeight="1" x14ac:dyDescent="0.35">
      <c r="A250" s="102">
        <v>4</v>
      </c>
      <c r="B250" s="103"/>
      <c r="C250" s="90" t="s">
        <v>369</v>
      </c>
      <c r="D250" s="84">
        <f>(43.95)*(10.764)</f>
        <v>473.07780000000002</v>
      </c>
      <c r="E250" s="72">
        <v>0</v>
      </c>
      <c r="F250" s="72">
        <f>D250+E250</f>
        <v>473.07780000000002</v>
      </c>
      <c r="G250" s="72">
        <v>0</v>
      </c>
      <c r="H250" s="72">
        <f>F250*(($H$203)+1)+(IF(G250&lt;101,G250,IF(G250&lt;201,G250/2,IF(G250&lt;=301,G250/3,G250/4))))</f>
        <v>685.96280999999999</v>
      </c>
      <c r="I250" s="35">
        <f>9214506/H250</f>
        <v>13432.952728151546</v>
      </c>
    </row>
    <row r="251" spans="1:9" s="73" customFormat="1" ht="15.75" customHeight="1" x14ac:dyDescent="0.35">
      <c r="A251" s="102">
        <v>5</v>
      </c>
      <c r="B251" s="103"/>
      <c r="C251" s="72" t="s">
        <v>319</v>
      </c>
      <c r="D251" s="84">
        <f>(61.47)*(10.764)</f>
        <v>661.66307999999992</v>
      </c>
      <c r="E251" s="84">
        <f>(3.55)*(10.764)</f>
        <v>38.212199999999996</v>
      </c>
      <c r="F251" s="72">
        <f>D251+E251</f>
        <v>699.87527999999998</v>
      </c>
      <c r="G251" s="72">
        <v>0</v>
      </c>
      <c r="H251" s="72">
        <f>F251*(($H$203)+1)+(IF(G251&lt;101,G251,IF(G251&lt;201,G251/2,IF(G251&lt;=301,G251/3,G251/4))))</f>
        <v>1014.8191559999999</v>
      </c>
      <c r="I251" s="35"/>
    </row>
    <row r="252" spans="1:9" s="73" customFormat="1" ht="15.75" customHeight="1" x14ac:dyDescent="0.35">
      <c r="A252" s="102">
        <v>6</v>
      </c>
      <c r="B252" s="103"/>
      <c r="C252" s="102" t="s">
        <v>328</v>
      </c>
      <c r="D252" s="110"/>
      <c r="E252" s="110"/>
      <c r="F252" s="110"/>
      <c r="G252" s="110"/>
      <c r="H252" s="103"/>
      <c r="I252" s="35"/>
    </row>
    <row r="253" spans="1:9" s="73" customFormat="1" ht="15.75" customHeight="1" x14ac:dyDescent="0.35">
      <c r="A253" s="102">
        <v>7</v>
      </c>
      <c r="B253" s="103"/>
      <c r="C253" s="72" t="s">
        <v>319</v>
      </c>
      <c r="D253" s="84">
        <f>(61.47)*(10.764)</f>
        <v>661.66307999999992</v>
      </c>
      <c r="E253" s="84">
        <f>(3.55)*(10.764)</f>
        <v>38.212199999999996</v>
      </c>
      <c r="F253" s="72">
        <f>D253+E253</f>
        <v>699.87527999999998</v>
      </c>
      <c r="G253" s="72">
        <v>0</v>
      </c>
      <c r="H253" s="72">
        <f>F253*(($H$203)+1)+(IF(G253&lt;101,G253,IF(G253&lt;201,G253/2,IF(G253&lt;=301,G253/3,G253/4))))</f>
        <v>1014.8191559999999</v>
      </c>
      <c r="I253" s="35"/>
    </row>
    <row r="254" spans="1:9" s="73" customFormat="1" ht="15.75" customHeight="1" x14ac:dyDescent="0.35">
      <c r="A254" s="102">
        <v>8</v>
      </c>
      <c r="B254" s="103"/>
      <c r="C254" s="72" t="s">
        <v>319</v>
      </c>
      <c r="D254" s="84">
        <f>(61.47)*(10.764)</f>
        <v>661.66307999999992</v>
      </c>
      <c r="E254" s="84">
        <f>(3.55)*(10.764)</f>
        <v>38.212199999999996</v>
      </c>
      <c r="F254" s="72">
        <f>D254+E254</f>
        <v>699.87527999999998</v>
      </c>
      <c r="G254" s="72">
        <v>0</v>
      </c>
      <c r="H254" s="72">
        <f>F254*(($H$203)+1)+(IF(G254&lt;101,G254,IF(G254&lt;201,G254/2,IF(G254&lt;=301,G254/3,G254/4))))</f>
        <v>1014.8191559999999</v>
      </c>
      <c r="I254" s="35"/>
    </row>
    <row r="255" spans="1:9" s="73" customFormat="1" x14ac:dyDescent="0.35">
      <c r="A255" s="122" t="s">
        <v>329</v>
      </c>
      <c r="B255" s="123"/>
      <c r="C255" s="123"/>
      <c r="D255" s="123"/>
      <c r="E255" s="123"/>
      <c r="F255" s="123"/>
      <c r="G255" s="123"/>
      <c r="H255" s="124"/>
      <c r="I255" s="35"/>
    </row>
    <row r="256" spans="1:9" s="73" customFormat="1" x14ac:dyDescent="0.35">
      <c r="A256" s="122" t="s">
        <v>316</v>
      </c>
      <c r="B256" s="123"/>
      <c r="C256" s="123"/>
      <c r="D256" s="123"/>
      <c r="E256" s="123"/>
      <c r="F256" s="123"/>
      <c r="G256" s="123"/>
      <c r="H256" s="124"/>
      <c r="I256" s="35"/>
    </row>
    <row r="257" spans="1:14" s="73" customFormat="1" x14ac:dyDescent="0.35">
      <c r="A257" s="105" t="s">
        <v>318</v>
      </c>
      <c r="B257" s="106"/>
      <c r="C257" s="106"/>
      <c r="D257" s="106"/>
      <c r="E257" s="106"/>
      <c r="F257" s="106"/>
      <c r="G257" s="106"/>
      <c r="H257" s="107"/>
      <c r="I257" s="35"/>
    </row>
    <row r="258" spans="1:14" s="73" customFormat="1" ht="15.75" customHeight="1" x14ac:dyDescent="0.35">
      <c r="A258" s="102">
        <v>1</v>
      </c>
      <c r="B258" s="103"/>
      <c r="C258" s="90" t="s">
        <v>369</v>
      </c>
      <c r="D258" s="84">
        <f>(43.7)*(10.764)</f>
        <v>470.38679999999999</v>
      </c>
      <c r="E258" s="72">
        <v>0</v>
      </c>
      <c r="F258" s="72">
        <f t="shared" ref="F258:F259" si="41">D258+E258</f>
        <v>470.38679999999999</v>
      </c>
      <c r="G258" s="72">
        <v>0</v>
      </c>
      <c r="H258" s="72">
        <f>F258*(($H$203)+1)+(IF(G258&lt;101,G258,IF(G258&lt;201,G258/2,IF(G258&lt;=301,G258/3,G258/4))))</f>
        <v>682.06085999999993</v>
      </c>
      <c r="I258" s="35">
        <f>(2.95*3.8+2.45*2.15+2.1*2.45+2.75*3.6+2.1*1.23+2.15*1.23+2.2*1+0.6*1.38+1.5*0.2+2.55*0.15+0.9*1.35)</f>
        <v>41.675500000000007</v>
      </c>
    </row>
    <row r="259" spans="1:14" s="73" customFormat="1" ht="15.75" customHeight="1" x14ac:dyDescent="0.35">
      <c r="A259" s="102">
        <v>2</v>
      </c>
      <c r="B259" s="103"/>
      <c r="C259" s="90" t="s">
        <v>369</v>
      </c>
      <c r="D259" s="84">
        <f>(43.7)*(10.764)</f>
        <v>470.38679999999999</v>
      </c>
      <c r="E259" s="72">
        <v>0</v>
      </c>
      <c r="F259" s="72">
        <f t="shared" si="41"/>
        <v>470.38679999999999</v>
      </c>
      <c r="G259" s="72">
        <v>0</v>
      </c>
      <c r="H259" s="72">
        <f>F259*(($H$203)+1)+(IF(G259&lt;101,G259,IF(G259&lt;201,G259/2,IF(G259&lt;=301,G259/3,G259/4))))</f>
        <v>682.06085999999993</v>
      </c>
      <c r="I259" s="35"/>
    </row>
    <row r="260" spans="1:14" s="73" customFormat="1" ht="15.75" customHeight="1" x14ac:dyDescent="0.35">
      <c r="A260" s="102">
        <v>3</v>
      </c>
      <c r="B260" s="103"/>
      <c r="C260" s="111" t="s">
        <v>321</v>
      </c>
      <c r="D260" s="112"/>
      <c r="E260" s="112"/>
      <c r="F260" s="112"/>
      <c r="G260" s="112"/>
      <c r="H260" s="113"/>
      <c r="I260" s="35"/>
    </row>
    <row r="261" spans="1:14" s="73" customFormat="1" ht="15.75" customHeight="1" x14ac:dyDescent="0.35">
      <c r="A261" s="102">
        <v>4</v>
      </c>
      <c r="B261" s="103"/>
      <c r="C261" s="114"/>
      <c r="D261" s="115"/>
      <c r="E261" s="115"/>
      <c r="F261" s="115"/>
      <c r="G261" s="115"/>
      <c r="H261" s="116"/>
      <c r="I261" s="35"/>
    </row>
    <row r="262" spans="1:14" s="73" customFormat="1" ht="15.75" customHeight="1" x14ac:dyDescent="0.35">
      <c r="A262" s="102">
        <v>5</v>
      </c>
      <c r="B262" s="103"/>
      <c r="C262" s="114"/>
      <c r="D262" s="115"/>
      <c r="E262" s="115"/>
      <c r="F262" s="115"/>
      <c r="G262" s="115"/>
      <c r="H262" s="116"/>
      <c r="I262" s="35"/>
    </row>
    <row r="263" spans="1:14" s="73" customFormat="1" ht="15.75" customHeight="1" x14ac:dyDescent="0.35">
      <c r="A263" s="102">
        <v>6</v>
      </c>
      <c r="B263" s="103"/>
      <c r="C263" s="117"/>
      <c r="D263" s="118"/>
      <c r="E263" s="118"/>
      <c r="F263" s="118"/>
      <c r="G263" s="118"/>
      <c r="H263" s="119"/>
      <c r="I263" s="35"/>
    </row>
    <row r="264" spans="1:14" s="73" customFormat="1" ht="15.75" customHeight="1" x14ac:dyDescent="0.35">
      <c r="A264" s="102">
        <v>7</v>
      </c>
      <c r="B264" s="103"/>
      <c r="C264" s="72" t="s">
        <v>319</v>
      </c>
      <c r="D264" s="84">
        <f>(61.19)*(10.764)</f>
        <v>658.64915999999994</v>
      </c>
      <c r="E264" s="84">
        <f>(3.55)*(10.764)</f>
        <v>38.212199999999996</v>
      </c>
      <c r="F264" s="72">
        <f t="shared" ref="F264:F265" si="42">D264+E264</f>
        <v>696.86135999999988</v>
      </c>
      <c r="G264" s="72">
        <v>0</v>
      </c>
      <c r="H264" s="72">
        <f>F264*(($H$203)+1)+(IF(G264&lt;101,G264,IF(G264&lt;201,G264/2,IF(G264&lt;=301,G264/3,G264/4))))</f>
        <v>1010.4489719999998</v>
      </c>
      <c r="I264" s="35"/>
    </row>
    <row r="265" spans="1:14" s="73" customFormat="1" ht="15.75" customHeight="1" x14ac:dyDescent="0.35">
      <c r="A265" s="102">
        <v>8</v>
      </c>
      <c r="B265" s="103"/>
      <c r="C265" s="72" t="s">
        <v>319</v>
      </c>
      <c r="D265" s="84">
        <f>(61.19)*(10.764)</f>
        <v>658.64915999999994</v>
      </c>
      <c r="E265" s="84">
        <f>(3.55)*(10.764)</f>
        <v>38.212199999999996</v>
      </c>
      <c r="F265" s="72">
        <f t="shared" si="42"/>
        <v>696.86135999999988</v>
      </c>
      <c r="G265" s="72">
        <v>0</v>
      </c>
      <c r="H265" s="72">
        <f>F265*(($H$203)+1)+(IF(G265&lt;101,G265,IF(G265&lt;201,G265/2,IF(G265&lt;=301,G265/3,G265/4))))</f>
        <v>1010.4489719999998</v>
      </c>
      <c r="I265" s="35">
        <f>(3.05*5.01+2.75*2.29+2.89*3.2+3*4.28+0.5*0.93+2.36*1.38+2.28*1.38+2.64*0.93+1.25*1.53+1.5*0.2+1.25*0.62)</f>
        <v>55.976899999999993</v>
      </c>
      <c r="J265" s="35">
        <f>3.02*1.05+0.2*0.28</f>
        <v>3.2270000000000003</v>
      </c>
    </row>
    <row r="266" spans="1:14" s="73" customFormat="1" x14ac:dyDescent="0.35">
      <c r="A266" s="121" t="s">
        <v>324</v>
      </c>
      <c r="B266" s="121"/>
      <c r="C266" s="121"/>
      <c r="D266" s="121"/>
      <c r="E266" s="121"/>
      <c r="F266" s="121"/>
      <c r="G266" s="121"/>
      <c r="H266" s="121"/>
      <c r="I266" s="35"/>
      <c r="L266" s="120"/>
      <c r="M266" s="120"/>
    </row>
    <row r="267" spans="1:14" s="73" customFormat="1" x14ac:dyDescent="0.35">
      <c r="A267" s="104">
        <v>1</v>
      </c>
      <c r="B267" s="104"/>
      <c r="C267" s="90" t="s">
        <v>369</v>
      </c>
      <c r="D267" s="84">
        <f>(43.7)*(10.764)</f>
        <v>470.38679999999999</v>
      </c>
      <c r="E267" s="72">
        <v>0</v>
      </c>
      <c r="F267" s="72">
        <f>D267+E267</f>
        <v>470.38679999999999</v>
      </c>
      <c r="G267" s="72">
        <v>0</v>
      </c>
      <c r="H267" s="72">
        <f>F267*(($H$203)+1)+(IF(G267&lt;101,G267,IF(G267&lt;201,G267/2,IF(G267&lt;=301,G267/3,G267/4))))</f>
        <v>682.06085999999993</v>
      </c>
      <c r="I267" s="35"/>
      <c r="N267" s="35"/>
    </row>
    <row r="268" spans="1:14" s="73" customFormat="1" x14ac:dyDescent="0.35">
      <c r="A268" s="104">
        <f t="shared" ref="A268:A274" si="43">A267+1</f>
        <v>2</v>
      </c>
      <c r="B268" s="104"/>
      <c r="C268" s="90" t="s">
        <v>369</v>
      </c>
      <c r="D268" s="84">
        <f>(43.7)*(10.764)</f>
        <v>470.38679999999999</v>
      </c>
      <c r="E268" s="72">
        <v>0</v>
      </c>
      <c r="F268" s="72">
        <f>D268+E268</f>
        <v>470.38679999999999</v>
      </c>
      <c r="G268" s="72">
        <v>0</v>
      </c>
      <c r="H268" s="72">
        <f>F268*(($H$203)+1)+(IF(G268&lt;101,G268,IF(G268&lt;201,G268/2,IF(G268&lt;=301,G268/3,G268/4))))</f>
        <v>682.06085999999993</v>
      </c>
      <c r="I268" s="35"/>
      <c r="N268" s="35"/>
    </row>
    <row r="269" spans="1:14" s="73" customFormat="1" x14ac:dyDescent="0.35">
      <c r="A269" s="104">
        <f t="shared" si="43"/>
        <v>3</v>
      </c>
      <c r="B269" s="104"/>
      <c r="C269" s="111" t="s">
        <v>321</v>
      </c>
      <c r="D269" s="112"/>
      <c r="E269" s="112"/>
      <c r="F269" s="112"/>
      <c r="G269" s="112"/>
      <c r="H269" s="113"/>
      <c r="I269" s="35"/>
      <c r="N269" s="35"/>
    </row>
    <row r="270" spans="1:14" s="73" customFormat="1" x14ac:dyDescent="0.35">
      <c r="A270" s="104">
        <f t="shared" si="43"/>
        <v>4</v>
      </c>
      <c r="B270" s="104"/>
      <c r="C270" s="114"/>
      <c r="D270" s="115"/>
      <c r="E270" s="115"/>
      <c r="F270" s="115"/>
      <c r="G270" s="115"/>
      <c r="H270" s="116"/>
      <c r="I270" s="35"/>
      <c r="N270" s="35"/>
    </row>
    <row r="271" spans="1:14" s="73" customFormat="1" x14ac:dyDescent="0.35">
      <c r="A271" s="104">
        <f t="shared" si="43"/>
        <v>5</v>
      </c>
      <c r="B271" s="104"/>
      <c r="C271" s="114"/>
      <c r="D271" s="115"/>
      <c r="E271" s="115"/>
      <c r="F271" s="115"/>
      <c r="G271" s="115"/>
      <c r="H271" s="116"/>
      <c r="I271" s="35"/>
      <c r="N271" s="35"/>
    </row>
    <row r="272" spans="1:14" s="73" customFormat="1" x14ac:dyDescent="0.35">
      <c r="A272" s="104">
        <f t="shared" si="43"/>
        <v>6</v>
      </c>
      <c r="B272" s="104"/>
      <c r="C272" s="117"/>
      <c r="D272" s="118"/>
      <c r="E272" s="118"/>
      <c r="F272" s="118"/>
      <c r="G272" s="118"/>
      <c r="H272" s="119"/>
      <c r="I272" s="35"/>
      <c r="N272" s="35"/>
    </row>
    <row r="273" spans="1:14" s="73" customFormat="1" x14ac:dyDescent="0.35">
      <c r="A273" s="104">
        <f t="shared" si="43"/>
        <v>7</v>
      </c>
      <c r="B273" s="104"/>
      <c r="C273" s="72" t="s">
        <v>319</v>
      </c>
      <c r="D273" s="84">
        <f>(61.19)*(10.764)</f>
        <v>658.64915999999994</v>
      </c>
      <c r="E273" s="84">
        <f>(3.55)*(10.764)</f>
        <v>38.212199999999996</v>
      </c>
      <c r="F273" s="72">
        <f>D273+E273</f>
        <v>696.86135999999988</v>
      </c>
      <c r="G273" s="72">
        <v>0</v>
      </c>
      <c r="H273" s="72">
        <f>F273*(($H$203)+1)+(IF(G273&lt;101,G273,IF(G273&lt;201,G273/2,IF(G273&lt;=301,G273/3,G273/4))))</f>
        <v>1010.4489719999998</v>
      </c>
      <c r="I273" s="35"/>
      <c r="N273" s="35"/>
    </row>
    <row r="274" spans="1:14" s="73" customFormat="1" x14ac:dyDescent="0.35">
      <c r="A274" s="104">
        <f t="shared" si="43"/>
        <v>8</v>
      </c>
      <c r="B274" s="104"/>
      <c r="C274" s="72" t="s">
        <v>319</v>
      </c>
      <c r="D274" s="84">
        <f>(61.19)*(10.764)</f>
        <v>658.64915999999994</v>
      </c>
      <c r="E274" s="84">
        <f>(3.55)*(10.764)</f>
        <v>38.212199999999996</v>
      </c>
      <c r="F274" s="72">
        <f>D274+E274</f>
        <v>696.86135999999988</v>
      </c>
      <c r="G274" s="72">
        <v>0</v>
      </c>
      <c r="H274" s="72">
        <f>F274*(($H$203)+1)+(IF(G274&lt;101,G274,IF(G274&lt;201,G274/2,IF(G274&lt;=301,G274/3,G274/4))))</f>
        <v>1010.4489719999998</v>
      </c>
      <c r="I274" s="35"/>
      <c r="N274" s="35"/>
    </row>
    <row r="275" spans="1:14" s="73" customFormat="1" x14ac:dyDescent="0.35">
      <c r="A275" s="105" t="s">
        <v>323</v>
      </c>
      <c r="B275" s="106"/>
      <c r="C275" s="106"/>
      <c r="D275" s="106"/>
      <c r="E275" s="106"/>
      <c r="F275" s="106"/>
      <c r="G275" s="106"/>
      <c r="H275" s="107"/>
      <c r="I275" s="35"/>
      <c r="N275" s="35"/>
    </row>
    <row r="276" spans="1:14" s="78" customFormat="1" x14ac:dyDescent="0.35">
      <c r="A276" s="121" t="s">
        <v>326</v>
      </c>
      <c r="B276" s="121"/>
      <c r="C276" s="121"/>
      <c r="D276" s="121"/>
      <c r="E276" s="121"/>
      <c r="F276" s="121"/>
      <c r="G276" s="121"/>
      <c r="H276" s="121"/>
      <c r="I276" s="35"/>
      <c r="L276" s="120"/>
      <c r="M276" s="120"/>
    </row>
    <row r="277" spans="1:14" s="78" customFormat="1" x14ac:dyDescent="0.35">
      <c r="A277" s="104">
        <v>1</v>
      </c>
      <c r="B277" s="104"/>
      <c r="C277" s="90" t="s">
        <v>369</v>
      </c>
      <c r="D277" s="84">
        <f>(43.95)*(10.764)</f>
        <v>473.07780000000002</v>
      </c>
      <c r="E277" s="79">
        <v>0</v>
      </c>
      <c r="F277" s="79">
        <f t="shared" ref="F277:F284" si="44">D277+E277</f>
        <v>473.07780000000002</v>
      </c>
      <c r="G277" s="79">
        <v>0</v>
      </c>
      <c r="H277" s="79">
        <f t="shared" ref="H277:H284" si="45">F277*(($H$203)+1)+(IF(G277&lt;101,G277,IF(G277&lt;201,G277/2,IF(G277&lt;=301,G277/3,G277/4))))</f>
        <v>685.96280999999999</v>
      </c>
      <c r="I277" s="35">
        <f>(2.95*3.8+2.45*2.15+2.15*2.45+2.75*3.6+2.15*1.23+2.15*1.23+2.25*1+0.6*1.38+1.5*0.2+2.55*0.15+0.9*1.35)</f>
        <v>41.909500000000001</v>
      </c>
      <c r="N277" s="35"/>
    </row>
    <row r="278" spans="1:14" s="78" customFormat="1" x14ac:dyDescent="0.35">
      <c r="A278" s="104">
        <f t="shared" ref="A278:A284" si="46">A277+1</f>
        <v>2</v>
      </c>
      <c r="B278" s="104"/>
      <c r="C278" s="90" t="s">
        <v>369</v>
      </c>
      <c r="D278" s="84">
        <f>(43.95)*(10.764)</f>
        <v>473.07780000000002</v>
      </c>
      <c r="E278" s="79">
        <v>0</v>
      </c>
      <c r="F278" s="79">
        <f t="shared" si="44"/>
        <v>473.07780000000002</v>
      </c>
      <c r="G278" s="79">
        <v>0</v>
      </c>
      <c r="H278" s="79">
        <f t="shared" si="45"/>
        <v>685.96280999999999</v>
      </c>
      <c r="I278" s="35"/>
      <c r="N278" s="35"/>
    </row>
    <row r="279" spans="1:14" s="78" customFormat="1" x14ac:dyDescent="0.35">
      <c r="A279" s="104">
        <f t="shared" si="46"/>
        <v>3</v>
      </c>
      <c r="B279" s="104"/>
      <c r="C279" s="90" t="s">
        <v>369</v>
      </c>
      <c r="D279" s="84">
        <f>(43.95)*(10.764)</f>
        <v>473.07780000000002</v>
      </c>
      <c r="E279" s="79">
        <v>0</v>
      </c>
      <c r="F279" s="79">
        <f t="shared" si="44"/>
        <v>473.07780000000002</v>
      </c>
      <c r="G279" s="79">
        <v>0</v>
      </c>
      <c r="H279" s="79">
        <f t="shared" si="45"/>
        <v>685.96280999999999</v>
      </c>
      <c r="I279" s="35"/>
      <c r="N279" s="35"/>
    </row>
    <row r="280" spans="1:14" s="78" customFormat="1" x14ac:dyDescent="0.35">
      <c r="A280" s="104">
        <f t="shared" si="46"/>
        <v>4</v>
      </c>
      <c r="B280" s="104"/>
      <c r="C280" s="90" t="s">
        <v>369</v>
      </c>
      <c r="D280" s="84">
        <f>(43.95)*(10.764)</f>
        <v>473.07780000000002</v>
      </c>
      <c r="E280" s="79">
        <v>0</v>
      </c>
      <c r="F280" s="79">
        <f t="shared" si="44"/>
        <v>473.07780000000002</v>
      </c>
      <c r="G280" s="79">
        <v>0</v>
      </c>
      <c r="H280" s="79">
        <f t="shared" si="45"/>
        <v>685.96280999999999</v>
      </c>
      <c r="I280" s="35"/>
      <c r="N280" s="35"/>
    </row>
    <row r="281" spans="1:14" s="78" customFormat="1" x14ac:dyDescent="0.35">
      <c r="A281" s="104">
        <f t="shared" si="46"/>
        <v>5</v>
      </c>
      <c r="B281" s="104"/>
      <c r="C281" s="79" t="s">
        <v>319</v>
      </c>
      <c r="D281" s="84">
        <f>(61.47)*(10.764)</f>
        <v>661.66307999999992</v>
      </c>
      <c r="E281" s="84">
        <f>(3.55)*(10.764)</f>
        <v>38.212199999999996</v>
      </c>
      <c r="F281" s="79">
        <f t="shared" si="44"/>
        <v>699.87527999999998</v>
      </c>
      <c r="G281" s="79">
        <v>0</v>
      </c>
      <c r="H281" s="79">
        <f t="shared" si="45"/>
        <v>1014.8191559999999</v>
      </c>
      <c r="I281" s="35"/>
      <c r="N281" s="35"/>
    </row>
    <row r="282" spans="1:14" s="78" customFormat="1" x14ac:dyDescent="0.35">
      <c r="A282" s="104">
        <f t="shared" si="46"/>
        <v>6</v>
      </c>
      <c r="B282" s="104"/>
      <c r="C282" s="79" t="s">
        <v>319</v>
      </c>
      <c r="D282" s="84">
        <f>(61.47)*(10.764)</f>
        <v>661.66307999999992</v>
      </c>
      <c r="E282" s="84">
        <f>(3.55)*(10.764)</f>
        <v>38.212199999999996</v>
      </c>
      <c r="F282" s="79">
        <f t="shared" si="44"/>
        <v>699.87527999999998</v>
      </c>
      <c r="G282" s="79">
        <v>0</v>
      </c>
      <c r="H282" s="79">
        <f t="shared" si="45"/>
        <v>1014.8191559999999</v>
      </c>
      <c r="I282" s="35"/>
      <c r="N282" s="35"/>
    </row>
    <row r="283" spans="1:14" s="78" customFormat="1" x14ac:dyDescent="0.35">
      <c r="A283" s="104">
        <f t="shared" si="46"/>
        <v>7</v>
      </c>
      <c r="B283" s="104"/>
      <c r="C283" s="79" t="s">
        <v>319</v>
      </c>
      <c r="D283" s="84">
        <f>(61.47)*(10.764)</f>
        <v>661.66307999999992</v>
      </c>
      <c r="E283" s="84">
        <f>(3.55)*(10.764)</f>
        <v>38.212199999999996</v>
      </c>
      <c r="F283" s="79">
        <f t="shared" si="44"/>
        <v>699.87527999999998</v>
      </c>
      <c r="G283" s="79">
        <v>0</v>
      </c>
      <c r="H283" s="79">
        <f t="shared" si="45"/>
        <v>1014.8191559999999</v>
      </c>
      <c r="I283" s="35">
        <f>(3.05*5.01+2.75*2.29+2.89*3.2+3.05*4.28+0.55*0.93+2.41*1.38+2.28*1.38+2.64*0.93+1.25*1.53+1.5*0.2+1.25*0.62+0.9*1.49)</f>
        <v>57.647399999999998</v>
      </c>
      <c r="J283" s="35">
        <f>3.02*1.05+0.2*0.28</f>
        <v>3.2270000000000003</v>
      </c>
      <c r="N283" s="35"/>
    </row>
    <row r="284" spans="1:14" s="78" customFormat="1" x14ac:dyDescent="0.35">
      <c r="A284" s="104">
        <f t="shared" si="46"/>
        <v>8</v>
      </c>
      <c r="B284" s="104"/>
      <c r="C284" s="79" t="s">
        <v>319</v>
      </c>
      <c r="D284" s="84">
        <f>(61.47)*(10.764)</f>
        <v>661.66307999999992</v>
      </c>
      <c r="E284" s="84">
        <f>(3.55)*(10.764)</f>
        <v>38.212199999999996</v>
      </c>
      <c r="F284" s="79">
        <f t="shared" si="44"/>
        <v>699.87527999999998</v>
      </c>
      <c r="G284" s="79">
        <v>0</v>
      </c>
      <c r="H284" s="79">
        <f t="shared" si="45"/>
        <v>1014.8191559999999</v>
      </c>
      <c r="I284" s="35"/>
      <c r="J284" s="35"/>
      <c r="N284" s="35"/>
    </row>
    <row r="285" spans="1:14" s="78" customFormat="1" ht="32.25" customHeight="1" x14ac:dyDescent="0.35">
      <c r="A285" s="105" t="s">
        <v>325</v>
      </c>
      <c r="B285" s="106"/>
      <c r="C285" s="106"/>
      <c r="D285" s="106"/>
      <c r="E285" s="106"/>
      <c r="F285" s="106"/>
      <c r="G285" s="106"/>
      <c r="H285" s="107"/>
      <c r="I285" s="35"/>
    </row>
    <row r="286" spans="1:14" s="78" customFormat="1" ht="15.75" customHeight="1" x14ac:dyDescent="0.35">
      <c r="A286" s="102">
        <v>1</v>
      </c>
      <c r="B286" s="103"/>
      <c r="C286" s="90" t="s">
        <v>369</v>
      </c>
      <c r="D286" s="84">
        <f>(43.95)*(10.764)</f>
        <v>473.07780000000002</v>
      </c>
      <c r="E286" s="79">
        <v>0</v>
      </c>
      <c r="F286" s="79">
        <f t="shared" ref="F286:F293" si="47">D286+E286</f>
        <v>473.07780000000002</v>
      </c>
      <c r="G286" s="79">
        <v>0</v>
      </c>
      <c r="H286" s="79">
        <f t="shared" ref="H286:H293" si="48">F286*(($H$203)+1)+(IF(G286&lt;101,G286,IF(G286&lt;201,G286/2,IF(G286&lt;=301,G286/3,G286/4))))</f>
        <v>685.96280999999999</v>
      </c>
      <c r="I286" s="35"/>
    </row>
    <row r="287" spans="1:14" s="78" customFormat="1" ht="15.75" customHeight="1" x14ac:dyDescent="0.35">
      <c r="A287" s="102">
        <v>2</v>
      </c>
      <c r="B287" s="103"/>
      <c r="C287" s="90" t="s">
        <v>369</v>
      </c>
      <c r="D287" s="84">
        <f>(43.95)*(10.764)</f>
        <v>473.07780000000002</v>
      </c>
      <c r="E287" s="79">
        <v>0</v>
      </c>
      <c r="F287" s="79">
        <f t="shared" si="47"/>
        <v>473.07780000000002</v>
      </c>
      <c r="G287" s="79">
        <v>0</v>
      </c>
      <c r="H287" s="79">
        <f t="shared" si="48"/>
        <v>685.96280999999999</v>
      </c>
      <c r="I287" s="35"/>
    </row>
    <row r="288" spans="1:14" s="78" customFormat="1" ht="15.75" customHeight="1" x14ac:dyDescent="0.35">
      <c r="A288" s="102">
        <v>3</v>
      </c>
      <c r="B288" s="103"/>
      <c r="C288" s="90" t="s">
        <v>369</v>
      </c>
      <c r="D288" s="84">
        <f>(43.95)*(10.764)</f>
        <v>473.07780000000002</v>
      </c>
      <c r="E288" s="79">
        <v>0</v>
      </c>
      <c r="F288" s="79">
        <f t="shared" si="47"/>
        <v>473.07780000000002</v>
      </c>
      <c r="G288" s="79">
        <v>0</v>
      </c>
      <c r="H288" s="79">
        <f t="shared" si="48"/>
        <v>685.96280999999999</v>
      </c>
      <c r="I288" s="35"/>
    </row>
    <row r="289" spans="1:14" s="78" customFormat="1" ht="15.75" customHeight="1" x14ac:dyDescent="0.35">
      <c r="A289" s="102">
        <v>4</v>
      </c>
      <c r="B289" s="103"/>
      <c r="C289" s="90" t="s">
        <v>369</v>
      </c>
      <c r="D289" s="84">
        <f>(43.95)*(10.764)</f>
        <v>473.07780000000002</v>
      </c>
      <c r="E289" s="79">
        <v>0</v>
      </c>
      <c r="F289" s="79">
        <f t="shared" si="47"/>
        <v>473.07780000000002</v>
      </c>
      <c r="G289" s="79">
        <v>0</v>
      </c>
      <c r="H289" s="79">
        <f t="shared" si="48"/>
        <v>685.96280999999999</v>
      </c>
      <c r="I289" s="35"/>
    </row>
    <row r="290" spans="1:14" s="78" customFormat="1" ht="15.75" customHeight="1" x14ac:dyDescent="0.35">
      <c r="A290" s="102">
        <v>5</v>
      </c>
      <c r="B290" s="103"/>
      <c r="C290" s="79" t="s">
        <v>319</v>
      </c>
      <c r="D290" s="84">
        <f>(61.47)*(10.764)</f>
        <v>661.66307999999992</v>
      </c>
      <c r="E290" s="84">
        <f>(3.55)*(10.764)</f>
        <v>38.212199999999996</v>
      </c>
      <c r="F290" s="79">
        <f t="shared" si="47"/>
        <v>699.87527999999998</v>
      </c>
      <c r="G290" s="79">
        <v>0</v>
      </c>
      <c r="H290" s="79">
        <f t="shared" si="48"/>
        <v>1014.8191559999999</v>
      </c>
      <c r="I290" s="35"/>
    </row>
    <row r="291" spans="1:14" s="78" customFormat="1" ht="15.75" customHeight="1" x14ac:dyDescent="0.35">
      <c r="A291" s="102">
        <v>6</v>
      </c>
      <c r="B291" s="103"/>
      <c r="C291" s="79" t="s">
        <v>319</v>
      </c>
      <c r="D291" s="84">
        <f>(61.47)*(10.764)</f>
        <v>661.66307999999992</v>
      </c>
      <c r="E291" s="84">
        <f>(3.55)*(10.764)</f>
        <v>38.212199999999996</v>
      </c>
      <c r="F291" s="79">
        <f t="shared" si="47"/>
        <v>699.87527999999998</v>
      </c>
      <c r="G291" s="79">
        <v>0</v>
      </c>
      <c r="H291" s="79">
        <f t="shared" si="48"/>
        <v>1014.8191559999999</v>
      </c>
      <c r="I291" s="35"/>
    </row>
    <row r="292" spans="1:14" s="78" customFormat="1" ht="15.75" customHeight="1" x14ac:dyDescent="0.35">
      <c r="A292" s="102">
        <v>7</v>
      </c>
      <c r="B292" s="103"/>
      <c r="C292" s="79" t="s">
        <v>319</v>
      </c>
      <c r="D292" s="84">
        <f>(61.47)*(10.764)</f>
        <v>661.66307999999992</v>
      </c>
      <c r="E292" s="84">
        <f>(3.55)*(10.764)</f>
        <v>38.212199999999996</v>
      </c>
      <c r="F292" s="79">
        <f t="shared" si="47"/>
        <v>699.87527999999998</v>
      </c>
      <c r="G292" s="79">
        <v>0</v>
      </c>
      <c r="H292" s="79">
        <f t="shared" si="48"/>
        <v>1014.8191559999999</v>
      </c>
      <c r="I292" s="35"/>
    </row>
    <row r="293" spans="1:14" s="78" customFormat="1" ht="15.75" customHeight="1" x14ac:dyDescent="0.35">
      <c r="A293" s="102">
        <v>8</v>
      </c>
      <c r="B293" s="103"/>
      <c r="C293" s="79" t="s">
        <v>319</v>
      </c>
      <c r="D293" s="84">
        <f>(61.47)*(10.764)</f>
        <v>661.66307999999992</v>
      </c>
      <c r="E293" s="84">
        <f>(3.55)*(10.764)</f>
        <v>38.212199999999996</v>
      </c>
      <c r="F293" s="79">
        <f t="shared" si="47"/>
        <v>699.87527999999998</v>
      </c>
      <c r="G293" s="79">
        <v>0</v>
      </c>
      <c r="H293" s="79">
        <f t="shared" si="48"/>
        <v>1014.8191559999999</v>
      </c>
      <c r="I293" s="35"/>
    </row>
    <row r="294" spans="1:14" s="78" customFormat="1" x14ac:dyDescent="0.35">
      <c r="A294" s="105" t="s">
        <v>327</v>
      </c>
      <c r="B294" s="106"/>
      <c r="C294" s="106"/>
      <c r="D294" s="106"/>
      <c r="E294" s="106"/>
      <c r="F294" s="106"/>
      <c r="G294" s="106"/>
      <c r="H294" s="107"/>
      <c r="I294" s="35"/>
    </row>
    <row r="295" spans="1:14" s="78" customFormat="1" ht="15.75" customHeight="1" x14ac:dyDescent="0.35">
      <c r="A295" s="102">
        <v>1</v>
      </c>
      <c r="B295" s="103"/>
      <c r="C295" s="90" t="s">
        <v>369</v>
      </c>
      <c r="D295" s="84">
        <f>(43.95)*(10.764)</f>
        <v>473.07780000000002</v>
      </c>
      <c r="E295" s="79">
        <v>0</v>
      </c>
      <c r="F295" s="79">
        <f t="shared" ref="F295:F300" si="49">D295+E295</f>
        <v>473.07780000000002</v>
      </c>
      <c r="G295" s="79">
        <v>0</v>
      </c>
      <c r="H295" s="79">
        <f t="shared" ref="H295:H300" si="50">F295*(($H$203)+1)+(IF(G295&lt;101,G295,IF(G295&lt;201,G295/2,IF(G295&lt;=301,G295/3,G295/4))))</f>
        <v>685.96280999999999</v>
      </c>
      <c r="I295" s="35"/>
    </row>
    <row r="296" spans="1:14" s="78" customFormat="1" ht="15.75" customHeight="1" x14ac:dyDescent="0.35">
      <c r="A296" s="102">
        <v>2</v>
      </c>
      <c r="B296" s="103"/>
      <c r="C296" s="90" t="s">
        <v>369</v>
      </c>
      <c r="D296" s="84">
        <f>(43.95)*(10.764)</f>
        <v>473.07780000000002</v>
      </c>
      <c r="E296" s="79">
        <v>0</v>
      </c>
      <c r="F296" s="79">
        <f t="shared" si="49"/>
        <v>473.07780000000002</v>
      </c>
      <c r="G296" s="79">
        <v>0</v>
      </c>
      <c r="H296" s="79">
        <f t="shared" si="50"/>
        <v>685.96280999999999</v>
      </c>
      <c r="I296" s="35"/>
    </row>
    <row r="297" spans="1:14" s="78" customFormat="1" ht="15.75" customHeight="1" x14ac:dyDescent="0.35">
      <c r="A297" s="102">
        <v>3</v>
      </c>
      <c r="B297" s="103"/>
      <c r="C297" s="90" t="s">
        <v>369</v>
      </c>
      <c r="D297" s="84">
        <f>(43.95)*(10.764)</f>
        <v>473.07780000000002</v>
      </c>
      <c r="E297" s="79">
        <v>0</v>
      </c>
      <c r="F297" s="79">
        <f t="shared" si="49"/>
        <v>473.07780000000002</v>
      </c>
      <c r="G297" s="79">
        <v>0</v>
      </c>
      <c r="H297" s="79">
        <f t="shared" si="50"/>
        <v>685.96280999999999</v>
      </c>
      <c r="I297" s="35"/>
    </row>
    <row r="298" spans="1:14" s="78" customFormat="1" ht="15.75" customHeight="1" x14ac:dyDescent="0.35">
      <c r="A298" s="102">
        <v>4</v>
      </c>
      <c r="B298" s="103"/>
      <c r="C298" s="90" t="s">
        <v>369</v>
      </c>
      <c r="D298" s="84">
        <f>(43.95)*(10.764)</f>
        <v>473.07780000000002</v>
      </c>
      <c r="E298" s="79">
        <v>0</v>
      </c>
      <c r="F298" s="79">
        <f t="shared" si="49"/>
        <v>473.07780000000002</v>
      </c>
      <c r="G298" s="79">
        <v>0</v>
      </c>
      <c r="H298" s="79">
        <f t="shared" si="50"/>
        <v>685.96280999999999</v>
      </c>
      <c r="I298" s="35"/>
    </row>
    <row r="299" spans="1:14" s="78" customFormat="1" ht="15.75" customHeight="1" x14ac:dyDescent="0.35">
      <c r="A299" s="102">
        <v>5</v>
      </c>
      <c r="B299" s="103"/>
      <c r="C299" s="79" t="s">
        <v>319</v>
      </c>
      <c r="D299" s="84">
        <f>(61.47)*(10.764)</f>
        <v>661.66307999999992</v>
      </c>
      <c r="E299" s="84">
        <f>(3.55)*(10.764)</f>
        <v>38.212199999999996</v>
      </c>
      <c r="F299" s="79">
        <f t="shared" si="49"/>
        <v>699.87527999999998</v>
      </c>
      <c r="G299" s="79">
        <v>0</v>
      </c>
      <c r="H299" s="79">
        <f t="shared" si="50"/>
        <v>1014.8191559999999</v>
      </c>
      <c r="I299" s="35"/>
    </row>
    <row r="300" spans="1:14" s="78" customFormat="1" ht="15.75" customHeight="1" x14ac:dyDescent="0.35">
      <c r="A300" s="102">
        <v>6</v>
      </c>
      <c r="B300" s="103"/>
      <c r="C300" s="79" t="s">
        <v>319</v>
      </c>
      <c r="D300" s="84">
        <f>(61.47)*(10.764)</f>
        <v>661.66307999999992</v>
      </c>
      <c r="E300" s="84">
        <f>(3.55)*(10.764)</f>
        <v>38.212199999999996</v>
      </c>
      <c r="F300" s="79">
        <f t="shared" si="49"/>
        <v>699.87527999999998</v>
      </c>
      <c r="G300" s="79">
        <v>0</v>
      </c>
      <c r="H300" s="79">
        <f t="shared" si="50"/>
        <v>1014.8191559999999</v>
      </c>
      <c r="I300" s="35"/>
    </row>
    <row r="301" spans="1:14" s="78" customFormat="1" ht="15.75" customHeight="1" x14ac:dyDescent="0.35">
      <c r="A301" s="102">
        <v>7</v>
      </c>
      <c r="B301" s="103"/>
      <c r="C301" s="102" t="s">
        <v>328</v>
      </c>
      <c r="D301" s="110"/>
      <c r="E301" s="110"/>
      <c r="F301" s="110"/>
      <c r="G301" s="110"/>
      <c r="H301" s="103"/>
      <c r="I301" s="35"/>
    </row>
    <row r="302" spans="1:14" s="78" customFormat="1" ht="15.75" customHeight="1" x14ac:dyDescent="0.35">
      <c r="A302" s="102">
        <v>8</v>
      </c>
      <c r="B302" s="103"/>
      <c r="C302" s="79" t="s">
        <v>319</v>
      </c>
      <c r="D302" s="84">
        <f>(61.47)*(10.764)</f>
        <v>661.66307999999992</v>
      </c>
      <c r="E302" s="84">
        <f>(3.55)*(10.764)</f>
        <v>38.212199999999996</v>
      </c>
      <c r="F302" s="79">
        <f>D302+E302</f>
        <v>699.87527999999998</v>
      </c>
      <c r="G302" s="79">
        <v>0</v>
      </c>
      <c r="H302" s="79">
        <f>F302*(($H$203)+1)+(IF(G302&lt;101,G302,IF(G302&lt;201,G302/2,IF(G302&lt;=301,G302/3,G302/4))))</f>
        <v>1014.8191559999999</v>
      </c>
      <c r="I302" s="35"/>
    </row>
    <row r="303" spans="1:14" s="36" customFormat="1" hidden="1" x14ac:dyDescent="0.35">
      <c r="A303" s="105" t="s">
        <v>116</v>
      </c>
      <c r="B303" s="106"/>
      <c r="C303" s="106"/>
      <c r="D303" s="106"/>
      <c r="E303" s="106"/>
      <c r="F303" s="106"/>
      <c r="G303" s="106"/>
      <c r="H303" s="107"/>
      <c r="J303" s="35"/>
    </row>
    <row r="304" spans="1:14" s="36" customFormat="1" ht="15.75" hidden="1" customHeight="1" x14ac:dyDescent="0.35">
      <c r="A304" s="102">
        <v>1</v>
      </c>
      <c r="B304" s="103"/>
      <c r="C304" s="41"/>
      <c r="D304" s="41"/>
      <c r="E304" s="41">
        <v>0</v>
      </c>
      <c r="F304" s="41">
        <f>D304+E304</f>
        <v>0</v>
      </c>
      <c r="G304" s="55">
        <v>0</v>
      </c>
      <c r="H304" s="55">
        <f>F304*(($H$203)+1)+(IF(G304&lt;101,G304,IF(G304&lt;201,G304/2,IF(G304&lt;=301,G304/3,G304/4))))</f>
        <v>0</v>
      </c>
      <c r="I304" s="35"/>
      <c r="L304" s="120"/>
      <c r="M304" s="120"/>
      <c r="N304" s="35"/>
    </row>
    <row r="305" spans="1:20" s="36" customFormat="1" ht="15.75" hidden="1" customHeight="1" x14ac:dyDescent="0.35">
      <c r="A305" s="102">
        <f>A304+1</f>
        <v>2</v>
      </c>
      <c r="B305" s="103"/>
      <c r="C305" s="41"/>
      <c r="D305" s="41"/>
      <c r="E305" s="41">
        <v>0</v>
      </c>
      <c r="F305" s="55">
        <f>D305+E305</f>
        <v>0</v>
      </c>
      <c r="G305" s="55">
        <v>0</v>
      </c>
      <c r="H305" s="55">
        <f>F305*(($H$203)+1)+(IF(G305&lt;101,G305,IF(G305&lt;201,G305/2,IF(G305&lt;=301,G305/3,G305/4))))</f>
        <v>0</v>
      </c>
      <c r="I305" s="35"/>
      <c r="L305" s="120"/>
      <c r="M305" s="120"/>
      <c r="N305" s="35"/>
    </row>
    <row r="306" spans="1:20" s="36" customFormat="1" ht="15.75" hidden="1" customHeight="1" x14ac:dyDescent="0.35">
      <c r="A306" s="102">
        <f>A305+1</f>
        <v>3</v>
      </c>
      <c r="B306" s="103"/>
      <c r="C306" s="41"/>
      <c r="D306" s="41"/>
      <c r="E306" s="41">
        <v>0</v>
      </c>
      <c r="F306" s="55">
        <f>D306+E306</f>
        <v>0</v>
      </c>
      <c r="G306" s="55">
        <v>0</v>
      </c>
      <c r="H306" s="55">
        <f>F306*(($H$203)+1)+(IF(G306&lt;101,G306,IF(G306&lt;201,G306/2,IF(G306&lt;=301,G306/3,G306/4))))</f>
        <v>0</v>
      </c>
      <c r="I306" s="35"/>
      <c r="L306" s="120"/>
      <c r="M306" s="120"/>
      <c r="N306" s="35"/>
    </row>
    <row r="307" spans="1:20" s="36" customFormat="1" ht="15.75" hidden="1" customHeight="1" x14ac:dyDescent="0.35">
      <c r="A307" s="102">
        <f>A306+1</f>
        <v>4</v>
      </c>
      <c r="B307" s="103"/>
      <c r="C307" s="41"/>
      <c r="D307" s="41"/>
      <c r="E307" s="41">
        <v>0</v>
      </c>
      <c r="F307" s="55">
        <f>D307+E307</f>
        <v>0</v>
      </c>
      <c r="G307" s="55">
        <v>0</v>
      </c>
      <c r="H307" s="55">
        <f>F307*(($H$203)+1)+(IF(G307&lt;101,G307,IF(G307&lt;201,G307/2,IF(G307&lt;=301,G307/3,G307/4))))</f>
        <v>0</v>
      </c>
      <c r="I307" s="35"/>
      <c r="L307" s="120"/>
      <c r="M307" s="120"/>
      <c r="N307" s="35"/>
      <c r="T307" s="21"/>
    </row>
    <row r="308" spans="1:20" s="36" customFormat="1" hidden="1" x14ac:dyDescent="0.35">
      <c r="A308" s="121" t="s">
        <v>117</v>
      </c>
      <c r="B308" s="121"/>
      <c r="C308" s="121"/>
      <c r="D308" s="121"/>
      <c r="E308" s="121"/>
      <c r="F308" s="121"/>
      <c r="G308" s="121"/>
      <c r="H308" s="121"/>
      <c r="I308" s="35"/>
      <c r="L308" s="120"/>
      <c r="M308" s="120"/>
    </row>
    <row r="309" spans="1:20" s="36" customFormat="1" hidden="1" x14ac:dyDescent="0.35">
      <c r="A309" s="104">
        <f>LEFT(A308,SUM(LEN(A308)-LEN(SUBSTITUTE(A308,{"0","1","2","3","4","5","6","7","8","9"},""))))*100+1</f>
        <v>201</v>
      </c>
      <c r="B309" s="104"/>
      <c r="C309" s="41"/>
      <c r="D309" s="41"/>
      <c r="E309" s="55">
        <v>0</v>
      </c>
      <c r="F309" s="55">
        <f>D309+E309</f>
        <v>0</v>
      </c>
      <c r="G309" s="55">
        <v>0</v>
      </c>
      <c r="H309" s="55">
        <f>F309*(($H$203)+1)+(IF(G309&lt;101,G309,IF(G309&lt;201,G309/2,IF(G309&lt;=301,G309/3,G309/4))))</f>
        <v>0</v>
      </c>
      <c r="I309" s="35"/>
      <c r="N309" s="35"/>
    </row>
    <row r="310" spans="1:20" s="36" customFormat="1" hidden="1" x14ac:dyDescent="0.35">
      <c r="A310" s="104">
        <f>A309+1</f>
        <v>202</v>
      </c>
      <c r="B310" s="104"/>
      <c r="C310" s="41"/>
      <c r="D310" s="41"/>
      <c r="E310" s="55">
        <v>0</v>
      </c>
      <c r="F310" s="55">
        <f>D310+E310</f>
        <v>0</v>
      </c>
      <c r="G310" s="55">
        <v>0</v>
      </c>
      <c r="H310" s="55">
        <f>F310*(($H$203)+1)+(IF(G310&lt;101,G310,IF(G310&lt;201,G310/2,IF(G310&lt;=301,G310/3,G310/4))))</f>
        <v>0</v>
      </c>
      <c r="I310" s="35"/>
      <c r="N310" s="35"/>
    </row>
    <row r="311" spans="1:20" s="36" customFormat="1" hidden="1" x14ac:dyDescent="0.35">
      <c r="A311" s="104">
        <f>A310+1</f>
        <v>203</v>
      </c>
      <c r="B311" s="104"/>
      <c r="C311" s="41"/>
      <c r="D311" s="41"/>
      <c r="E311" s="55">
        <v>0</v>
      </c>
      <c r="F311" s="55">
        <f>D311+E311</f>
        <v>0</v>
      </c>
      <c r="G311" s="55">
        <v>0</v>
      </c>
      <c r="H311" s="55">
        <f>F311*(($H$203)+1)+(IF(G311&lt;101,G311,IF(G311&lt;201,G311/2,IF(G311&lt;=301,G311/3,G311/4))))</f>
        <v>0</v>
      </c>
      <c r="I311" s="35"/>
      <c r="N311" s="35"/>
    </row>
    <row r="312" spans="1:20" s="36" customFormat="1" hidden="1" x14ac:dyDescent="0.35">
      <c r="A312" s="104">
        <f>A311+1</f>
        <v>204</v>
      </c>
      <c r="B312" s="104"/>
      <c r="C312" s="41"/>
      <c r="D312" s="41"/>
      <c r="E312" s="55">
        <v>0</v>
      </c>
      <c r="F312" s="55">
        <f>D312+E312</f>
        <v>0</v>
      </c>
      <c r="G312" s="55">
        <v>0</v>
      </c>
      <c r="H312" s="55">
        <f>F312*(($H$203)+1)+(IF(G312&lt;101,G312,IF(G312&lt;201,G312/2,IF(G312&lt;=301,G312/3,G312/4))))</f>
        <v>0</v>
      </c>
      <c r="I312" s="35"/>
      <c r="N312" s="35"/>
    </row>
    <row r="313" spans="1:20" s="36" customFormat="1" hidden="1" x14ac:dyDescent="0.35">
      <c r="A313" s="104">
        <f>A312+1</f>
        <v>205</v>
      </c>
      <c r="B313" s="104"/>
      <c r="C313" s="41"/>
      <c r="D313" s="41"/>
      <c r="E313" s="55">
        <v>0</v>
      </c>
      <c r="F313" s="55">
        <f>D313+E313</f>
        <v>0</v>
      </c>
      <c r="G313" s="55">
        <v>0</v>
      </c>
      <c r="H313" s="55">
        <f>F313*(($H$203)+1)+(IF(G313&lt;101,G313,IF(G313&lt;201,G313/2,IF(G313&lt;=301,G313/3,G313/4))))</f>
        <v>0</v>
      </c>
      <c r="I313" s="35"/>
      <c r="N313" s="35"/>
    </row>
    <row r="314" spans="1:20" s="36" customFormat="1" ht="15.75" hidden="1" customHeight="1" x14ac:dyDescent="0.35">
      <c r="A314" s="105" t="s">
        <v>149</v>
      </c>
      <c r="B314" s="106"/>
      <c r="C314" s="106"/>
      <c r="D314" s="106"/>
      <c r="E314" s="106"/>
      <c r="F314" s="106"/>
      <c r="G314" s="106"/>
      <c r="H314" s="107"/>
      <c r="I314" s="35"/>
    </row>
    <row r="315" spans="1:20" s="36" customFormat="1" ht="15.75" hidden="1" customHeight="1" x14ac:dyDescent="0.35">
      <c r="A315" s="102" t="str">
        <f ca="1">(SUMPRODUCT(MID(0&amp;(LEFT(A314,SUM(LEN(A314)-LEN(SUBSTITUTE(A314,{"0","1","2"},""))))), LARGE(INDEX(ISNUMBER(--MID((LEFT(A314,SUM(LEN(A314)-LEN(SUBSTITUTE(A314,{"0","1","2"},""))))), ROW(INDIRECT("1:"&amp;LEN((LEFT(A314,SUM(LEN(A314)-LEN(SUBSTITUTE(A314,{"0","1","2"},"")))))))), 1)) * ROW(INDIRECT("1:"&amp;LEN((LEFT(A314,SUM(LEN(A314)-LEN(SUBSTITUTE(A314,{"0","1","2"},"")))))))), 0), ROW(INDIRECT("1:"&amp;LEN((LEFT(A314,SUM(LEN(A314)-LEN(SUBSTITUTE(A314,{"0","1","2"},"")))))))))+1, 1) * 10^ROW(INDIRECT("1:"&amp;LEN((LEFT(A314,SUM(LEN(A314)-LEN(SUBSTITUTE(A314,{"0","1","2"},""))))))))/10))*100+1&amp;""&amp;" ,.., "&amp;""&amp;(SUMPRODUCT(MID(0&amp;(--TRIM(RIGHT(SUBSTITUTE(LEFT(A314,_xlfn.AGGREGATE(16,6,FIND({0,1,2,3,4,5,6,7,8,9},A314,ROW(INDIRECT("1:"&amp;LEN(A314)))),1))," ",REPT(" ",LEN(A314))),LEN(A314)))), LARGE(INDEX(ISNUMBER(--MID((--TRIM(RIGHT(SUBSTITUTE(LEFT(A314,_xlfn.AGGREGATE(16,6,FIND({0,1,2,3,4,5,6,7,8,9},A314,ROW(INDIRECT("1:"&amp;LEN(A314)))),1))," ",REPT(" ",LEN(A314))),LEN(A314)))), ROW(INDIRECT("1:"&amp;LEN((--TRIM(RIGHT(SUBSTITUTE(LEFT(A314,_xlfn.AGGREGATE(16,6,FIND({0,1,2,3,4,5,6,7,8,9},A314,ROW(INDIRECT("1:"&amp;LEN(A314)))),1))," ",REPT(" ",LEN(A314))),LEN(A314))))))), 1)) * ROW(INDIRECT("1:"&amp;LEN((--TRIM(RIGHT(SUBSTITUTE(LEFT(A314,_xlfn.AGGREGATE(16,6,FIND({0,1,2,3,4,5,6,7,8,9},A314,ROW(INDIRECT("1:"&amp;LEN(A314)))),1))," ",REPT(" ",LEN(A314))),LEN(A314))))))), 0), ROW(INDIRECT("1:"&amp;LEN((--TRIM(RIGHT(SUBSTITUTE(LEFT(A314,_xlfn.AGGREGATE(16,6,FIND({0,1,2,3,4,5,6,7,8,9},A314,ROW(INDIRECT("1:"&amp;LEN(A314)))),1))," ",REPT(" ",LEN(A314))),LEN(A314))))))))+1, 1) * 10^ROW(INDIRECT("1:"&amp;LEN((--TRIM(RIGHT(SUBSTITUTE(LEFT(A314,_xlfn.AGGREGATE(16,6,FIND({0,1,2,3,4,5,6,7,8,9},A314,ROW(INDIRECT("1:"&amp;LEN(A314)))),1))," ",REPT(" ",LEN(A314))),LEN(A314)))))))/10))*100+1</f>
        <v>301 ,.., 1501</v>
      </c>
      <c r="B315" s="103"/>
      <c r="C315" s="41"/>
      <c r="D315" s="41"/>
      <c r="E315" s="55">
        <v>0</v>
      </c>
      <c r="F315" s="55">
        <f>D315+E315</f>
        <v>0</v>
      </c>
      <c r="G315" s="55">
        <v>0</v>
      </c>
      <c r="H315" s="55">
        <f>F315*(($H$203)+1)+(IF(G315&lt;101,G315,IF(G315&lt;201,G315/2,IF(G315&lt;=301,G315/3,G315/4))))</f>
        <v>0</v>
      </c>
      <c r="I315" s="35"/>
    </row>
    <row r="316" spans="1:20" s="36" customFormat="1" ht="15.75" hidden="1" customHeight="1" x14ac:dyDescent="0.35">
      <c r="A316" s="102" t="str">
        <f ca="1">(SUMPRODUCT(MID(0&amp;(LEFT(A315,SUM(LEN(A315)-LEN(SUBSTITUTE(A315,{"0","1","2"},""))))), LARGE(INDEX(ISNUMBER(--MID((LEFT(A315,SUM(LEN(A315)-LEN(SUBSTITUTE(A315,{"0","1","2"},""))))), ROW(INDIRECT("1:"&amp;LEN((LEFT(A315,SUM(LEN(A315)-LEN(SUBSTITUTE(A315,{"0","1","2"},"")))))))), 1)) * ROW(INDIRECT("1:"&amp;LEN((LEFT(A315,SUM(LEN(A315)-LEN(SUBSTITUTE(A315,{"0","1","2"},"")))))))), 0), ROW(INDIRECT("1:"&amp;LEN((LEFT(A315,SUM(LEN(A315)-LEN(SUBSTITUTE(A315,{"0","1","2"},"")))))))))+1, 1) * 10^ROW(INDIRECT("1:"&amp;LEN((LEFT(A315,SUM(LEN(A315)-LEN(SUBSTITUTE(A315,{"0","1","2"},""))))))))/10))*1+1&amp;""&amp;" ,.., "&amp;""&amp;(SUMPRODUCT(MID(0&amp;(--TRIM(RIGHT(SUBSTITUTE(LEFT(A315,_xlfn.AGGREGATE(16,6,FIND({0,1,2,3,4,5,6,7,8,9},A315,ROW(INDIRECT("1:"&amp;LEN(A315)))),1))," ",REPT(" ",LEN(A315))),LEN(A315)))), LARGE(INDEX(ISNUMBER(--MID((--TRIM(RIGHT(SUBSTITUTE(LEFT(A315,_xlfn.AGGREGATE(16,6,FIND({0,1,2,3,4,5,6,7,8,9},A315,ROW(INDIRECT("1:"&amp;LEN(A315)))),1))," ",REPT(" ",LEN(A315))),LEN(A315)))), ROW(INDIRECT("1:"&amp;LEN((--TRIM(RIGHT(SUBSTITUTE(LEFT(A315,_xlfn.AGGREGATE(16,6,FIND({0,1,2,3,4,5,6,7,8,9},A315,ROW(INDIRECT("1:"&amp;LEN(A315)))),1))," ",REPT(" ",LEN(A315))),LEN(A315))))))), 1)) * ROW(INDIRECT("1:"&amp;LEN((--TRIM(RIGHT(SUBSTITUTE(LEFT(A315,_xlfn.AGGREGATE(16,6,FIND({0,1,2,3,4,5,6,7,8,9},A315,ROW(INDIRECT("1:"&amp;LEN(A315)))),1))," ",REPT(" ",LEN(A315))),LEN(A315))))))), 0), ROW(INDIRECT("1:"&amp;LEN((--TRIM(RIGHT(SUBSTITUTE(LEFT(A315,_xlfn.AGGREGATE(16,6,FIND({0,1,2,3,4,5,6,7,8,9},A315,ROW(INDIRECT("1:"&amp;LEN(A315)))),1))," ",REPT(" ",LEN(A315))),LEN(A315))))))))+1, 1) * 10^ROW(INDIRECT("1:"&amp;LEN((--TRIM(RIGHT(SUBSTITUTE(LEFT(A315,_xlfn.AGGREGATE(16,6,FIND({0,1,2,3,4,5,6,7,8,9},A315,ROW(INDIRECT("1:"&amp;LEN(A315)))),1))," ",REPT(" ",LEN(A315))),LEN(A315)))))))/10))*1+1</f>
        <v>302 ,.., 1502</v>
      </c>
      <c r="B316" s="103"/>
      <c r="C316" s="41"/>
      <c r="D316" s="41"/>
      <c r="E316" s="55">
        <v>0</v>
      </c>
      <c r="F316" s="55">
        <f>D316+E316</f>
        <v>0</v>
      </c>
      <c r="G316" s="55">
        <v>0</v>
      </c>
      <c r="H316" s="55">
        <f>F316*(($H$203)+1)+(IF(G316&lt;101,G316,IF(G316&lt;201,G316/2,IF(G316&lt;=301,G316/3,G316/4))))</f>
        <v>0</v>
      </c>
      <c r="I316" s="35"/>
    </row>
    <row r="317" spans="1:20" s="36" customFormat="1" ht="15.75" hidden="1" customHeight="1" x14ac:dyDescent="0.35">
      <c r="A317" s="102" t="str">
        <f ca="1">(SUMPRODUCT(MID(0&amp;(LEFT(A316,SUM(LEN(A316)-LEN(SUBSTITUTE(A316,{"0","1","2"},""))))), LARGE(INDEX(ISNUMBER(--MID((LEFT(A316,SUM(LEN(A316)-LEN(SUBSTITUTE(A316,{"0","1","2"},""))))), ROW(INDIRECT("1:"&amp;LEN((LEFT(A316,SUM(LEN(A316)-LEN(SUBSTITUTE(A316,{"0","1","2"},"")))))))), 1)) * ROW(INDIRECT("1:"&amp;LEN((LEFT(A316,SUM(LEN(A316)-LEN(SUBSTITUTE(A316,{"0","1","2"},"")))))))), 0), ROW(INDIRECT("1:"&amp;LEN((LEFT(A316,SUM(LEN(A316)-LEN(SUBSTITUTE(A316,{"0","1","2"},"")))))))))+1, 1) * 10^ROW(INDIRECT("1:"&amp;LEN((LEFT(A316,SUM(LEN(A316)-LEN(SUBSTITUTE(A316,{"0","1","2"},""))))))))/10))*1+1&amp;""&amp;" ,.., "&amp;""&amp;(SUMPRODUCT(MID(0&amp;(--TRIM(RIGHT(SUBSTITUTE(LEFT(A316,_xlfn.AGGREGATE(16,6,FIND({0,1,2,3,4,5,6,7,8,9},A316,ROW(INDIRECT("1:"&amp;LEN(A316)))),1))," ",REPT(" ",LEN(A316))),LEN(A316)))), LARGE(INDEX(ISNUMBER(--MID((--TRIM(RIGHT(SUBSTITUTE(LEFT(A316,_xlfn.AGGREGATE(16,6,FIND({0,1,2,3,4,5,6,7,8,9},A316,ROW(INDIRECT("1:"&amp;LEN(A316)))),1))," ",REPT(" ",LEN(A316))),LEN(A316)))), ROW(INDIRECT("1:"&amp;LEN((--TRIM(RIGHT(SUBSTITUTE(LEFT(A316,_xlfn.AGGREGATE(16,6,FIND({0,1,2,3,4,5,6,7,8,9},A316,ROW(INDIRECT("1:"&amp;LEN(A316)))),1))," ",REPT(" ",LEN(A316))),LEN(A316))))))), 1)) * ROW(INDIRECT("1:"&amp;LEN((--TRIM(RIGHT(SUBSTITUTE(LEFT(A316,_xlfn.AGGREGATE(16,6,FIND({0,1,2,3,4,5,6,7,8,9},A316,ROW(INDIRECT("1:"&amp;LEN(A316)))),1))," ",REPT(" ",LEN(A316))),LEN(A316))))))), 0), ROW(INDIRECT("1:"&amp;LEN((--TRIM(RIGHT(SUBSTITUTE(LEFT(A316,_xlfn.AGGREGATE(16,6,FIND({0,1,2,3,4,5,6,7,8,9},A316,ROW(INDIRECT("1:"&amp;LEN(A316)))),1))," ",REPT(" ",LEN(A316))),LEN(A316))))))))+1, 1) * 10^ROW(INDIRECT("1:"&amp;LEN((--TRIM(RIGHT(SUBSTITUTE(LEFT(A316,_xlfn.AGGREGATE(16,6,FIND({0,1,2,3,4,5,6,7,8,9},A316,ROW(INDIRECT("1:"&amp;LEN(A316)))),1))," ",REPT(" ",LEN(A316))),LEN(A316)))))))/10))*1+1</f>
        <v>303 ,.., 1503</v>
      </c>
      <c r="B317" s="103"/>
      <c r="C317" s="41"/>
      <c r="D317" s="41"/>
      <c r="E317" s="55">
        <v>0</v>
      </c>
      <c r="F317" s="55">
        <f>D317+E317</f>
        <v>0</v>
      </c>
      <c r="G317" s="55">
        <v>0</v>
      </c>
      <c r="H317" s="55">
        <f>F317*(($H$203)+1)+(IF(G317&lt;101,G317,IF(G317&lt;201,G317/2,IF(G317&lt;=301,G317/3,G317/4))))</f>
        <v>0</v>
      </c>
      <c r="I317" s="35"/>
    </row>
    <row r="318" spans="1:20" s="36" customFormat="1" ht="15.75" hidden="1" customHeight="1" x14ac:dyDescent="0.35">
      <c r="A318" s="102" t="str">
        <f ca="1">(SUMPRODUCT(MID(0&amp;(LEFT(A317,SUM(LEN(A317)-LEN(SUBSTITUTE(A317,{"0","1","2"},""))))), LARGE(INDEX(ISNUMBER(--MID((LEFT(A317,SUM(LEN(A317)-LEN(SUBSTITUTE(A317,{"0","1","2"},""))))), ROW(INDIRECT("1:"&amp;LEN((LEFT(A317,SUM(LEN(A317)-LEN(SUBSTITUTE(A317,{"0","1","2"},"")))))))), 1)) * ROW(INDIRECT("1:"&amp;LEN((LEFT(A317,SUM(LEN(A317)-LEN(SUBSTITUTE(A317,{"0","1","2"},"")))))))), 0), ROW(INDIRECT("1:"&amp;LEN((LEFT(A317,SUM(LEN(A317)-LEN(SUBSTITUTE(A317,{"0","1","2"},"")))))))))+1, 1) * 10^ROW(INDIRECT("1:"&amp;LEN((LEFT(A317,SUM(LEN(A317)-LEN(SUBSTITUTE(A317,{"0","1","2"},""))))))))/10))*1+1&amp;""&amp;" ,.., "&amp;""&amp;(SUMPRODUCT(MID(0&amp;(--TRIM(RIGHT(SUBSTITUTE(LEFT(A317,_xlfn.AGGREGATE(16,6,FIND({0,1,2,3,4,5,6,7,8,9},A317,ROW(INDIRECT("1:"&amp;LEN(A317)))),1))," ",REPT(" ",LEN(A317))),LEN(A317)))), LARGE(INDEX(ISNUMBER(--MID((--TRIM(RIGHT(SUBSTITUTE(LEFT(A317,_xlfn.AGGREGATE(16,6,FIND({0,1,2,3,4,5,6,7,8,9},A317,ROW(INDIRECT("1:"&amp;LEN(A317)))),1))," ",REPT(" ",LEN(A317))),LEN(A317)))), ROW(INDIRECT("1:"&amp;LEN((--TRIM(RIGHT(SUBSTITUTE(LEFT(A317,_xlfn.AGGREGATE(16,6,FIND({0,1,2,3,4,5,6,7,8,9},A317,ROW(INDIRECT("1:"&amp;LEN(A317)))),1))," ",REPT(" ",LEN(A317))),LEN(A317))))))), 1)) * ROW(INDIRECT("1:"&amp;LEN((--TRIM(RIGHT(SUBSTITUTE(LEFT(A317,_xlfn.AGGREGATE(16,6,FIND({0,1,2,3,4,5,6,7,8,9},A317,ROW(INDIRECT("1:"&amp;LEN(A317)))),1))," ",REPT(" ",LEN(A317))),LEN(A317))))))), 0), ROW(INDIRECT("1:"&amp;LEN((--TRIM(RIGHT(SUBSTITUTE(LEFT(A317,_xlfn.AGGREGATE(16,6,FIND({0,1,2,3,4,5,6,7,8,9},A317,ROW(INDIRECT("1:"&amp;LEN(A317)))),1))," ",REPT(" ",LEN(A317))),LEN(A317))))))))+1, 1) * 10^ROW(INDIRECT("1:"&amp;LEN((--TRIM(RIGHT(SUBSTITUTE(LEFT(A317,_xlfn.AGGREGATE(16,6,FIND({0,1,2,3,4,5,6,7,8,9},A317,ROW(INDIRECT("1:"&amp;LEN(A317)))),1))," ",REPT(" ",LEN(A317))),LEN(A317)))))))/10))*1+1</f>
        <v>304 ,.., 1504</v>
      </c>
      <c r="B318" s="103"/>
      <c r="C318" s="41"/>
      <c r="D318" s="41"/>
      <c r="E318" s="55">
        <v>0</v>
      </c>
      <c r="F318" s="55">
        <f>D318+E318</f>
        <v>0</v>
      </c>
      <c r="G318" s="55">
        <v>0</v>
      </c>
      <c r="H318" s="55">
        <f>F318*(($H$203)+1)+(IF(G318&lt;101,G318,IF(G318&lt;201,G318/2,IF(G318&lt;=301,G318/3,G318/4))))</f>
        <v>0</v>
      </c>
      <c r="I318" s="35"/>
    </row>
    <row r="319" spans="1:20" s="36" customFormat="1" ht="15.75" hidden="1" customHeight="1" x14ac:dyDescent="0.35">
      <c r="A319" s="102" t="str">
        <f ca="1">(SUMPRODUCT(MID(0&amp;(LEFT(A318,SUM(LEN(A318)-LEN(SUBSTITUTE(A318,{"0","1","2"},""))))), LARGE(INDEX(ISNUMBER(--MID((LEFT(A318,SUM(LEN(A318)-LEN(SUBSTITUTE(A318,{"0","1","2"},""))))), ROW(INDIRECT("1:"&amp;LEN((LEFT(A318,SUM(LEN(A318)-LEN(SUBSTITUTE(A318,{"0","1","2"},"")))))))), 1)) * ROW(INDIRECT("1:"&amp;LEN((LEFT(A318,SUM(LEN(A318)-LEN(SUBSTITUTE(A318,{"0","1","2"},"")))))))), 0), ROW(INDIRECT("1:"&amp;LEN((LEFT(A318,SUM(LEN(A318)-LEN(SUBSTITUTE(A318,{"0","1","2"},"")))))))))+1, 1) * 10^ROW(INDIRECT("1:"&amp;LEN((LEFT(A318,SUM(LEN(A318)-LEN(SUBSTITUTE(A318,{"0","1","2"},""))))))))/10))*1+1&amp;""&amp;" ,.., "&amp;""&amp;(SUMPRODUCT(MID(0&amp;(--TRIM(RIGHT(SUBSTITUTE(LEFT(A318,_xlfn.AGGREGATE(16,6,FIND({0,1,2,3,4,5,6,7,8,9},A318,ROW(INDIRECT("1:"&amp;LEN(A318)))),1))," ",REPT(" ",LEN(A318))),LEN(A318)))), LARGE(INDEX(ISNUMBER(--MID((--TRIM(RIGHT(SUBSTITUTE(LEFT(A318,_xlfn.AGGREGATE(16,6,FIND({0,1,2,3,4,5,6,7,8,9},A318,ROW(INDIRECT("1:"&amp;LEN(A318)))),1))," ",REPT(" ",LEN(A318))),LEN(A318)))), ROW(INDIRECT("1:"&amp;LEN((--TRIM(RIGHT(SUBSTITUTE(LEFT(A318,_xlfn.AGGREGATE(16,6,FIND({0,1,2,3,4,5,6,7,8,9},A318,ROW(INDIRECT("1:"&amp;LEN(A318)))),1))," ",REPT(" ",LEN(A318))),LEN(A318))))))), 1)) * ROW(INDIRECT("1:"&amp;LEN((--TRIM(RIGHT(SUBSTITUTE(LEFT(A318,_xlfn.AGGREGATE(16,6,FIND({0,1,2,3,4,5,6,7,8,9},A318,ROW(INDIRECT("1:"&amp;LEN(A318)))),1))," ",REPT(" ",LEN(A318))),LEN(A318))))))), 0), ROW(INDIRECT("1:"&amp;LEN((--TRIM(RIGHT(SUBSTITUTE(LEFT(A318,_xlfn.AGGREGATE(16,6,FIND({0,1,2,3,4,5,6,7,8,9},A318,ROW(INDIRECT("1:"&amp;LEN(A318)))),1))," ",REPT(" ",LEN(A318))),LEN(A318))))))))+1, 1) * 10^ROW(INDIRECT("1:"&amp;LEN((--TRIM(RIGHT(SUBSTITUTE(LEFT(A318,_xlfn.AGGREGATE(16,6,FIND({0,1,2,3,4,5,6,7,8,9},A318,ROW(INDIRECT("1:"&amp;LEN(A318)))),1))," ",REPT(" ",LEN(A318))),LEN(A318)))))))/10))*1+1</f>
        <v>305 ,.., 1505</v>
      </c>
      <c r="B319" s="103"/>
      <c r="C319" s="41"/>
      <c r="D319" s="41"/>
      <c r="E319" s="55">
        <v>0</v>
      </c>
      <c r="F319" s="55">
        <f>D319+E319</f>
        <v>0</v>
      </c>
      <c r="G319" s="55">
        <v>0</v>
      </c>
      <c r="H319" s="55">
        <f>F319*(($H$203)+1)+(IF(G319&lt;101,G319,IF(G319&lt;201,G319/2,IF(G319&lt;=301,G319/3,G319/4))))</f>
        <v>0</v>
      </c>
      <c r="I319" s="35"/>
    </row>
    <row r="320" spans="1:20" s="36" customFormat="1" hidden="1" x14ac:dyDescent="0.35">
      <c r="A320" s="105" t="s">
        <v>143</v>
      </c>
      <c r="B320" s="106"/>
      <c r="C320" s="106"/>
      <c r="D320" s="106"/>
      <c r="E320" s="106"/>
      <c r="F320" s="106"/>
      <c r="G320" s="106"/>
      <c r="H320" s="107"/>
      <c r="I320" s="35"/>
    </row>
    <row r="321" spans="1:20" s="36" customFormat="1" ht="15.75" hidden="1" customHeight="1" x14ac:dyDescent="0.35">
      <c r="A321" s="102" t="str">
        <f ca="1">(SUMPRODUCT(MID(0&amp;(LEFT(A320,SUM(LEN(A320)-LEN(SUBSTITUTE(A320,{"0","1","2"},""))))), LARGE(INDEX(ISNUMBER(--MID((LEFT(A320,SUM(LEN(A320)-LEN(SUBSTITUTE(A320,{"0","1","2"},""))))), ROW(INDIRECT("1:"&amp;LEN((LEFT(A320,SUM(LEN(A320)-LEN(SUBSTITUTE(A320,{"0","1","2"},"")))))))), 1)) * ROW(INDIRECT("1:"&amp;LEN((LEFT(A320,SUM(LEN(A320)-LEN(SUBSTITUTE(A320,{"0","1","2"},"")))))))), 0), ROW(INDIRECT("1:"&amp;LEN((LEFT(A320,SUM(LEN(A320)-LEN(SUBSTITUTE(A320,{"0","1","2"},"")))))))))+1, 1) * 10^ROW(INDIRECT("1:"&amp;LEN((LEFT(A320,SUM(LEN(A320)-LEN(SUBSTITUTE(A320,{"0","1","2"},""))))))))/10))*100+1&amp;""&amp;" to "&amp;""&amp;(SUMPRODUCT(MID(0&amp;(--TRIM(RIGHT(SUBSTITUTE(LEFT(A320,_xlfn.AGGREGATE(16,6,FIND({0,1,2,3,4,5,6,7,8,9},A320,ROW(INDIRECT("1:"&amp;LEN(A320)))),1))," ",REPT(" ",LEN(A320))),LEN(A320)))), LARGE(INDEX(ISNUMBER(--MID((--TRIM(RIGHT(SUBSTITUTE(LEFT(A320,_xlfn.AGGREGATE(16,6,FIND({0,1,2,3,4,5,6,7,8,9},A320,ROW(INDIRECT("1:"&amp;LEN(A320)))),1))," ",REPT(" ",LEN(A320))),LEN(A320)))), ROW(INDIRECT("1:"&amp;LEN((--TRIM(RIGHT(SUBSTITUTE(LEFT(A320,_xlfn.AGGREGATE(16,6,FIND({0,1,2,3,4,5,6,7,8,9},A320,ROW(INDIRECT("1:"&amp;LEN(A320)))),1))," ",REPT(" ",LEN(A320))),LEN(A320))))))), 1)) * ROW(INDIRECT("1:"&amp;LEN((--TRIM(RIGHT(SUBSTITUTE(LEFT(A320,_xlfn.AGGREGATE(16,6,FIND({0,1,2,3,4,5,6,7,8,9},A320,ROW(INDIRECT("1:"&amp;LEN(A320)))),1))," ",REPT(" ",LEN(A320))),LEN(A320))))))), 0), ROW(INDIRECT("1:"&amp;LEN((--TRIM(RIGHT(SUBSTITUTE(LEFT(A320,_xlfn.AGGREGATE(16,6,FIND({0,1,2,3,4,5,6,7,8,9},A320,ROW(INDIRECT("1:"&amp;LEN(A320)))),1))," ",REPT(" ",LEN(A320))),LEN(A320))))))))+1, 1) * 10^ROW(INDIRECT("1:"&amp;LEN((--TRIM(RIGHT(SUBSTITUTE(LEFT(A320,_xlfn.AGGREGATE(16,6,FIND({0,1,2,3,4,5,6,7,8,9},A320,ROW(INDIRECT("1:"&amp;LEN(A320)))),1))," ",REPT(" ",LEN(A320))),LEN(A320)))))))/10))*100+1</f>
        <v>201 to 501</v>
      </c>
      <c r="B321" s="103"/>
      <c r="C321" s="41"/>
      <c r="D321" s="41"/>
      <c r="E321" s="55">
        <v>0</v>
      </c>
      <c r="F321" s="55">
        <f>D321+E321</f>
        <v>0</v>
      </c>
      <c r="G321" s="55">
        <v>0</v>
      </c>
      <c r="H321" s="55">
        <f>F321*(($H$203)+1)+(IF(G321&lt;101,G321,IF(G321&lt;201,G321/2,IF(G321&lt;=301,G321/3,G321/4))))</f>
        <v>0</v>
      </c>
      <c r="I321" s="35"/>
    </row>
    <row r="322" spans="1:20" s="36" customFormat="1" ht="15.75" hidden="1" customHeight="1" x14ac:dyDescent="0.35">
      <c r="A322" s="102" t="str">
        <f ca="1">(SUMPRODUCT(MID(0&amp;(LEFT(A321,SUM(LEN(A321)-LEN(SUBSTITUTE(A321,{"0","1","2"},""))))), LARGE(INDEX(ISNUMBER(--MID((LEFT(A321,SUM(LEN(A321)-LEN(SUBSTITUTE(A321,{"0","1","2"},""))))), ROW(INDIRECT("1:"&amp;LEN((LEFT(A321,SUM(LEN(A321)-LEN(SUBSTITUTE(A321,{"0","1","2"},"")))))))), 1)) * ROW(INDIRECT("1:"&amp;LEN((LEFT(A321,SUM(LEN(A321)-LEN(SUBSTITUTE(A321,{"0","1","2"},"")))))))), 0), ROW(INDIRECT("1:"&amp;LEN((LEFT(A321,SUM(LEN(A321)-LEN(SUBSTITUTE(A321,{"0","1","2"},"")))))))))+1, 1) * 10^ROW(INDIRECT("1:"&amp;LEN((LEFT(A321,SUM(LEN(A321)-LEN(SUBSTITUTE(A321,{"0","1","2"},""))))))))/10))*1+1&amp;""&amp;" to "&amp;""&amp;(SUMPRODUCT(MID(0&amp;(--TRIM(RIGHT(SUBSTITUTE(LEFT(A321,_xlfn.AGGREGATE(16,6,FIND({0,1,2,3,4,5,6,7,8,9},A321,ROW(INDIRECT("1:"&amp;LEN(A321)))),1))," ",REPT(" ",LEN(A321))),LEN(A321)))), LARGE(INDEX(ISNUMBER(--MID((--TRIM(RIGHT(SUBSTITUTE(LEFT(A321,_xlfn.AGGREGATE(16,6,FIND({0,1,2,3,4,5,6,7,8,9},A321,ROW(INDIRECT("1:"&amp;LEN(A321)))),1))," ",REPT(" ",LEN(A321))),LEN(A321)))), ROW(INDIRECT("1:"&amp;LEN((--TRIM(RIGHT(SUBSTITUTE(LEFT(A321,_xlfn.AGGREGATE(16,6,FIND({0,1,2,3,4,5,6,7,8,9},A321,ROW(INDIRECT("1:"&amp;LEN(A321)))),1))," ",REPT(" ",LEN(A321))),LEN(A321))))))), 1)) * ROW(INDIRECT("1:"&amp;LEN((--TRIM(RIGHT(SUBSTITUTE(LEFT(A321,_xlfn.AGGREGATE(16,6,FIND({0,1,2,3,4,5,6,7,8,9},A321,ROW(INDIRECT("1:"&amp;LEN(A321)))),1))," ",REPT(" ",LEN(A321))),LEN(A321))))))), 0), ROW(INDIRECT("1:"&amp;LEN((--TRIM(RIGHT(SUBSTITUTE(LEFT(A321,_xlfn.AGGREGATE(16,6,FIND({0,1,2,3,4,5,6,7,8,9},A321,ROW(INDIRECT("1:"&amp;LEN(A321)))),1))," ",REPT(" ",LEN(A321))),LEN(A321))))))))+1, 1) * 10^ROW(INDIRECT("1:"&amp;LEN((--TRIM(RIGHT(SUBSTITUTE(LEFT(A321,_xlfn.AGGREGATE(16,6,FIND({0,1,2,3,4,5,6,7,8,9},A321,ROW(INDIRECT("1:"&amp;LEN(A321)))),1))," ",REPT(" ",LEN(A321))),LEN(A321)))))))/10))*1+1</f>
        <v>202 to 502</v>
      </c>
      <c r="B322" s="103"/>
      <c r="C322" s="41"/>
      <c r="D322" s="41"/>
      <c r="E322" s="55">
        <v>0</v>
      </c>
      <c r="F322" s="55">
        <f>D322+E322</f>
        <v>0</v>
      </c>
      <c r="G322" s="55">
        <v>0</v>
      </c>
      <c r="H322" s="55">
        <f>F322*(($H$203)+1)+(IF(G322&lt;101,G322,IF(G322&lt;201,G322/2,IF(G322&lt;=301,G322/3,G322/4))))</f>
        <v>0</v>
      </c>
      <c r="I322" s="35"/>
    </row>
    <row r="323" spans="1:20" s="36" customFormat="1" ht="15.75" hidden="1" customHeight="1" x14ac:dyDescent="0.35">
      <c r="A323" s="102" t="str">
        <f ca="1">(SUMPRODUCT(MID(0&amp;(LEFT(A322,SUM(LEN(A322)-LEN(SUBSTITUTE(A322,{"0","1","2"},""))))), LARGE(INDEX(ISNUMBER(--MID((LEFT(A322,SUM(LEN(A322)-LEN(SUBSTITUTE(A322,{"0","1","2"},""))))), ROW(INDIRECT("1:"&amp;LEN((LEFT(A322,SUM(LEN(A322)-LEN(SUBSTITUTE(A322,{"0","1","2"},"")))))))), 1)) * ROW(INDIRECT("1:"&amp;LEN((LEFT(A322,SUM(LEN(A322)-LEN(SUBSTITUTE(A322,{"0","1","2"},"")))))))), 0), ROW(INDIRECT("1:"&amp;LEN((LEFT(A322,SUM(LEN(A322)-LEN(SUBSTITUTE(A322,{"0","1","2"},"")))))))))+1, 1) * 10^ROW(INDIRECT("1:"&amp;LEN((LEFT(A322,SUM(LEN(A322)-LEN(SUBSTITUTE(A322,{"0","1","2"},""))))))))/10))*1+1&amp;""&amp;" to "&amp;""&amp;(SUMPRODUCT(MID(0&amp;(--TRIM(RIGHT(SUBSTITUTE(LEFT(A322,_xlfn.AGGREGATE(16,6,FIND({0,1,2,3,4,5,6,7,8,9},A322,ROW(INDIRECT("1:"&amp;LEN(A322)))),1))," ",REPT(" ",LEN(A322))),LEN(A322)))), LARGE(INDEX(ISNUMBER(--MID((--TRIM(RIGHT(SUBSTITUTE(LEFT(A322,_xlfn.AGGREGATE(16,6,FIND({0,1,2,3,4,5,6,7,8,9},A322,ROW(INDIRECT("1:"&amp;LEN(A322)))),1))," ",REPT(" ",LEN(A322))),LEN(A322)))), ROW(INDIRECT("1:"&amp;LEN((--TRIM(RIGHT(SUBSTITUTE(LEFT(A322,_xlfn.AGGREGATE(16,6,FIND({0,1,2,3,4,5,6,7,8,9},A322,ROW(INDIRECT("1:"&amp;LEN(A322)))),1))," ",REPT(" ",LEN(A322))),LEN(A322))))))), 1)) * ROW(INDIRECT("1:"&amp;LEN((--TRIM(RIGHT(SUBSTITUTE(LEFT(A322,_xlfn.AGGREGATE(16,6,FIND({0,1,2,3,4,5,6,7,8,9},A322,ROW(INDIRECT("1:"&amp;LEN(A322)))),1))," ",REPT(" ",LEN(A322))),LEN(A322))))))), 0), ROW(INDIRECT("1:"&amp;LEN((--TRIM(RIGHT(SUBSTITUTE(LEFT(A322,_xlfn.AGGREGATE(16,6,FIND({0,1,2,3,4,5,6,7,8,9},A322,ROW(INDIRECT("1:"&amp;LEN(A322)))),1))," ",REPT(" ",LEN(A322))),LEN(A322))))))))+1, 1) * 10^ROW(INDIRECT("1:"&amp;LEN((--TRIM(RIGHT(SUBSTITUTE(LEFT(A322,_xlfn.AGGREGATE(16,6,FIND({0,1,2,3,4,5,6,7,8,9},A322,ROW(INDIRECT("1:"&amp;LEN(A322)))),1))," ",REPT(" ",LEN(A322))),LEN(A322)))))))/10))*1+1</f>
        <v>203 to 503</v>
      </c>
      <c r="B323" s="103"/>
      <c r="C323" s="41"/>
      <c r="D323" s="41"/>
      <c r="E323" s="55">
        <v>0</v>
      </c>
      <c r="F323" s="55">
        <f>D323+E323</f>
        <v>0</v>
      </c>
      <c r="G323" s="55">
        <v>0</v>
      </c>
      <c r="H323" s="55">
        <f>F323*(($H$203)+1)+(IF(G323&lt;101,G323,IF(G323&lt;201,G323/2,IF(G323&lt;=301,G323/3,G323/4))))</f>
        <v>0</v>
      </c>
      <c r="I323" s="35"/>
    </row>
    <row r="324" spans="1:20" s="36" customFormat="1" ht="15.75" hidden="1" customHeight="1" x14ac:dyDescent="0.35">
      <c r="A324" s="102" t="str">
        <f ca="1">(SUMPRODUCT(MID(0&amp;(LEFT(A323,SUM(LEN(A323)-LEN(SUBSTITUTE(A323,{"0","1","2"},""))))), LARGE(INDEX(ISNUMBER(--MID((LEFT(A323,SUM(LEN(A323)-LEN(SUBSTITUTE(A323,{"0","1","2"},""))))), ROW(INDIRECT("1:"&amp;LEN((LEFT(A323,SUM(LEN(A323)-LEN(SUBSTITUTE(A323,{"0","1","2"},"")))))))), 1)) * ROW(INDIRECT("1:"&amp;LEN((LEFT(A323,SUM(LEN(A323)-LEN(SUBSTITUTE(A323,{"0","1","2"},"")))))))), 0), ROW(INDIRECT("1:"&amp;LEN((LEFT(A323,SUM(LEN(A323)-LEN(SUBSTITUTE(A323,{"0","1","2"},"")))))))))+1, 1) * 10^ROW(INDIRECT("1:"&amp;LEN((LEFT(A323,SUM(LEN(A323)-LEN(SUBSTITUTE(A323,{"0","1","2"},""))))))))/10))*1+1&amp;""&amp;" to "&amp;""&amp;(SUMPRODUCT(MID(0&amp;(--TRIM(RIGHT(SUBSTITUTE(LEFT(A323,_xlfn.AGGREGATE(16,6,FIND({0,1,2,3,4,5,6,7,8,9},A323,ROW(INDIRECT("1:"&amp;LEN(A323)))),1))," ",REPT(" ",LEN(A323))),LEN(A323)))), LARGE(INDEX(ISNUMBER(--MID((--TRIM(RIGHT(SUBSTITUTE(LEFT(A323,_xlfn.AGGREGATE(16,6,FIND({0,1,2,3,4,5,6,7,8,9},A323,ROW(INDIRECT("1:"&amp;LEN(A323)))),1))," ",REPT(" ",LEN(A323))),LEN(A323)))), ROW(INDIRECT("1:"&amp;LEN((--TRIM(RIGHT(SUBSTITUTE(LEFT(A323,_xlfn.AGGREGATE(16,6,FIND({0,1,2,3,4,5,6,7,8,9},A323,ROW(INDIRECT("1:"&amp;LEN(A323)))),1))," ",REPT(" ",LEN(A323))),LEN(A323))))))), 1)) * ROW(INDIRECT("1:"&amp;LEN((--TRIM(RIGHT(SUBSTITUTE(LEFT(A323,_xlfn.AGGREGATE(16,6,FIND({0,1,2,3,4,5,6,7,8,9},A323,ROW(INDIRECT("1:"&amp;LEN(A323)))),1))," ",REPT(" ",LEN(A323))),LEN(A323))))))), 0), ROW(INDIRECT("1:"&amp;LEN((--TRIM(RIGHT(SUBSTITUTE(LEFT(A323,_xlfn.AGGREGATE(16,6,FIND({0,1,2,3,4,5,6,7,8,9},A323,ROW(INDIRECT("1:"&amp;LEN(A323)))),1))," ",REPT(" ",LEN(A323))),LEN(A323))))))))+1, 1) * 10^ROW(INDIRECT("1:"&amp;LEN((--TRIM(RIGHT(SUBSTITUTE(LEFT(A323,_xlfn.AGGREGATE(16,6,FIND({0,1,2,3,4,5,6,7,8,9},A323,ROW(INDIRECT("1:"&amp;LEN(A323)))),1))," ",REPT(" ",LEN(A323))),LEN(A323)))))))/10))*1+1</f>
        <v>204 to 504</v>
      </c>
      <c r="B324" s="103"/>
      <c r="C324" s="41"/>
      <c r="D324" s="41"/>
      <c r="E324" s="55">
        <v>0</v>
      </c>
      <c r="F324" s="55">
        <f>D324+E324</f>
        <v>0</v>
      </c>
      <c r="G324" s="55">
        <v>0</v>
      </c>
      <c r="H324" s="55">
        <f>F324*(($H$203)+1)+(IF(G324&lt;101,G324,IF(G324&lt;201,G324/2,IF(G324&lt;=301,G324/3,G324/4))))</f>
        <v>0</v>
      </c>
      <c r="I324" s="35"/>
    </row>
    <row r="325" spans="1:20" s="36" customFormat="1" ht="15.75" hidden="1" customHeight="1" x14ac:dyDescent="0.35">
      <c r="A325" s="102" t="str">
        <f ca="1">(SUMPRODUCT(MID(0&amp;(LEFT(A324,SUM(LEN(A324)-LEN(SUBSTITUTE(A324,{"0","1","2"},""))))), LARGE(INDEX(ISNUMBER(--MID((LEFT(A324,SUM(LEN(A324)-LEN(SUBSTITUTE(A324,{"0","1","2"},""))))), ROW(INDIRECT("1:"&amp;LEN((LEFT(A324,SUM(LEN(A324)-LEN(SUBSTITUTE(A324,{"0","1","2"},"")))))))), 1)) * ROW(INDIRECT("1:"&amp;LEN((LEFT(A324,SUM(LEN(A324)-LEN(SUBSTITUTE(A324,{"0","1","2"},"")))))))), 0), ROW(INDIRECT("1:"&amp;LEN((LEFT(A324,SUM(LEN(A324)-LEN(SUBSTITUTE(A324,{"0","1","2"},"")))))))))+1, 1) * 10^ROW(INDIRECT("1:"&amp;LEN((LEFT(A324,SUM(LEN(A324)-LEN(SUBSTITUTE(A324,{"0","1","2"},""))))))))/10))*1+1&amp;""&amp;" to "&amp;""&amp;(SUMPRODUCT(MID(0&amp;(--TRIM(RIGHT(SUBSTITUTE(LEFT(A324,_xlfn.AGGREGATE(16,6,FIND({0,1,2,3,4,5,6,7,8,9},A324,ROW(INDIRECT("1:"&amp;LEN(A324)))),1))," ",REPT(" ",LEN(A324))),LEN(A324)))), LARGE(INDEX(ISNUMBER(--MID((--TRIM(RIGHT(SUBSTITUTE(LEFT(A324,_xlfn.AGGREGATE(16,6,FIND({0,1,2,3,4,5,6,7,8,9},A324,ROW(INDIRECT("1:"&amp;LEN(A324)))),1))," ",REPT(" ",LEN(A324))),LEN(A324)))), ROW(INDIRECT("1:"&amp;LEN((--TRIM(RIGHT(SUBSTITUTE(LEFT(A324,_xlfn.AGGREGATE(16,6,FIND({0,1,2,3,4,5,6,7,8,9},A324,ROW(INDIRECT("1:"&amp;LEN(A324)))),1))," ",REPT(" ",LEN(A324))),LEN(A324))))))), 1)) * ROW(INDIRECT("1:"&amp;LEN((--TRIM(RIGHT(SUBSTITUTE(LEFT(A324,_xlfn.AGGREGATE(16,6,FIND({0,1,2,3,4,5,6,7,8,9},A324,ROW(INDIRECT("1:"&amp;LEN(A324)))),1))," ",REPT(" ",LEN(A324))),LEN(A324))))))), 0), ROW(INDIRECT("1:"&amp;LEN((--TRIM(RIGHT(SUBSTITUTE(LEFT(A324,_xlfn.AGGREGATE(16,6,FIND({0,1,2,3,4,5,6,7,8,9},A324,ROW(INDIRECT("1:"&amp;LEN(A324)))),1))," ",REPT(" ",LEN(A324))),LEN(A324))))))))+1, 1) * 10^ROW(INDIRECT("1:"&amp;LEN((--TRIM(RIGHT(SUBSTITUTE(LEFT(A324,_xlfn.AGGREGATE(16,6,FIND({0,1,2,3,4,5,6,7,8,9},A324,ROW(INDIRECT("1:"&amp;LEN(A324)))),1))," ",REPT(" ",LEN(A324))),LEN(A324)))))))/10))*1+1</f>
        <v>205 to 505</v>
      </c>
      <c r="B325" s="103"/>
      <c r="C325" s="41"/>
      <c r="D325" s="41"/>
      <c r="E325" s="55">
        <v>0</v>
      </c>
      <c r="F325" s="55">
        <f>D325+E325</f>
        <v>0</v>
      </c>
      <c r="G325" s="55">
        <v>0</v>
      </c>
      <c r="H325" s="55">
        <f>F325*(($H$203)+1)+(IF(G325&lt;101,G325,IF(G325&lt;201,G325/2,IF(G325&lt;=301,G325/3,G325/4))))</f>
        <v>0</v>
      </c>
      <c r="I325" s="35"/>
    </row>
    <row r="326" spans="1:20" s="36" customFormat="1" hidden="1" x14ac:dyDescent="0.35">
      <c r="A326" s="105" t="s">
        <v>144</v>
      </c>
      <c r="B326" s="106"/>
      <c r="C326" s="106"/>
      <c r="D326" s="106"/>
      <c r="E326" s="106"/>
      <c r="F326" s="106"/>
      <c r="G326" s="106"/>
      <c r="H326" s="107"/>
      <c r="I326" s="35"/>
    </row>
    <row r="327" spans="1:20" s="36" customFormat="1" ht="15.75" hidden="1" customHeight="1" x14ac:dyDescent="0.35">
      <c r="A327" s="102" t="str">
        <f ca="1">(SUMPRODUCT(MID(0&amp;(LEFT(A326,SUM(LEN(A326)-LEN(SUBSTITUTE(A326,{"0","1","2"},""))))), LARGE(INDEX(ISNUMBER(--MID((LEFT(A326,SUM(LEN(A326)-LEN(SUBSTITUTE(A326,{"0","1","2"},""))))), ROW(INDIRECT("1:"&amp;LEN((LEFT(A326,SUM(LEN(A326)-LEN(SUBSTITUTE(A326,{"0","1","2"},"")))))))), 1)) * ROW(INDIRECT("1:"&amp;LEN((LEFT(A326,SUM(LEN(A326)-LEN(SUBSTITUTE(A326,{"0","1","2"},"")))))))), 0), ROW(INDIRECT("1:"&amp;LEN((LEFT(A326,SUM(LEN(A326)-LEN(SUBSTITUTE(A326,{"0","1","2"},"")))))))))+1, 1) * 10^ROW(INDIRECT("1:"&amp;LEN((LEFT(A326,SUM(LEN(A326)-LEN(SUBSTITUTE(A326,{"0","1","2"},""))))))))/10))*100+1&amp;""&amp;" &amp; "&amp;""&amp;(SUMPRODUCT(MID(0&amp;(--TRIM(RIGHT(SUBSTITUTE(LEFT(A326,_xlfn.AGGREGATE(16,6,FIND({0,1,2,3,4,5,6,7,8,9},A326,ROW(INDIRECT("1:"&amp;LEN(A326)))),1))," ",REPT(" ",LEN(A326))),LEN(A326)))), LARGE(INDEX(ISNUMBER(--MID((--TRIM(RIGHT(SUBSTITUTE(LEFT(A326,_xlfn.AGGREGATE(16,6,FIND({0,1,2,3,4,5,6,7,8,9},A326,ROW(INDIRECT("1:"&amp;LEN(A326)))),1))," ",REPT(" ",LEN(A326))),LEN(A326)))), ROW(INDIRECT("1:"&amp;LEN((--TRIM(RIGHT(SUBSTITUTE(LEFT(A326,_xlfn.AGGREGATE(16,6,FIND({0,1,2,3,4,5,6,7,8,9},A326,ROW(INDIRECT("1:"&amp;LEN(A326)))),1))," ",REPT(" ",LEN(A326))),LEN(A326))))))), 1)) * ROW(INDIRECT("1:"&amp;LEN((--TRIM(RIGHT(SUBSTITUTE(LEFT(A326,_xlfn.AGGREGATE(16,6,FIND({0,1,2,3,4,5,6,7,8,9},A326,ROW(INDIRECT("1:"&amp;LEN(A326)))),1))," ",REPT(" ",LEN(A326))),LEN(A326))))))), 0), ROW(INDIRECT("1:"&amp;LEN((--TRIM(RIGHT(SUBSTITUTE(LEFT(A326,_xlfn.AGGREGATE(16,6,FIND({0,1,2,3,4,5,6,7,8,9},A326,ROW(INDIRECT("1:"&amp;LEN(A326)))),1))," ",REPT(" ",LEN(A326))),LEN(A326))))))))+1, 1) * 10^ROW(INDIRECT("1:"&amp;LEN((--TRIM(RIGHT(SUBSTITUTE(LEFT(A326,_xlfn.AGGREGATE(16,6,FIND({0,1,2,3,4,5,6,7,8,9},A326,ROW(INDIRECT("1:"&amp;LEN(A326)))),1))," ",REPT(" ",LEN(A326))),LEN(A326)))))))/10))*100+1</f>
        <v>201 &amp; 501</v>
      </c>
      <c r="B327" s="103"/>
      <c r="C327" s="41"/>
      <c r="D327" s="41"/>
      <c r="E327" s="55">
        <v>0</v>
      </c>
      <c r="F327" s="55">
        <f>D327+E327</f>
        <v>0</v>
      </c>
      <c r="G327" s="55">
        <v>0</v>
      </c>
      <c r="H327" s="55">
        <f>F327*(($H$203)+1)+(IF(G327&lt;101,G327,IF(G327&lt;201,G327/2,IF(G327&lt;=301,G327/3,G327/4))))</f>
        <v>0</v>
      </c>
      <c r="I327" s="35"/>
    </row>
    <row r="328" spans="1:20" s="36" customFormat="1" ht="15.75" hidden="1" customHeight="1" x14ac:dyDescent="0.35">
      <c r="A328" s="102" t="str">
        <f ca="1">(SUMPRODUCT(MID(0&amp;(LEFT(A327,SUM(LEN(A327)-LEN(SUBSTITUTE(A327,{"0","1","2"},""))))), LARGE(INDEX(ISNUMBER(--MID((LEFT(A327,SUM(LEN(A327)-LEN(SUBSTITUTE(A327,{"0","1","2"},""))))), ROW(INDIRECT("1:"&amp;LEN((LEFT(A327,SUM(LEN(A327)-LEN(SUBSTITUTE(A327,{"0","1","2"},"")))))))), 1)) * ROW(INDIRECT("1:"&amp;LEN((LEFT(A327,SUM(LEN(A327)-LEN(SUBSTITUTE(A327,{"0","1","2"},"")))))))), 0), ROW(INDIRECT("1:"&amp;LEN((LEFT(A327,SUM(LEN(A327)-LEN(SUBSTITUTE(A327,{"0","1","2"},"")))))))))+1, 1) * 10^ROW(INDIRECT("1:"&amp;LEN((LEFT(A327,SUM(LEN(A327)-LEN(SUBSTITUTE(A327,{"0","1","2"},""))))))))/10))*1+1&amp;""&amp;" &amp; "&amp;""&amp;(SUMPRODUCT(MID(0&amp;(--TRIM(RIGHT(SUBSTITUTE(LEFT(A327,_xlfn.AGGREGATE(16,6,FIND({0,1,2,3,4,5,6,7,8,9},A327,ROW(INDIRECT("1:"&amp;LEN(A327)))),1))," ",REPT(" ",LEN(A327))),LEN(A327)))), LARGE(INDEX(ISNUMBER(--MID((--TRIM(RIGHT(SUBSTITUTE(LEFT(A327,_xlfn.AGGREGATE(16,6,FIND({0,1,2,3,4,5,6,7,8,9},A327,ROW(INDIRECT("1:"&amp;LEN(A327)))),1))," ",REPT(" ",LEN(A327))),LEN(A327)))), ROW(INDIRECT("1:"&amp;LEN((--TRIM(RIGHT(SUBSTITUTE(LEFT(A327,_xlfn.AGGREGATE(16,6,FIND({0,1,2,3,4,5,6,7,8,9},A327,ROW(INDIRECT("1:"&amp;LEN(A327)))),1))," ",REPT(" ",LEN(A327))),LEN(A327))))))), 1)) * ROW(INDIRECT("1:"&amp;LEN((--TRIM(RIGHT(SUBSTITUTE(LEFT(A327,_xlfn.AGGREGATE(16,6,FIND({0,1,2,3,4,5,6,7,8,9},A327,ROW(INDIRECT("1:"&amp;LEN(A327)))),1))," ",REPT(" ",LEN(A327))),LEN(A327))))))), 0), ROW(INDIRECT("1:"&amp;LEN((--TRIM(RIGHT(SUBSTITUTE(LEFT(A327,_xlfn.AGGREGATE(16,6,FIND({0,1,2,3,4,5,6,7,8,9},A327,ROW(INDIRECT("1:"&amp;LEN(A327)))),1))," ",REPT(" ",LEN(A327))),LEN(A327))))))))+1, 1) * 10^ROW(INDIRECT("1:"&amp;LEN((--TRIM(RIGHT(SUBSTITUTE(LEFT(A327,_xlfn.AGGREGATE(16,6,FIND({0,1,2,3,4,5,6,7,8,9},A327,ROW(INDIRECT("1:"&amp;LEN(A327)))),1))," ",REPT(" ",LEN(A327))),LEN(A327)))))))/10))*1+1</f>
        <v>202 &amp; 502</v>
      </c>
      <c r="B328" s="103"/>
      <c r="C328" s="41"/>
      <c r="D328" s="41"/>
      <c r="E328" s="55">
        <v>0</v>
      </c>
      <c r="F328" s="55">
        <f>D328+E328</f>
        <v>0</v>
      </c>
      <c r="G328" s="55">
        <v>0</v>
      </c>
      <c r="H328" s="55">
        <f>F328*(($H$203)+1)+(IF(G328&lt;101,G328,IF(G328&lt;201,G328/2,IF(G328&lt;=301,G328/3,G328/4))))</f>
        <v>0</v>
      </c>
      <c r="I328" s="35"/>
    </row>
    <row r="329" spans="1:20" s="36" customFormat="1" ht="15.75" hidden="1" customHeight="1" x14ac:dyDescent="0.35">
      <c r="A329" s="102" t="str">
        <f ca="1">(SUMPRODUCT(MID(0&amp;(LEFT(A328,SUM(LEN(A328)-LEN(SUBSTITUTE(A328,{"0","1","2"},""))))), LARGE(INDEX(ISNUMBER(--MID((LEFT(A328,SUM(LEN(A328)-LEN(SUBSTITUTE(A328,{"0","1","2"},""))))), ROW(INDIRECT("1:"&amp;LEN((LEFT(A328,SUM(LEN(A328)-LEN(SUBSTITUTE(A328,{"0","1","2"},"")))))))), 1)) * ROW(INDIRECT("1:"&amp;LEN((LEFT(A328,SUM(LEN(A328)-LEN(SUBSTITUTE(A328,{"0","1","2"},"")))))))), 0), ROW(INDIRECT("1:"&amp;LEN((LEFT(A328,SUM(LEN(A328)-LEN(SUBSTITUTE(A328,{"0","1","2"},"")))))))))+1, 1) * 10^ROW(INDIRECT("1:"&amp;LEN((LEFT(A328,SUM(LEN(A328)-LEN(SUBSTITUTE(A328,{"0","1","2"},""))))))))/10))*1+1&amp;""&amp;" &amp; "&amp;""&amp;(SUMPRODUCT(MID(0&amp;(--TRIM(RIGHT(SUBSTITUTE(LEFT(A328,_xlfn.AGGREGATE(16,6,FIND({0,1,2,3,4,5,6,7,8,9},A328,ROW(INDIRECT("1:"&amp;LEN(A328)))),1))," ",REPT(" ",LEN(A328))),LEN(A328)))), LARGE(INDEX(ISNUMBER(--MID((--TRIM(RIGHT(SUBSTITUTE(LEFT(A328,_xlfn.AGGREGATE(16,6,FIND({0,1,2,3,4,5,6,7,8,9},A328,ROW(INDIRECT("1:"&amp;LEN(A328)))),1))," ",REPT(" ",LEN(A328))),LEN(A328)))), ROW(INDIRECT("1:"&amp;LEN((--TRIM(RIGHT(SUBSTITUTE(LEFT(A328,_xlfn.AGGREGATE(16,6,FIND({0,1,2,3,4,5,6,7,8,9},A328,ROW(INDIRECT("1:"&amp;LEN(A328)))),1))," ",REPT(" ",LEN(A328))),LEN(A328))))))), 1)) * ROW(INDIRECT("1:"&amp;LEN((--TRIM(RIGHT(SUBSTITUTE(LEFT(A328,_xlfn.AGGREGATE(16,6,FIND({0,1,2,3,4,5,6,7,8,9},A328,ROW(INDIRECT("1:"&amp;LEN(A328)))),1))," ",REPT(" ",LEN(A328))),LEN(A328))))))), 0), ROW(INDIRECT("1:"&amp;LEN((--TRIM(RIGHT(SUBSTITUTE(LEFT(A328,_xlfn.AGGREGATE(16,6,FIND({0,1,2,3,4,5,6,7,8,9},A328,ROW(INDIRECT("1:"&amp;LEN(A328)))),1))," ",REPT(" ",LEN(A328))),LEN(A328))))))))+1, 1) * 10^ROW(INDIRECT("1:"&amp;LEN((--TRIM(RIGHT(SUBSTITUTE(LEFT(A328,_xlfn.AGGREGATE(16,6,FIND({0,1,2,3,4,5,6,7,8,9},A328,ROW(INDIRECT("1:"&amp;LEN(A328)))),1))," ",REPT(" ",LEN(A328))),LEN(A328)))))))/10))*1+1</f>
        <v>203 &amp; 503</v>
      </c>
      <c r="B329" s="103"/>
      <c r="C329" s="41"/>
      <c r="D329" s="41"/>
      <c r="E329" s="55">
        <v>0</v>
      </c>
      <c r="F329" s="55">
        <f>D329+E329</f>
        <v>0</v>
      </c>
      <c r="G329" s="55">
        <v>0</v>
      </c>
      <c r="H329" s="55">
        <f>F329*(($H$203)+1)+(IF(G329&lt;101,G329,IF(G329&lt;201,G329/2,IF(G329&lt;=301,G329/3,G329/4))))</f>
        <v>0</v>
      </c>
      <c r="I329" s="35"/>
    </row>
    <row r="330" spans="1:20" s="36" customFormat="1" ht="15.75" hidden="1" customHeight="1" x14ac:dyDescent="0.35">
      <c r="A330" s="102" t="str">
        <f ca="1">(SUMPRODUCT(MID(0&amp;(LEFT(A329,SUM(LEN(A329)-LEN(SUBSTITUTE(A329,{"0","1","2"},""))))), LARGE(INDEX(ISNUMBER(--MID((LEFT(A329,SUM(LEN(A329)-LEN(SUBSTITUTE(A329,{"0","1","2"},""))))), ROW(INDIRECT("1:"&amp;LEN((LEFT(A329,SUM(LEN(A329)-LEN(SUBSTITUTE(A329,{"0","1","2"},"")))))))), 1)) * ROW(INDIRECT("1:"&amp;LEN((LEFT(A329,SUM(LEN(A329)-LEN(SUBSTITUTE(A329,{"0","1","2"},"")))))))), 0), ROW(INDIRECT("1:"&amp;LEN((LEFT(A329,SUM(LEN(A329)-LEN(SUBSTITUTE(A329,{"0","1","2"},"")))))))))+1, 1) * 10^ROW(INDIRECT("1:"&amp;LEN((LEFT(A329,SUM(LEN(A329)-LEN(SUBSTITUTE(A329,{"0","1","2"},""))))))))/10))*1+1&amp;""&amp;" &amp; "&amp;""&amp;(SUMPRODUCT(MID(0&amp;(--TRIM(RIGHT(SUBSTITUTE(LEFT(A329,_xlfn.AGGREGATE(16,6,FIND({0,1,2,3,4,5,6,7,8,9},A329,ROW(INDIRECT("1:"&amp;LEN(A329)))),1))," ",REPT(" ",LEN(A329))),LEN(A329)))), LARGE(INDEX(ISNUMBER(--MID((--TRIM(RIGHT(SUBSTITUTE(LEFT(A329,_xlfn.AGGREGATE(16,6,FIND({0,1,2,3,4,5,6,7,8,9},A329,ROW(INDIRECT("1:"&amp;LEN(A329)))),1))," ",REPT(" ",LEN(A329))),LEN(A329)))), ROW(INDIRECT("1:"&amp;LEN((--TRIM(RIGHT(SUBSTITUTE(LEFT(A329,_xlfn.AGGREGATE(16,6,FIND({0,1,2,3,4,5,6,7,8,9},A329,ROW(INDIRECT("1:"&amp;LEN(A329)))),1))," ",REPT(" ",LEN(A329))),LEN(A329))))))), 1)) * ROW(INDIRECT("1:"&amp;LEN((--TRIM(RIGHT(SUBSTITUTE(LEFT(A329,_xlfn.AGGREGATE(16,6,FIND({0,1,2,3,4,5,6,7,8,9},A329,ROW(INDIRECT("1:"&amp;LEN(A329)))),1))," ",REPT(" ",LEN(A329))),LEN(A329))))))), 0), ROW(INDIRECT("1:"&amp;LEN((--TRIM(RIGHT(SUBSTITUTE(LEFT(A329,_xlfn.AGGREGATE(16,6,FIND({0,1,2,3,4,5,6,7,8,9},A329,ROW(INDIRECT("1:"&amp;LEN(A329)))),1))," ",REPT(" ",LEN(A329))),LEN(A329))))))))+1, 1) * 10^ROW(INDIRECT("1:"&amp;LEN((--TRIM(RIGHT(SUBSTITUTE(LEFT(A329,_xlfn.AGGREGATE(16,6,FIND({0,1,2,3,4,5,6,7,8,9},A329,ROW(INDIRECT("1:"&amp;LEN(A329)))),1))," ",REPT(" ",LEN(A329))),LEN(A329)))))))/10))*1+1</f>
        <v>204 &amp; 504</v>
      </c>
      <c r="B330" s="103"/>
      <c r="C330" s="41"/>
      <c r="D330" s="41"/>
      <c r="E330" s="55">
        <v>0</v>
      </c>
      <c r="F330" s="55">
        <f>D330+E330</f>
        <v>0</v>
      </c>
      <c r="G330" s="55">
        <v>0</v>
      </c>
      <c r="H330" s="55">
        <f>F330*(($H$203)+1)+(IF(G330&lt;101,G330,IF(G330&lt;201,G330/2,IF(G330&lt;=301,G330/3,G330/4))))</f>
        <v>0</v>
      </c>
      <c r="I330" s="35"/>
    </row>
    <row r="331" spans="1:20" s="36" customFormat="1" ht="15.75" hidden="1" customHeight="1" x14ac:dyDescent="0.35">
      <c r="A331" s="102" t="str">
        <f ca="1">(SUMPRODUCT(MID(0&amp;(LEFT(A330,SUM(LEN(A330)-LEN(SUBSTITUTE(A330,{"0","1","2"},""))))), LARGE(INDEX(ISNUMBER(--MID((LEFT(A330,SUM(LEN(A330)-LEN(SUBSTITUTE(A330,{"0","1","2"},""))))), ROW(INDIRECT("1:"&amp;LEN((LEFT(A330,SUM(LEN(A330)-LEN(SUBSTITUTE(A330,{"0","1","2"},"")))))))), 1)) * ROW(INDIRECT("1:"&amp;LEN((LEFT(A330,SUM(LEN(A330)-LEN(SUBSTITUTE(A330,{"0","1","2"},"")))))))), 0), ROW(INDIRECT("1:"&amp;LEN((LEFT(A330,SUM(LEN(A330)-LEN(SUBSTITUTE(A330,{"0","1","2"},"")))))))))+1, 1) * 10^ROW(INDIRECT("1:"&amp;LEN((LEFT(A330,SUM(LEN(A330)-LEN(SUBSTITUTE(A330,{"0","1","2"},""))))))))/10))*1+1&amp;""&amp;" &amp; "&amp;""&amp;(SUMPRODUCT(MID(0&amp;(--TRIM(RIGHT(SUBSTITUTE(LEFT(A330,_xlfn.AGGREGATE(16,6,FIND({0,1,2,3,4,5,6,7,8,9},A330,ROW(INDIRECT("1:"&amp;LEN(A330)))),1))," ",REPT(" ",LEN(A330))),LEN(A330)))), LARGE(INDEX(ISNUMBER(--MID((--TRIM(RIGHT(SUBSTITUTE(LEFT(A330,_xlfn.AGGREGATE(16,6,FIND({0,1,2,3,4,5,6,7,8,9},A330,ROW(INDIRECT("1:"&amp;LEN(A330)))),1))," ",REPT(" ",LEN(A330))),LEN(A330)))), ROW(INDIRECT("1:"&amp;LEN((--TRIM(RIGHT(SUBSTITUTE(LEFT(A330,_xlfn.AGGREGATE(16,6,FIND({0,1,2,3,4,5,6,7,8,9},A330,ROW(INDIRECT("1:"&amp;LEN(A330)))),1))," ",REPT(" ",LEN(A330))),LEN(A330))))))), 1)) * ROW(INDIRECT("1:"&amp;LEN((--TRIM(RIGHT(SUBSTITUTE(LEFT(A330,_xlfn.AGGREGATE(16,6,FIND({0,1,2,3,4,5,6,7,8,9},A330,ROW(INDIRECT("1:"&amp;LEN(A330)))),1))," ",REPT(" ",LEN(A330))),LEN(A330))))))), 0), ROW(INDIRECT("1:"&amp;LEN((--TRIM(RIGHT(SUBSTITUTE(LEFT(A330,_xlfn.AGGREGATE(16,6,FIND({0,1,2,3,4,5,6,7,8,9},A330,ROW(INDIRECT("1:"&amp;LEN(A330)))),1))," ",REPT(" ",LEN(A330))),LEN(A330))))))))+1, 1) * 10^ROW(INDIRECT("1:"&amp;LEN((--TRIM(RIGHT(SUBSTITUTE(LEFT(A330,_xlfn.AGGREGATE(16,6,FIND({0,1,2,3,4,5,6,7,8,9},A330,ROW(INDIRECT("1:"&amp;LEN(A330)))),1))," ",REPT(" ",LEN(A330))),LEN(A330)))))))/10))*1+1</f>
        <v>205 &amp; 505</v>
      </c>
      <c r="B331" s="103"/>
      <c r="C331" s="41"/>
      <c r="D331" s="41"/>
      <c r="E331" s="55">
        <v>0</v>
      </c>
      <c r="F331" s="55">
        <f>D331+E331</f>
        <v>0</v>
      </c>
      <c r="G331" s="55">
        <v>0</v>
      </c>
      <c r="H331" s="55">
        <f>F331*(($H$203)+1)+(IF(G331&lt;101,G331,IF(G331&lt;201,G331/2,IF(G331&lt;=301,G331/3,G331/4))))</f>
        <v>0</v>
      </c>
      <c r="I331" s="35"/>
    </row>
    <row r="332" spans="1:20" s="34" customFormat="1" x14ac:dyDescent="0.35">
      <c r="A332" s="220" t="s">
        <v>65</v>
      </c>
      <c r="B332" s="220"/>
      <c r="C332" s="220"/>
      <c r="D332" s="220"/>
      <c r="E332" s="220"/>
      <c r="F332" s="220"/>
      <c r="G332" s="220"/>
      <c r="H332" s="220"/>
      <c r="T332" s="36"/>
    </row>
    <row r="333" spans="1:20" s="34" customFormat="1" x14ac:dyDescent="0.35">
      <c r="A333" s="45" t="s">
        <v>153</v>
      </c>
      <c r="B333" s="217" t="s">
        <v>374</v>
      </c>
      <c r="C333" s="218"/>
      <c r="D333" s="218"/>
      <c r="E333" s="218"/>
      <c r="F333" s="218"/>
      <c r="G333" s="218"/>
      <c r="H333" s="219"/>
      <c r="T333" s="36"/>
    </row>
    <row r="334" spans="1:20" s="34" customFormat="1" x14ac:dyDescent="0.35">
      <c r="A334" s="45" t="s">
        <v>153</v>
      </c>
      <c r="B334" s="129" t="str">
        <f>(IF(H202="Saleable area Loading :","We have considered Saleable area of Flats as per our Calculation.","We considered Saleable area of Flat as per Builder area Sheet."))</f>
        <v>We have considered Saleable area of Flats as per our Calculation.</v>
      </c>
      <c r="C334" s="130"/>
      <c r="D334" s="130"/>
      <c r="E334" s="130"/>
      <c r="F334" s="130"/>
      <c r="G334" s="130"/>
      <c r="H334" s="131"/>
      <c r="T334" s="36"/>
    </row>
    <row r="335" spans="1:20" s="34" customFormat="1" x14ac:dyDescent="0.35">
      <c r="A335" s="45" t="s">
        <v>153</v>
      </c>
      <c r="B335" s="129" t="str">
        <f>(IF(H143="Saleable area Loading :","We have considered Saleable area of Commercial as per our Calculation.","We considered Saleable area of Commercial as per Builder area Sheet."))</f>
        <v>We have considered Saleable area of Commercial as per our Calculation.</v>
      </c>
      <c r="C335" s="130"/>
      <c r="D335" s="130"/>
      <c r="E335" s="130"/>
      <c r="F335" s="130"/>
      <c r="G335" s="130"/>
      <c r="H335" s="131"/>
      <c r="T335" s="36"/>
    </row>
    <row r="336" spans="1:20" s="34" customFormat="1" x14ac:dyDescent="0.35">
      <c r="A336" s="45" t="s">
        <v>153</v>
      </c>
      <c r="B336" s="144" t="s">
        <v>120</v>
      </c>
      <c r="C336" s="145"/>
      <c r="D336" s="145"/>
      <c r="E336" s="145"/>
      <c r="F336" s="145"/>
      <c r="G336" s="145"/>
      <c r="H336" s="146"/>
      <c r="T336" s="36"/>
    </row>
    <row r="337" spans="1:20" s="34" customFormat="1" x14ac:dyDescent="0.35">
      <c r="A337" s="45" t="s">
        <v>153</v>
      </c>
      <c r="B337" s="144" t="s">
        <v>368</v>
      </c>
      <c r="C337" s="145"/>
      <c r="D337" s="145"/>
      <c r="E337" s="145"/>
      <c r="F337" s="145"/>
      <c r="G337" s="145"/>
      <c r="H337" s="146"/>
      <c r="T337" s="36"/>
    </row>
    <row r="338" spans="1:20" s="34" customFormat="1" x14ac:dyDescent="0.35">
      <c r="A338" s="45" t="s">
        <v>153</v>
      </c>
      <c r="B338" s="144" t="s">
        <v>152</v>
      </c>
      <c r="C338" s="145"/>
      <c r="D338" s="145"/>
      <c r="E338" s="145"/>
      <c r="F338" s="145"/>
      <c r="G338" s="145"/>
      <c r="H338" s="146"/>
    </row>
    <row r="339" spans="1:20" s="34" customFormat="1" x14ac:dyDescent="0.35">
      <c r="A339" s="45" t="s">
        <v>153</v>
      </c>
      <c r="B339" s="144" t="s">
        <v>121</v>
      </c>
      <c r="C339" s="145"/>
      <c r="D339" s="145"/>
      <c r="E339" s="145"/>
      <c r="F339" s="145"/>
      <c r="G339" s="145"/>
      <c r="H339" s="146"/>
    </row>
    <row r="340" spans="1:20" s="34" customFormat="1" ht="34.5" customHeight="1" x14ac:dyDescent="0.35">
      <c r="A340" s="45" t="s">
        <v>153</v>
      </c>
      <c r="B340" s="144" t="s">
        <v>154</v>
      </c>
      <c r="C340" s="145"/>
      <c r="D340" s="145"/>
      <c r="E340" s="145"/>
      <c r="F340" s="145"/>
      <c r="G340" s="145"/>
      <c r="H340" s="146"/>
    </row>
    <row r="341" spans="1:20" s="34" customFormat="1" x14ac:dyDescent="0.35">
      <c r="A341" s="45" t="s">
        <v>153</v>
      </c>
      <c r="B341" s="144" t="s">
        <v>122</v>
      </c>
      <c r="C341" s="145"/>
      <c r="D341" s="145"/>
      <c r="E341" s="145"/>
      <c r="F341" s="145"/>
      <c r="G341" s="145"/>
      <c r="H341" s="146"/>
    </row>
    <row r="342" spans="1:20" s="34" customFormat="1" x14ac:dyDescent="0.35">
      <c r="A342" s="56" t="s">
        <v>153</v>
      </c>
      <c r="B342" s="129" t="s">
        <v>360</v>
      </c>
      <c r="C342" s="130"/>
      <c r="D342" s="130"/>
      <c r="E342" s="130"/>
      <c r="F342" s="130"/>
      <c r="G342" s="130"/>
      <c r="H342" s="131"/>
    </row>
    <row r="343" spans="1:20" s="34" customFormat="1" x14ac:dyDescent="0.35">
      <c r="A343" s="93" t="s">
        <v>153</v>
      </c>
      <c r="B343" s="99" t="s">
        <v>372</v>
      </c>
      <c r="C343" s="100"/>
      <c r="D343" s="100"/>
      <c r="E343" s="100"/>
      <c r="F343" s="100"/>
      <c r="G343" s="100"/>
      <c r="H343" s="101"/>
    </row>
    <row r="344" spans="1:20" x14ac:dyDescent="0.35">
      <c r="A344" s="215" t="s">
        <v>58</v>
      </c>
      <c r="B344" s="215"/>
      <c r="C344" s="215"/>
      <c r="D344" s="215"/>
      <c r="E344" s="215"/>
      <c r="F344" s="215"/>
      <c r="G344" s="215"/>
      <c r="H344" s="215"/>
      <c r="T344" s="34"/>
    </row>
    <row r="345" spans="1:20" x14ac:dyDescent="0.35">
      <c r="A345" s="132" t="s">
        <v>59</v>
      </c>
      <c r="B345" s="132"/>
      <c r="C345" s="132"/>
      <c r="D345" s="132"/>
      <c r="E345" s="132"/>
      <c r="F345" s="132"/>
      <c r="G345" s="132"/>
      <c r="H345" s="132"/>
      <c r="T345" s="34"/>
    </row>
    <row r="346" spans="1:20" ht="15.75" customHeight="1" x14ac:dyDescent="0.35">
      <c r="A346" s="230" t="s">
        <v>60</v>
      </c>
      <c r="B346" s="230"/>
      <c r="C346" s="230"/>
      <c r="D346" s="230"/>
      <c r="E346" s="230"/>
      <c r="F346" s="230"/>
      <c r="G346" s="230"/>
      <c r="H346" s="230"/>
      <c r="T346" s="34"/>
    </row>
    <row r="347" spans="1:20" x14ac:dyDescent="0.35">
      <c r="A347" s="132" t="s">
        <v>61</v>
      </c>
      <c r="B347" s="132"/>
      <c r="C347" s="132"/>
      <c r="D347" s="132"/>
      <c r="E347" s="132"/>
      <c r="F347" s="132"/>
      <c r="G347" s="132"/>
      <c r="H347" s="132"/>
      <c r="T347" s="34"/>
    </row>
    <row r="348" spans="1:20" x14ac:dyDescent="0.35">
      <c r="A348" s="132" t="s">
        <v>62</v>
      </c>
      <c r="B348" s="132"/>
      <c r="C348" s="132"/>
      <c r="D348" s="132"/>
      <c r="E348" s="132"/>
      <c r="F348" s="132"/>
      <c r="G348" s="132"/>
      <c r="H348" s="132"/>
      <c r="T348" s="34"/>
    </row>
    <row r="349" spans="1:20" x14ac:dyDescent="0.35">
      <c r="A349" s="132" t="s">
        <v>123</v>
      </c>
      <c r="B349" s="132"/>
      <c r="C349" s="132"/>
      <c r="D349" s="132"/>
      <c r="E349" s="132"/>
      <c r="F349" s="132"/>
      <c r="G349" s="132"/>
      <c r="H349" s="132"/>
      <c r="T349" s="34"/>
    </row>
    <row r="350" spans="1:20" ht="34" customHeight="1" x14ac:dyDescent="0.35">
      <c r="A350" s="207" t="s">
        <v>124</v>
      </c>
      <c r="B350" s="207"/>
      <c r="C350" s="207"/>
      <c r="D350" s="207"/>
      <c r="E350" s="207"/>
      <c r="F350" s="207"/>
      <c r="G350" s="207"/>
      <c r="H350" s="207"/>
    </row>
    <row r="351" spans="1:20" x14ac:dyDescent="0.35">
      <c r="A351" s="214" t="s">
        <v>73</v>
      </c>
      <c r="B351" s="214"/>
      <c r="C351" s="214" t="s">
        <v>353</v>
      </c>
      <c r="D351" s="214"/>
      <c r="E351" s="214" t="s">
        <v>103</v>
      </c>
      <c r="F351" s="214"/>
      <c r="G351" s="214" t="s">
        <v>376</v>
      </c>
      <c r="H351" s="214"/>
    </row>
    <row r="352" spans="1:20" x14ac:dyDescent="0.35">
      <c r="A352" s="213" t="s">
        <v>75</v>
      </c>
      <c r="B352" s="213"/>
      <c r="C352" s="213"/>
      <c r="D352" s="213"/>
      <c r="E352" s="213"/>
      <c r="F352" s="213"/>
      <c r="G352" s="213"/>
      <c r="H352" s="213"/>
    </row>
    <row r="353" spans="1:8" x14ac:dyDescent="0.35">
      <c r="A353" s="213"/>
      <c r="B353" s="213"/>
      <c r="C353" s="213"/>
      <c r="D353" s="213"/>
      <c r="E353" s="213"/>
      <c r="F353" s="213"/>
      <c r="G353" s="213"/>
      <c r="H353" s="213"/>
    </row>
    <row r="354" spans="1:8" x14ac:dyDescent="0.35">
      <c r="A354" s="213"/>
      <c r="B354" s="213"/>
      <c r="C354" s="213"/>
      <c r="D354" s="213"/>
      <c r="E354" s="213"/>
      <c r="F354" s="213"/>
      <c r="G354" s="213"/>
      <c r="H354" s="213"/>
    </row>
    <row r="355" spans="1:8" x14ac:dyDescent="0.35">
      <c r="A355" s="213"/>
      <c r="B355" s="213"/>
      <c r="C355" s="213"/>
      <c r="D355" s="213"/>
      <c r="E355" s="213"/>
      <c r="F355" s="213"/>
      <c r="G355" s="213"/>
      <c r="H355" s="213"/>
    </row>
    <row r="356" spans="1:8" x14ac:dyDescent="0.35">
      <c r="A356" s="37" t="s">
        <v>63</v>
      </c>
      <c r="B356" s="38"/>
      <c r="C356" s="38"/>
      <c r="D356" s="37" t="str">
        <f>E9</f>
        <v>Primera</v>
      </c>
      <c r="F356" s="38"/>
      <c r="G356" s="38"/>
      <c r="H356" s="38"/>
    </row>
    <row r="357" spans="1:8" x14ac:dyDescent="0.35">
      <c r="A357" s="38"/>
      <c r="B357" s="38"/>
      <c r="C357" s="38"/>
      <c r="D357" s="38"/>
      <c r="E357" s="38"/>
      <c r="F357" s="38"/>
      <c r="G357" s="38"/>
      <c r="H357" s="38"/>
    </row>
    <row r="358" spans="1:8" x14ac:dyDescent="0.35">
      <c r="A358" s="38"/>
      <c r="B358"/>
      <c r="C358" s="38"/>
      <c r="D358" s="38"/>
      <c r="E358" s="38"/>
      <c r="F358" s="38"/>
      <c r="G358" s="38"/>
      <c r="H358" s="38"/>
    </row>
    <row r="359" spans="1:8" ht="15" customHeight="1" x14ac:dyDescent="0.35"/>
    <row r="388" spans="1:1" x14ac:dyDescent="0.35">
      <c r="A388" s="40" t="s">
        <v>164</v>
      </c>
    </row>
    <row r="431" spans="1:1" x14ac:dyDescent="0.35">
      <c r="A431" s="40" t="s">
        <v>64</v>
      </c>
    </row>
  </sheetData>
  <mergeCells count="566">
    <mergeCell ref="A275:H275"/>
    <mergeCell ref="L266:M266"/>
    <mergeCell ref="A267:B267"/>
    <mergeCell ref="A268:B268"/>
    <mergeCell ref="A269:B269"/>
    <mergeCell ref="A270:B270"/>
    <mergeCell ref="A271:B271"/>
    <mergeCell ref="A272:B272"/>
    <mergeCell ref="A273:B273"/>
    <mergeCell ref="A274:B274"/>
    <mergeCell ref="C269:H272"/>
    <mergeCell ref="A266:H266"/>
    <mergeCell ref="A248:B248"/>
    <mergeCell ref="A249:B249"/>
    <mergeCell ref="A250:B250"/>
    <mergeCell ref="A251:B251"/>
    <mergeCell ref="A252:B252"/>
    <mergeCell ref="A253:B253"/>
    <mergeCell ref="A254:B254"/>
    <mergeCell ref="C252:H252"/>
    <mergeCell ref="A255:H255"/>
    <mergeCell ref="A256:H256"/>
    <mergeCell ref="A257:H257"/>
    <mergeCell ref="A258:B258"/>
    <mergeCell ref="A259:B259"/>
    <mergeCell ref="A260:B260"/>
    <mergeCell ref="A261:B261"/>
    <mergeCell ref="A262:B262"/>
    <mergeCell ref="A263:B263"/>
    <mergeCell ref="A264:B264"/>
    <mergeCell ref="A244:B244"/>
    <mergeCell ref="A245:B245"/>
    <mergeCell ref="A246:H246"/>
    <mergeCell ref="A247:B247"/>
    <mergeCell ref="A230:B230"/>
    <mergeCell ref="A231:B231"/>
    <mergeCell ref="A232:B232"/>
    <mergeCell ref="A233:B233"/>
    <mergeCell ref="A234:B234"/>
    <mergeCell ref="A235:B235"/>
    <mergeCell ref="A236:B236"/>
    <mergeCell ref="A156:H156"/>
    <mergeCell ref="A184:H184"/>
    <mergeCell ref="A185:B185"/>
    <mergeCell ref="A186:B186"/>
    <mergeCell ref="A187:B187"/>
    <mergeCell ref="A188:B188"/>
    <mergeCell ref="A189:B189"/>
    <mergeCell ref="A190:B190"/>
    <mergeCell ref="A191:B191"/>
    <mergeCell ref="A183:H183"/>
    <mergeCell ref="A179:B179"/>
    <mergeCell ref="A157:H157"/>
    <mergeCell ref="A158:B158"/>
    <mergeCell ref="A159:B159"/>
    <mergeCell ref="A160:B160"/>
    <mergeCell ref="A161:B161"/>
    <mergeCell ref="A162:B162"/>
    <mergeCell ref="A163:B163"/>
    <mergeCell ref="A164:B164"/>
    <mergeCell ref="A165:B165"/>
    <mergeCell ref="L228:M228"/>
    <mergeCell ref="A206:H206"/>
    <mergeCell ref="A218:H218"/>
    <mergeCell ref="A207:H207"/>
    <mergeCell ref="A205:H205"/>
    <mergeCell ref="A197:H197"/>
    <mergeCell ref="L194:M194"/>
    <mergeCell ref="L195:M195"/>
    <mergeCell ref="A221:B221"/>
    <mergeCell ref="A222:B222"/>
    <mergeCell ref="A223:B223"/>
    <mergeCell ref="A224:B224"/>
    <mergeCell ref="A225:B225"/>
    <mergeCell ref="A217:B217"/>
    <mergeCell ref="A215:B215"/>
    <mergeCell ref="A216:B216"/>
    <mergeCell ref="A226:B226"/>
    <mergeCell ref="C210:H211"/>
    <mergeCell ref="C225:H226"/>
    <mergeCell ref="C216:H217"/>
    <mergeCell ref="C219:H220"/>
    <mergeCell ref="A214:B214"/>
    <mergeCell ref="L185:M185"/>
    <mergeCell ref="L186:M186"/>
    <mergeCell ref="L187:M187"/>
    <mergeCell ref="L188:M188"/>
    <mergeCell ref="L189:M189"/>
    <mergeCell ref="L190:M190"/>
    <mergeCell ref="L191:M191"/>
    <mergeCell ref="L192:M192"/>
    <mergeCell ref="L193:M193"/>
    <mergeCell ref="L182:M182"/>
    <mergeCell ref="L171:M171"/>
    <mergeCell ref="A172:B172"/>
    <mergeCell ref="L172:M172"/>
    <mergeCell ref="A173:B173"/>
    <mergeCell ref="L173:M173"/>
    <mergeCell ref="A174:B174"/>
    <mergeCell ref="L174:M174"/>
    <mergeCell ref="A175:B175"/>
    <mergeCell ref="L175:M175"/>
    <mergeCell ref="L176:M176"/>
    <mergeCell ref="A177:B177"/>
    <mergeCell ref="L177:M177"/>
    <mergeCell ref="A178:B178"/>
    <mergeCell ref="L178:M178"/>
    <mergeCell ref="L179:M179"/>
    <mergeCell ref="A180:B180"/>
    <mergeCell ref="L180:M180"/>
    <mergeCell ref="L181:M181"/>
    <mergeCell ref="L166:M166"/>
    <mergeCell ref="A167:B167"/>
    <mergeCell ref="L167:M167"/>
    <mergeCell ref="A168:B168"/>
    <mergeCell ref="L168:M168"/>
    <mergeCell ref="A169:B169"/>
    <mergeCell ref="L169:M169"/>
    <mergeCell ref="A170:B170"/>
    <mergeCell ref="L170:M170"/>
    <mergeCell ref="I15:P15"/>
    <mergeCell ref="F126:H126"/>
    <mergeCell ref="F124:H124"/>
    <mergeCell ref="A316:B316"/>
    <mergeCell ref="A142:H142"/>
    <mergeCell ref="G130:H130"/>
    <mergeCell ref="A125:E125"/>
    <mergeCell ref="A148:B148"/>
    <mergeCell ref="A60:B60"/>
    <mergeCell ref="C60:E60"/>
    <mergeCell ref="D62:H62"/>
    <mergeCell ref="F125:H125"/>
    <mergeCell ref="E130:F130"/>
    <mergeCell ref="A130:B130"/>
    <mergeCell ref="C136:D136"/>
    <mergeCell ref="D71:H71"/>
    <mergeCell ref="A72:C72"/>
    <mergeCell ref="E43:H43"/>
    <mergeCell ref="A43:D43"/>
    <mergeCell ref="A88:B88"/>
    <mergeCell ref="C88:H88"/>
    <mergeCell ref="A83:B83"/>
    <mergeCell ref="A50:B50"/>
    <mergeCell ref="L218:M218"/>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C51:E51"/>
    <mergeCell ref="A349:H349"/>
    <mergeCell ref="A346:H346"/>
    <mergeCell ref="A309:B309"/>
    <mergeCell ref="A136:B136"/>
    <mergeCell ref="D202:D203"/>
    <mergeCell ref="E202:E203"/>
    <mergeCell ref="A96:B96"/>
    <mergeCell ref="A97:B97"/>
    <mergeCell ref="A98:B98"/>
    <mergeCell ref="A112:B112"/>
    <mergeCell ref="F117:H117"/>
    <mergeCell ref="G131:H131"/>
    <mergeCell ref="A115:B115"/>
    <mergeCell ref="F123:H123"/>
    <mergeCell ref="C130:D130"/>
    <mergeCell ref="C139:D139"/>
    <mergeCell ref="A303:H303"/>
    <mergeCell ref="A318:B318"/>
    <mergeCell ref="A315:B315"/>
    <mergeCell ref="A147:B147"/>
    <mergeCell ref="A166:B166"/>
    <mergeCell ref="A171:B171"/>
    <mergeCell ref="A176:B176"/>
    <mergeCell ref="A324:B324"/>
    <mergeCell ref="A325:B325"/>
    <mergeCell ref="A320:H320"/>
    <mergeCell ref="A314:H314"/>
    <mergeCell ref="A208:H208"/>
    <mergeCell ref="A145:H145"/>
    <mergeCell ref="A297:B297"/>
    <mergeCell ref="A229:B229"/>
    <mergeCell ref="A65:C66"/>
    <mergeCell ref="D65:H65"/>
    <mergeCell ref="D66:H66"/>
    <mergeCell ref="A181:B181"/>
    <mergeCell ref="A182:B182"/>
    <mergeCell ref="A192:B192"/>
    <mergeCell ref="A193:B193"/>
    <mergeCell ref="A194:B194"/>
    <mergeCell ref="A195:B195"/>
    <mergeCell ref="A204:H204"/>
    <mergeCell ref="C194:H195"/>
    <mergeCell ref="A227:H227"/>
    <mergeCell ref="A228:H228"/>
    <mergeCell ref="A237:H237"/>
    <mergeCell ref="A238:B238"/>
    <mergeCell ref="A239:B239"/>
    <mergeCell ref="E91:F91"/>
    <mergeCell ref="B341:H341"/>
    <mergeCell ref="B339:H339"/>
    <mergeCell ref="B335:H335"/>
    <mergeCell ref="A329:B329"/>
    <mergeCell ref="A326:H326"/>
    <mergeCell ref="A327:B327"/>
    <mergeCell ref="A328:B328"/>
    <mergeCell ref="A331:B331"/>
    <mergeCell ref="A330:B330"/>
    <mergeCell ref="B333:H333"/>
    <mergeCell ref="B334:H334"/>
    <mergeCell ref="B336:H336"/>
    <mergeCell ref="B337:H337"/>
    <mergeCell ref="A332:H332"/>
    <mergeCell ref="G91:H91"/>
    <mergeCell ref="A122:E122"/>
    <mergeCell ref="F122:H122"/>
    <mergeCell ref="A124:E124"/>
    <mergeCell ref="F119:H119"/>
    <mergeCell ref="A123:E123"/>
    <mergeCell ref="A109:B109"/>
    <mergeCell ref="A110:B110"/>
    <mergeCell ref="E92:F101"/>
    <mergeCell ref="A99:B99"/>
    <mergeCell ref="A100:B100"/>
    <mergeCell ref="E105:F105"/>
    <mergeCell ref="E106:F115"/>
    <mergeCell ref="A352:H355"/>
    <mergeCell ref="A351:B351"/>
    <mergeCell ref="E351:F351"/>
    <mergeCell ref="C351:D351"/>
    <mergeCell ref="G351:H351"/>
    <mergeCell ref="A129:H129"/>
    <mergeCell ref="A127:E127"/>
    <mergeCell ref="F127:H127"/>
    <mergeCell ref="A128:E128"/>
    <mergeCell ref="F128:H128"/>
    <mergeCell ref="A308:H308"/>
    <mergeCell ref="A137:B137"/>
    <mergeCell ref="A317:B317"/>
    <mergeCell ref="A347:H347"/>
    <mergeCell ref="A135:H135"/>
    <mergeCell ref="A350:H350"/>
    <mergeCell ref="A348:H348"/>
    <mergeCell ref="A344:H344"/>
    <mergeCell ref="G136:H136"/>
    <mergeCell ref="A319:B319"/>
    <mergeCell ref="C143:C144"/>
    <mergeCell ref="B202:B203"/>
    <mergeCell ref="A345:H345"/>
    <mergeCell ref="A304:B304"/>
    <mergeCell ref="A76:B76"/>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G106:H115"/>
    <mergeCell ref="A42:D42"/>
    <mergeCell ref="E42:H42"/>
    <mergeCell ref="A41:H41"/>
    <mergeCell ref="A67:C67"/>
    <mergeCell ref="A68:C68"/>
    <mergeCell ref="D67:H67"/>
    <mergeCell ref="E78:F87"/>
    <mergeCell ref="G78:H87"/>
    <mergeCell ref="A86:B86"/>
    <mergeCell ref="A87:B87"/>
    <mergeCell ref="D68:H68"/>
    <mergeCell ref="A44:D44"/>
    <mergeCell ref="E44:H44"/>
    <mergeCell ref="E45:H45"/>
    <mergeCell ref="E46:H46"/>
    <mergeCell ref="A91:B91"/>
    <mergeCell ref="E47:H47"/>
    <mergeCell ref="C57:H57"/>
    <mergeCell ref="C59:H59"/>
    <mergeCell ref="A90:B90"/>
    <mergeCell ref="A39:B39"/>
    <mergeCell ref="C39:H39"/>
    <mergeCell ref="A46:D46"/>
    <mergeCell ref="L150:M150"/>
    <mergeCell ref="L149:M149"/>
    <mergeCell ref="L148:M148"/>
    <mergeCell ref="L147:M147"/>
    <mergeCell ref="A85:B85"/>
    <mergeCell ref="C137:D137"/>
    <mergeCell ref="E137:F137"/>
    <mergeCell ref="G137:H137"/>
    <mergeCell ref="A117:E117"/>
    <mergeCell ref="A102:B102"/>
    <mergeCell ref="C102:H102"/>
    <mergeCell ref="A146:H146"/>
    <mergeCell ref="E143:E144"/>
    <mergeCell ref="A92:B92"/>
    <mergeCell ref="A47:D47"/>
    <mergeCell ref="A48:H48"/>
    <mergeCell ref="D64:H64"/>
    <mergeCell ref="A64:C64"/>
    <mergeCell ref="A84:B84"/>
    <mergeCell ref="C90:H90"/>
    <mergeCell ref="A45:D45"/>
    <mergeCell ref="L308:M308"/>
    <mergeCell ref="A313:B313"/>
    <mergeCell ref="A310:B310"/>
    <mergeCell ref="A311:B311"/>
    <mergeCell ref="A321:B321"/>
    <mergeCell ref="A40:B40"/>
    <mergeCell ref="C40:H40"/>
    <mergeCell ref="F143:F144"/>
    <mergeCell ref="C131:D131"/>
    <mergeCell ref="E131:F131"/>
    <mergeCell ref="B143:B144"/>
    <mergeCell ref="A143:A144"/>
    <mergeCell ref="C202:C203"/>
    <mergeCell ref="G202:G203"/>
    <mergeCell ref="L307:M307"/>
    <mergeCell ref="L304:M304"/>
    <mergeCell ref="A305:B305"/>
    <mergeCell ref="G140:H140"/>
    <mergeCell ref="L305:M305"/>
    <mergeCell ref="A306:B306"/>
    <mergeCell ref="L306:M306"/>
    <mergeCell ref="C55:H55"/>
    <mergeCell ref="A307:B307"/>
    <mergeCell ref="A77:B77"/>
    <mergeCell ref="A49:B49"/>
    <mergeCell ref="C49:H49"/>
    <mergeCell ref="B338:H338"/>
    <mergeCell ref="A107:B107"/>
    <mergeCell ref="A108:B108"/>
    <mergeCell ref="G92:H101"/>
    <mergeCell ref="A93:B93"/>
    <mergeCell ref="A94:B94"/>
    <mergeCell ref="A95:B95"/>
    <mergeCell ref="F118:H118"/>
    <mergeCell ref="A118:E118"/>
    <mergeCell ref="D143:D144"/>
    <mergeCell ref="A120:E120"/>
    <mergeCell ref="A111:B111"/>
    <mergeCell ref="A113:B113"/>
    <mergeCell ref="A114:B114"/>
    <mergeCell ref="A119:E119"/>
    <mergeCell ref="A116:E116"/>
    <mergeCell ref="F120:H120"/>
    <mergeCell ref="G105:H105"/>
    <mergeCell ref="A104:B104"/>
    <mergeCell ref="G143:G144"/>
    <mergeCell ref="A322:B322"/>
    <mergeCell ref="A80:B80"/>
    <mergeCell ref="B342:H342"/>
    <mergeCell ref="A121:E121"/>
    <mergeCell ref="A101:B101"/>
    <mergeCell ref="A106:B106"/>
    <mergeCell ref="A139:B139"/>
    <mergeCell ref="E139:F139"/>
    <mergeCell ref="C104:H104"/>
    <mergeCell ref="A105:B105"/>
    <mergeCell ref="A126:E126"/>
    <mergeCell ref="G139:H139"/>
    <mergeCell ref="E134:F134"/>
    <mergeCell ref="G134:H134"/>
    <mergeCell ref="A134:B134"/>
    <mergeCell ref="C134:D134"/>
    <mergeCell ref="A138:B138"/>
    <mergeCell ref="C138:D138"/>
    <mergeCell ref="E138:F138"/>
    <mergeCell ref="G138:H138"/>
    <mergeCell ref="B340:H340"/>
    <mergeCell ref="A323:B323"/>
    <mergeCell ref="A312:B312"/>
    <mergeCell ref="F116:H116"/>
    <mergeCell ref="F121:H121"/>
    <mergeCell ref="A150:B150"/>
    <mergeCell ref="L151:M151"/>
    <mergeCell ref="A152:B152"/>
    <mergeCell ref="L152:M152"/>
    <mergeCell ref="A153:B153"/>
    <mergeCell ref="L153:M153"/>
    <mergeCell ref="A154:B154"/>
    <mergeCell ref="L154:M154"/>
    <mergeCell ref="A155:B155"/>
    <mergeCell ref="L155:M155"/>
    <mergeCell ref="L158:M158"/>
    <mergeCell ref="L159:M159"/>
    <mergeCell ref="L160:M160"/>
    <mergeCell ref="L161:M161"/>
    <mergeCell ref="L162:M162"/>
    <mergeCell ref="L163:M163"/>
    <mergeCell ref="L164:M164"/>
    <mergeCell ref="L165:M165"/>
    <mergeCell ref="A276:H276"/>
    <mergeCell ref="L276:M276"/>
    <mergeCell ref="A196:H196"/>
    <mergeCell ref="A198:H198"/>
    <mergeCell ref="A199:B199"/>
    <mergeCell ref="L199:M199"/>
    <mergeCell ref="A200:B200"/>
    <mergeCell ref="L200:M200"/>
    <mergeCell ref="A201:H201"/>
    <mergeCell ref="A202:A203"/>
    <mergeCell ref="F202:F203"/>
    <mergeCell ref="A219:B219"/>
    <mergeCell ref="A220:B220"/>
    <mergeCell ref="A209:H209"/>
    <mergeCell ref="A210:B210"/>
    <mergeCell ref="A211:B211"/>
    <mergeCell ref="A140:B140"/>
    <mergeCell ref="A298:B298"/>
    <mergeCell ref="A299:B299"/>
    <mergeCell ref="A300:B300"/>
    <mergeCell ref="A301:B301"/>
    <mergeCell ref="A302:B302"/>
    <mergeCell ref="C301:H301"/>
    <mergeCell ref="A286:B286"/>
    <mergeCell ref="A287:B287"/>
    <mergeCell ref="A288:B288"/>
    <mergeCell ref="A289:B289"/>
    <mergeCell ref="A290:B290"/>
    <mergeCell ref="A291:B291"/>
    <mergeCell ref="A292:B292"/>
    <mergeCell ref="A293:B293"/>
    <mergeCell ref="A294:H294"/>
    <mergeCell ref="C140:D140"/>
    <mergeCell ref="E140:F140"/>
    <mergeCell ref="A240:B240"/>
    <mergeCell ref="A241:B241"/>
    <mergeCell ref="A242:B242"/>
    <mergeCell ref="A243:B243"/>
    <mergeCell ref="A265:B265"/>
    <mergeCell ref="C260:H263"/>
    <mergeCell ref="B343:H343"/>
    <mergeCell ref="C132:D132"/>
    <mergeCell ref="C133:D133"/>
    <mergeCell ref="E132:F132"/>
    <mergeCell ref="G132:H132"/>
    <mergeCell ref="G133:H133"/>
    <mergeCell ref="E133:F133"/>
    <mergeCell ref="A295:B295"/>
    <mergeCell ref="A296:B296"/>
    <mergeCell ref="A277:B277"/>
    <mergeCell ref="A278:B278"/>
    <mergeCell ref="A279:B279"/>
    <mergeCell ref="A280:B280"/>
    <mergeCell ref="A281:B281"/>
    <mergeCell ref="A282:B282"/>
    <mergeCell ref="A283:B283"/>
    <mergeCell ref="A284:B284"/>
    <mergeCell ref="A285:H285"/>
    <mergeCell ref="A151:B151"/>
    <mergeCell ref="A149:B149"/>
    <mergeCell ref="E136:F136"/>
    <mergeCell ref="A141:H141"/>
    <mergeCell ref="A212:B212"/>
    <mergeCell ref="A213:B213"/>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351:H351">
      <formula1>"Gaurav Panchal,Kunal Kadam,Pranita Mhatre,Shruti Fule,Pooja Kawale,Neha Dhokale,Shruti Tathare, Hitakshi Mhatre,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7:H127">
      <formula1>OFFSET($S$116,1,MATCH($G20,$S$116:$W$116,0)-1,15,1)</formula1>
    </dataValidation>
    <dataValidation type="list" allowBlank="1" showInputMessage="1" showErrorMessage="1" sqref="B143:B144">
      <formula1>"Shop No. (Sale Plan),Sale / Rehab,Sale / Mhada"</formula1>
    </dataValidation>
    <dataValidation type="list" allowBlank="1" showInputMessage="1" showErrorMessage="1" sqref="B202:B20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202:E203">
      <formula1>"Fungible area,Balcony Area,Chajja Area,Cornice Area,AP Area,WS Area"</formula1>
    </dataValidation>
    <dataValidation type="list" allowBlank="1" showInputMessage="1" showErrorMessage="1" sqref="H203 H14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 type="list" allowBlank="1" showInputMessage="1" showErrorMessage="1" sqref="H143 H202">
      <formula1>"Saleable area Loading :,Builder Saleable Area"</formula1>
    </dataValidation>
    <dataValidation type="list" allowBlank="1" showInputMessage="1" showErrorMessage="1" sqref="D202:D203 D143:D144">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355" max="16383" man="1"/>
    <brk id="387" max="16383" man="1"/>
    <brk id="430"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20" zoomScale="145" zoomScaleNormal="14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62" t="s">
        <v>104</v>
      </c>
      <c r="C3" s="262"/>
      <c r="D3" s="262"/>
      <c r="E3" s="262"/>
      <c r="F3" s="262"/>
      <c r="G3" s="262"/>
      <c r="H3" s="262"/>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3"/>
      <c r="C4" s="53" t="s">
        <v>11</v>
      </c>
      <c r="D4" s="54" t="s">
        <v>179</v>
      </c>
      <c r="E4" s="54" t="s">
        <v>189</v>
      </c>
      <c r="F4" s="54" t="s">
        <v>173</v>
      </c>
      <c r="G4" s="54" t="s">
        <v>194</v>
      </c>
      <c r="H4" s="54" t="s">
        <v>212</v>
      </c>
      <c r="J4" t="s">
        <v>194</v>
      </c>
      <c r="K4" t="s">
        <v>210</v>
      </c>
    </row>
    <row r="5" spans="2:11" x14ac:dyDescent="0.35">
      <c r="B5" s="53"/>
      <c r="C5" s="53"/>
      <c r="D5" s="54" t="s">
        <v>180</v>
      </c>
      <c r="E5" s="54" t="s">
        <v>187</v>
      </c>
      <c r="F5" s="54" t="s">
        <v>209</v>
      </c>
      <c r="G5" s="54" t="s">
        <v>195</v>
      </c>
      <c r="H5" s="54" t="s">
        <v>213</v>
      </c>
    </row>
    <row r="6" spans="2:11" x14ac:dyDescent="0.35">
      <c r="B6" s="53"/>
      <c r="C6" s="53"/>
      <c r="D6" s="54" t="s">
        <v>181</v>
      </c>
      <c r="E6" s="54" t="s">
        <v>188</v>
      </c>
      <c r="F6" s="54" t="s">
        <v>210</v>
      </c>
      <c r="G6" s="54" t="s">
        <v>196</v>
      </c>
      <c r="H6" s="54" t="s">
        <v>226</v>
      </c>
    </row>
    <row r="7" spans="2:11" x14ac:dyDescent="0.35">
      <c r="B7" s="53"/>
      <c r="C7" s="53"/>
      <c r="D7" s="54" t="s">
        <v>182</v>
      </c>
      <c r="E7" s="54" t="s">
        <v>190</v>
      </c>
      <c r="F7" s="54" t="s">
        <v>211</v>
      </c>
      <c r="G7" s="54" t="s">
        <v>197</v>
      </c>
      <c r="H7" s="54" t="s">
        <v>214</v>
      </c>
    </row>
    <row r="8" spans="2:11" x14ac:dyDescent="0.35">
      <c r="B8" s="53"/>
      <c r="C8" s="53"/>
      <c r="D8" s="54" t="s">
        <v>183</v>
      </c>
      <c r="E8" s="54" t="s">
        <v>191</v>
      </c>
      <c r="F8" s="54"/>
      <c r="G8" s="54" t="s">
        <v>198</v>
      </c>
      <c r="H8" s="54" t="s">
        <v>215</v>
      </c>
    </row>
    <row r="9" spans="2:11" x14ac:dyDescent="0.35">
      <c r="B9" s="53"/>
      <c r="C9" s="53"/>
      <c r="D9" s="54" t="s">
        <v>184</v>
      </c>
      <c r="E9" s="54" t="s">
        <v>189</v>
      </c>
      <c r="F9" s="54"/>
      <c r="G9" s="54" t="s">
        <v>199</v>
      </c>
      <c r="H9" s="54" t="s">
        <v>216</v>
      </c>
    </row>
    <row r="10" spans="2:11" x14ac:dyDescent="0.35">
      <c r="B10" s="53"/>
      <c r="C10" s="53"/>
      <c r="D10" s="54" t="s">
        <v>185</v>
      </c>
      <c r="E10" s="54" t="s">
        <v>192</v>
      </c>
      <c r="F10" s="54"/>
      <c r="G10" s="54" t="s">
        <v>200</v>
      </c>
      <c r="H10" s="54" t="s">
        <v>217</v>
      </c>
    </row>
    <row r="11" spans="2:11" x14ac:dyDescent="0.35">
      <c r="B11" s="53"/>
      <c r="C11" s="53"/>
      <c r="D11" s="54" t="s">
        <v>186</v>
      </c>
      <c r="E11" s="54" t="s">
        <v>193</v>
      </c>
      <c r="F11" s="54"/>
      <c r="G11" s="54" t="s">
        <v>201</v>
      </c>
      <c r="H11" s="54" t="s">
        <v>218</v>
      </c>
    </row>
    <row r="12" spans="2:11" x14ac:dyDescent="0.35">
      <c r="B12" s="53"/>
      <c r="C12" s="53"/>
      <c r="D12" s="54"/>
      <c r="E12" s="54"/>
      <c r="F12" s="54"/>
      <c r="G12" s="54" t="s">
        <v>202</v>
      </c>
      <c r="H12" s="54" t="s">
        <v>219</v>
      </c>
    </row>
    <row r="13" spans="2:11" x14ac:dyDescent="0.35">
      <c r="B13" s="53"/>
      <c r="C13" s="53"/>
      <c r="D13" s="54"/>
      <c r="E13" s="54"/>
      <c r="F13" s="54"/>
      <c r="G13" s="54" t="s">
        <v>203</v>
      </c>
      <c r="H13" s="54" t="s">
        <v>220</v>
      </c>
    </row>
    <row r="14" spans="2:11" x14ac:dyDescent="0.35">
      <c r="B14" s="53"/>
      <c r="C14" s="53"/>
      <c r="D14" s="54"/>
      <c r="E14" s="54"/>
      <c r="F14" s="54"/>
      <c r="G14" s="54" t="s">
        <v>204</v>
      </c>
      <c r="H14" s="54" t="s">
        <v>221</v>
      </c>
    </row>
    <row r="15" spans="2:11" x14ac:dyDescent="0.35">
      <c r="B15" s="53"/>
      <c r="C15" s="53"/>
      <c r="D15" s="54"/>
      <c r="E15" s="54"/>
      <c r="F15" s="54"/>
      <c r="G15" s="54" t="s">
        <v>205</v>
      </c>
      <c r="H15" s="54" t="s">
        <v>222</v>
      </c>
    </row>
    <row r="16" spans="2:11" x14ac:dyDescent="0.35">
      <c r="B16" s="53"/>
      <c r="C16" s="53"/>
      <c r="D16" s="54"/>
      <c r="E16" s="54"/>
      <c r="F16" s="54"/>
      <c r="G16" s="54" t="s">
        <v>206</v>
      </c>
      <c r="H16" s="54" t="s">
        <v>223</v>
      </c>
    </row>
    <row r="17" spans="2:8" x14ac:dyDescent="0.35">
      <c r="B17" s="53"/>
      <c r="C17" s="53"/>
      <c r="D17" s="54"/>
      <c r="E17" s="54"/>
      <c r="F17" s="54"/>
      <c r="G17" s="54" t="s">
        <v>207</v>
      </c>
      <c r="H17" s="54" t="s">
        <v>224</v>
      </c>
    </row>
    <row r="18" spans="2:8" x14ac:dyDescent="0.35">
      <c r="B18" s="53"/>
      <c r="C18" s="53"/>
      <c r="D18" s="54"/>
      <c r="E18" s="54"/>
      <c r="F18" s="54"/>
      <c r="G18" s="54" t="s">
        <v>208</v>
      </c>
      <c r="H18" s="54" t="s">
        <v>225</v>
      </c>
    </row>
    <row r="24" spans="2:8" x14ac:dyDescent="0.35">
      <c r="C24" t="s">
        <v>170</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170</v>
      </c>
    </row>
    <row r="33" spans="3:11" x14ac:dyDescent="0.35">
      <c r="J33">
        <v>1</v>
      </c>
      <c r="K33">
        <v>2</v>
      </c>
    </row>
    <row r="34" spans="3:11" x14ac:dyDescent="0.35">
      <c r="C34" s="57" t="s">
        <v>236</v>
      </c>
      <c r="D34" s="54" t="s">
        <v>234</v>
      </c>
      <c r="E34" s="54" t="s">
        <v>239</v>
      </c>
      <c r="F34" s="54" t="s">
        <v>237</v>
      </c>
      <c r="G34" s="54" t="s">
        <v>238</v>
      </c>
      <c r="H34" s="54" t="s">
        <v>240</v>
      </c>
      <c r="J34" t="s">
        <v>194</v>
      </c>
      <c r="K34" t="s">
        <v>210</v>
      </c>
    </row>
    <row r="35" spans="3:11" x14ac:dyDescent="0.35">
      <c r="C35" s="53" t="s">
        <v>235</v>
      </c>
      <c r="D35" s="54" t="s">
        <v>171</v>
      </c>
      <c r="E35" s="54" t="s">
        <v>244</v>
      </c>
      <c r="F35" s="54" t="s">
        <v>246</v>
      </c>
      <c r="G35" s="54" t="s">
        <v>248</v>
      </c>
      <c r="H35" s="54"/>
    </row>
    <row r="36" spans="3:11" x14ac:dyDescent="0.35">
      <c r="C36" s="53"/>
      <c r="D36" s="54" t="s">
        <v>241</v>
      </c>
      <c r="E36" s="54" t="s">
        <v>245</v>
      </c>
      <c r="F36" s="54" t="s">
        <v>247</v>
      </c>
      <c r="G36" s="54" t="s">
        <v>249</v>
      </c>
      <c r="H36" s="54"/>
    </row>
    <row r="37" spans="3:11" x14ac:dyDescent="0.35">
      <c r="C37" s="53"/>
      <c r="D37" s="54" t="s">
        <v>242</v>
      </c>
      <c r="E37" s="54"/>
      <c r="F37" s="54"/>
      <c r="G37" s="54" t="s">
        <v>250</v>
      </c>
      <c r="H37" s="54"/>
    </row>
    <row r="38" spans="3:11" x14ac:dyDescent="0.35">
      <c r="C38" s="53"/>
      <c r="D38" s="54" t="s">
        <v>243</v>
      </c>
      <c r="E38" s="54"/>
      <c r="F38" s="54"/>
      <c r="G38" s="54" t="s">
        <v>250</v>
      </c>
      <c r="H38" s="54"/>
    </row>
    <row r="39" spans="3:11" x14ac:dyDescent="0.35">
      <c r="C39" s="53"/>
      <c r="D39" s="54"/>
      <c r="E39" s="54"/>
      <c r="F39" s="54"/>
      <c r="G39" s="54" t="s">
        <v>251</v>
      </c>
      <c r="H39" s="54"/>
    </row>
    <row r="40" spans="3:11" x14ac:dyDescent="0.35">
      <c r="C40" s="53"/>
      <c r="D40" s="54"/>
      <c r="E40" s="54"/>
      <c r="F40" s="54"/>
      <c r="G40" s="54" t="s">
        <v>252</v>
      </c>
      <c r="H40" s="54"/>
    </row>
    <row r="41" spans="3:11" x14ac:dyDescent="0.35">
      <c r="C41" s="53"/>
      <c r="D41" s="54"/>
      <c r="E41" s="54"/>
      <c r="F41" s="54"/>
      <c r="G41" s="54"/>
      <c r="H41" s="54"/>
    </row>
    <row r="43" spans="3:11" x14ac:dyDescent="0.35">
      <c r="C43" t="s">
        <v>253</v>
      </c>
    </row>
    <row r="44" spans="3:11" x14ac:dyDescent="0.35">
      <c r="C44" t="s">
        <v>173</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179</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194</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189</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4.5" x14ac:dyDescent="0.35"/>
  <cols>
    <col min="2" max="2" width="3" bestFit="1" customWidth="1"/>
    <col min="3" max="3" width="130" customWidth="1"/>
  </cols>
  <sheetData>
    <row r="2" spans="2:3" ht="15" customHeight="1" x14ac:dyDescent="0.35">
      <c r="B2" s="58">
        <v>1</v>
      </c>
      <c r="C2" s="61" t="s">
        <v>284</v>
      </c>
    </row>
    <row r="3" spans="2:3" x14ac:dyDescent="0.35">
      <c r="B3" s="58">
        <v>2</v>
      </c>
      <c r="C3" s="59" t="s">
        <v>285</v>
      </c>
    </row>
    <row r="4" spans="2:3" x14ac:dyDescent="0.35">
      <c r="B4" s="58">
        <v>3</v>
      </c>
      <c r="C4" s="60" t="s">
        <v>286</v>
      </c>
    </row>
    <row r="5" spans="2:3" x14ac:dyDescent="0.35">
      <c r="B5" s="58">
        <v>4</v>
      </c>
      <c r="C5" s="59" t="s">
        <v>287</v>
      </c>
    </row>
    <row r="6" spans="2:3" x14ac:dyDescent="0.35">
      <c r="B6" s="58">
        <v>5</v>
      </c>
      <c r="C6" s="60" t="s">
        <v>288</v>
      </c>
    </row>
    <row r="7" spans="2:3" ht="29" x14ac:dyDescent="0.35">
      <c r="B7" s="58">
        <v>6</v>
      </c>
      <c r="C7" s="59" t="s">
        <v>289</v>
      </c>
    </row>
    <row r="8" spans="2:3" ht="72.5" x14ac:dyDescent="0.35">
      <c r="B8" s="58">
        <v>7</v>
      </c>
      <c r="C8" s="59" t="s">
        <v>290</v>
      </c>
    </row>
    <row r="9" spans="2:3" x14ac:dyDescent="0.35">
      <c r="B9" s="58">
        <v>8</v>
      </c>
      <c r="C9" s="60" t="s">
        <v>291</v>
      </c>
    </row>
    <row r="10" spans="2:3" x14ac:dyDescent="0.35">
      <c r="B10" s="58">
        <v>9</v>
      </c>
      <c r="C10" s="60" t="s">
        <v>292</v>
      </c>
    </row>
    <row r="11" spans="2:3" x14ac:dyDescent="0.35">
      <c r="B11" s="58">
        <v>10</v>
      </c>
      <c r="C11" s="60" t="s">
        <v>293</v>
      </c>
    </row>
    <row r="12" spans="2:3" x14ac:dyDescent="0.35">
      <c r="B12" s="58">
        <v>11</v>
      </c>
      <c r="C12" s="60" t="s">
        <v>294</v>
      </c>
    </row>
    <row r="13" spans="2:3" x14ac:dyDescent="0.35">
      <c r="B13" s="58">
        <v>12</v>
      </c>
      <c r="C13" s="60" t="s">
        <v>295</v>
      </c>
    </row>
    <row r="14" spans="2:3" x14ac:dyDescent="0.35">
      <c r="B14" s="58">
        <v>13</v>
      </c>
      <c r="C14" s="60" t="s">
        <v>296</v>
      </c>
    </row>
    <row r="15" spans="2:3" x14ac:dyDescent="0.35">
      <c r="B15" s="58">
        <v>14</v>
      </c>
      <c r="C15" s="60" t="s">
        <v>286</v>
      </c>
    </row>
    <row r="16" spans="2:3" x14ac:dyDescent="0.35">
      <c r="B16" s="58">
        <v>15</v>
      </c>
      <c r="C16" s="60" t="s">
        <v>298</v>
      </c>
    </row>
    <row r="17" spans="2:3" ht="31.5" customHeight="1" x14ac:dyDescent="0.35">
      <c r="B17" s="66">
        <v>16</v>
      </c>
      <c r="C17" s="68" t="s">
        <v>299</v>
      </c>
    </row>
    <row r="18" spans="2:3" x14ac:dyDescent="0.35">
      <c r="B18" s="67">
        <v>17</v>
      </c>
      <c r="C18" s="68" t="s">
        <v>300</v>
      </c>
    </row>
    <row r="19" spans="2:3" x14ac:dyDescent="0.35">
      <c r="B19" s="66">
        <v>18</v>
      </c>
      <c r="C19" s="58" t="s">
        <v>301</v>
      </c>
    </row>
    <row r="20" spans="2:3" x14ac:dyDescent="0.35">
      <c r="B20" s="67">
        <v>19</v>
      </c>
      <c r="C20" s="58"/>
    </row>
    <row r="21" spans="2:3" x14ac:dyDescent="0.35">
      <c r="B21" s="69">
        <v>20</v>
      </c>
      <c r="C21" s="58"/>
    </row>
    <row r="22" spans="2:3" x14ac:dyDescent="0.35">
      <c r="B22" s="58"/>
      <c r="C22" s="58"/>
    </row>
    <row r="23" spans="2:3" x14ac:dyDescent="0.35">
      <c r="B23" s="58"/>
      <c r="C23" s="58"/>
    </row>
    <row r="24" spans="2:3" x14ac:dyDescent="0.35">
      <c r="B24" s="58"/>
      <c r="C24" s="58"/>
    </row>
    <row r="25" spans="2:3" x14ac:dyDescent="0.35">
      <c r="B25" s="58"/>
      <c r="C25" s="58"/>
    </row>
    <row r="26" spans="2:3" x14ac:dyDescent="0.35">
      <c r="B26" s="58"/>
      <c r="C26" s="58"/>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2025-03-10T07:26:44Z</cp:lastPrinted>
  <dcterms:created xsi:type="dcterms:W3CDTF">2019-07-16T09:29:46Z</dcterms:created>
  <dcterms:modified xsi:type="dcterms:W3CDTF">2025-08-22T09:49:56Z</dcterms:modified>
</cp:coreProperties>
</file>