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Aug 25\AXIS\DUMP\"/>
    </mc:Choice>
  </mc:AlternateContent>
  <xr:revisionPtr revIDLastSave="0" documentId="13_ncr:1_{6B0C730B-EFF7-47D8-80DE-0B4BFCEF6B39}" xr6:coauthVersionLast="36" xr6:coauthVersionMax="36" xr10:uidLastSave="{00000000-0000-0000-0000-000000000000}"/>
  <bookViews>
    <workbookView xWindow="0" yWindow="0" windowWidth="20490" windowHeight="6825"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Report!$A$1:$H$290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l="1"/>
  <c r="I42" i="1"/>
  <c r="N112" i="1"/>
  <c r="I127" i="1"/>
  <c r="E140" i="1"/>
  <c r="D140" i="1"/>
  <c r="E139" i="1"/>
  <c r="D139" i="1"/>
  <c r="E137" i="1"/>
  <c r="D137" i="1"/>
  <c r="E136" i="1"/>
  <c r="D136" i="1"/>
  <c r="E135" i="1"/>
  <c r="D135" i="1"/>
  <c r="E133" i="1"/>
  <c r="E132" i="1"/>
  <c r="E131" i="1"/>
  <c r="E130" i="1"/>
  <c r="E129" i="1"/>
  <c r="E128" i="1"/>
  <c r="K128" i="1"/>
  <c r="J128" i="1"/>
  <c r="K114" i="1"/>
  <c r="J114" i="1"/>
  <c r="C78" i="1"/>
  <c r="C80" i="1" l="1"/>
  <c r="C79" i="1"/>
  <c r="D133" i="1"/>
  <c r="D132" i="1"/>
  <c r="D131" i="1"/>
  <c r="D130" i="1"/>
  <c r="D129" i="1"/>
  <c r="D128" i="1"/>
  <c r="C104" i="1" s="1"/>
  <c r="E119" i="1"/>
  <c r="D119" i="1"/>
  <c r="E118" i="1"/>
  <c r="D118" i="1"/>
  <c r="E117" i="1"/>
  <c r="D117" i="1"/>
  <c r="E116" i="1"/>
  <c r="D116" i="1"/>
  <c r="E115" i="1"/>
  <c r="D115" i="1"/>
  <c r="E114" i="1"/>
  <c r="D114" i="1"/>
  <c r="C101" i="1" s="1"/>
  <c r="I108" i="1"/>
  <c r="C105" i="1" l="1"/>
  <c r="F114" i="1"/>
  <c r="F140" i="1"/>
  <c r="H140" i="1" s="1"/>
  <c r="F139" i="1"/>
  <c r="H139" i="1" s="1"/>
  <c r="F137" i="1"/>
  <c r="H137" i="1" s="1"/>
  <c r="A136" i="1"/>
  <c r="A137" i="1" s="1"/>
  <c r="A138" i="1" s="1"/>
  <c r="A139" i="1" s="1"/>
  <c r="A140" i="1" s="1"/>
  <c r="F133" i="1"/>
  <c r="H133" i="1" s="1"/>
  <c r="F132" i="1"/>
  <c r="H132" i="1" s="1"/>
  <c r="H114" i="1" l="1"/>
  <c r="F135" i="1"/>
  <c r="H135" i="1" s="1"/>
  <c r="F136" i="1"/>
  <c r="H136" i="1" s="1"/>
  <c r="F119" i="1"/>
  <c r="H119" i="1" s="1"/>
  <c r="F118" i="1"/>
  <c r="H118" i="1" s="1"/>
  <c r="B38" i="6" l="1"/>
  <c r="B39" i="6" s="1"/>
  <c r="B40" i="6" s="1"/>
  <c r="B41" i="6" s="1"/>
  <c r="B42" i="6" s="1"/>
  <c r="B43" i="6" s="1"/>
  <c r="B44" i="6" s="1"/>
  <c r="B45" i="6" s="1"/>
  <c r="B46" i="6" s="1"/>
  <c r="B47" i="6" s="1"/>
  <c r="B48" i="6" s="1"/>
  <c r="B49"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67" i="1"/>
  <c r="B144" i="1"/>
  <c r="B143" i="1"/>
  <c r="F131" i="1"/>
  <c r="H131" i="1" s="1"/>
  <c r="F130" i="1"/>
  <c r="H130" i="1" s="1"/>
  <c r="F129" i="1"/>
  <c r="H129" i="1" s="1"/>
  <c r="A129" i="1"/>
  <c r="A130" i="1" s="1"/>
  <c r="A131" i="1" s="1"/>
  <c r="A132" i="1" s="1"/>
  <c r="A133" i="1" s="1"/>
  <c r="F128" i="1"/>
  <c r="F117" i="1"/>
  <c r="H117" i="1" s="1"/>
  <c r="F116" i="1"/>
  <c r="H116" i="1" s="1"/>
  <c r="F115" i="1"/>
  <c r="A115" i="1"/>
  <c r="A116" i="1" s="1"/>
  <c r="A117" i="1" s="1"/>
  <c r="A118" i="1" s="1"/>
  <c r="A119" i="1" s="1"/>
  <c r="C71" i="1"/>
  <c r="D65" i="1"/>
  <c r="K54" i="1"/>
  <c r="G51" i="1"/>
  <c r="C51" i="1"/>
  <c r="E44" i="1"/>
  <c r="E45" i="1" s="1"/>
  <c r="S33" i="1"/>
  <c r="E31" i="1"/>
  <c r="E28" i="1"/>
  <c r="E26" i="1"/>
  <c r="C16" i="1"/>
  <c r="I15" i="1"/>
  <c r="Z13" i="1"/>
  <c r="E8" i="1"/>
  <c r="E3" i="1"/>
  <c r="B152" i="1" s="1"/>
  <c r="H72" i="1"/>
  <c r="H115" i="1" l="1"/>
  <c r="G101" i="1" s="1"/>
  <c r="E101" i="1"/>
  <c r="E104" i="1"/>
  <c r="E42" i="7"/>
  <c r="H128" i="1"/>
  <c r="G104" i="1" s="1"/>
  <c r="J79" i="1"/>
  <c r="J80" i="1"/>
  <c r="I42" i="7"/>
  <c r="H42" i="7" s="1"/>
  <c r="L42" i="7"/>
  <c r="K42" i="7" s="1"/>
  <c r="D80" i="1"/>
  <c r="J74" i="1"/>
  <c r="D79" i="1"/>
  <c r="D84" i="1"/>
  <c r="D78" i="1"/>
  <c r="D83" i="1"/>
  <c r="D77" i="1"/>
  <c r="J76" i="1"/>
  <c r="C75" i="1" s="1"/>
  <c r="D82" i="1"/>
  <c r="D81" i="1"/>
  <c r="J75" i="1"/>
  <c r="J71" i="1"/>
  <c r="J73" i="1" s="1"/>
  <c r="D42" i="7"/>
  <c r="L54" i="1"/>
  <c r="J81" i="1"/>
  <c r="J82" i="1"/>
  <c r="I52" i="1"/>
  <c r="J77" i="1"/>
  <c r="J78" i="1" s="1"/>
  <c r="J83" i="1" s="1"/>
  <c r="J84" i="1" s="1"/>
  <c r="C76" i="1" s="1"/>
  <c r="E105" i="1" l="1"/>
  <c r="G105" i="1"/>
  <c r="D44" i="7"/>
  <c r="E44" i="7"/>
  <c r="E75" i="1"/>
  <c r="D76" i="1"/>
  <c r="G75" i="1"/>
  <c r="D69" i="1" s="1"/>
  <c r="D75" i="1"/>
  <c r="I72" i="1" l="1"/>
  <c r="I73" i="1" s="1"/>
  <c r="J72" i="1"/>
  <c r="D70" i="1"/>
  <c r="F70" i="1"/>
  <c r="I71" i="1" l="1"/>
  <c r="C7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D60"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1"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3"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<sst xmlns="http://schemas.openxmlformats.org/spreadsheetml/2006/main" count="628" uniqueCount="427">
  <si>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</si>
  <si>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</si>
  <si>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</si>
  <si>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</si>
  <si>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</si>
  <si>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</si>
  <si>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</si>
  <si>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</si>
  <si>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</si>
  <si>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</si>
  <si>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</si>
  <si>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</si>
  <si>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</si>
  <si>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</si>
  <si>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</si>
  <si>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</si>
  <si>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</si>
  <si>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</si>
  <si>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</si>
  <si>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</si>
  <si>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</si>
  <si>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</si>
  <si>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</si>
  <si>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</si>
  <si>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</si>
  <si>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</si>
  <si>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</si>
  <si>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</si>
  <si>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</si>
  <si>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</si>
  <si>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</si>
  <si>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</si>
  <si>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</si>
  <si>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</si>
  <si>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</si>
  <si>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</si>
  <si>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</si>
  <si>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</si>
  <si>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</si>
  <si>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</si>
  <si>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</si>
  <si>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</si>
  <si>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</si>
  <si>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</si>
  <si>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</si>
  <si>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</si>
  <si>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</si>
  <si>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</si>
  <si>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</si>
  <si>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</si>
  <si>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</si>
  <si>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</si>
  <si>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</si>
  <si>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</si>
  <si>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</si>
  <si>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</si>
  <si>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</si>
  <si>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</si>
  <si>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</si>
  <si>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</si>
  <si>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</si>
  <si>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</si>
  <si>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</si>
  <si>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</si>
  <si>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</si>
  <si>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</si>
  <si>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</si>
  <si>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</si>
  <si>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</si>
  <si>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</si>
  <si>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</si>
  <si>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</si>
  <si>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</si>
  <si>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</si>
  <si>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</si>
  <si>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</si>
  <si>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</si>
  <si>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</si>
  <si>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</si>
  <si>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</si>
  <si>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</si>
  <si>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</si>
  <si>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</si>
  <si>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</si>
  <si>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</si>
  <si>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</si>
  <si>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</si>
  <si>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</si>
  <si>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</si>
  <si>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</si>
  <si>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</si>
  <si>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</si>
  <si>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</si>
  <si>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</si>
  <si>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</si>
  <si>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</si>
  <si>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</si>
  <si>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</si>
  <si>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</si>
  <si>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</si>
  <si>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</si>
  <si>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</si>
  <si>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</si>
  <si>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</si>
  <si>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</si>
  <si>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</si>
  <si>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</si>
  <si>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</si>
  <si>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</si>
  <si>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</si>
  <si>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</si>
  <si>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</si>
  <si>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</si>
  <si>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</si>
  <si>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</si>
  <si>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</si>
  <si>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</si>
  <si>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</si>
  <si>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</si>
  <si>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</si>
  <si>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</si>
  <si>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</si>
  <si>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</si>
  <si>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</si>
  <si>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</si>
  <si>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</si>
  <si>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</si>
  <si>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</si>
  <si>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</si>
  <si>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</si>
  <si>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</si>
  <si>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</si>
  <si>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</si>
  <si>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</si>
  <si>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</si>
  <si>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</si>
  <si>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</si>
  <si>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</si>
  <si>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</si>
  <si>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</si>
  <si>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</si>
  <si>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</si>
  <si>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</si>
  <si>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</si>
  <si>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</si>
  <si>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</si>
  <si>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</si>
  <si>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</si>
  <si>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</si>
  <si>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</si>
  <si>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</si>
  <si>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</si>
  <si>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</si>
  <si>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</si>
  <si>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</si>
  <si>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</si>
  <si>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</si>
  <si>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</si>
  <si>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</si>
  <si>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</si>
  <si>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</si>
  <si>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</si>
  <si>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</si>
  <si>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</si>
  <si>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</si>
  <si>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</si>
  <si>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</si>
  <si>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</si>
  <si>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</si>
  <si>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</si>
  <si>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</si>
  <si>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</si>
  <si>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</si>
  <si>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</si>
  <si>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</si>
  <si>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</si>
  <si>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</si>
  <si>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</si>
  <si>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</si>
  <si>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</si>
  <si>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</si>
  <si>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</si>
  <si>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</si>
  <si>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</si>
  <si>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</si>
  <si>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</si>
  <si>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</si>
  <si>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</si>
  <si>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</si>
  <si>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</si>
  <si>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</si>
  <si>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</si>
  <si>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</si>
  <si>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</si>
  <si>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</si>
  <si>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</si>
  <si>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</si>
  <si>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</si>
  <si>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</si>
  <si>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</si>
  <si>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</si>
  <si>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</si>
  <si>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</si>
  <si>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</si>
  <si>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</si>
  <si>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</si>
  <si>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</si>
  <si>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</si>
  <si>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</si>
  <si>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</si>
  <si>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</si>
  <si>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</si>
  <si>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</si>
  <si>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</si>
  <si>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</si>
  <si>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</si>
  <si>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</si>
  <si>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</si>
  <si>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</si>
  <si>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</si>
  <si>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</si>
  <si>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</si>
  <si>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</si>
  <si>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</si>
  <si>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</si>
  <si>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</si>
  <si>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</si>
  <si>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</si>
  <si>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</si>
  <si>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</si>
  <si>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</si>
  <si>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</si>
  <si>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</si>
  <si>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</si>
  <si>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</si>
  <si>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</si>
  <si>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</si>
  <si>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</si>
  <si>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</si>
  <si>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</si>
  <si>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</si>
  <si>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</si>
  <si>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</si>
  <si>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</si>
  <si>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</si>
  <si>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</si>
  <si>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</si>
  <si>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</si>
  <si>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</si>
  <si>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</si>
  <si>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</si>
  <si>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</si>
  <si>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</si>
  <si>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</si>
  <si>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</si>
  <si>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</si>
  <si>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</si>
  <si>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</si>
  <si>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</si>
  <si>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</si>
  <si>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</si>
  <si>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</si>
  <si>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</si>
  <si>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</si>
  <si>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</si>
  <si>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</si>
  <si>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</si>
  <si>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</si>
  <si>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</si>
  <si>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</si>
  <si>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</si>
  <si>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</si>
  <si>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</si>
  <si>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</si>
  <si>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</si>
  <si>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</si>
  <si>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</si>
  <si>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</si>
  <si>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</si>
  <si>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</si>
  <si>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</si>
  <si>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</si>
  <si>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</si>
  <si>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</si>
  <si>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</si>
  <si>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</si>
  <si>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</si>
  <si>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</si>
  <si>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</si>
  <si>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</si>
  <si>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</si>
  <si>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</si>
  <si>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</si>
  <si>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</si>
  <si>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</si>
  <si>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</si>
  <si>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</si>
  <si>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</si>
  <si>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</si>
  <si>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</si>
  <si>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</si>
  <si>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</si>
  <si>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</si>
  <si>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</si>
  <si>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</si>
  <si>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</si>
  <si>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</si>
  <si>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</si>
  <si>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</si>
  <si>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</si>
  <si>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</si>
  <si>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</si>
  <si>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</si>
  <si>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</si>
  <si>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</si>
  <si>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</si>
  <si>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</si>
  <si>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</si>
  <si>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</si>
  <si>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</si>
  <si>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</si>
  <si>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</si>
  <si>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</si>
  <si>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</si>
  <si>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</si>
  <si>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</si>
  <si>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</si>
  <si>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</si>
  <si>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</si>
  <si>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</si>
  <si>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</si>
  <si>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</si>
  <si>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</si>
  <si>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</si>
  <si>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</si>
  <si>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</si>
  <si>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</si>
  <si>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</si>
  <si>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</si>
  <si>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</si>
  <si>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</si>
  <si>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</si>
  <si>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</si>
  <si>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</si>
  <si>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</si>
  <si>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</si>
  <si>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</si>
  <si>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</si>
  <si>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</si>
  <si>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</si>
  <si>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</si>
  <si>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</si>
  <si>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</si>
  <si>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</si>
  <si>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</si>
  <si>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</si>
  <si>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</si>
  <si>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</si>
  <si>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</si>
  <si>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P51700077484</t>
  </si>
  <si>
    <t>Dosti West County ­ Phase 5 ­ Dosti Olive ­ Wing A</t>
  </si>
  <si>
    <t>Survey No</t>
  </si>
  <si>
    <t>Dosti West County Road</t>
  </si>
  <si>
    <t>Thane West</t>
  </si>
  <si>
    <t>Balkum</t>
  </si>
  <si>
    <t>5.90KM from Thane
Railway Station</t>
  </si>
  <si>
    <t>19.226247,72.993446</t>
  </si>
  <si>
    <t>https://maps.app.goo.gl/DNBvnfWXx5wS9NMH9</t>
  </si>
  <si>
    <t>Building No. 10</t>
  </si>
  <si>
    <t>Building No. 19</t>
  </si>
  <si>
    <t>Building No. 17, 18</t>
  </si>
  <si>
    <t>30.00M. Wide Road</t>
  </si>
  <si>
    <t xml:space="preserve">Dosti West County Road 
</t>
  </si>
  <si>
    <t>S05/0006/08 TMC/TD-DP/TPS/4472/23</t>
  </si>
  <si>
    <t>S05/0006/08/ TMC/TDD/4472/23</t>
  </si>
  <si>
    <t>Building No. 9 = Basement + Gr -Mezz. (Pt) (Commercial)/Stilt (Pt) + Podium + 1st to 5th Floor</t>
  </si>
  <si>
    <t>TMC/CFO/M/HR/162/161</t>
  </si>
  <si>
    <t>B + Gr/Stilt + Mezzanine + Podium + 1st to 10th Floor (Height 39.40Mtrs)</t>
  </si>
  <si>
    <t>Shop</t>
  </si>
  <si>
    <t xml:space="preserve">Open Party Lawn, Jogging Track, Senior Citizen's Area,
Reflexology pathway, Outdoor Activity Lawn, Swimming Pool,
Kids Play Area, Seating Promenade, Basketball Court, Cricket
pitch, Spa, Reading Room, Yoga/Aerobics Room, Indoor games,
etc.
</t>
  </si>
  <si>
    <r>
      <t xml:space="preserve">Proposed Amenities :                                                                                                                                                                                                                         </t>
    </r>
    <r>
      <rPr>
        <b/>
        <sz val="12"/>
        <rFont val="Times New Roman"/>
        <family val="1"/>
      </rPr>
      <t xml:space="preserve">                                               </t>
    </r>
  </si>
  <si>
    <t>Attached Mezzanine area</t>
  </si>
  <si>
    <t>Dosti Olive Wing A</t>
  </si>
  <si>
    <t>Basement Floor For Parking</t>
  </si>
  <si>
    <t>Podium Floor For Parking</t>
  </si>
  <si>
    <t>3BHK</t>
  </si>
  <si>
    <t>2BHK</t>
  </si>
  <si>
    <t>1.5BHK</t>
  </si>
  <si>
    <t>6th, 11th, 16th, 21st, 26th &amp; 31st Floor For Residential (Part Refuge Area)</t>
  </si>
  <si>
    <t>Refuge Area</t>
  </si>
  <si>
    <t>M/s. Dosti Enterprises</t>
  </si>
  <si>
    <t>Dosti Oak</t>
  </si>
  <si>
    <r>
      <t xml:space="preserve">Shop No.
</t>
    </r>
    <r>
      <rPr>
        <b/>
        <sz val="11"/>
        <rFont val="Times New Roman"/>
        <family val="1"/>
      </rPr>
      <t>(Approved Plan)</t>
    </r>
  </si>
  <si>
    <r>
      <t xml:space="preserve">Flat No.
</t>
    </r>
    <r>
      <rPr>
        <b/>
        <sz val="11"/>
        <rFont val="Times New Roman"/>
        <family val="1"/>
      </rPr>
      <t>(Approved Plan)</t>
    </r>
  </si>
  <si>
    <t>As per RERA - 30/09/2028</t>
  </si>
  <si>
    <t>Mr. Ajay Songare</t>
  </si>
  <si>
    <t xml:space="preserve">Dosti Olive Wing A Building No. 9  </t>
  </si>
  <si>
    <t>Mr. Sandeep Jha 8097547099</t>
  </si>
  <si>
    <t>Kolshet</t>
  </si>
  <si>
    <t>16/10/A/1(pt), 16/9/A(pt), 16/8/A(pt), 16/5(pt), 16/3(pt), 18/8(pt)</t>
  </si>
  <si>
    <t xml:space="preserve"> Dosti Pine &amp; Oak</t>
  </si>
  <si>
    <t>Sales Office</t>
  </si>
  <si>
    <t xml:space="preserve">16/10/A/1(pt), 16/9/A(pt), 16/8/A(pt), 16/5(pt), 16/3(pt), 18/8(pt)
</t>
  </si>
  <si>
    <t>Building No. 9 Wing A = 1B + G + 1 Podium + 1st to 33rd Floor</t>
  </si>
  <si>
    <t>Building No. 09</t>
  </si>
  <si>
    <t>Ground Floor For Commercial, Entrance Lobby, Drivers Room,
Panel Room, Fire Control Room, Society office, Meter Room &amp; Parking</t>
  </si>
  <si>
    <t>Flats</t>
  </si>
  <si>
    <t xml:space="preserve">1st to 5th, 7th to 10th, 12th to 15th, 17th to 20th, 22nd to 25th, 
27th to 30th, 32nd &amp; 33rd Floor For Residential </t>
  </si>
  <si>
    <t>We considered Gross carpet area = Net carpet + Balcony.</t>
  </si>
  <si>
    <t>Balcony Area</t>
  </si>
  <si>
    <t>Flats - 192, Shops - 6</t>
  </si>
  <si>
    <t>Ministry of Environment, Forest and
Climate Change
IA/MH/MIS/67197/2017</t>
  </si>
  <si>
    <t>Approved area of building Wing A (Sq.Mt)</t>
  </si>
  <si>
    <t>Approved Plans, CC, Sale Plans, Builder Saleable Area, Cost Sheet, Fire NOC &amp; EC.</t>
  </si>
  <si>
    <t xml:space="preserve"> Dosti  OliveWing B Rate</t>
  </si>
  <si>
    <t>As per Rera &amp; Title Report</t>
  </si>
  <si>
    <t>Mezzanine Floor (Attached with Ground Floor Shops)</t>
  </si>
  <si>
    <t>Recommended rate of the Flat Per Sq. Ft. (Only for 3BHK)</t>
  </si>
  <si>
    <t>Recommended rate of the Flat Per Sq. Ft. (Only for 2BHK)</t>
  </si>
  <si>
    <t>Other Charges</t>
  </si>
  <si>
    <t>Other Charges &amp; Spl rate for 3bhk</t>
  </si>
  <si>
    <t xml:space="preserve">viraj </t>
  </si>
  <si>
    <t>verbal n cost sheet</t>
  </si>
  <si>
    <t>Recommended Rates/Other Charges of the Property have been revised on 24/05/2025</t>
  </si>
  <si>
    <t>Construction work goes beyond permissible floor. Please provide revised CC.</t>
  </si>
  <si>
    <t>Construction work is in process at the time of Visit. Internal visit was not allowed.</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</si>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</sst>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1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28" fillId="0" borderId="0" xfId="1" applyFont="1"/>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6" fillId="0" borderId="1" xfId="1" applyNumberFormat="1" applyFont="1" applyBorder="1" applyAlignment="1">
      <alignment horizont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2" fontId="6" fillId="0" borderId="0" xfId="1" applyNumberFormat="1" applyFont="1"/>
    <xf numFmtId="1" fontId="5" fillId="0" borderId="1" xfId="0" applyNumberFormat="1" applyFont="1" applyBorder="1" applyAlignment="1" applyProtection="1">
      <alignment horizontal="center" vertical="center" wrapText="1"/>
      <protection locked="0"/>
    </xf>
    <xf numFmtId="14" fontId="28" fillId="0" borderId="0" xfId="1" applyNumberFormat="1" applyFont="1"/>
    <xf numFmtId="14" fontId="14" fillId="0" borderId="0" xfId="1" applyNumberFormat="1" applyFont="1"/>
    <xf numFmtId="1" fontId="11" fillId="0" borderId="1" xfId="1"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11" fillId="0" borderId="8" xfId="1" applyFont="1" applyBorder="1" applyAlignment="1" applyProtection="1">
      <alignment horizontal="center" vertical="top" wrapText="1"/>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wrapText="1"/>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7" fillId="0" borderId="21"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0</xdr:col>
      <xdr:colOff>238125</xdr:colOff>
      <xdr:row>208</xdr:row>
      <xdr:rowOff>95250</xdr:rowOff>
    </xdr:from>
    <xdr:to>
      <xdr:col>7</xdr:col>
      <xdr:colOff>447675</xdr:colOff>
      <xdr:row>234</xdr:row>
      <xdr:rowOff>47625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238125" y="45034200"/>
          <a:ext cx="5791200" cy="5153025"/>
          <a:chOff x="189781" y="1380227"/>
          <a:chExt cx="5791200" cy="5153025"/>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b="369"/>
          <a:stretch/>
        </xdr:blipFill>
        <xdr:spPr>
          <a:xfrm>
            <a:off x="189781" y="1380227"/>
            <a:ext cx="5791200" cy="5153025"/>
          </a:xfrm>
          <a:prstGeom prst="rect">
            <a:avLst/>
          </a:prstGeom>
          <a:ln>
            <a:solidFill>
              <a:schemeClr val="tx1"/>
            </a:solidFill>
          </a:ln>
        </xdr:spPr>
      </xdr:pic>
      <xdr:sp macro="" textlink="">
        <xdr:nvSpPr>
          <xdr:cNvPr id="4" name="Rectangle 3">
            <a:extLst>
              <a:ext uri="{FF2B5EF4-FFF2-40B4-BE49-F238E27FC236}">
                <a16:creationId xmlns:a16="http://schemas.microsoft.com/office/drawing/2014/main" id="{00000000-0008-0000-0000-000004000000}"/>
              </a:ext>
            </a:extLst>
          </xdr:cNvPr>
          <xdr:cNvSpPr/>
        </xdr:nvSpPr>
        <xdr:spPr>
          <a:xfrm>
            <a:off x="1247056" y="3736077"/>
            <a:ext cx="488950" cy="628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 name="TextBox 21">
            <a:extLst>
              <a:ext uri="{FF2B5EF4-FFF2-40B4-BE49-F238E27FC236}">
                <a16:creationId xmlns:a16="http://schemas.microsoft.com/office/drawing/2014/main" id="{00000000-0008-0000-0000-000005000000}"/>
              </a:ext>
            </a:extLst>
          </xdr:cNvPr>
          <xdr:cNvSpPr txBox="1"/>
        </xdr:nvSpPr>
        <xdr:spPr>
          <a:xfrm>
            <a:off x="369354" y="3366745"/>
            <a:ext cx="24096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Building No. 9 (Wing A)</a:t>
            </a:r>
            <a:endParaRPr lang="en-IN" b="1">
              <a:solidFill>
                <a:srgbClr val="FF0000"/>
              </a:solidFill>
            </a:endParaRPr>
          </a:p>
        </xdr:txBody>
      </xdr:sp>
    </xdr:grpSp>
    <xdr:clientData/>
  </xdr:twoCellAnchor>
  <xdr:twoCellAnchor>
    <xdr:from>
      <xdr:col>1</xdr:col>
      <xdr:colOff>112395</xdr:colOff>
      <xdr:row>250</xdr:row>
      <xdr:rowOff>9527</xdr:rowOff>
    </xdr:from>
    <xdr:to>
      <xdr:col>6</xdr:col>
      <xdr:colOff>670560</xdr:colOff>
      <xdr:row>288</xdr:row>
      <xdr:rowOff>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74395" y="53349527"/>
          <a:ext cx="4644390" cy="7591424"/>
          <a:chOff x="964060" y="0"/>
          <a:chExt cx="4680000" cy="8440725"/>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964060" y="4480725"/>
            <a:ext cx="4680000" cy="3960000"/>
            <a:chOff x="-379563" y="0"/>
            <a:chExt cx="7539488" cy="5141343"/>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srcRect l="22718" t="18632" r="19336" b="11085"/>
            <a:stretch/>
          </xdr:blipFill>
          <xdr:spPr>
            <a:xfrm>
              <a:off x="-379563" y="0"/>
              <a:ext cx="7539488" cy="5141343"/>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00000000-0008-0000-0000-00000A000000}"/>
                </a:ext>
              </a:extLst>
            </xdr:cNvPr>
            <xdr:cNvSpPr/>
          </xdr:nvSpPr>
          <xdr:spPr>
            <a:xfrm rot="2144010">
              <a:off x="1981655" y="3020593"/>
              <a:ext cx="722579" cy="523159"/>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screen"/>
          <a:srcRect/>
          <a:stretch>
            <a:fillRect/>
          </a:stretch>
        </xdr:blipFill>
        <xdr:spPr>
          <a:xfrm>
            <a:off x="964060" y="0"/>
            <a:ext cx="4680000" cy="4330158"/>
          </a:xfrm>
          <a:prstGeom prst="rect">
            <a:avLst/>
          </a:prstGeom>
          <a:ln>
            <a:solidFill>
              <a:schemeClr val="tx1"/>
            </a:solidFill>
          </a:ln>
        </xdr:spPr>
      </xdr:pic>
    </xdr:grpSp>
    <xdr:clientData/>
  </xdr:twoCellAnchor>
  <xdr:twoCellAnchor editAs="oneCell">
    <xdr:from>
      <xdr:col>11</xdr:col>
      <xdr:colOff>114300</xdr:colOff>
      <xdr:row>120</xdr:row>
      <xdr:rowOff>13335</xdr:rowOff>
    </xdr:from>
    <xdr:to>
      <xdr:col>16</xdr:col>
      <xdr:colOff>452830</xdr:colOff>
      <xdr:row>139</xdr:row>
      <xdr:rowOff>180399</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9357360" y="26012775"/>
          <a:ext cx="4598110" cy="4563804"/>
        </a:xfrm>
        <a:prstGeom prst="rect">
          <a:avLst/>
        </a:prstGeom>
      </xdr:spPr>
    </xdr:pic>
    <xdr:clientData/>
  </xdr:twoCellAnchor>
  <xdr:twoCellAnchor editAs="oneCell">
    <xdr:from>
      <xdr:col>8</xdr:col>
      <xdr:colOff>708660</xdr:colOff>
      <xdr:row>53</xdr:row>
      <xdr:rowOff>68580</xdr:rowOff>
    </xdr:from>
    <xdr:to>
      <xdr:col>11</xdr:col>
      <xdr:colOff>830220</xdr:colOff>
      <xdr:row>57</xdr:row>
      <xdr:rowOff>90867</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a:stretch>
          <a:fillRect/>
        </a:stretch>
      </xdr:blipFill>
      <xdr:spPr>
        <a:xfrm>
          <a:off x="7193280" y="12489180"/>
          <a:ext cx="2880000" cy="1256727"/>
        </a:xfrm>
        <a:prstGeom prst="rect">
          <a:avLst/>
        </a:prstGeom>
      </xdr:spPr>
    </xdr:pic>
    <xdr:clientData/>
  </xdr:twoCellAnchor>
  <xdr:twoCellAnchor editAs="oneCell">
    <xdr:from>
      <xdr:col>8</xdr:col>
      <xdr:colOff>701040</xdr:colOff>
      <xdr:row>51</xdr:row>
      <xdr:rowOff>137161</xdr:rowOff>
    </xdr:from>
    <xdr:to>
      <xdr:col>11</xdr:col>
      <xdr:colOff>822600</xdr:colOff>
      <xdr:row>52</xdr:row>
      <xdr:rowOff>421170</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185660" y="11932921"/>
          <a:ext cx="2880000" cy="482129"/>
        </a:xfrm>
        <a:prstGeom prst="rect">
          <a:avLst/>
        </a:prstGeom>
      </xdr:spPr>
    </xdr:pic>
    <xdr:clientData/>
  </xdr:twoCellAnchor>
  <xdr:twoCellAnchor editAs="oneCell">
    <xdr:from>
      <xdr:col>8</xdr:col>
      <xdr:colOff>594360</xdr:colOff>
      <xdr:row>42</xdr:row>
      <xdr:rowOff>121920</xdr:rowOff>
    </xdr:from>
    <xdr:to>
      <xdr:col>11</xdr:col>
      <xdr:colOff>715920</xdr:colOff>
      <xdr:row>51</xdr:row>
      <xdr:rowOff>7777</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7078980" y="9906000"/>
          <a:ext cx="2880000" cy="1897537"/>
        </a:xfrm>
        <a:prstGeom prst="rect">
          <a:avLst/>
        </a:prstGeom>
      </xdr:spPr>
    </xdr:pic>
    <xdr:clientData/>
  </xdr:twoCellAnchor>
  <xdr:twoCellAnchor editAs="oneCell">
    <xdr:from>
      <xdr:col>11</xdr:col>
      <xdr:colOff>57150</xdr:colOff>
      <xdr:row>49</xdr:row>
      <xdr:rowOff>104776</xdr:rowOff>
    </xdr:from>
    <xdr:to>
      <xdr:col>15</xdr:col>
      <xdr:colOff>178620</xdr:colOff>
      <xdr:row>54</xdr:row>
      <xdr:rowOff>64435</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tretch>
          <a:fillRect/>
        </a:stretch>
      </xdr:blipFill>
      <xdr:spPr>
        <a:xfrm>
          <a:off x="9048750" y="11601451"/>
          <a:ext cx="3483795" cy="1188384"/>
        </a:xfrm>
        <a:prstGeom prst="rect">
          <a:avLst/>
        </a:prstGeom>
      </xdr:spPr>
    </xdr:pic>
    <xdr:clientData/>
  </xdr:twoCellAnchor>
  <xdr:twoCellAnchor>
    <xdr:from>
      <xdr:col>8</xdr:col>
      <xdr:colOff>476250</xdr:colOff>
      <xdr:row>169</xdr:row>
      <xdr:rowOff>95250</xdr:rowOff>
    </xdr:from>
    <xdr:to>
      <xdr:col>15</xdr:col>
      <xdr:colOff>201827</xdr:colOff>
      <xdr:row>201</xdr:row>
      <xdr:rowOff>157161</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6791325" y="37242750"/>
          <a:ext cx="5764427" cy="6453186"/>
          <a:chOff x="285750" y="36585525"/>
          <a:chExt cx="5764427" cy="6453186"/>
        </a:xfrm>
      </xdr:grpSpPr>
      <xdr:grpSp>
        <xdr:nvGrpSpPr>
          <xdr:cNvPr id="12" name="Group 11">
            <a:extLst>
              <a:ext uri="{FF2B5EF4-FFF2-40B4-BE49-F238E27FC236}">
                <a16:creationId xmlns:a16="http://schemas.microsoft.com/office/drawing/2014/main" id="{00000000-0008-0000-0000-00000C000000}"/>
              </a:ext>
            </a:extLst>
          </xdr:cNvPr>
          <xdr:cNvGrpSpPr/>
        </xdr:nvGrpSpPr>
        <xdr:grpSpPr>
          <a:xfrm>
            <a:off x="285750" y="36585525"/>
            <a:ext cx="5764427" cy="6453186"/>
            <a:chOff x="285750" y="36385500"/>
            <a:chExt cx="5764427" cy="6453186"/>
          </a:xfrm>
        </xdr:grpSpPr>
        <xdr:pic>
          <xdr:nvPicPr>
            <xdr:cNvPr id="38" name="Picture 37" descr="https://vsjcllp.vsjadon.com/upload/insp-235765-1525.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952875" y="40252649"/>
              <a:ext cx="1933940"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5765-845.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09925" y="36385500"/>
              <a:ext cx="2840252" cy="3790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5765-847.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85750" y="36385500"/>
              <a:ext cx="2840252" cy="3790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5765-849.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38150" y="40257411"/>
              <a:ext cx="3438513" cy="2581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23901" y="36595049"/>
            <a:ext cx="800100"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No.</a:t>
            </a:r>
            <a:r>
              <a:rPr lang="en-IN" sz="1100" b="1" baseline="0"/>
              <a:t> 9 </a:t>
            </a:r>
          </a:p>
          <a:p>
            <a:r>
              <a:rPr lang="en-IN" sz="1100" b="1" baseline="0"/>
              <a:t>Wing A</a:t>
            </a:r>
            <a:endParaRPr lang="en-IN" sz="1100" b="1"/>
          </a:p>
        </xdr:txBody>
      </xdr:sp>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3724275" y="36623625"/>
            <a:ext cx="800100"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No.</a:t>
            </a:r>
            <a:r>
              <a:rPr lang="en-IN" sz="1100" b="1" baseline="0"/>
              <a:t> 9 </a:t>
            </a:r>
          </a:p>
          <a:p>
            <a:r>
              <a:rPr lang="en-IN" sz="1100" b="1" baseline="0"/>
              <a:t>Wing A</a:t>
            </a:r>
            <a:endParaRPr lang="en-IN" sz="1100" b="1"/>
          </a:p>
        </xdr:txBody>
      </xdr:sp>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4133850" y="37033200"/>
            <a:ext cx="104776" cy="4381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447675</xdr:colOff>
      <xdr:row>168</xdr:row>
      <xdr:rowOff>47625</xdr:rowOff>
    </xdr:from>
    <xdr:to>
      <xdr:col>6</xdr:col>
      <xdr:colOff>698402</xdr:colOff>
      <xdr:row>196</xdr:row>
      <xdr:rowOff>120387</xdr:rowOff>
    </xdr:to>
    <xdr:grpSp>
      <xdr:nvGrpSpPr>
        <xdr:cNvPr id="25" name="Group 24">
          <a:extLst>
            <a:ext uri="{FF2B5EF4-FFF2-40B4-BE49-F238E27FC236}">
              <a16:creationId xmlns:a16="http://schemas.microsoft.com/office/drawing/2014/main" id="{5E472243-9A9E-4CE9-993A-6327C59E29A2}"/>
            </a:ext>
          </a:extLst>
        </xdr:cNvPr>
        <xdr:cNvGrpSpPr/>
      </xdr:nvGrpSpPr>
      <xdr:grpSpPr>
        <a:xfrm>
          <a:off x="447675" y="36995100"/>
          <a:ext cx="5098952" cy="5663937"/>
          <a:chOff x="757517" y="286870"/>
          <a:chExt cx="5098952" cy="5663937"/>
        </a:xfrm>
      </xdr:grpSpPr>
      <xdr:pic>
        <xdr:nvPicPr>
          <xdr:cNvPr id="26" name="Picture 25">
            <a:extLst>
              <a:ext uri="{FF2B5EF4-FFF2-40B4-BE49-F238E27FC236}">
                <a16:creationId xmlns:a16="http://schemas.microsoft.com/office/drawing/2014/main" id="{272AA5F9-B7AB-4E97-AAAA-C27A0A0DDD6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757517" y="286870"/>
            <a:ext cx="2427469" cy="3240000"/>
          </a:xfrm>
          <a:prstGeom prst="rect">
            <a:avLst/>
          </a:prstGeom>
          <a:ln>
            <a:solidFill>
              <a:schemeClr val="tx1"/>
            </a:solidFill>
          </a:ln>
        </xdr:spPr>
      </xdr:pic>
      <xdr:pic>
        <xdr:nvPicPr>
          <xdr:cNvPr id="27" name="Picture 26">
            <a:extLst>
              <a:ext uri="{FF2B5EF4-FFF2-40B4-BE49-F238E27FC236}">
                <a16:creationId xmlns:a16="http://schemas.microsoft.com/office/drawing/2014/main" id="{3F9F1C0D-A602-48D6-9E9F-2C5E9F86F511}"/>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29000" y="286870"/>
            <a:ext cx="2427469" cy="3240000"/>
          </a:xfrm>
          <a:prstGeom prst="rect">
            <a:avLst/>
          </a:prstGeom>
          <a:ln>
            <a:solidFill>
              <a:schemeClr val="tx1"/>
            </a:solidFill>
          </a:ln>
        </xdr:spPr>
      </xdr:pic>
      <xdr:pic>
        <xdr:nvPicPr>
          <xdr:cNvPr id="28" name="Picture 27">
            <a:extLst>
              <a:ext uri="{FF2B5EF4-FFF2-40B4-BE49-F238E27FC236}">
                <a16:creationId xmlns:a16="http://schemas.microsoft.com/office/drawing/2014/main" id="{3F9DFCD9-F2C9-4F44-8C30-7A255899619E}"/>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950260" y="3790807"/>
            <a:ext cx="287733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340F3442-7775-4BA5-ACF2-507BF669B6C8}"/>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4019760" y="3790807"/>
            <a:ext cx="1618312" cy="2160000"/>
          </a:xfrm>
          <a:prstGeom prst="rect">
            <a:avLst/>
          </a:prstGeom>
          <a:ln>
            <a:solidFill>
              <a:schemeClr val="tx1"/>
            </a:solidFill>
          </a:ln>
        </xdr:spPr>
      </xdr:pic>
    </xdr:grpSp>
    <xdr:clientData/>
  </xdr:twoCellAnchor>
  <xdr:twoCellAnchor>
    <xdr:from>
      <xdr:col>1</xdr:col>
      <xdr:colOff>219075</xdr:colOff>
      <xdr:row>168</xdr:row>
      <xdr:rowOff>104775</xdr:rowOff>
    </xdr:from>
    <xdr:to>
      <xdr:col>2</xdr:col>
      <xdr:colOff>219075</xdr:colOff>
      <xdr:row>170</xdr:row>
      <xdr:rowOff>171451</xdr:rowOff>
    </xdr:to>
    <xdr:sp macro="" textlink="">
      <xdr:nvSpPr>
        <xdr:cNvPr id="30" name="TextBox 29">
          <a:extLst>
            <a:ext uri="{FF2B5EF4-FFF2-40B4-BE49-F238E27FC236}">
              <a16:creationId xmlns:a16="http://schemas.microsoft.com/office/drawing/2014/main" id="{98614884-9C00-46ED-877C-BD4C714CA369}"/>
            </a:ext>
          </a:extLst>
        </xdr:cNvPr>
        <xdr:cNvSpPr txBox="1"/>
      </xdr:nvSpPr>
      <xdr:spPr>
        <a:xfrm rot="20457041">
          <a:off x="981075" y="36823650"/>
          <a:ext cx="800100"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No.</a:t>
          </a:r>
          <a:r>
            <a:rPr lang="en-IN" sz="1100" b="1" baseline="0"/>
            <a:t> 9 </a:t>
          </a:r>
        </a:p>
        <a:p>
          <a:r>
            <a:rPr lang="en-IN" sz="1100" b="1" baseline="0"/>
            <a:t>Wing A</a:t>
          </a:r>
          <a:endParaRPr lang="en-IN" sz="1100" b="1"/>
        </a:p>
      </xdr:txBody>
    </xdr:sp>
    <xdr:clientData/>
  </xdr:twoCellAnchor>
  <xdr:twoCellAnchor>
    <xdr:from>
      <xdr:col>3</xdr:col>
      <xdr:colOff>638175</xdr:colOff>
      <xdr:row>168</xdr:row>
      <xdr:rowOff>9525</xdr:rowOff>
    </xdr:from>
    <xdr:to>
      <xdr:col>4</xdr:col>
      <xdr:colOff>523875</xdr:colOff>
      <xdr:row>170</xdr:row>
      <xdr:rowOff>76201</xdr:rowOff>
    </xdr:to>
    <xdr:sp macro="" textlink="">
      <xdr:nvSpPr>
        <xdr:cNvPr id="31" name="TextBox 30">
          <a:extLst>
            <a:ext uri="{FF2B5EF4-FFF2-40B4-BE49-F238E27FC236}">
              <a16:creationId xmlns:a16="http://schemas.microsoft.com/office/drawing/2014/main" id="{2CAADECA-16DD-4A44-BC45-435D248F79FB}"/>
            </a:ext>
          </a:extLst>
        </xdr:cNvPr>
        <xdr:cNvSpPr txBox="1"/>
      </xdr:nvSpPr>
      <xdr:spPr>
        <a:xfrm>
          <a:off x="3048000" y="36728400"/>
          <a:ext cx="800100"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Bldg No.</a:t>
          </a:r>
          <a:r>
            <a:rPr lang="en-IN" sz="1100" b="1" baseline="0"/>
            <a:t> 9 </a:t>
          </a:r>
        </a:p>
        <a:p>
          <a:r>
            <a:rPr lang="en-IN" sz="1100" b="1" baseline="0"/>
            <a:t>Wing A</a:t>
          </a:r>
          <a:endParaRPr lang="en-IN" sz="1100" b="1"/>
        </a:p>
      </xdr:txBody>
    </xdr:sp>
    <xdr:clientData/>
  </xdr:twoCellAnchor>
  <xdr:twoCellAnchor>
    <xdr:from>
      <xdr:col>4</xdr:col>
      <xdr:colOff>47625</xdr:colOff>
      <xdr:row>170</xdr:row>
      <xdr:rowOff>28575</xdr:rowOff>
    </xdr:from>
    <xdr:to>
      <xdr:col>4</xdr:col>
      <xdr:colOff>133350</xdr:colOff>
      <xdr:row>172</xdr:row>
      <xdr:rowOff>104775</xdr:rowOff>
    </xdr:to>
    <xdr:cxnSp macro="">
      <xdr:nvCxnSpPr>
        <xdr:cNvPr id="32" name="Straight Arrow Connector 31">
          <a:extLst>
            <a:ext uri="{FF2B5EF4-FFF2-40B4-BE49-F238E27FC236}">
              <a16:creationId xmlns:a16="http://schemas.microsoft.com/office/drawing/2014/main" id="{263605FE-7CF5-413B-A25F-8B06BF5229E1}"/>
            </a:ext>
          </a:extLst>
        </xdr:cNvPr>
        <xdr:cNvCxnSpPr/>
      </xdr:nvCxnSpPr>
      <xdr:spPr>
        <a:xfrm flipH="1">
          <a:off x="3371850" y="37137975"/>
          <a:ext cx="85725" cy="47625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NBvnfWXx5wS9NMH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49"/>
  <sheetViews>
    <sheetView tabSelected="1" view="pageBreakPreview" zoomScaleNormal="100" zoomScaleSheetLayoutView="100" zoomScalePageLayoutView="85" workbookViewId="0">
      <selection activeCell="J13" sqref="J13"/>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1.285156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79" t="s">
        <v>156</v>
      </c>
      <c r="B1" s="179"/>
      <c r="C1" s="179"/>
      <c r="D1" s="179"/>
      <c r="E1" s="179"/>
      <c r="F1" s="179"/>
      <c r="G1" s="179"/>
      <c r="H1" s="179"/>
    </row>
    <row r="2" spans="1:26" ht="16.5" customHeight="1" x14ac:dyDescent="0.25">
      <c r="A2" s="180" t="s">
        <v>0</v>
      </c>
      <c r="B2" s="180"/>
      <c r="C2" s="180"/>
      <c r="D2" s="180"/>
      <c r="E2" s="180"/>
      <c r="F2" s="180"/>
      <c r="G2" s="180"/>
      <c r="H2" s="180"/>
    </row>
    <row r="3" spans="1:26" x14ac:dyDescent="0.25">
      <c r="A3" s="150" t="s">
        <v>1</v>
      </c>
      <c r="B3" s="150"/>
      <c r="C3" s="150"/>
      <c r="D3" s="150"/>
      <c r="E3" s="150" t="str">
        <f ca="1">TEXT(TODAY(),"DD/MM/YYYY")</f>
        <v>11/08/2025</v>
      </c>
      <c r="F3" s="150"/>
      <c r="G3" s="150"/>
      <c r="H3" s="150"/>
      <c r="K3" s="49" t="s">
        <v>227</v>
      </c>
      <c r="L3" s="48" t="s">
        <v>225</v>
      </c>
      <c r="M3" s="48" t="s">
        <v>230</v>
      </c>
      <c r="N3" s="48" t="s">
        <v>228</v>
      </c>
      <c r="O3" s="48" t="s">
        <v>343</v>
      </c>
      <c r="P3" s="48" t="s">
        <v>231</v>
      </c>
    </row>
    <row r="4" spans="1:26" ht="15" customHeight="1" x14ac:dyDescent="0.25">
      <c r="A4" s="150" t="s">
        <v>224</v>
      </c>
      <c r="B4" s="150"/>
      <c r="C4" s="150"/>
      <c r="D4" s="150"/>
      <c r="E4" s="150" t="s">
        <v>225</v>
      </c>
      <c r="F4" s="150"/>
      <c r="G4" s="150"/>
      <c r="H4" s="150"/>
      <c r="K4" s="47" t="s">
        <v>226</v>
      </c>
      <c r="L4" s="48" t="s">
        <v>162</v>
      </c>
      <c r="M4" s="48" t="s">
        <v>235</v>
      </c>
      <c r="N4" s="48" t="s">
        <v>237</v>
      </c>
      <c r="O4" s="48" t="s">
        <v>331</v>
      </c>
      <c r="P4" s="48"/>
    </row>
    <row r="5" spans="1:26" ht="15" customHeight="1" x14ac:dyDescent="0.25">
      <c r="A5" s="150" t="s">
        <v>2</v>
      </c>
      <c r="B5" s="150"/>
      <c r="C5" s="150"/>
      <c r="D5" s="150"/>
      <c r="E5" s="150" t="s">
        <v>232</v>
      </c>
      <c r="F5" s="150"/>
      <c r="G5" s="150"/>
      <c r="H5" s="150"/>
      <c r="K5" s="47"/>
      <c r="L5" s="48" t="s">
        <v>232</v>
      </c>
      <c r="M5" s="48" t="s">
        <v>236</v>
      </c>
      <c r="N5" s="48" t="s">
        <v>238</v>
      </c>
      <c r="O5" s="48" t="s">
        <v>332</v>
      </c>
      <c r="P5" s="48"/>
    </row>
    <row r="6" spans="1:26" x14ac:dyDescent="0.25">
      <c r="A6" s="150" t="s">
        <v>3</v>
      </c>
      <c r="B6" s="150"/>
      <c r="C6" s="150"/>
      <c r="D6" s="150"/>
      <c r="E6" s="182">
        <v>45878</v>
      </c>
      <c r="F6" s="150"/>
      <c r="G6" s="150"/>
      <c r="H6" s="150"/>
      <c r="K6" s="47"/>
      <c r="L6" s="48" t="s">
        <v>233</v>
      </c>
      <c r="M6" s="48" t="s">
        <v>341</v>
      </c>
      <c r="N6" s="48"/>
      <c r="O6" s="48" t="s">
        <v>333</v>
      </c>
      <c r="P6" s="48"/>
    </row>
    <row r="7" spans="1:26" ht="16.5" customHeight="1" x14ac:dyDescent="0.25">
      <c r="A7" s="150" t="s">
        <v>4</v>
      </c>
      <c r="B7" s="150"/>
      <c r="C7" s="150"/>
      <c r="D7" s="150"/>
      <c r="E7" s="150" t="s">
        <v>390</v>
      </c>
      <c r="F7" s="150"/>
      <c r="G7" s="150"/>
      <c r="H7" s="150"/>
      <c r="K7" s="47"/>
      <c r="L7" s="48" t="s">
        <v>234</v>
      </c>
      <c r="M7" s="48"/>
      <c r="N7" s="48"/>
      <c r="O7" s="48" t="s">
        <v>333</v>
      </c>
      <c r="P7" s="48"/>
    </row>
    <row r="8" spans="1:26" ht="15" customHeight="1" x14ac:dyDescent="0.25">
      <c r="A8" s="150" t="s">
        <v>5</v>
      </c>
      <c r="B8" s="150"/>
      <c r="C8" s="150"/>
      <c r="D8" s="150"/>
      <c r="E8" s="150" t="str">
        <f>E7</f>
        <v>M/s. Dosti Enterprises</v>
      </c>
      <c r="F8" s="150"/>
      <c r="G8" s="150"/>
      <c r="H8" s="150"/>
      <c r="K8" s="47"/>
      <c r="L8" s="48"/>
      <c r="M8" s="48"/>
      <c r="N8" s="48"/>
      <c r="O8" s="48" t="s">
        <v>334</v>
      </c>
      <c r="P8" s="48"/>
    </row>
    <row r="9" spans="1:26" ht="35.25" customHeight="1" x14ac:dyDescent="0.25">
      <c r="A9" s="150" t="s">
        <v>6</v>
      </c>
      <c r="B9" s="150"/>
      <c r="C9" s="150"/>
      <c r="D9" s="150"/>
      <c r="E9" s="181" t="s">
        <v>360</v>
      </c>
      <c r="F9" s="181"/>
      <c r="G9" s="181"/>
      <c r="H9" s="181"/>
      <c r="K9" s="47"/>
      <c r="L9" s="48"/>
      <c r="M9" s="48"/>
      <c r="N9" s="48"/>
      <c r="O9" s="48" t="s">
        <v>335</v>
      </c>
      <c r="P9" s="48"/>
    </row>
    <row r="10" spans="1:26" x14ac:dyDescent="0.25">
      <c r="A10" s="150" t="s">
        <v>159</v>
      </c>
      <c r="B10" s="150"/>
      <c r="C10" s="150"/>
      <c r="D10" s="150"/>
      <c r="E10" s="150" t="s">
        <v>397</v>
      </c>
      <c r="F10" s="150"/>
      <c r="G10" s="150"/>
      <c r="H10" s="150"/>
      <c r="K10" s="47"/>
      <c r="L10" s="48"/>
      <c r="M10" s="48"/>
      <c r="N10" s="48"/>
      <c r="O10" s="48" t="s">
        <v>336</v>
      </c>
      <c r="P10" s="48"/>
    </row>
    <row r="11" spans="1:26" x14ac:dyDescent="0.25">
      <c r="A11" s="150" t="s">
        <v>160</v>
      </c>
      <c r="B11" s="150"/>
      <c r="C11" s="150"/>
      <c r="D11" s="150"/>
      <c r="E11" s="150" t="s">
        <v>397</v>
      </c>
      <c r="F11" s="150"/>
      <c r="G11" s="150"/>
      <c r="H11" s="150"/>
      <c r="O11" s="48" t="s">
        <v>337</v>
      </c>
    </row>
    <row r="12" spans="1:26" x14ac:dyDescent="0.25">
      <c r="A12" s="150" t="s">
        <v>7</v>
      </c>
      <c r="B12" s="150"/>
      <c r="C12" s="150"/>
      <c r="D12" s="150"/>
      <c r="E12" s="150" t="s">
        <v>396</v>
      </c>
      <c r="F12" s="150"/>
      <c r="G12" s="150"/>
      <c r="H12" s="150"/>
    </row>
    <row r="13" spans="1:26" x14ac:dyDescent="0.25">
      <c r="A13" s="150" t="s">
        <v>163</v>
      </c>
      <c r="B13" s="150"/>
      <c r="C13" s="150"/>
      <c r="D13" s="150"/>
      <c r="E13" s="150" t="s">
        <v>28</v>
      </c>
      <c r="F13" s="150"/>
      <c r="G13" s="150"/>
      <c r="H13" s="150"/>
      <c r="S13" s="48" t="s">
        <v>171</v>
      </c>
      <c r="T13" s="48" t="s">
        <v>180</v>
      </c>
      <c r="U13" s="48" t="s">
        <v>164</v>
      </c>
      <c r="V13" s="48" t="s">
        <v>185</v>
      </c>
      <c r="W13" s="48" t="s">
        <v>203</v>
      </c>
      <c r="X13"/>
      <c r="Y13" t="s">
        <v>185</v>
      </c>
      <c r="Z13" t="e">
        <f ca="1">OFFSET($S$13,1,MATCH($G20,$S$13:$W$13,0)-1,15,1)</f>
        <v>#VALUE!</v>
      </c>
    </row>
    <row r="14" spans="1:26" ht="32.25" customHeight="1" x14ac:dyDescent="0.25">
      <c r="A14" s="150" t="s">
        <v>270</v>
      </c>
      <c r="B14" s="150"/>
      <c r="C14" s="150"/>
      <c r="D14" s="150"/>
      <c r="E14" s="148" t="s">
        <v>413</v>
      </c>
      <c r="F14" s="148"/>
      <c r="G14" s="148"/>
      <c r="H14" s="148"/>
      <c r="S14" s="48" t="s">
        <v>171</v>
      </c>
      <c r="T14" s="48" t="s">
        <v>178</v>
      </c>
      <c r="U14" s="48" t="s">
        <v>200</v>
      </c>
      <c r="V14" s="48" t="s">
        <v>186</v>
      </c>
      <c r="W14" s="48" t="s">
        <v>204</v>
      </c>
      <c r="X14"/>
      <c r="Y14"/>
      <c r="Z14"/>
    </row>
    <row r="15" spans="1:26" x14ac:dyDescent="0.25">
      <c r="A15" s="150" t="s">
        <v>8</v>
      </c>
      <c r="B15" s="150"/>
      <c r="C15" s="150"/>
      <c r="D15" s="150"/>
      <c r="E15" s="148" t="s">
        <v>359</v>
      </c>
      <c r="F15" s="150"/>
      <c r="G15" s="150"/>
      <c r="H15" s="150"/>
      <c r="I15" s="209" t="e">
        <f ca="1">OFFSET($D$5,1,MATCH($J13,$D$5:$H$5,0)-1,15,1)</f>
        <v>#N/A</v>
      </c>
      <c r="J15" s="210"/>
      <c r="K15" s="210"/>
      <c r="L15" s="210"/>
      <c r="M15" s="210"/>
      <c r="N15" s="210"/>
      <c r="O15" s="210"/>
      <c r="P15" s="210"/>
      <c r="S15" s="48" t="s">
        <v>172</v>
      </c>
      <c r="T15" s="48" t="s">
        <v>179</v>
      </c>
      <c r="U15" s="48" t="s">
        <v>201</v>
      </c>
      <c r="V15" s="48" t="s">
        <v>187</v>
      </c>
      <c r="W15" s="48" t="s">
        <v>217</v>
      </c>
      <c r="X15"/>
      <c r="Y15"/>
      <c r="Z15"/>
    </row>
    <row r="16" spans="1:26" ht="48.75" customHeight="1" x14ac:dyDescent="0.25">
      <c r="A16" s="148" t="s">
        <v>9</v>
      </c>
      <c r="B16" s="148"/>
      <c r="C16" s="148" t="str">
        <f>CONCATENATE((IF(OR(E9="",E9="NA"),"",E9)),", ",(IF(OR(A17="",A17="NA"),"",A17)),".",(IF(OR(C17="",C17="NA"),"",C17)),", near ",(IF(OR(C22="",C22="NA"),"",C22)),", ",(IF(OR(C19="",C19="NA"),"",C19)),", ",(IF(OR(C18="",C18="NA"),"",C18)),", ",(IF(OR(G19="",G19="NA"),"",G19)),", ",(IF(OR(C20="",C20="NA"),"",C20)),", ",(IF(OR(C21="",C21="NA"),"",C21)),", ",(IF(OR(G20="",G20="NA"),"",G20))," - ",(IF(OR(G21="",G21="NA"),"",G21)),".")</f>
        <v>Dosti West County ­ Phase 5 ­ Dosti Olive ­ Wing A, Survey No.16/10/A/1(pt), 16/9/A(pt), 16/8/A(pt), 16/5(pt), 16/3(pt), 18/8(pt), near Dosti Oak, Dosti West County Road, Kolshet, Balkum, Thane West, Thane, Thane - 400608.</v>
      </c>
      <c r="D16" s="148"/>
      <c r="E16" s="148"/>
      <c r="F16" s="148"/>
      <c r="G16" s="148"/>
      <c r="H16" s="148"/>
      <c r="S16" s="48" t="s">
        <v>173</v>
      </c>
      <c r="T16" s="48" t="s">
        <v>181</v>
      </c>
      <c r="U16" s="48" t="s">
        <v>202</v>
      </c>
      <c r="V16" s="48" t="s">
        <v>188</v>
      </c>
      <c r="W16" s="48" t="s">
        <v>205</v>
      </c>
      <c r="X16"/>
      <c r="Y16"/>
      <c r="Z16"/>
    </row>
    <row r="17" spans="1:26" x14ac:dyDescent="0.25">
      <c r="A17" s="148" t="s">
        <v>361</v>
      </c>
      <c r="B17" s="148"/>
      <c r="C17" s="148" t="s">
        <v>399</v>
      </c>
      <c r="D17" s="148"/>
      <c r="E17" s="148"/>
      <c r="F17" s="148"/>
      <c r="G17" s="148"/>
      <c r="H17" s="148"/>
      <c r="I17" s="18" t="s">
        <v>415</v>
      </c>
      <c r="S17" s="48" t="s">
        <v>174</v>
      </c>
      <c r="T17" s="48" t="s">
        <v>182</v>
      </c>
      <c r="U17" s="48" t="s">
        <v>164</v>
      </c>
      <c r="V17" s="48" t="s">
        <v>189</v>
      </c>
      <c r="W17" s="48" t="s">
        <v>206</v>
      </c>
      <c r="X17"/>
      <c r="Y17"/>
      <c r="Z17"/>
    </row>
    <row r="18" spans="1:26" ht="15.75" customHeight="1" x14ac:dyDescent="0.25">
      <c r="A18" s="148" t="s">
        <v>154</v>
      </c>
      <c r="B18" s="148"/>
      <c r="C18" s="148" t="s">
        <v>398</v>
      </c>
      <c r="D18" s="148"/>
      <c r="E18" s="148"/>
      <c r="F18" s="148"/>
      <c r="G18" s="148"/>
      <c r="H18" s="148"/>
      <c r="S18" s="48" t="s">
        <v>175</v>
      </c>
      <c r="T18" s="48" t="s">
        <v>180</v>
      </c>
      <c r="U18" s="48"/>
      <c r="V18" s="48" t="s">
        <v>190</v>
      </c>
      <c r="W18" s="48" t="s">
        <v>207</v>
      </c>
      <c r="X18"/>
      <c r="Y18"/>
      <c r="Z18"/>
    </row>
    <row r="19" spans="1:26" ht="15.75" customHeight="1" x14ac:dyDescent="0.25">
      <c r="A19" s="148" t="s">
        <v>10</v>
      </c>
      <c r="B19" s="148"/>
      <c r="C19" s="150" t="s">
        <v>362</v>
      </c>
      <c r="D19" s="150"/>
      <c r="E19" s="148" t="s">
        <v>69</v>
      </c>
      <c r="F19" s="148"/>
      <c r="G19" s="148" t="s">
        <v>364</v>
      </c>
      <c r="H19" s="148"/>
      <c r="S19" s="48" t="s">
        <v>176</v>
      </c>
      <c r="T19" s="48" t="s">
        <v>183</v>
      </c>
      <c r="U19" s="48"/>
      <c r="V19" s="48" t="s">
        <v>191</v>
      </c>
      <c r="W19" s="48" t="s">
        <v>208</v>
      </c>
      <c r="X19"/>
      <c r="Y19"/>
      <c r="Z19"/>
    </row>
    <row r="20" spans="1:26" x14ac:dyDescent="0.25">
      <c r="A20" s="150" t="s">
        <v>12</v>
      </c>
      <c r="B20" s="150"/>
      <c r="C20" s="148" t="s">
        <v>363</v>
      </c>
      <c r="D20" s="148"/>
      <c r="E20" s="148" t="s">
        <v>11</v>
      </c>
      <c r="F20" s="148"/>
      <c r="G20" s="213" t="s">
        <v>171</v>
      </c>
      <c r="H20" s="213"/>
      <c r="S20" s="48" t="s">
        <v>177</v>
      </c>
      <c r="T20" s="48" t="s">
        <v>184</v>
      </c>
      <c r="U20" s="48"/>
      <c r="V20" s="48" t="s">
        <v>192</v>
      </c>
      <c r="W20" s="48" t="s">
        <v>209</v>
      </c>
      <c r="X20"/>
      <c r="Y20"/>
      <c r="Z20"/>
    </row>
    <row r="21" spans="1:26" x14ac:dyDescent="0.25">
      <c r="A21" s="150" t="s">
        <v>70</v>
      </c>
      <c r="B21" s="150"/>
      <c r="C21" s="148" t="s">
        <v>171</v>
      </c>
      <c r="D21" s="148"/>
      <c r="E21" s="148" t="s">
        <v>13</v>
      </c>
      <c r="F21" s="148"/>
      <c r="G21" s="148">
        <v>400608</v>
      </c>
      <c r="H21" s="148"/>
      <c r="S21" s="48"/>
      <c r="T21" s="48"/>
      <c r="U21" s="48"/>
      <c r="V21" s="48" t="s">
        <v>193</v>
      </c>
      <c r="W21" s="48" t="s">
        <v>210</v>
      </c>
      <c r="X21"/>
      <c r="Y21"/>
      <c r="Z21"/>
    </row>
    <row r="22" spans="1:26" ht="32.25" customHeight="1" x14ac:dyDescent="0.25">
      <c r="A22" s="150" t="s">
        <v>115</v>
      </c>
      <c r="B22" s="150"/>
      <c r="C22" s="148" t="s">
        <v>391</v>
      </c>
      <c r="D22" s="148"/>
      <c r="E22" s="148" t="s">
        <v>14</v>
      </c>
      <c r="F22" s="148"/>
      <c r="G22" s="148" t="s">
        <v>365</v>
      </c>
      <c r="H22" s="148"/>
      <c r="S22" s="48"/>
      <c r="T22" s="48"/>
      <c r="U22" s="48"/>
      <c r="V22" s="48" t="s">
        <v>194</v>
      </c>
      <c r="W22" s="48" t="s">
        <v>211</v>
      </c>
      <c r="X22"/>
      <c r="Y22"/>
      <c r="Z22"/>
    </row>
    <row r="23" spans="1:26" ht="15" customHeight="1" x14ac:dyDescent="0.25">
      <c r="A23" s="162" t="s">
        <v>72</v>
      </c>
      <c r="B23" s="162"/>
      <c r="C23" s="162"/>
      <c r="D23" s="162"/>
      <c r="E23" s="150" t="s">
        <v>15</v>
      </c>
      <c r="F23" s="150"/>
      <c r="G23" s="150"/>
      <c r="H23" s="150"/>
      <c r="S23" s="48"/>
      <c r="T23" s="48"/>
      <c r="U23" s="48"/>
      <c r="V23" s="48" t="s">
        <v>195</v>
      </c>
      <c r="W23" s="48" t="s">
        <v>212</v>
      </c>
      <c r="X23"/>
      <c r="Y23"/>
      <c r="Z23"/>
    </row>
    <row r="24" spans="1:26" ht="18.75" customHeight="1" x14ac:dyDescent="0.25">
      <c r="A24" s="162"/>
      <c r="B24" s="162"/>
      <c r="C24" s="162"/>
      <c r="D24" s="162"/>
      <c r="E24" s="150"/>
      <c r="F24" s="150"/>
      <c r="G24" s="150"/>
      <c r="H24" s="150"/>
      <c r="S24" s="48"/>
      <c r="T24" s="48"/>
      <c r="U24" s="48"/>
      <c r="V24" s="48" t="s">
        <v>196</v>
      </c>
      <c r="W24" s="48" t="s">
        <v>213</v>
      </c>
      <c r="X24"/>
      <c r="Y24"/>
      <c r="Z24"/>
    </row>
    <row r="25" spans="1:26" ht="15" customHeight="1" x14ac:dyDescent="0.25">
      <c r="A25" s="162" t="s">
        <v>16</v>
      </c>
      <c r="B25" s="162"/>
      <c r="C25" s="162"/>
      <c r="D25" s="162"/>
      <c r="E25" s="148" t="s">
        <v>17</v>
      </c>
      <c r="F25" s="148"/>
      <c r="G25" s="148"/>
      <c r="H25" s="148"/>
      <c r="S25" s="48"/>
      <c r="T25" s="48"/>
      <c r="U25" s="48"/>
      <c r="V25" s="48" t="s">
        <v>197</v>
      </c>
      <c r="W25" s="48" t="s">
        <v>214</v>
      </c>
      <c r="X25"/>
      <c r="Y25"/>
      <c r="Z25"/>
    </row>
    <row r="26" spans="1:26" ht="15" customHeight="1" x14ac:dyDescent="0.25">
      <c r="A26" s="96" t="s">
        <v>18</v>
      </c>
      <c r="B26" s="96"/>
      <c r="C26" s="96"/>
      <c r="D26" s="96"/>
      <c r="E26" s="148" t="str">
        <f>IF(AND(G20="Mumbai"),"Upper Class","Middle Class")</f>
        <v>Middle Class</v>
      </c>
      <c r="F26" s="148"/>
      <c r="G26" s="148"/>
      <c r="H26" s="148"/>
      <c r="S26" s="48"/>
      <c r="T26" s="48"/>
      <c r="U26" s="48"/>
      <c r="V26" s="48" t="s">
        <v>198</v>
      </c>
      <c r="W26" s="48" t="s">
        <v>215</v>
      </c>
      <c r="X26"/>
      <c r="Y26"/>
      <c r="Z26"/>
    </row>
    <row r="27" spans="1:26" x14ac:dyDescent="0.25">
      <c r="A27" s="96" t="s">
        <v>19</v>
      </c>
      <c r="B27" s="96"/>
      <c r="C27" s="96"/>
      <c r="D27" s="96"/>
      <c r="E27" s="148" t="s">
        <v>20</v>
      </c>
      <c r="F27" s="148"/>
      <c r="G27" s="148"/>
      <c r="H27" s="148"/>
      <c r="S27" s="48"/>
      <c r="T27" s="48"/>
      <c r="U27" s="48"/>
      <c r="V27" s="48" t="s">
        <v>199</v>
      </c>
      <c r="W27" s="48" t="s">
        <v>216</v>
      </c>
      <c r="X27"/>
      <c r="Y27"/>
      <c r="Z27"/>
    </row>
    <row r="28" spans="1:26" ht="15.75" customHeight="1" x14ac:dyDescent="0.25">
      <c r="A28" s="96" t="s">
        <v>21</v>
      </c>
      <c r="B28" s="96"/>
      <c r="C28" s="96"/>
      <c r="D28" s="96"/>
      <c r="E28" s="148" t="str">
        <f>IF(AND(G20="Mumbai"),"Developed","Developing")</f>
        <v>Developing</v>
      </c>
      <c r="F28" s="148"/>
      <c r="G28" s="148"/>
      <c r="H28" s="148"/>
    </row>
    <row r="29" spans="1:26" x14ac:dyDescent="0.25">
      <c r="A29" s="96" t="s">
        <v>22</v>
      </c>
      <c r="B29" s="96"/>
      <c r="C29" s="96"/>
      <c r="D29" s="96"/>
      <c r="E29" s="148" t="s">
        <v>23</v>
      </c>
      <c r="F29" s="148"/>
      <c r="G29" s="148"/>
      <c r="H29" s="148"/>
    </row>
    <row r="30" spans="1:26" ht="15.75" customHeight="1" x14ac:dyDescent="0.25">
      <c r="A30" s="96" t="s">
        <v>77</v>
      </c>
      <c r="B30" s="96"/>
      <c r="C30" s="96"/>
      <c r="D30" s="96"/>
      <c r="E30" s="148" t="s">
        <v>78</v>
      </c>
      <c r="F30" s="148"/>
      <c r="G30" s="148"/>
      <c r="H30" s="148"/>
    </row>
    <row r="31" spans="1:26" ht="15" customHeight="1" x14ac:dyDescent="0.25">
      <c r="A31" s="96" t="s">
        <v>30</v>
      </c>
      <c r="B31" s="96"/>
      <c r="C31" s="96"/>
      <c r="D31" s="96"/>
      <c r="E31" s="148"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Residential + Commercial</v>
      </c>
      <c r="F31" s="148"/>
      <c r="G31" s="148"/>
      <c r="H31" s="148"/>
    </row>
    <row r="32" spans="1:26" ht="15.75" customHeight="1" x14ac:dyDescent="0.25">
      <c r="A32" s="96" t="s">
        <v>88</v>
      </c>
      <c r="B32" s="96"/>
      <c r="C32" s="96"/>
      <c r="D32" s="96"/>
      <c r="E32" s="148" t="s">
        <v>31</v>
      </c>
      <c r="F32" s="148"/>
      <c r="G32" s="148"/>
      <c r="H32" s="148"/>
    </row>
    <row r="33" spans="1:19" s="19" customFormat="1" x14ac:dyDescent="0.25">
      <c r="A33" s="176" t="s">
        <v>89</v>
      </c>
      <c r="B33" s="176"/>
      <c r="C33" s="173" t="s">
        <v>165</v>
      </c>
      <c r="D33" s="174"/>
      <c r="E33" s="175"/>
      <c r="F33" s="173" t="s">
        <v>29</v>
      </c>
      <c r="G33" s="174"/>
      <c r="H33" s="175"/>
      <c r="S33" s="19" t="e">
        <f ca="1">OFFSET($S$13,1,MATCH($G20,$S$13:$W$13,0)-1,15,1)</f>
        <v>#VALUE!</v>
      </c>
    </row>
    <row r="34" spans="1:19" s="19" customFormat="1" x14ac:dyDescent="0.25">
      <c r="A34" s="163" t="s">
        <v>24</v>
      </c>
      <c r="B34" s="163" t="s">
        <v>28</v>
      </c>
      <c r="C34" s="164" t="s">
        <v>368</v>
      </c>
      <c r="D34" s="133"/>
      <c r="E34" s="134"/>
      <c r="F34" s="164" t="s">
        <v>401</v>
      </c>
      <c r="G34" s="133"/>
      <c r="H34" s="134"/>
    </row>
    <row r="35" spans="1:19" x14ac:dyDescent="0.25">
      <c r="A35" s="163" t="s">
        <v>25</v>
      </c>
      <c r="B35" s="163" t="s">
        <v>28</v>
      </c>
      <c r="C35" s="164" t="s">
        <v>369</v>
      </c>
      <c r="D35" s="133"/>
      <c r="E35" s="134"/>
      <c r="F35" s="164" t="s">
        <v>400</v>
      </c>
      <c r="G35" s="133"/>
      <c r="H35" s="134"/>
    </row>
    <row r="36" spans="1:19" s="19" customFormat="1" x14ac:dyDescent="0.25">
      <c r="A36" s="163" t="s">
        <v>27</v>
      </c>
      <c r="B36" s="163" t="s">
        <v>28</v>
      </c>
      <c r="C36" s="164" t="s">
        <v>370</v>
      </c>
      <c r="D36" s="133"/>
      <c r="E36" s="134"/>
      <c r="F36" s="164" t="s">
        <v>400</v>
      </c>
      <c r="G36" s="133"/>
      <c r="H36" s="134"/>
    </row>
    <row r="37" spans="1:19" x14ac:dyDescent="0.25">
      <c r="A37" s="163" t="s">
        <v>26</v>
      </c>
      <c r="B37" s="163" t="s">
        <v>28</v>
      </c>
      <c r="C37" s="164" t="s">
        <v>371</v>
      </c>
      <c r="D37" s="133"/>
      <c r="E37" s="134"/>
      <c r="F37" s="132" t="s">
        <v>372</v>
      </c>
      <c r="G37" s="133"/>
      <c r="H37" s="134"/>
    </row>
    <row r="38" spans="1:19" x14ac:dyDescent="0.25">
      <c r="A38" s="96" t="s">
        <v>271</v>
      </c>
      <c r="B38" s="96"/>
      <c r="C38" s="96"/>
      <c r="D38" s="96"/>
      <c r="E38" s="96"/>
      <c r="F38" s="96"/>
      <c r="G38" s="96"/>
      <c r="H38" s="96"/>
    </row>
    <row r="39" spans="1:19" ht="15.75" customHeight="1" x14ac:dyDescent="0.25">
      <c r="A39" s="96" t="s">
        <v>157</v>
      </c>
      <c r="B39" s="96"/>
      <c r="C39" s="130" t="s">
        <v>366</v>
      </c>
      <c r="D39" s="130"/>
      <c r="E39" s="130"/>
      <c r="F39" s="130"/>
      <c r="G39" s="130"/>
      <c r="H39" s="130"/>
    </row>
    <row r="40" spans="1:19" x14ac:dyDescent="0.25">
      <c r="A40" s="96" t="s">
        <v>153</v>
      </c>
      <c r="B40" s="96"/>
      <c r="C40" s="147" t="s">
        <v>367</v>
      </c>
      <c r="D40" s="148"/>
      <c r="E40" s="148"/>
      <c r="F40" s="148"/>
      <c r="G40" s="148"/>
      <c r="H40" s="148"/>
    </row>
    <row r="41" spans="1:19" x14ac:dyDescent="0.25">
      <c r="A41" s="130" t="s">
        <v>32</v>
      </c>
      <c r="B41" s="130"/>
      <c r="C41" s="130"/>
      <c r="D41" s="130"/>
      <c r="E41" s="130"/>
      <c r="F41" s="130"/>
      <c r="G41" s="130"/>
      <c r="H41" s="130"/>
    </row>
    <row r="42" spans="1:19" x14ac:dyDescent="0.25">
      <c r="A42" s="96" t="s">
        <v>33</v>
      </c>
      <c r="B42" s="96"/>
      <c r="C42" s="96"/>
      <c r="D42" s="96"/>
      <c r="E42" s="165">
        <v>54750</v>
      </c>
      <c r="F42" s="165"/>
      <c r="G42" s="165"/>
      <c r="H42" s="165"/>
      <c r="I42" s="91">
        <f>E46/E42</f>
        <v>4.5898871232876717</v>
      </c>
    </row>
    <row r="43" spans="1:19" x14ac:dyDescent="0.25">
      <c r="A43" s="96" t="s">
        <v>34</v>
      </c>
      <c r="B43" s="96"/>
      <c r="C43" s="96"/>
      <c r="D43" s="96"/>
      <c r="E43" s="146">
        <v>4</v>
      </c>
      <c r="F43" s="146"/>
      <c r="G43" s="146"/>
      <c r="H43" s="146"/>
    </row>
    <row r="44" spans="1:19" x14ac:dyDescent="0.25">
      <c r="A44" s="96" t="s">
        <v>35</v>
      </c>
      <c r="B44" s="96"/>
      <c r="C44" s="96"/>
      <c r="D44" s="96"/>
      <c r="E44" s="146">
        <f>E46/E42-E43</f>
        <v>0.58988712328767168</v>
      </c>
      <c r="F44" s="146"/>
      <c r="G44" s="146"/>
      <c r="H44" s="146"/>
    </row>
    <row r="45" spans="1:19" x14ac:dyDescent="0.25">
      <c r="A45" s="96" t="s">
        <v>36</v>
      </c>
      <c r="B45" s="96"/>
      <c r="C45" s="96"/>
      <c r="D45" s="96"/>
      <c r="E45" s="146">
        <f>E43+E44</f>
        <v>4.5898871232876717</v>
      </c>
      <c r="F45" s="146"/>
      <c r="G45" s="146"/>
      <c r="H45" s="146"/>
    </row>
    <row r="46" spans="1:19" x14ac:dyDescent="0.25">
      <c r="A46" s="96" t="s">
        <v>87</v>
      </c>
      <c r="B46" s="96"/>
      <c r="C46" s="96"/>
      <c r="D46" s="96"/>
      <c r="E46" s="149">
        <v>251296.32</v>
      </c>
      <c r="F46" s="149"/>
      <c r="G46" s="149"/>
      <c r="H46" s="149"/>
    </row>
    <row r="47" spans="1:19" x14ac:dyDescent="0.25">
      <c r="A47" s="150" t="s">
        <v>37</v>
      </c>
      <c r="B47" s="150"/>
      <c r="C47" s="150"/>
      <c r="D47" s="150"/>
      <c r="E47" s="150" t="s">
        <v>114</v>
      </c>
      <c r="F47" s="150"/>
      <c r="G47" s="150"/>
      <c r="H47" s="150"/>
    </row>
    <row r="48" spans="1:19" x14ac:dyDescent="0.25">
      <c r="A48" s="130" t="s">
        <v>38</v>
      </c>
      <c r="B48" s="130"/>
      <c r="C48" s="130"/>
      <c r="D48" s="130"/>
      <c r="E48" s="130"/>
      <c r="F48" s="130"/>
      <c r="G48" s="130"/>
      <c r="H48" s="130"/>
    </row>
    <row r="49" spans="1:24" ht="33.75" customHeight="1" x14ac:dyDescent="0.25">
      <c r="A49" s="142" t="s">
        <v>144</v>
      </c>
      <c r="B49" s="144"/>
      <c r="C49" s="158" t="s">
        <v>344</v>
      </c>
      <c r="D49" s="159"/>
      <c r="E49" s="159"/>
      <c r="F49" s="159"/>
      <c r="G49" s="159"/>
      <c r="H49" s="160"/>
      <c r="R49" t="s">
        <v>244</v>
      </c>
      <c r="S49" s="50" t="s">
        <v>164</v>
      </c>
      <c r="T49" s="50" t="s">
        <v>171</v>
      </c>
      <c r="U49" s="50" t="s">
        <v>185</v>
      </c>
      <c r="V49" s="50" t="s">
        <v>180</v>
      </c>
    </row>
    <row r="50" spans="1:24" ht="15.75" customHeight="1" x14ac:dyDescent="0.25">
      <c r="A50" s="142" t="s">
        <v>39</v>
      </c>
      <c r="B50" s="144"/>
      <c r="C50" s="142" t="s">
        <v>373</v>
      </c>
      <c r="D50" s="143"/>
      <c r="E50" s="144"/>
      <c r="F50" s="17" t="s">
        <v>40</v>
      </c>
      <c r="G50" s="151">
        <v>45195</v>
      </c>
      <c r="H50" s="152"/>
      <c r="R50"/>
      <c r="S50" s="50" t="s">
        <v>245</v>
      </c>
      <c r="T50" s="50" t="s">
        <v>250</v>
      </c>
      <c r="U50" s="50" t="s">
        <v>261</v>
      </c>
      <c r="V50" s="50" t="s">
        <v>266</v>
      </c>
    </row>
    <row r="51" spans="1:24" x14ac:dyDescent="0.25">
      <c r="A51" s="142" t="s">
        <v>41</v>
      </c>
      <c r="B51" s="144"/>
      <c r="C51" s="142" t="str">
        <f>C50</f>
        <v>S05/0006/08 TMC/TD-DP/TPS/4472/23</v>
      </c>
      <c r="D51" s="143"/>
      <c r="E51" s="144"/>
      <c r="F51" s="17" t="s">
        <v>40</v>
      </c>
      <c r="G51" s="151">
        <f>G50</f>
        <v>45195</v>
      </c>
      <c r="H51" s="152"/>
      <c r="R51"/>
      <c r="S51" s="50" t="s">
        <v>246</v>
      </c>
      <c r="T51" s="50" t="s">
        <v>344</v>
      </c>
      <c r="U51" s="50" t="s">
        <v>259</v>
      </c>
      <c r="V51" s="50" t="s">
        <v>267</v>
      </c>
    </row>
    <row r="52" spans="1:24" s="20" customFormat="1" ht="15.75" customHeight="1" x14ac:dyDescent="0.25">
      <c r="A52" s="138" t="s">
        <v>148</v>
      </c>
      <c r="B52" s="139"/>
      <c r="C52" s="138" t="s">
        <v>374</v>
      </c>
      <c r="D52" s="145"/>
      <c r="E52" s="139"/>
      <c r="F52" s="17" t="s">
        <v>40</v>
      </c>
      <c r="G52" s="151">
        <v>45195</v>
      </c>
      <c r="H52" s="152"/>
      <c r="I52" s="19" t="str">
        <f ca="1">IF(G52&gt;EDATE(E3,-48),"NO REMARK","CC REMARK FOR CC")</f>
        <v>NO REMARK</v>
      </c>
      <c r="J52" s="69"/>
      <c r="R52"/>
      <c r="S52" s="50" t="s">
        <v>247</v>
      </c>
      <c r="T52" s="50" t="s">
        <v>252</v>
      </c>
      <c r="U52" s="50" t="s">
        <v>249</v>
      </c>
      <c r="V52" s="50" t="s">
        <v>268</v>
      </c>
    </row>
    <row r="53" spans="1:24" s="20" customFormat="1" ht="33.75" customHeight="1" x14ac:dyDescent="0.25">
      <c r="A53" s="140"/>
      <c r="B53" s="141"/>
      <c r="C53" s="142" t="s">
        <v>375</v>
      </c>
      <c r="D53" s="143"/>
      <c r="E53" s="143"/>
      <c r="F53" s="143"/>
      <c r="G53" s="143"/>
      <c r="H53" s="144"/>
      <c r="R53"/>
      <c r="S53" s="50"/>
      <c r="T53" s="50"/>
      <c r="U53" s="50"/>
      <c r="V53" s="65"/>
    </row>
    <row r="54" spans="1:24" s="20" customFormat="1" x14ac:dyDescent="0.25">
      <c r="A54" s="153" t="s">
        <v>272</v>
      </c>
      <c r="B54" s="155"/>
      <c r="C54" s="142" t="s">
        <v>376</v>
      </c>
      <c r="D54" s="143"/>
      <c r="E54" s="144"/>
      <c r="F54" s="17" t="s">
        <v>40</v>
      </c>
      <c r="G54" s="151">
        <v>45180</v>
      </c>
      <c r="H54" s="152"/>
      <c r="K54" s="70">
        <f>EDATE(G52,-48)</f>
        <v>43734</v>
      </c>
      <c r="L54" s="20" t="str">
        <f ca="1">IF(G52&gt;EDATE(E3,-48),"NO REMARK","CC REMARK FOR CC")</f>
        <v>NO REMARK</v>
      </c>
      <c r="R54"/>
      <c r="S54" s="50" t="s">
        <v>247</v>
      </c>
      <c r="T54" s="50" t="s">
        <v>252</v>
      </c>
      <c r="U54" s="50" t="s">
        <v>249</v>
      </c>
      <c r="V54" s="50" t="s">
        <v>268</v>
      </c>
    </row>
    <row r="55" spans="1:24" s="20" customFormat="1" x14ac:dyDescent="0.25">
      <c r="A55" s="211"/>
      <c r="B55" s="212"/>
      <c r="C55" s="135" t="s">
        <v>377</v>
      </c>
      <c r="D55" s="136"/>
      <c r="E55" s="136"/>
      <c r="F55" s="136"/>
      <c r="G55" s="136"/>
      <c r="H55" s="137"/>
      <c r="R55"/>
      <c r="S55" s="50" t="s">
        <v>249</v>
      </c>
      <c r="T55" s="50" t="s">
        <v>253</v>
      </c>
      <c r="U55" s="50" t="s">
        <v>263</v>
      </c>
      <c r="V55" s="66"/>
      <c r="W55" s="18"/>
      <c r="X55" s="18"/>
    </row>
    <row r="56" spans="1:24" s="20" customFormat="1" ht="50.45" customHeight="1" x14ac:dyDescent="0.25">
      <c r="A56" s="153" t="s">
        <v>273</v>
      </c>
      <c r="B56" s="155"/>
      <c r="C56" s="142" t="s">
        <v>411</v>
      </c>
      <c r="D56" s="143"/>
      <c r="E56" s="144"/>
      <c r="F56" s="17" t="s">
        <v>40</v>
      </c>
      <c r="G56" s="151">
        <v>43479</v>
      </c>
      <c r="H56" s="152"/>
      <c r="R56"/>
      <c r="S56" s="66"/>
      <c r="T56" s="50" t="s">
        <v>254</v>
      </c>
      <c r="U56" s="50" t="s">
        <v>264</v>
      </c>
      <c r="V56" s="66"/>
      <c r="W56" s="18"/>
      <c r="X56" s="18"/>
    </row>
    <row r="57" spans="1:24" s="20" customFormat="1" x14ac:dyDescent="0.25">
      <c r="A57" s="211"/>
      <c r="B57" s="212"/>
      <c r="C57" s="142" t="s">
        <v>402</v>
      </c>
      <c r="D57" s="143"/>
      <c r="E57" s="143"/>
      <c r="F57" s="143"/>
      <c r="G57" s="143"/>
      <c r="H57" s="144"/>
      <c r="R57"/>
      <c r="S57" s="66"/>
      <c r="T57" s="50" t="s">
        <v>256</v>
      </c>
      <c r="U57" s="50" t="s">
        <v>265</v>
      </c>
      <c r="V57" s="66"/>
      <c r="W57" s="18"/>
      <c r="X57" s="18"/>
    </row>
    <row r="58" spans="1:24" x14ac:dyDescent="0.25">
      <c r="A58" s="177" t="s">
        <v>42</v>
      </c>
      <c r="B58" s="178"/>
      <c r="C58" s="177" t="s">
        <v>100</v>
      </c>
      <c r="D58" s="207"/>
      <c r="E58" s="178"/>
      <c r="F58" s="40" t="s">
        <v>40</v>
      </c>
      <c r="G58" s="156" t="s">
        <v>28</v>
      </c>
      <c r="H58" s="157"/>
      <c r="R58"/>
      <c r="S58" s="66"/>
      <c r="T58" s="50" t="s">
        <v>260</v>
      </c>
      <c r="U58" s="66"/>
      <c r="V58" s="66"/>
    </row>
    <row r="59" spans="1:24" x14ac:dyDescent="0.25">
      <c r="A59" s="161" t="s">
        <v>44</v>
      </c>
      <c r="B59" s="161"/>
      <c r="C59" s="161"/>
      <c r="D59" s="161"/>
      <c r="E59" s="161"/>
      <c r="F59" s="161"/>
      <c r="G59" s="161"/>
      <c r="H59" s="161"/>
      <c r="S59" s="66"/>
      <c r="T59" s="50" t="s">
        <v>269</v>
      </c>
      <c r="U59" s="66"/>
      <c r="V59" s="66"/>
    </row>
    <row r="60" spans="1:24" ht="32.450000000000003" customHeight="1" x14ac:dyDescent="0.25">
      <c r="A60" s="162" t="s">
        <v>412</v>
      </c>
      <c r="B60" s="162"/>
      <c r="C60" s="162"/>
      <c r="D60" s="96">
        <v>19442.080000000002</v>
      </c>
      <c r="E60" s="96"/>
      <c r="F60" s="96"/>
      <c r="G60" s="96"/>
      <c r="H60" s="96"/>
      <c r="R60"/>
    </row>
    <row r="61" spans="1:24" x14ac:dyDescent="0.25">
      <c r="A61" s="148" t="s">
        <v>45</v>
      </c>
      <c r="B61" s="150"/>
      <c r="C61" s="150"/>
      <c r="D61" s="150" t="s">
        <v>410</v>
      </c>
      <c r="E61" s="150"/>
      <c r="F61" s="150"/>
      <c r="G61" s="150"/>
      <c r="H61" s="150"/>
      <c r="I61" s="21"/>
      <c r="R61"/>
    </row>
    <row r="62" spans="1:24" x14ac:dyDescent="0.25">
      <c r="A62" s="153" t="s">
        <v>46</v>
      </c>
      <c r="B62" s="154"/>
      <c r="C62" s="155"/>
      <c r="D62" s="148" t="s">
        <v>403</v>
      </c>
      <c r="E62" s="150"/>
      <c r="F62" s="150"/>
      <c r="G62" s="150"/>
      <c r="H62" s="150"/>
      <c r="R62"/>
    </row>
    <row r="63" spans="1:24" ht="15.6" customHeight="1" x14ac:dyDescent="0.25">
      <c r="A63" s="153" t="s">
        <v>85</v>
      </c>
      <c r="B63" s="154"/>
      <c r="C63" s="154"/>
      <c r="D63" s="148" t="s">
        <v>403</v>
      </c>
      <c r="E63" s="150"/>
      <c r="F63" s="150"/>
      <c r="G63" s="150"/>
      <c r="H63" s="150"/>
      <c r="R63"/>
    </row>
    <row r="64" spans="1:24" ht="15.75" customHeight="1" x14ac:dyDescent="0.25">
      <c r="A64" s="96" t="s">
        <v>43</v>
      </c>
      <c r="B64" s="96"/>
      <c r="C64" s="96"/>
      <c r="D64" s="131" t="s">
        <v>394</v>
      </c>
      <c r="E64" s="131"/>
      <c r="F64" s="131"/>
      <c r="G64" s="131"/>
      <c r="H64" s="131"/>
      <c r="J64" s="22"/>
      <c r="K64" s="21"/>
      <c r="N64" s="21"/>
      <c r="S64"/>
    </row>
    <row r="65" spans="1:19" ht="15.75" customHeight="1" x14ac:dyDescent="0.25">
      <c r="A65" s="96" t="s">
        <v>83</v>
      </c>
      <c r="B65" s="96"/>
      <c r="C65" s="96"/>
      <c r="D65" s="208" t="str">
        <f>(IF(G58="NA","60 Years After Completion",IF(G58&lt;&gt;"NA",""&amp;60-ROUNDDOWN((E3-G58)/360,0)&amp;" Years"," ")))</f>
        <v>60 Years After Completion</v>
      </c>
      <c r="E65" s="208"/>
      <c r="F65" s="208"/>
      <c r="G65" s="208"/>
      <c r="H65" s="208"/>
      <c r="N65" s="21"/>
      <c r="S65"/>
    </row>
    <row r="66" spans="1:19" ht="15.75" customHeight="1" x14ac:dyDescent="0.25">
      <c r="A66" s="96" t="s">
        <v>84</v>
      </c>
      <c r="B66" s="96"/>
      <c r="C66" s="96"/>
      <c r="D66" s="162" t="s">
        <v>23</v>
      </c>
      <c r="E66" s="162"/>
      <c r="F66" s="162"/>
      <c r="G66" s="162"/>
      <c r="H66" s="162"/>
      <c r="J66" s="23"/>
      <c r="K66" s="23"/>
      <c r="S66"/>
    </row>
    <row r="67" spans="1:19" ht="66.599999999999994" customHeight="1" x14ac:dyDescent="0.25">
      <c r="A67" s="150" t="s">
        <v>380</v>
      </c>
      <c r="B67" s="150"/>
      <c r="C67" s="150"/>
      <c r="D67" s="148" t="s">
        <v>379</v>
      </c>
      <c r="E67" s="162"/>
      <c r="F67" s="162"/>
      <c r="G67" s="162"/>
      <c r="H67" s="162"/>
      <c r="S67"/>
    </row>
    <row r="68" spans="1:19" x14ac:dyDescent="0.25">
      <c r="A68" s="162" t="s">
        <v>141</v>
      </c>
      <c r="B68" s="162"/>
      <c r="C68" s="162"/>
      <c r="D68" s="162" t="s">
        <v>28</v>
      </c>
      <c r="E68" s="162"/>
      <c r="F68" s="162"/>
      <c r="G68" s="162"/>
      <c r="H68" s="162"/>
      <c r="I68" s="24"/>
      <c r="J68" s="24"/>
      <c r="K68" s="24"/>
      <c r="L68" s="24"/>
      <c r="M68" s="24"/>
      <c r="N68" s="24"/>
    </row>
    <row r="69" spans="1:19" ht="15.75" customHeight="1" x14ac:dyDescent="0.25">
      <c r="A69" s="172" t="s">
        <v>82</v>
      </c>
      <c r="B69" s="172"/>
      <c r="C69" s="172"/>
      <c r="D69" s="171" t="str">
        <f ca="1">(IF(G75&gt;95%,"Nothing",IF(G75&gt;0%,"Cement, Aggregate, Steel, etc",IF(G75=0%,"Work not yet Started"))))</f>
        <v>Cement, Aggregate, Steel, etc</v>
      </c>
      <c r="E69" s="171"/>
      <c r="F69" s="171"/>
      <c r="G69" s="171"/>
      <c r="H69" s="171"/>
      <c r="J69" s="23"/>
      <c r="S69"/>
    </row>
    <row r="70" spans="1:19" ht="33.75" customHeight="1" thickBot="1" x14ac:dyDescent="0.3">
      <c r="A70" s="170" t="s">
        <v>113</v>
      </c>
      <c r="B70" s="170"/>
      <c r="C70" s="170"/>
      <c r="D70" s="171" t="str">
        <f ca="1">(IF(D69="Nothing","Yes",IF(D69="Cement, Aggregate, Steel, etc","Under Construction",IF(D69="Work not yet Started","Work not yet Started"))))</f>
        <v>Under Construction</v>
      </c>
      <c r="E70" s="171"/>
      <c r="F70" s="171" t="str">
        <f ca="1">(IF(D69="Nothing","Yes",IF(D69="Cement, Aggregate, Steel, etc","Under Construction",IF(D69="Work not yet Started","Work not yet Started"))))</f>
        <v>Under Construction</v>
      </c>
      <c r="G70" s="171"/>
      <c r="H70" s="171"/>
      <c r="S70"/>
    </row>
    <row r="71" spans="1:19" ht="15.75" customHeight="1" x14ac:dyDescent="0.25">
      <c r="A71" s="168" t="s">
        <v>133</v>
      </c>
      <c r="B71" s="169"/>
      <c r="C71" s="200" t="str">
        <f>D63</f>
        <v>Building No. 9 Wing A = 1B + G + 1 Podium + 1st to 33rd Floor</v>
      </c>
      <c r="D71" s="201"/>
      <c r="E71" s="201"/>
      <c r="F71" s="201"/>
      <c r="G71" s="201"/>
      <c r="H71" s="202"/>
      <c r="I71" s="42" t="str">
        <f ca="1">IF(D84=100%,"All work Completed. Possession granted to the Building.",IF(D83=100%,"All work Completed, Waiting for OC",I72&amp;""&amp;I73&amp;""&amp;J72&amp;""&amp;J71&amp;" "&amp;J73))</f>
        <v>Excavation, Plinth Completed, RCC upto 19 Slab, Brickwork upto 17 Floor, Internal Plaster upto 12.75 Floor, External Plaster upto 11.05 Floor Completed</v>
      </c>
      <c r="J71" s="43" t="str">
        <f ca="1">(IF(C77=(D72+F72+H72),"",IF(C77&gt;0,", RCC upto "&amp;C77&amp;" Slab","")))&amp;(IF(C78=H72,"",IF(C78&gt;0,", Brickwork upto "&amp;C78&amp;" Floor","")))&amp;(IF(C79=H72,"",IF(C79&gt;0,", Internal Plaster upto "&amp;C79&amp;" Floor","")))&amp;(IF(C80=H72,"",IF(C80&gt;0,", External Plaster upto "&amp;C80&amp;" Floor","")))&amp;(IF(C81=H72,"",IF(C81&gt;0,", Flooring upto "&amp;C81&amp;" Floor","")))&amp;(IF(C82=H72,"",IF(C82&gt;0,", Painting upto "&amp;C82&amp;" Floor","")))&amp;(IF(C83=H72,"",IF(C83&gt;0,", Finishing upto "&amp;C83&amp;" Floor","")))&amp;(IF(C84=H72,"",IF(C84&gt;0,", Possession upto "&amp;C84&amp;" Floor","")))</f>
        <v>, RCC upto 19 Slab, Brickwork upto 17 Floor, Internal Plaster upto 12.75 Floor, External Plaster upto 11.05 Floor</v>
      </c>
      <c r="S71"/>
    </row>
    <row r="72" spans="1:19" x14ac:dyDescent="0.25">
      <c r="A72" s="15" t="s">
        <v>135</v>
      </c>
      <c r="B72" s="46">
        <v>1</v>
      </c>
      <c r="C72" s="46" t="s">
        <v>68</v>
      </c>
      <c r="D72" s="46">
        <v>1</v>
      </c>
      <c r="E72" s="46" t="s">
        <v>67</v>
      </c>
      <c r="F72" s="46">
        <v>1</v>
      </c>
      <c r="G72" s="46" t="s">
        <v>76</v>
      </c>
      <c r="H72" s="16">
        <f ca="1">--TRIM(RIGHT(SUBSTITUTE(LEFT(C71,_xlfn.AGGREGATE(16,6,FIND({0,1,2,3,4,5,6,7,8,9},C71,ROW(INDIRECT("1:"&amp;LEN(C71)))),1))," ",REPT(" ",LEN(C71))),LEN(C71)))</f>
        <v>33</v>
      </c>
      <c r="I72" s="44" t="str">
        <f ca="1">IF(D75=100%,"Excavation","")&amp;IF(D76=100%,", Plinth","")&amp;IF(D77=100%,", RCC Slab","")&amp;IF(D78=100%,", Brickwork","")&amp;IF(D79=100%,", Internal Plaster","")&amp;IF(D80=100%,", External Plaster","")&amp;IF(D81=100%,", Flooring","")&amp;IF(D82=100%,", Painting","")&amp;IF(D83=100%,", Building common Amenities","")</f>
        <v>Excavation, Plinth</v>
      </c>
      <c r="J72" s="45" t="str">
        <f ca="1">(IF(C75=0,"Work not yet Started.",IF(D75=25%,"Piling work in process",IF(D75=50%,"Excavation work in process",IF(D75=100%,"","0")))))&amp;(IF(C76=0%,"",IF(C76=J77,", Footing work is process",IF(C76=J78,", Footing work Completed",IF(C76=J79,", 1st Basement Completed",IF(C76=J80,", 1st &amp; 2nd Basement Completed",IF(C76=J81,", 1st to 3rd Basement Completed",IF(C76=J82,", 1st to 4th Basement Completed",IF(C76=J83,", Plinth work is process",IF(C76=J84,"","0"))))))))))</f>
        <v/>
      </c>
      <c r="S72"/>
    </row>
    <row r="73" spans="1:19" ht="49.5" customHeight="1" x14ac:dyDescent="0.25">
      <c r="A73" s="166" t="s">
        <v>86</v>
      </c>
      <c r="B73" s="167"/>
      <c r="C73" s="181" t="str">
        <f ca="1">I71</f>
        <v>Excavation, Plinth Completed, RCC upto 19 Slab, Brickwork upto 17 Floor, Internal Plaster upto 12.75 Floor, External Plaster upto 11.05 Floor Completed</v>
      </c>
      <c r="D73" s="181"/>
      <c r="E73" s="181"/>
      <c r="F73" s="181"/>
      <c r="G73" s="181"/>
      <c r="H73" s="203"/>
      <c r="I73" s="44" t="str">
        <f ca="1">IF(I72&lt;&gt;""," Completed","")</f>
        <v xml:space="preserve"> Completed</v>
      </c>
      <c r="J73" s="45" t="str">
        <f ca="1">IF(J71&lt;&gt;"","Completed","")</f>
        <v>Completed</v>
      </c>
      <c r="S73"/>
    </row>
    <row r="74" spans="1:19" ht="15.75" customHeight="1" x14ac:dyDescent="0.25">
      <c r="A74" s="197" t="s">
        <v>47</v>
      </c>
      <c r="B74" s="198"/>
      <c r="C74" s="87" t="s">
        <v>132</v>
      </c>
      <c r="D74" s="87" t="s">
        <v>79</v>
      </c>
      <c r="E74" s="198" t="s">
        <v>81</v>
      </c>
      <c r="F74" s="198"/>
      <c r="G74" s="198" t="s">
        <v>80</v>
      </c>
      <c r="H74" s="204"/>
      <c r="I74" s="13" t="s">
        <v>134</v>
      </c>
      <c r="J74" s="25">
        <f ca="1">H72*25%</f>
        <v>8.25</v>
      </c>
      <c r="S74"/>
    </row>
    <row r="75" spans="1:19" x14ac:dyDescent="0.25">
      <c r="A75" s="197" t="s">
        <v>121</v>
      </c>
      <c r="B75" s="198"/>
      <c r="C75" s="87">
        <f ca="1">J76</f>
        <v>33</v>
      </c>
      <c r="D75" s="88">
        <f ca="1">((100/H72)*C75)/100</f>
        <v>1</v>
      </c>
      <c r="E75" s="114">
        <f ca="1">(((C76/H72*10)+(40/(D72+F72+H72)*C77)+(7.5/(H72)*C78)+(7.5/(H72)*C79)+(10/H72*C80)+(10/H72*C81)+(5/H72*C82)+(5/H72*C83)+(5/H72*C84))/100)</f>
        <v>0.418241341991342</v>
      </c>
      <c r="F75" s="115"/>
      <c r="G75" s="114">
        <f ca="1">((((C75/H72)*20)+((C76/H72)*25)+(30/(H72+F72+D72)*C77)+(5/H72*C78)+(5/H72*C79)+(5/H72*C80)+(5/H72*C81)+(0/H72*C82)+(0/H72*C83)+(5/H72*C84))/100)</f>
        <v>0.67467532467532465</v>
      </c>
      <c r="H75" s="120"/>
      <c r="I75" s="13" t="s">
        <v>95</v>
      </c>
      <c r="J75" s="26">
        <f ca="1">H72*50%</f>
        <v>16.5</v>
      </c>
    </row>
    <row r="76" spans="1:19" x14ac:dyDescent="0.25">
      <c r="A76" s="197" t="s">
        <v>48</v>
      </c>
      <c r="B76" s="198"/>
      <c r="C76" s="87">
        <f ca="1">J84</f>
        <v>33</v>
      </c>
      <c r="D76" s="88">
        <f ca="1">((100/H72)*C76)/100</f>
        <v>1</v>
      </c>
      <c r="E76" s="116"/>
      <c r="F76" s="117"/>
      <c r="G76" s="116"/>
      <c r="H76" s="121"/>
      <c r="I76" s="13" t="s">
        <v>96</v>
      </c>
      <c r="J76" s="26">
        <f ca="1">H72</f>
        <v>33</v>
      </c>
      <c r="S76"/>
    </row>
    <row r="77" spans="1:19" ht="15.75" customHeight="1" x14ac:dyDescent="0.25">
      <c r="A77" s="197" t="s">
        <v>122</v>
      </c>
      <c r="B77" s="198"/>
      <c r="C77" s="87">
        <v>19</v>
      </c>
      <c r="D77" s="88">
        <f ca="1">((100/(D72+F72+H72))*C77)/100</f>
        <v>0.54285714285714282</v>
      </c>
      <c r="E77" s="116"/>
      <c r="F77" s="117"/>
      <c r="G77" s="116"/>
      <c r="H77" s="121"/>
      <c r="I77" s="13" t="s">
        <v>97</v>
      </c>
      <c r="J77" s="27">
        <f ca="1">(IF(B72&gt;1,(H72/(B72+2)),H72/4))</f>
        <v>8.25</v>
      </c>
      <c r="S77"/>
    </row>
    <row r="78" spans="1:19" ht="15.75" customHeight="1" x14ac:dyDescent="0.25">
      <c r="A78" s="197" t="s">
        <v>129</v>
      </c>
      <c r="B78" s="198" t="s">
        <v>123</v>
      </c>
      <c r="C78" s="87">
        <f>C77-F72-D72</f>
        <v>17</v>
      </c>
      <c r="D78" s="88">
        <f ca="1">((100/H72)*C78)/100</f>
        <v>0.51515151515151514</v>
      </c>
      <c r="E78" s="116"/>
      <c r="F78" s="117"/>
      <c r="G78" s="116"/>
      <c r="H78" s="121"/>
      <c r="I78" s="13" t="s">
        <v>98</v>
      </c>
      <c r="J78" s="27">
        <f ca="1">(IF(B72&gt;1,(H72/(B72+2)+J77),H72/4+J77))</f>
        <v>16.5</v>
      </c>
    </row>
    <row r="79" spans="1:19" ht="15.75" customHeight="1" x14ac:dyDescent="0.25">
      <c r="A79" s="197" t="s">
        <v>130</v>
      </c>
      <c r="B79" s="198" t="s">
        <v>123</v>
      </c>
      <c r="C79" s="95">
        <f>C78*0.75</f>
        <v>12.75</v>
      </c>
      <c r="D79" s="88">
        <f ca="1">((100/H72)*C79)/100</f>
        <v>0.38636363636363635</v>
      </c>
      <c r="E79" s="116"/>
      <c r="F79" s="117"/>
      <c r="G79" s="116"/>
      <c r="H79" s="121"/>
      <c r="I79" s="13" t="s">
        <v>139</v>
      </c>
      <c r="J79" s="27">
        <f>(IF(B72&gt;1,(H72/(B72+2)+J78),0))</f>
        <v>0</v>
      </c>
    </row>
    <row r="80" spans="1:19" ht="15" customHeight="1" x14ac:dyDescent="0.25">
      <c r="A80" s="197" t="s">
        <v>128</v>
      </c>
      <c r="B80" s="198" t="s">
        <v>125</v>
      </c>
      <c r="C80" s="95">
        <f>C78*0.65</f>
        <v>11.05</v>
      </c>
      <c r="D80" s="88">
        <f ca="1">((100/(H72))*C80)/100</f>
        <v>0.33484848484848484</v>
      </c>
      <c r="E80" s="116"/>
      <c r="F80" s="117"/>
      <c r="G80" s="116"/>
      <c r="H80" s="121"/>
      <c r="I80" s="13" t="s">
        <v>136</v>
      </c>
      <c r="J80" s="27">
        <f>(IF(B72&gt;2,(H72/(B72+2)+J79),0))</f>
        <v>0</v>
      </c>
    </row>
    <row r="81" spans="1:22" ht="15.75" customHeight="1" x14ac:dyDescent="0.25">
      <c r="A81" s="197" t="s">
        <v>124</v>
      </c>
      <c r="B81" s="198" t="s">
        <v>124</v>
      </c>
      <c r="C81" s="87">
        <v>0</v>
      </c>
      <c r="D81" s="88">
        <f ca="1">((100/H72)*C81)/100</f>
        <v>0</v>
      </c>
      <c r="E81" s="116"/>
      <c r="F81" s="117"/>
      <c r="G81" s="116"/>
      <c r="H81" s="121"/>
      <c r="I81" s="13" t="s">
        <v>137</v>
      </c>
      <c r="J81" s="28">
        <f>(IF(B72&gt;3,(H72/(B72+2)+J80),0))</f>
        <v>0</v>
      </c>
    </row>
    <row r="82" spans="1:22" ht="15.75" customHeight="1" x14ac:dyDescent="0.25">
      <c r="A82" s="197" t="s">
        <v>131</v>
      </c>
      <c r="B82" s="198"/>
      <c r="C82" s="87">
        <v>0</v>
      </c>
      <c r="D82" s="88">
        <f ca="1">((100/H72)*C82)/100</f>
        <v>0</v>
      </c>
      <c r="E82" s="116"/>
      <c r="F82" s="117"/>
      <c r="G82" s="116"/>
      <c r="H82" s="121"/>
      <c r="I82" s="13" t="s">
        <v>138</v>
      </c>
      <c r="J82" s="27">
        <f>(IF(B72&gt;4,(H72/(B72+2)+J81),0))</f>
        <v>0</v>
      </c>
    </row>
    <row r="83" spans="1:22" ht="15.75" customHeight="1" x14ac:dyDescent="0.25">
      <c r="A83" s="197" t="s">
        <v>126</v>
      </c>
      <c r="B83" s="198" t="s">
        <v>126</v>
      </c>
      <c r="C83" s="87">
        <v>0</v>
      </c>
      <c r="D83" s="88">
        <f ca="1">((100/(H72))*C83)/100</f>
        <v>0</v>
      </c>
      <c r="E83" s="116"/>
      <c r="F83" s="117"/>
      <c r="G83" s="116"/>
      <c r="H83" s="121"/>
      <c r="I83" s="13" t="s">
        <v>140</v>
      </c>
      <c r="J83" s="27">
        <f ca="1">(IF(B72=1,(H72/(B72+3)+J78),IF(B72=0,(H72/4+J78),IF(B72&gt;1,0))))</f>
        <v>24.75</v>
      </c>
    </row>
    <row r="84" spans="1:22" ht="16.5" thickBot="1" x14ac:dyDescent="0.3">
      <c r="A84" s="205" t="s">
        <v>127</v>
      </c>
      <c r="B84" s="206"/>
      <c r="C84" s="89">
        <v>0</v>
      </c>
      <c r="D84" s="90">
        <f ca="1">((100/(H72))*C84)/100</f>
        <v>0</v>
      </c>
      <c r="E84" s="118"/>
      <c r="F84" s="119"/>
      <c r="G84" s="118"/>
      <c r="H84" s="122"/>
      <c r="I84" s="14" t="s">
        <v>99</v>
      </c>
      <c r="J84" s="29">
        <f ca="1">(IF(B72&gt;1.5,(H72/(B72+2)+J78+MAX(0,J79-J78)+MAX(0,J80-J79)+MAX(0,J81-J80)+MAX(0,J82-J81)+MAX(0,J83-J82)),IF(B72=1,(H72/(B72+3)+J83),IF(B72=0,H72/4+J83))))</f>
        <v>33</v>
      </c>
    </row>
    <row r="85" spans="1:22" x14ac:dyDescent="0.25">
      <c r="A85" s="199" t="s">
        <v>149</v>
      </c>
      <c r="B85" s="199"/>
      <c r="C85" s="199"/>
      <c r="D85" s="199"/>
      <c r="E85" s="199"/>
      <c r="F85" s="123" t="s">
        <v>152</v>
      </c>
      <c r="G85" s="123"/>
      <c r="H85" s="123"/>
      <c r="R85" t="s">
        <v>244</v>
      </c>
      <c r="S85" t="s">
        <v>164</v>
      </c>
      <c r="T85" t="s">
        <v>171</v>
      </c>
      <c r="U85" t="s">
        <v>185</v>
      </c>
      <c r="V85" t="s">
        <v>180</v>
      </c>
    </row>
    <row r="86" spans="1:22" x14ac:dyDescent="0.25">
      <c r="A86" s="96" t="s">
        <v>417</v>
      </c>
      <c r="B86" s="96"/>
      <c r="C86" s="96"/>
      <c r="D86" s="96"/>
      <c r="E86" s="96"/>
      <c r="F86" s="97">
        <v>13500</v>
      </c>
      <c r="G86" s="97"/>
      <c r="H86" s="97"/>
      <c r="R86"/>
      <c r="S86">
        <v>800000</v>
      </c>
      <c r="T86">
        <v>150000</v>
      </c>
      <c r="U86">
        <v>100000</v>
      </c>
      <c r="V86">
        <v>100000</v>
      </c>
    </row>
    <row r="87" spans="1:22" x14ac:dyDescent="0.25">
      <c r="A87" s="96" t="s">
        <v>418</v>
      </c>
      <c r="B87" s="96"/>
      <c r="C87" s="96"/>
      <c r="D87" s="96"/>
      <c r="E87" s="96"/>
      <c r="F87" s="97">
        <v>13000</v>
      </c>
      <c r="G87" s="97"/>
      <c r="H87" s="97"/>
      <c r="I87" s="19"/>
      <c r="J87" s="94"/>
      <c r="K87" s="19"/>
      <c r="L87" s="19"/>
      <c r="R87"/>
      <c r="S87">
        <v>800000</v>
      </c>
      <c r="T87">
        <v>150000</v>
      </c>
      <c r="U87">
        <v>100000</v>
      </c>
      <c r="V87">
        <v>100000</v>
      </c>
    </row>
    <row r="88" spans="1:22" x14ac:dyDescent="0.25">
      <c r="A88" s="96" t="s">
        <v>150</v>
      </c>
      <c r="B88" s="96"/>
      <c r="C88" s="96"/>
      <c r="D88" s="96"/>
      <c r="E88" s="96"/>
      <c r="F88" s="97">
        <v>24000</v>
      </c>
      <c r="G88" s="97"/>
      <c r="H88" s="97"/>
      <c r="I88" s="19"/>
      <c r="J88" s="83"/>
      <c r="R88"/>
      <c r="S88">
        <v>900000</v>
      </c>
      <c r="T88">
        <v>200000</v>
      </c>
      <c r="U88">
        <v>150000</v>
      </c>
      <c r="V88">
        <v>150000</v>
      </c>
    </row>
    <row r="89" spans="1:22" hidden="1" x14ac:dyDescent="0.25">
      <c r="A89" s="96" t="s">
        <v>151</v>
      </c>
      <c r="B89" s="96"/>
      <c r="C89" s="96"/>
      <c r="D89" s="96"/>
      <c r="E89" s="96"/>
      <c r="F89" s="97"/>
      <c r="G89" s="97"/>
      <c r="H89" s="97"/>
      <c r="I89" s="19"/>
      <c r="R89"/>
      <c r="S89">
        <v>1000000</v>
      </c>
      <c r="T89">
        <v>250000</v>
      </c>
      <c r="U89">
        <v>200000</v>
      </c>
      <c r="V89">
        <v>200000</v>
      </c>
    </row>
    <row r="90" spans="1:22" s="30" customFormat="1" hidden="1" x14ac:dyDescent="0.25">
      <c r="A90" s="96" t="s">
        <v>167</v>
      </c>
      <c r="B90" s="96"/>
      <c r="C90" s="96"/>
      <c r="D90" s="96"/>
      <c r="E90" s="96"/>
      <c r="F90" s="97"/>
      <c r="G90" s="97"/>
      <c r="H90" s="97"/>
      <c r="I90" s="83"/>
      <c r="R90"/>
      <c r="S90">
        <v>1100000</v>
      </c>
      <c r="T90">
        <v>300000</v>
      </c>
      <c r="U90">
        <v>250000</v>
      </c>
      <c r="V90" s="20">
        <v>250000</v>
      </c>
    </row>
    <row r="91" spans="1:22" s="30" customFormat="1" hidden="1" x14ac:dyDescent="0.25">
      <c r="A91" s="96" t="s">
        <v>90</v>
      </c>
      <c r="B91" s="96"/>
      <c r="C91" s="96"/>
      <c r="D91" s="96"/>
      <c r="E91" s="96"/>
      <c r="F91" s="97"/>
      <c r="G91" s="97"/>
      <c r="H91" s="97"/>
      <c r="R91"/>
      <c r="S91">
        <v>1200000</v>
      </c>
      <c r="T91">
        <v>350000</v>
      </c>
      <c r="U91">
        <v>300000</v>
      </c>
      <c r="V91">
        <v>300000</v>
      </c>
    </row>
    <row r="92" spans="1:22" s="30" customFormat="1" x14ac:dyDescent="0.25">
      <c r="A92" s="96" t="s">
        <v>419</v>
      </c>
      <c r="B92" s="96"/>
      <c r="C92" s="96"/>
      <c r="D92" s="96"/>
      <c r="E92" s="96"/>
      <c r="F92" s="97">
        <v>500000</v>
      </c>
      <c r="G92" s="97"/>
      <c r="H92" s="97"/>
      <c r="I92" s="93" t="s">
        <v>420</v>
      </c>
      <c r="J92" s="83"/>
      <c r="K92" s="83" t="s">
        <v>421</v>
      </c>
      <c r="L92" s="83" t="s">
        <v>422</v>
      </c>
      <c r="M92" s="83"/>
      <c r="N92" s="93">
        <v>45801</v>
      </c>
      <c r="R92"/>
      <c r="S92">
        <v>1300000</v>
      </c>
      <c r="T92">
        <v>400000</v>
      </c>
      <c r="U92">
        <v>350000</v>
      </c>
      <c r="V92" s="20">
        <v>400000</v>
      </c>
    </row>
    <row r="93" spans="1:22" s="30" customFormat="1" hidden="1" x14ac:dyDescent="0.25">
      <c r="A93" s="96" t="s">
        <v>91</v>
      </c>
      <c r="B93" s="96"/>
      <c r="C93" s="96"/>
      <c r="D93" s="96"/>
      <c r="E93" s="96"/>
      <c r="F93" s="97"/>
      <c r="G93" s="97"/>
      <c r="H93" s="97"/>
      <c r="R93"/>
      <c r="S93">
        <v>1400000</v>
      </c>
      <c r="T93">
        <v>500000</v>
      </c>
      <c r="U93">
        <v>400000</v>
      </c>
      <c r="V93"/>
    </row>
    <row r="94" spans="1:22" s="30" customFormat="1" hidden="1" x14ac:dyDescent="0.25">
      <c r="A94" s="96" t="s">
        <v>92</v>
      </c>
      <c r="B94" s="96"/>
      <c r="C94" s="96"/>
      <c r="D94" s="96"/>
      <c r="E94" s="96"/>
      <c r="F94" s="97"/>
      <c r="G94" s="97"/>
      <c r="H94" s="97"/>
      <c r="R94"/>
      <c r="S94">
        <v>1500000</v>
      </c>
      <c r="T94">
        <v>600000</v>
      </c>
      <c r="U94">
        <v>500000</v>
      </c>
      <c r="V94" s="20"/>
    </row>
    <row r="95" spans="1:22" s="30" customFormat="1" hidden="1" x14ac:dyDescent="0.25">
      <c r="A95" s="96" t="s">
        <v>93</v>
      </c>
      <c r="B95" s="96"/>
      <c r="C95" s="96"/>
      <c r="D95" s="96"/>
      <c r="E95" s="96"/>
      <c r="F95" s="97"/>
      <c r="G95" s="97"/>
      <c r="H95" s="97"/>
      <c r="R95"/>
      <c r="S95">
        <v>1600000</v>
      </c>
      <c r="T95">
        <v>700000</v>
      </c>
      <c r="U95">
        <v>600000</v>
      </c>
      <c r="V95"/>
    </row>
    <row r="96" spans="1:22" s="30" customFormat="1" hidden="1" x14ac:dyDescent="0.25">
      <c r="A96" s="96" t="s">
        <v>94</v>
      </c>
      <c r="B96" s="96"/>
      <c r="C96" s="96"/>
      <c r="D96" s="96"/>
      <c r="E96" s="96"/>
      <c r="F96" s="97"/>
      <c r="G96" s="97"/>
      <c r="H96" s="97"/>
      <c r="R96"/>
      <c r="S96">
        <v>1700000</v>
      </c>
      <c r="T96">
        <v>800000</v>
      </c>
      <c r="U96"/>
      <c r="V96" s="20"/>
    </row>
    <row r="97" spans="1:22" x14ac:dyDescent="0.25">
      <c r="A97" s="96" t="s">
        <v>49</v>
      </c>
      <c r="B97" s="96"/>
      <c r="C97" s="96"/>
      <c r="D97" s="96"/>
      <c r="E97" s="96"/>
      <c r="F97" s="97">
        <v>700000</v>
      </c>
      <c r="G97" s="97"/>
      <c r="H97" s="97"/>
      <c r="K97" s="18" t="s">
        <v>414</v>
      </c>
      <c r="R97"/>
      <c r="S97">
        <v>1800000</v>
      </c>
      <c r="T97">
        <v>900000</v>
      </c>
      <c r="U97"/>
    </row>
    <row r="98" spans="1:22" s="31" customFormat="1" x14ac:dyDescent="0.25">
      <c r="A98" s="130" t="s">
        <v>50</v>
      </c>
      <c r="B98" s="130"/>
      <c r="C98" s="130"/>
      <c r="D98" s="130"/>
      <c r="E98" s="130"/>
      <c r="F98" s="97">
        <f>F86*0.8</f>
        <v>10800</v>
      </c>
      <c r="G98" s="97"/>
      <c r="H98" s="97"/>
      <c r="I98" s="18"/>
      <c r="R98" s="18"/>
      <c r="S98" s="18"/>
      <c r="T98">
        <v>1000000</v>
      </c>
      <c r="U98"/>
      <c r="V98" s="18"/>
    </row>
    <row r="99" spans="1:22" s="32" customFormat="1" ht="15.75" customHeight="1" x14ac:dyDescent="0.25">
      <c r="A99" s="185" t="s">
        <v>71</v>
      </c>
      <c r="B99" s="185"/>
      <c r="C99" s="185"/>
      <c r="D99" s="185"/>
      <c r="E99" s="185"/>
      <c r="F99" s="185"/>
      <c r="G99" s="185"/>
      <c r="H99" s="185"/>
      <c r="R99"/>
      <c r="S99" s="18"/>
      <c r="T99"/>
      <c r="U99"/>
      <c r="V99" s="18"/>
    </row>
    <row r="100" spans="1:22" s="32" customFormat="1" ht="15.75" customHeight="1" x14ac:dyDescent="0.25">
      <c r="A100" s="129" t="s">
        <v>51</v>
      </c>
      <c r="B100" s="129"/>
      <c r="C100" s="189" t="s">
        <v>74</v>
      </c>
      <c r="D100" s="189"/>
      <c r="E100" s="124" t="s">
        <v>52</v>
      </c>
      <c r="F100" s="124"/>
      <c r="G100" s="129" t="s">
        <v>53</v>
      </c>
      <c r="H100" s="129"/>
      <c r="R100"/>
      <c r="S100" s="18"/>
      <c r="T100"/>
      <c r="U100" s="18"/>
      <c r="V100" s="18"/>
    </row>
    <row r="101" spans="1:22" s="32" customFormat="1" x14ac:dyDescent="0.25">
      <c r="A101" s="186" t="s">
        <v>378</v>
      </c>
      <c r="B101" s="186"/>
      <c r="C101" s="190">
        <f>COUNT(D114:D119)</f>
        <v>6</v>
      </c>
      <c r="D101" s="191"/>
      <c r="E101" s="190">
        <f>SUM(F114:F119)</f>
        <v>3894.9713400000001</v>
      </c>
      <c r="F101" s="191"/>
      <c r="G101" s="190">
        <f>SUM(H114:H119)</f>
        <v>6037.2055770000006</v>
      </c>
      <c r="H101" s="191"/>
      <c r="R101"/>
      <c r="S101" s="18"/>
      <c r="T101"/>
      <c r="U101" s="18"/>
      <c r="V101" s="18"/>
    </row>
    <row r="102" spans="1:22" s="32" customFormat="1" x14ac:dyDescent="0.25">
      <c r="A102" s="185" t="s">
        <v>66</v>
      </c>
      <c r="B102" s="185"/>
      <c r="C102" s="185"/>
      <c r="D102" s="185"/>
      <c r="E102" s="185"/>
      <c r="F102" s="185"/>
      <c r="G102" s="185"/>
      <c r="H102" s="185"/>
      <c r="T102"/>
    </row>
    <row r="103" spans="1:22" s="32" customFormat="1" ht="15.75" customHeight="1" x14ac:dyDescent="0.25">
      <c r="A103" s="129" t="s">
        <v>51</v>
      </c>
      <c r="B103" s="129"/>
      <c r="C103" s="189" t="s">
        <v>74</v>
      </c>
      <c r="D103" s="189"/>
      <c r="E103" s="124" t="s">
        <v>52</v>
      </c>
      <c r="F103" s="124"/>
      <c r="G103" s="129" t="s">
        <v>53</v>
      </c>
      <c r="H103" s="129"/>
      <c r="T103"/>
    </row>
    <row r="104" spans="1:22" s="32" customFormat="1" ht="16.5" thickBot="1" x14ac:dyDescent="0.3">
      <c r="A104" s="186" t="s">
        <v>406</v>
      </c>
      <c r="B104" s="186"/>
      <c r="C104" s="190">
        <f>COUNT(D128:D133)*27+COUNT(D135:D137,D139:D140)*6</f>
        <v>192</v>
      </c>
      <c r="D104" s="190"/>
      <c r="E104" s="190">
        <f>SUM(F128:F133)*27+SUM(F135:F137,F139:F140)*6</f>
        <v>152109.52847999998</v>
      </c>
      <c r="F104" s="190"/>
      <c r="G104" s="190">
        <f>SUM(H128:H133)*27+SUM(H135:H137,H139:H140)*6</f>
        <v>228164.29272</v>
      </c>
      <c r="H104" s="190"/>
      <c r="T104"/>
    </row>
    <row r="105" spans="1:22" s="32" customFormat="1" ht="16.5" thickBot="1" x14ac:dyDescent="0.3">
      <c r="A105" s="187" t="s">
        <v>158</v>
      </c>
      <c r="B105" s="188"/>
      <c r="C105" s="126">
        <f>C101+C104</f>
        <v>198</v>
      </c>
      <c r="D105" s="127"/>
      <c r="E105" s="126">
        <f>E101+E104</f>
        <v>156004.49981999997</v>
      </c>
      <c r="F105" s="127"/>
      <c r="G105" s="126">
        <f>G101+G104</f>
        <v>234201.49829700001</v>
      </c>
      <c r="H105" s="127"/>
      <c r="T105"/>
    </row>
    <row r="106" spans="1:22" s="31" customFormat="1" x14ac:dyDescent="0.25">
      <c r="A106" s="125" t="s">
        <v>342</v>
      </c>
      <c r="B106" s="125"/>
      <c r="C106" s="125"/>
      <c r="D106" s="125"/>
      <c r="E106" s="125"/>
      <c r="F106" s="125"/>
      <c r="G106" s="125"/>
      <c r="H106" s="125"/>
      <c r="T106" s="32"/>
    </row>
    <row r="107" spans="1:22" x14ac:dyDescent="0.25">
      <c r="A107" s="128" t="s">
        <v>166</v>
      </c>
      <c r="B107" s="128"/>
      <c r="C107" s="128"/>
      <c r="D107" s="128"/>
      <c r="E107" s="128"/>
      <c r="F107" s="128"/>
      <c r="G107" s="128"/>
      <c r="H107" s="128"/>
      <c r="T107" s="32"/>
    </row>
    <row r="108" spans="1:22" ht="47.25" customHeight="1" x14ac:dyDescent="0.25">
      <c r="A108" s="108" t="s">
        <v>392</v>
      </c>
      <c r="B108" s="108" t="s">
        <v>168</v>
      </c>
      <c r="C108" s="108" t="s">
        <v>54</v>
      </c>
      <c r="D108" s="108" t="s">
        <v>223</v>
      </c>
      <c r="E108" s="110" t="s">
        <v>381</v>
      </c>
      <c r="F108" s="108" t="s">
        <v>55</v>
      </c>
      <c r="G108" s="110" t="s">
        <v>56</v>
      </c>
      <c r="H108" s="84" t="s">
        <v>142</v>
      </c>
      <c r="I108" s="18">
        <f>10.764</f>
        <v>10.763999999999999</v>
      </c>
      <c r="T108" s="32"/>
    </row>
    <row r="109" spans="1:22" s="34" customFormat="1" x14ac:dyDescent="0.25">
      <c r="A109" s="109"/>
      <c r="B109" s="109"/>
      <c r="C109" s="109"/>
      <c r="D109" s="109"/>
      <c r="E109" s="111"/>
      <c r="F109" s="109"/>
      <c r="G109" s="111"/>
      <c r="H109" s="85">
        <v>0.55000000000000004</v>
      </c>
      <c r="T109" s="32"/>
    </row>
    <row r="110" spans="1:22" s="34" customFormat="1" x14ac:dyDescent="0.25">
      <c r="A110" s="105" t="s">
        <v>404</v>
      </c>
      <c r="B110" s="106"/>
      <c r="C110" s="106"/>
      <c r="D110" s="106"/>
      <c r="E110" s="106"/>
      <c r="F110" s="106"/>
      <c r="G110" s="106"/>
      <c r="H110" s="107"/>
      <c r="J110" s="33"/>
      <c r="T110" s="32"/>
    </row>
    <row r="111" spans="1:22" s="34" customFormat="1" x14ac:dyDescent="0.25">
      <c r="A111" s="105" t="s">
        <v>382</v>
      </c>
      <c r="B111" s="106"/>
      <c r="C111" s="106"/>
      <c r="D111" s="106"/>
      <c r="E111" s="106"/>
      <c r="F111" s="106"/>
      <c r="G111" s="106"/>
      <c r="H111" s="107"/>
      <c r="J111" s="33"/>
      <c r="T111" s="32"/>
    </row>
    <row r="112" spans="1:22" s="34" customFormat="1" x14ac:dyDescent="0.25">
      <c r="A112" s="105" t="s">
        <v>383</v>
      </c>
      <c r="B112" s="106"/>
      <c r="C112" s="106"/>
      <c r="D112" s="106"/>
      <c r="E112" s="106"/>
      <c r="F112" s="106"/>
      <c r="G112" s="106"/>
      <c r="H112" s="107"/>
      <c r="J112" s="33"/>
      <c r="N112" s="34">
        <f>1600/1.5</f>
        <v>1066.6666666666667</v>
      </c>
    </row>
    <row r="113" spans="1:20" s="34" customFormat="1" ht="32.25" customHeight="1" x14ac:dyDescent="0.25">
      <c r="A113" s="105" t="s">
        <v>405</v>
      </c>
      <c r="B113" s="106"/>
      <c r="C113" s="106"/>
      <c r="D113" s="106"/>
      <c r="E113" s="106"/>
      <c r="F113" s="106"/>
      <c r="G113" s="106"/>
      <c r="H113" s="107"/>
      <c r="J113" s="33"/>
      <c r="T113" s="32"/>
    </row>
    <row r="114" spans="1:20" s="34" customFormat="1" ht="15.75" customHeight="1" x14ac:dyDescent="0.25">
      <c r="A114" s="102">
        <v>1</v>
      </c>
      <c r="B114" s="103"/>
      <c r="C114" s="39" t="s">
        <v>378</v>
      </c>
      <c r="D114" s="86">
        <f>(51.17)*(10.764)</f>
        <v>550.79387999999994</v>
      </c>
      <c r="E114" s="86">
        <f>(22.9)*(10.764)</f>
        <v>246.49559999999997</v>
      </c>
      <c r="F114" s="39">
        <f>D114+(IF(E114&lt;201,E114,IF(E114&lt;301,E114/2,E114/3)))</f>
        <v>674.04167999999993</v>
      </c>
      <c r="G114" s="39">
        <v>0</v>
      </c>
      <c r="H114" s="39">
        <f t="shared" ref="H114:H119" si="0">(F114+(IF(G114&lt;101,G114,IF(G114&lt;201,G114/2,IF(G114&lt;=301,G114/3,G114/4)))))*(($H$109)+1)</f>
        <v>1044.764604</v>
      </c>
      <c r="I114" s="33"/>
      <c r="J114" s="34">
        <f>6.31*7.99</f>
        <v>50.416899999999998</v>
      </c>
      <c r="K114" s="34">
        <f>6.41*3.65</f>
        <v>23.3965</v>
      </c>
      <c r="L114" s="101"/>
      <c r="M114" s="101"/>
      <c r="N114" s="33"/>
      <c r="T114" s="32"/>
    </row>
    <row r="115" spans="1:20" s="34" customFormat="1" ht="15.75" customHeight="1" x14ac:dyDescent="0.25">
      <c r="A115" s="102">
        <f>A114+1</f>
        <v>2</v>
      </c>
      <c r="B115" s="103"/>
      <c r="C115" s="39" t="s">
        <v>378</v>
      </c>
      <c r="D115" s="86">
        <f>(59.66)*(10.764)</f>
        <v>642.18023999999991</v>
      </c>
      <c r="E115" s="86">
        <f>(26.84)*(10.764)</f>
        <v>288.90575999999999</v>
      </c>
      <c r="F115" s="39">
        <f t="shared" ref="F115:F119" si="1">D115+(IF(E115&lt;201,E115,IF(E115&lt;301,E115/2,E115/3)))</f>
        <v>786.63311999999996</v>
      </c>
      <c r="G115" s="39">
        <v>0</v>
      </c>
      <c r="H115" s="39">
        <f t="shared" si="0"/>
        <v>1219.281336</v>
      </c>
      <c r="I115" s="33"/>
      <c r="L115" s="101"/>
      <c r="M115" s="101"/>
      <c r="N115" s="33"/>
      <c r="T115" s="31"/>
    </row>
    <row r="116" spans="1:20" s="34" customFormat="1" ht="15.75" customHeight="1" x14ac:dyDescent="0.25">
      <c r="A116" s="102">
        <f>A115+1</f>
        <v>3</v>
      </c>
      <c r="B116" s="103"/>
      <c r="C116" s="39" t="s">
        <v>378</v>
      </c>
      <c r="D116" s="86">
        <f>(33.52)*(10.764)</f>
        <v>360.80928</v>
      </c>
      <c r="E116" s="86">
        <f>(17.99)*(10.764)</f>
        <v>193.64435999999998</v>
      </c>
      <c r="F116" s="39">
        <f t="shared" si="1"/>
        <v>554.45363999999995</v>
      </c>
      <c r="G116" s="39">
        <v>0</v>
      </c>
      <c r="H116" s="39">
        <f t="shared" si="0"/>
        <v>859.403142</v>
      </c>
      <c r="I116" s="33"/>
      <c r="L116" s="101"/>
      <c r="M116" s="101"/>
      <c r="N116" s="33"/>
      <c r="T116" s="18"/>
    </row>
    <row r="117" spans="1:20" s="34" customFormat="1" ht="15.75" customHeight="1" x14ac:dyDescent="0.25">
      <c r="A117" s="102">
        <f>A116+1</f>
        <v>4</v>
      </c>
      <c r="B117" s="103"/>
      <c r="C117" s="39" t="s">
        <v>378</v>
      </c>
      <c r="D117" s="86">
        <f>(35.41)*(10.764)</f>
        <v>381.15323999999993</v>
      </c>
      <c r="E117" s="86">
        <f>(16.19)*(10.764)</f>
        <v>174.26916</v>
      </c>
      <c r="F117" s="39">
        <f t="shared" si="1"/>
        <v>555.42239999999993</v>
      </c>
      <c r="G117" s="39">
        <v>0</v>
      </c>
      <c r="H117" s="39">
        <f t="shared" si="0"/>
        <v>860.90471999999988</v>
      </c>
      <c r="I117" s="33"/>
      <c r="L117" s="101"/>
      <c r="M117" s="101"/>
      <c r="N117" s="33"/>
      <c r="T117" s="18"/>
    </row>
    <row r="118" spans="1:20" s="34" customFormat="1" ht="15.75" customHeight="1" x14ac:dyDescent="0.25">
      <c r="A118" s="102">
        <f>A117+1</f>
        <v>5</v>
      </c>
      <c r="B118" s="103"/>
      <c r="C118" s="39" t="s">
        <v>378</v>
      </c>
      <c r="D118" s="86">
        <f>(56.11)*(10.764)</f>
        <v>603.96803999999997</v>
      </c>
      <c r="E118" s="86">
        <f>(28.16)*(10.764)</f>
        <v>303.11424</v>
      </c>
      <c r="F118" s="39">
        <f t="shared" si="1"/>
        <v>705.00612000000001</v>
      </c>
      <c r="G118" s="39">
        <v>0</v>
      </c>
      <c r="H118" s="39">
        <f t="shared" si="0"/>
        <v>1092.7594860000002</v>
      </c>
      <c r="I118" s="33"/>
      <c r="L118" s="101"/>
      <c r="M118" s="101"/>
      <c r="N118" s="33"/>
      <c r="T118" s="18"/>
    </row>
    <row r="119" spans="1:20" s="34" customFormat="1" ht="15.75" customHeight="1" x14ac:dyDescent="0.25">
      <c r="A119" s="102">
        <f>A118+1</f>
        <v>6</v>
      </c>
      <c r="B119" s="103"/>
      <c r="C119" s="39" t="s">
        <v>378</v>
      </c>
      <c r="D119" s="86">
        <f>(46.91)*(10.764)</f>
        <v>504.93923999999993</v>
      </c>
      <c r="E119" s="86">
        <f>(21.27)*(10.764)</f>
        <v>228.95027999999999</v>
      </c>
      <c r="F119" s="39">
        <f t="shared" si="1"/>
        <v>619.41437999999994</v>
      </c>
      <c r="G119" s="39">
        <v>0</v>
      </c>
      <c r="H119" s="39">
        <f t="shared" si="0"/>
        <v>960.09228899999994</v>
      </c>
      <c r="I119" s="33"/>
      <c r="L119" s="101"/>
      <c r="M119" s="101"/>
      <c r="N119" s="33"/>
      <c r="T119" s="18"/>
    </row>
    <row r="120" spans="1:20" s="34" customFormat="1" x14ac:dyDescent="0.25">
      <c r="A120" s="105" t="s">
        <v>416</v>
      </c>
      <c r="B120" s="106"/>
      <c r="C120" s="106"/>
      <c r="D120" s="106"/>
      <c r="E120" s="106"/>
      <c r="F120" s="106"/>
      <c r="G120" s="106"/>
      <c r="H120" s="107"/>
      <c r="J120" s="33"/>
      <c r="T120" s="32"/>
    </row>
    <row r="121" spans="1:20" s="34" customFormat="1" x14ac:dyDescent="0.25">
      <c r="A121" s="102"/>
      <c r="B121" s="104"/>
      <c r="C121" s="104"/>
      <c r="D121" s="104"/>
      <c r="E121" s="104"/>
      <c r="F121" s="104"/>
      <c r="G121" s="104"/>
      <c r="H121" s="103"/>
      <c r="I121" s="33"/>
      <c r="N121" s="33"/>
    </row>
    <row r="122" spans="1:20" ht="47.25" customHeight="1" x14ac:dyDescent="0.25">
      <c r="A122" s="112" t="s">
        <v>393</v>
      </c>
      <c r="B122" s="108" t="s">
        <v>169</v>
      </c>
      <c r="C122" s="108" t="s">
        <v>54</v>
      </c>
      <c r="D122" s="108" t="s">
        <v>223</v>
      </c>
      <c r="E122" s="108" t="s">
        <v>409</v>
      </c>
      <c r="F122" s="108" t="s">
        <v>55</v>
      </c>
      <c r="G122" s="110" t="s">
        <v>56</v>
      </c>
      <c r="H122" s="84" t="s">
        <v>142</v>
      </c>
      <c r="I122" s="33"/>
      <c r="T122" s="34"/>
    </row>
    <row r="123" spans="1:20" s="34" customFormat="1" x14ac:dyDescent="0.25">
      <c r="A123" s="113"/>
      <c r="B123" s="109"/>
      <c r="C123" s="109"/>
      <c r="D123" s="109"/>
      <c r="E123" s="109"/>
      <c r="F123" s="109"/>
      <c r="G123" s="111"/>
      <c r="H123" s="85">
        <v>0.5</v>
      </c>
      <c r="I123" s="33"/>
    </row>
    <row r="124" spans="1:20" s="34" customFormat="1" x14ac:dyDescent="0.25">
      <c r="A124" s="105" t="s">
        <v>404</v>
      </c>
      <c r="B124" s="106"/>
      <c r="C124" s="106"/>
      <c r="D124" s="106"/>
      <c r="E124" s="106"/>
      <c r="F124" s="106"/>
      <c r="G124" s="106"/>
      <c r="H124" s="107"/>
      <c r="J124" s="33"/>
      <c r="T124" s="32"/>
    </row>
    <row r="125" spans="1:20" s="34" customFormat="1" x14ac:dyDescent="0.25">
      <c r="A125" s="105" t="s">
        <v>382</v>
      </c>
      <c r="B125" s="106"/>
      <c r="C125" s="106"/>
      <c r="D125" s="106"/>
      <c r="E125" s="106"/>
      <c r="F125" s="106"/>
      <c r="G125" s="106"/>
      <c r="H125" s="107"/>
      <c r="J125" s="86">
        <v>10.763999999999999</v>
      </c>
      <c r="T125" s="32"/>
    </row>
    <row r="126" spans="1:20" s="34" customFormat="1" x14ac:dyDescent="0.25">
      <c r="A126" s="105" t="s">
        <v>384</v>
      </c>
      <c r="B126" s="106"/>
      <c r="C126" s="106"/>
      <c r="D126" s="106"/>
      <c r="E126" s="106"/>
      <c r="F126" s="106"/>
      <c r="G126" s="106"/>
      <c r="H126" s="107"/>
      <c r="J126" s="33"/>
    </row>
    <row r="127" spans="1:20" s="34" customFormat="1" ht="34.15" customHeight="1" x14ac:dyDescent="0.25">
      <c r="A127" s="105" t="s">
        <v>407</v>
      </c>
      <c r="B127" s="106"/>
      <c r="C127" s="106"/>
      <c r="D127" s="106"/>
      <c r="E127" s="106"/>
      <c r="F127" s="106"/>
      <c r="G127" s="106"/>
      <c r="H127" s="107"/>
      <c r="I127" s="34">
        <f>5+4+4+4+4+4+2</f>
        <v>27</v>
      </c>
      <c r="J127" s="33"/>
    </row>
    <row r="128" spans="1:20" s="34" customFormat="1" ht="15.75" customHeight="1" x14ac:dyDescent="0.25">
      <c r="A128" s="102">
        <v>1</v>
      </c>
      <c r="B128" s="103"/>
      <c r="C128" s="39" t="s">
        <v>385</v>
      </c>
      <c r="D128" s="86">
        <f>(84.63)*(10.764)</f>
        <v>910.95731999999987</v>
      </c>
      <c r="E128" s="86">
        <f>(3.41)*10.764</f>
        <v>36.705239999999996</v>
      </c>
      <c r="F128" s="39">
        <f t="shared" ref="F128:F133" si="2">D128+E128</f>
        <v>947.66255999999987</v>
      </c>
      <c r="G128" s="39">
        <v>0</v>
      </c>
      <c r="H128" s="39">
        <f t="shared" ref="H128:H133" si="3">F128*(($H$123)+1)+(IF(G128&lt;101,G128,IF(G128&lt;201,G128/2,IF(G128&lt;=301,G128/3,G128/4))))</f>
        <v>1421.4938399999999</v>
      </c>
      <c r="I128" s="33"/>
      <c r="J128" s="34">
        <f>3.2*5.16+0.8*3.36+3.8*2.25+3.05*3.2+3.25*3.95+3.5*2.9+2.3*1.25+1.38*2.45+1.38*2.45+2.03*1.06+1.06*3.5+1.5*1.5</f>
        <v>78.246299999999977</v>
      </c>
      <c r="K128" s="34">
        <f>1.2*3.2</f>
        <v>3.84</v>
      </c>
      <c r="L128" s="101"/>
      <c r="M128" s="101"/>
      <c r="N128" s="33"/>
    </row>
    <row r="129" spans="1:20" s="34" customFormat="1" ht="15.75" customHeight="1" x14ac:dyDescent="0.25">
      <c r="A129" s="102">
        <f>A128+1</f>
        <v>2</v>
      </c>
      <c r="B129" s="103"/>
      <c r="C129" s="39" t="s">
        <v>385</v>
      </c>
      <c r="D129" s="86">
        <f>(91.62)*(10.764)</f>
        <v>986.19767999999999</v>
      </c>
      <c r="E129" s="86">
        <f>(3.39)*10.764</f>
        <v>36.489959999999996</v>
      </c>
      <c r="F129" s="39">
        <f t="shared" si="2"/>
        <v>1022.68764</v>
      </c>
      <c r="G129" s="39">
        <v>0</v>
      </c>
      <c r="H129" s="39">
        <f t="shared" si="3"/>
        <v>1534.0314599999999</v>
      </c>
      <c r="I129" s="33"/>
      <c r="L129" s="101"/>
      <c r="M129" s="101"/>
      <c r="N129" s="33"/>
    </row>
    <row r="130" spans="1:20" s="34" customFormat="1" ht="15.75" customHeight="1" x14ac:dyDescent="0.25">
      <c r="A130" s="102">
        <f>A129+1</f>
        <v>3</v>
      </c>
      <c r="B130" s="103"/>
      <c r="C130" s="39" t="s">
        <v>386</v>
      </c>
      <c r="D130" s="86">
        <f>(67.64)*(10.764)</f>
        <v>728.07695999999999</v>
      </c>
      <c r="E130" s="86">
        <f>(2.72)*10.764</f>
        <v>29.278079999999999</v>
      </c>
      <c r="F130" s="39">
        <f t="shared" si="2"/>
        <v>757.35504000000003</v>
      </c>
      <c r="G130" s="39">
        <v>0</v>
      </c>
      <c r="H130" s="39">
        <f t="shared" si="3"/>
        <v>1136.0325600000001</v>
      </c>
      <c r="I130" s="33"/>
      <c r="L130" s="101"/>
      <c r="M130" s="101"/>
      <c r="N130" s="33"/>
    </row>
    <row r="131" spans="1:20" s="34" customFormat="1" ht="15.75" customHeight="1" x14ac:dyDescent="0.25">
      <c r="A131" s="102">
        <f>A130+1</f>
        <v>4</v>
      </c>
      <c r="B131" s="103"/>
      <c r="C131" s="39" t="s">
        <v>387</v>
      </c>
      <c r="D131" s="86">
        <f>(52.65)*(10.764)</f>
        <v>566.7245999999999</v>
      </c>
      <c r="E131" s="86">
        <f>(2.56)*10.764</f>
        <v>27.55584</v>
      </c>
      <c r="F131" s="39">
        <f t="shared" si="2"/>
        <v>594.28043999999989</v>
      </c>
      <c r="G131" s="39">
        <v>0</v>
      </c>
      <c r="H131" s="39">
        <f t="shared" si="3"/>
        <v>891.42065999999977</v>
      </c>
      <c r="I131" s="33"/>
      <c r="L131" s="101"/>
      <c r="M131" s="101"/>
      <c r="N131" s="33"/>
      <c r="T131" s="18"/>
    </row>
    <row r="132" spans="1:20" s="34" customFormat="1" ht="15.75" customHeight="1" x14ac:dyDescent="0.25">
      <c r="A132" s="102">
        <f>A131+1</f>
        <v>5</v>
      </c>
      <c r="B132" s="103"/>
      <c r="C132" s="39" t="s">
        <v>386</v>
      </c>
      <c r="D132" s="86">
        <f>(59.04)*(10.764)</f>
        <v>635.50655999999992</v>
      </c>
      <c r="E132" s="86">
        <f>(2.56)*10.764</f>
        <v>27.55584</v>
      </c>
      <c r="F132" s="39">
        <f t="shared" si="2"/>
        <v>663.06239999999991</v>
      </c>
      <c r="G132" s="39">
        <v>0</v>
      </c>
      <c r="H132" s="39">
        <f t="shared" si="3"/>
        <v>994.59359999999992</v>
      </c>
      <c r="I132" s="33"/>
      <c r="L132" s="101"/>
      <c r="M132" s="101"/>
      <c r="N132" s="33"/>
    </row>
    <row r="133" spans="1:20" s="34" customFormat="1" ht="15.75" customHeight="1" x14ac:dyDescent="0.25">
      <c r="A133" s="102">
        <f>A132+1</f>
        <v>6</v>
      </c>
      <c r="B133" s="103"/>
      <c r="C133" s="39" t="s">
        <v>386</v>
      </c>
      <c r="D133" s="86">
        <f>(65.32)*(10.764)</f>
        <v>703.10447999999985</v>
      </c>
      <c r="E133" s="86">
        <f>(2.72)*10.764</f>
        <v>29.278079999999999</v>
      </c>
      <c r="F133" s="39">
        <f t="shared" si="2"/>
        <v>732.3825599999999</v>
      </c>
      <c r="G133" s="39">
        <v>0</v>
      </c>
      <c r="H133" s="39">
        <f t="shared" si="3"/>
        <v>1098.5738399999998</v>
      </c>
      <c r="I133" s="33"/>
      <c r="L133" s="101"/>
      <c r="M133" s="101"/>
      <c r="N133" s="33"/>
      <c r="T133" s="18"/>
    </row>
    <row r="134" spans="1:20" s="34" customFormat="1" x14ac:dyDescent="0.25">
      <c r="A134" s="105" t="s">
        <v>388</v>
      </c>
      <c r="B134" s="106"/>
      <c r="C134" s="106"/>
      <c r="D134" s="106"/>
      <c r="E134" s="106"/>
      <c r="F134" s="106"/>
      <c r="G134" s="106"/>
      <c r="H134" s="107"/>
      <c r="I134" s="34">
        <v>6</v>
      </c>
      <c r="J134" s="33"/>
    </row>
    <row r="135" spans="1:20" s="34" customFormat="1" ht="15.75" customHeight="1" x14ac:dyDescent="0.25">
      <c r="A135" s="102">
        <v>1</v>
      </c>
      <c r="B135" s="103"/>
      <c r="C135" s="39" t="s">
        <v>385</v>
      </c>
      <c r="D135" s="86">
        <f>(84.63)*(10.764)</f>
        <v>910.95731999999987</v>
      </c>
      <c r="E135" s="86">
        <f>(3.41)*10.764</f>
        <v>36.705239999999996</v>
      </c>
      <c r="F135" s="39">
        <f>D135+E135</f>
        <v>947.66255999999987</v>
      </c>
      <c r="G135" s="39">
        <v>0</v>
      </c>
      <c r="H135" s="39">
        <f>F135*(($H$123)+1)+(IF(G135&lt;101,G135,IF(G135&lt;201,G135/2,IF(G135&lt;=301,G135/3,G135/4))))</f>
        <v>1421.4938399999999</v>
      </c>
      <c r="I135" s="33"/>
      <c r="L135" s="101"/>
      <c r="M135" s="101"/>
      <c r="N135" s="33"/>
    </row>
    <row r="136" spans="1:20" s="34" customFormat="1" ht="15.75" customHeight="1" x14ac:dyDescent="0.25">
      <c r="A136" s="102">
        <f>A135+1</f>
        <v>2</v>
      </c>
      <c r="B136" s="103"/>
      <c r="C136" s="39" t="s">
        <v>385</v>
      </c>
      <c r="D136" s="86">
        <f>(91.62)*(10.764)</f>
        <v>986.19767999999999</v>
      </c>
      <c r="E136" s="86">
        <f>(3.39)*10.764</f>
        <v>36.489959999999996</v>
      </c>
      <c r="F136" s="39">
        <f>D136+E136</f>
        <v>1022.68764</v>
      </c>
      <c r="G136" s="39">
        <v>0</v>
      </c>
      <c r="H136" s="39">
        <f>F136*(($H$123)+1)+(IF(G136&lt;101,G136,IF(G136&lt;201,G136/2,IF(G136&lt;=301,G136/3,G136/4))))</f>
        <v>1534.0314599999999</v>
      </c>
      <c r="I136" s="33"/>
      <c r="L136" s="101"/>
      <c r="M136" s="101"/>
      <c r="N136" s="33"/>
    </row>
    <row r="137" spans="1:20" s="34" customFormat="1" ht="15.75" customHeight="1" x14ac:dyDescent="0.25">
      <c r="A137" s="102">
        <f>A136+1</f>
        <v>3</v>
      </c>
      <c r="B137" s="103"/>
      <c r="C137" s="39" t="s">
        <v>386</v>
      </c>
      <c r="D137" s="86">
        <f>(67.64)*(10.764)</f>
        <v>728.07695999999999</v>
      </c>
      <c r="E137" s="86">
        <f>(2.72)*10.764</f>
        <v>29.278079999999999</v>
      </c>
      <c r="F137" s="39">
        <f>D137+E137</f>
        <v>757.35504000000003</v>
      </c>
      <c r="G137" s="39">
        <v>0</v>
      </c>
      <c r="H137" s="39">
        <f>F137*(($H$123)+1)+(IF(G137&lt;101,G137,IF(G137&lt;201,G137/2,IF(G137&lt;=301,G137/3,G137/4))))</f>
        <v>1136.0325600000001</v>
      </c>
      <c r="I137" s="33"/>
      <c r="L137" s="101"/>
      <c r="M137" s="101"/>
      <c r="N137" s="33"/>
    </row>
    <row r="138" spans="1:20" s="34" customFormat="1" ht="15.75" customHeight="1" x14ac:dyDescent="0.25">
      <c r="A138" s="102">
        <f>A137+1</f>
        <v>4</v>
      </c>
      <c r="B138" s="103"/>
      <c r="C138" s="102" t="s">
        <v>389</v>
      </c>
      <c r="D138" s="104"/>
      <c r="E138" s="104"/>
      <c r="F138" s="104"/>
      <c r="G138" s="104"/>
      <c r="H138" s="103"/>
      <c r="I138" s="33"/>
      <c r="L138" s="101"/>
      <c r="M138" s="101"/>
      <c r="N138" s="33"/>
      <c r="T138" s="18"/>
    </row>
    <row r="139" spans="1:20" s="34" customFormat="1" ht="15.75" customHeight="1" x14ac:dyDescent="0.25">
      <c r="A139" s="102">
        <f>A138+1</f>
        <v>5</v>
      </c>
      <c r="B139" s="103"/>
      <c r="C139" s="39" t="s">
        <v>386</v>
      </c>
      <c r="D139" s="86">
        <f>(59.04)*(10.764)</f>
        <v>635.50655999999992</v>
      </c>
      <c r="E139" s="86">
        <f>(2.56)*10.764</f>
        <v>27.55584</v>
      </c>
      <c r="F139" s="39">
        <f>D139+E139</f>
        <v>663.06239999999991</v>
      </c>
      <c r="G139" s="39">
        <v>0</v>
      </c>
      <c r="H139" s="39">
        <f>F139*(($H$123)+1)+(IF(G139&lt;101,G139,IF(G139&lt;201,G139/2,IF(G139&lt;=301,G139/3,G139/4))))</f>
        <v>994.59359999999992</v>
      </c>
      <c r="I139" s="33"/>
      <c r="L139" s="101"/>
      <c r="M139" s="101"/>
      <c r="N139" s="33"/>
    </row>
    <row r="140" spans="1:20" s="34" customFormat="1" ht="15.75" customHeight="1" x14ac:dyDescent="0.25">
      <c r="A140" s="102">
        <f>A139+1</f>
        <v>6</v>
      </c>
      <c r="B140" s="103"/>
      <c r="C140" s="39" t="s">
        <v>386</v>
      </c>
      <c r="D140" s="86">
        <f>(65.32)*(10.764)</f>
        <v>703.10447999999985</v>
      </c>
      <c r="E140" s="86">
        <f>(2.72)*10.764</f>
        <v>29.278079999999999</v>
      </c>
      <c r="F140" s="39">
        <f>D140+E140</f>
        <v>732.3825599999999</v>
      </c>
      <c r="G140" s="39">
        <v>0</v>
      </c>
      <c r="H140" s="39">
        <f>F140*(($H$123)+1)+(IF(G140&lt;101,G140,IF(G140&lt;201,G140/2,IF(G140&lt;=301,G140/3,G140/4))))</f>
        <v>1098.5738399999998</v>
      </c>
      <c r="I140" s="33"/>
      <c r="L140" s="101"/>
      <c r="M140" s="101"/>
      <c r="N140" s="33"/>
      <c r="T140" s="18"/>
    </row>
    <row r="141" spans="1:20" s="32" customFormat="1" x14ac:dyDescent="0.25">
      <c r="A141" s="196" t="s">
        <v>64</v>
      </c>
      <c r="B141" s="196"/>
      <c r="C141" s="196"/>
      <c r="D141" s="196"/>
      <c r="E141" s="196"/>
      <c r="F141" s="196"/>
      <c r="G141" s="196"/>
      <c r="H141" s="196"/>
      <c r="T141" s="34"/>
    </row>
    <row r="142" spans="1:20" s="32" customFormat="1" x14ac:dyDescent="0.25">
      <c r="A142" s="41" t="s">
        <v>146</v>
      </c>
      <c r="B142" s="98" t="s">
        <v>425</v>
      </c>
      <c r="C142" s="99"/>
      <c r="D142" s="99"/>
      <c r="E142" s="99"/>
      <c r="F142" s="99"/>
      <c r="G142" s="99"/>
      <c r="H142" s="100"/>
      <c r="T142" s="34"/>
    </row>
    <row r="143" spans="1:20" s="32" customFormat="1" x14ac:dyDescent="0.25">
      <c r="A143" s="41" t="s">
        <v>146</v>
      </c>
      <c r="B143" s="98" t="str">
        <f>(IF(H122="Saleable area Loading :","We have considered Saleable area of Flats as per our Calculation.","We considered Saleable area of Flat as per Builder area Sheet."))</f>
        <v>We have considered Saleable area of Flats as per our Calculation.</v>
      </c>
      <c r="C143" s="99"/>
      <c r="D143" s="99"/>
      <c r="E143" s="99"/>
      <c r="F143" s="99"/>
      <c r="G143" s="99"/>
      <c r="H143" s="100"/>
      <c r="T143" s="34"/>
    </row>
    <row r="144" spans="1:20" s="32" customFormat="1" x14ac:dyDescent="0.25">
      <c r="A144" s="41" t="s">
        <v>146</v>
      </c>
      <c r="B144" s="98" t="str">
        <f>(IF(H108="Saleable area Loading :","We have considered Saleable area of Commercial as per our Calculation.","We considered Saleable area of Commercial as per Builder area Sheet."))</f>
        <v>We have considered Saleable area of Commercial as per our Calculation.</v>
      </c>
      <c r="C144" s="99"/>
      <c r="D144" s="99"/>
      <c r="E144" s="99"/>
      <c r="F144" s="99"/>
      <c r="G144" s="99"/>
      <c r="H144" s="100"/>
      <c r="T144" s="34"/>
    </row>
    <row r="145" spans="1:20" s="32" customFormat="1" x14ac:dyDescent="0.25">
      <c r="A145" s="41" t="s">
        <v>146</v>
      </c>
      <c r="B145" s="98" t="s">
        <v>116</v>
      </c>
      <c r="C145" s="99"/>
      <c r="D145" s="99"/>
      <c r="E145" s="99"/>
      <c r="F145" s="99"/>
      <c r="G145" s="99"/>
      <c r="H145" s="100"/>
      <c r="T145" s="34"/>
    </row>
    <row r="146" spans="1:20" s="32" customFormat="1" x14ac:dyDescent="0.25">
      <c r="A146" s="41" t="s">
        <v>146</v>
      </c>
      <c r="B146" s="98" t="s">
        <v>408</v>
      </c>
      <c r="C146" s="99"/>
      <c r="D146" s="99"/>
      <c r="E146" s="99"/>
      <c r="F146" s="99"/>
      <c r="G146" s="99"/>
      <c r="H146" s="100"/>
      <c r="T146" s="34"/>
    </row>
    <row r="147" spans="1:20" s="32" customFormat="1" x14ac:dyDescent="0.25">
      <c r="A147" s="41" t="s">
        <v>146</v>
      </c>
      <c r="B147" s="98" t="s">
        <v>145</v>
      </c>
      <c r="C147" s="99"/>
      <c r="D147" s="99"/>
      <c r="E147" s="99"/>
      <c r="F147" s="99"/>
      <c r="G147" s="99"/>
      <c r="H147" s="100"/>
    </row>
    <row r="148" spans="1:20" s="32" customFormat="1" x14ac:dyDescent="0.25">
      <c r="A148" s="41" t="s">
        <v>146</v>
      </c>
      <c r="B148" s="98" t="s">
        <v>117</v>
      </c>
      <c r="C148" s="99"/>
      <c r="D148" s="99"/>
      <c r="E148" s="99"/>
      <c r="F148" s="99"/>
      <c r="G148" s="99"/>
      <c r="H148" s="100"/>
    </row>
    <row r="149" spans="1:20" s="32" customFormat="1" ht="34.5" hidden="1" customHeight="1" x14ac:dyDescent="0.25">
      <c r="A149" s="41" t="s">
        <v>146</v>
      </c>
      <c r="B149" s="98" t="s">
        <v>147</v>
      </c>
      <c r="C149" s="99"/>
      <c r="D149" s="99"/>
      <c r="E149" s="99"/>
      <c r="F149" s="99"/>
      <c r="G149" s="99"/>
      <c r="H149" s="100"/>
    </row>
    <row r="150" spans="1:20" s="32" customFormat="1" x14ac:dyDescent="0.25">
      <c r="A150" s="41" t="s">
        <v>146</v>
      </c>
      <c r="B150" s="98" t="s">
        <v>118</v>
      </c>
      <c r="C150" s="99"/>
      <c r="D150" s="99"/>
      <c r="E150" s="99"/>
      <c r="F150" s="99"/>
      <c r="G150" s="99"/>
      <c r="H150" s="100"/>
    </row>
    <row r="151" spans="1:20" s="32" customFormat="1" hidden="1" x14ac:dyDescent="0.25">
      <c r="A151" s="41" t="s">
        <v>146</v>
      </c>
      <c r="B151" s="193" t="s">
        <v>339</v>
      </c>
      <c r="C151" s="194"/>
      <c r="D151" s="194"/>
      <c r="E151" s="194"/>
      <c r="F151" s="194"/>
      <c r="G151" s="194"/>
      <c r="H151" s="195"/>
    </row>
    <row r="152" spans="1:20" s="32" customFormat="1" hidden="1" x14ac:dyDescent="0.25">
      <c r="A152" s="41" t="s">
        <v>146</v>
      </c>
      <c r="B152" s="193" t="str">
        <f ca="1">IF(G52&gt;EDATE(E3,-48),"NO REMARK FOR CC","REMARK FOR CC")</f>
        <v>NO REMARK FOR CC</v>
      </c>
      <c r="C152" s="194"/>
      <c r="D152" s="194"/>
      <c r="E152" s="194"/>
      <c r="F152" s="194"/>
      <c r="G152" s="194"/>
      <c r="H152" s="195"/>
    </row>
    <row r="153" spans="1:20" s="32" customFormat="1" x14ac:dyDescent="0.25">
      <c r="A153" s="92" t="s">
        <v>146</v>
      </c>
      <c r="B153" s="98" t="s">
        <v>423</v>
      </c>
      <c r="C153" s="99"/>
      <c r="D153" s="99"/>
      <c r="E153" s="99"/>
      <c r="F153" s="99"/>
      <c r="G153" s="99"/>
      <c r="H153" s="100"/>
    </row>
    <row r="154" spans="1:20" s="32" customFormat="1" x14ac:dyDescent="0.25">
      <c r="A154" s="41" t="s">
        <v>146</v>
      </c>
      <c r="B154" s="98" t="s">
        <v>424</v>
      </c>
      <c r="C154" s="99"/>
      <c r="D154" s="99"/>
      <c r="E154" s="99"/>
      <c r="F154" s="99"/>
      <c r="G154" s="99"/>
      <c r="H154" s="100"/>
    </row>
    <row r="155" spans="1:20" x14ac:dyDescent="0.25">
      <c r="A155" s="161" t="s">
        <v>57</v>
      </c>
      <c r="B155" s="161"/>
      <c r="C155" s="161"/>
      <c r="D155" s="161"/>
      <c r="E155" s="161"/>
      <c r="F155" s="161"/>
      <c r="G155" s="161"/>
      <c r="H155" s="161"/>
      <c r="T155" s="32"/>
    </row>
    <row r="156" spans="1:20" x14ac:dyDescent="0.25">
      <c r="A156" s="96" t="s">
        <v>58</v>
      </c>
      <c r="B156" s="96"/>
      <c r="C156" s="96"/>
      <c r="D156" s="96"/>
      <c r="E156" s="96"/>
      <c r="F156" s="96"/>
      <c r="G156" s="96"/>
      <c r="H156" s="96"/>
      <c r="T156" s="32"/>
    </row>
    <row r="157" spans="1:20" ht="15.75" customHeight="1" x14ac:dyDescent="0.25">
      <c r="A157" s="192" t="s">
        <v>59</v>
      </c>
      <c r="B157" s="192"/>
      <c r="C157" s="192"/>
      <c r="D157" s="192"/>
      <c r="E157" s="192"/>
      <c r="F157" s="192"/>
      <c r="G157" s="192"/>
      <c r="H157" s="192"/>
      <c r="T157" s="32"/>
    </row>
    <row r="158" spans="1:20" x14ac:dyDescent="0.25">
      <c r="A158" s="96" t="s">
        <v>60</v>
      </c>
      <c r="B158" s="96"/>
      <c r="C158" s="96"/>
      <c r="D158" s="96"/>
      <c r="E158" s="96"/>
      <c r="F158" s="96"/>
      <c r="G158" s="96"/>
      <c r="H158" s="96"/>
      <c r="T158" s="32"/>
    </row>
    <row r="159" spans="1:20" x14ac:dyDescent="0.25">
      <c r="A159" s="96" t="s">
        <v>61</v>
      </c>
      <c r="B159" s="96"/>
      <c r="C159" s="96"/>
      <c r="D159" s="96"/>
      <c r="E159" s="96"/>
      <c r="F159" s="96"/>
      <c r="G159" s="96"/>
      <c r="H159" s="96"/>
      <c r="T159" s="32"/>
    </row>
    <row r="160" spans="1:20" x14ac:dyDescent="0.25">
      <c r="A160" s="96" t="s">
        <v>119</v>
      </c>
      <c r="B160" s="96"/>
      <c r="C160" s="96"/>
      <c r="D160" s="96"/>
      <c r="E160" s="96"/>
      <c r="F160" s="96"/>
      <c r="G160" s="96"/>
      <c r="H160" s="96"/>
      <c r="T160" s="32"/>
    </row>
    <row r="161" spans="1:8" ht="33.950000000000003" customHeight="1" x14ac:dyDescent="0.25">
      <c r="A161" s="162" t="s">
        <v>120</v>
      </c>
      <c r="B161" s="162"/>
      <c r="C161" s="162"/>
      <c r="D161" s="162"/>
      <c r="E161" s="162"/>
      <c r="F161" s="162"/>
      <c r="G161" s="162"/>
      <c r="H161" s="162"/>
    </row>
    <row r="162" spans="1:8" x14ac:dyDescent="0.25">
      <c r="A162" s="184" t="s">
        <v>73</v>
      </c>
      <c r="B162" s="184"/>
      <c r="C162" s="184" t="s">
        <v>395</v>
      </c>
      <c r="D162" s="184"/>
      <c r="E162" s="184" t="s">
        <v>101</v>
      </c>
      <c r="F162" s="184"/>
      <c r="G162" s="184" t="s">
        <v>426</v>
      </c>
      <c r="H162" s="184"/>
    </row>
    <row r="163" spans="1:8" x14ac:dyDescent="0.25">
      <c r="A163" s="183" t="s">
        <v>75</v>
      </c>
      <c r="B163" s="183"/>
      <c r="C163" s="183"/>
      <c r="D163" s="183"/>
      <c r="E163" s="183"/>
      <c r="F163" s="183"/>
      <c r="G163" s="183"/>
      <c r="H163" s="183"/>
    </row>
    <row r="164" spans="1:8" x14ac:dyDescent="0.25">
      <c r="A164" s="183"/>
      <c r="B164" s="183"/>
      <c r="C164" s="183"/>
      <c r="D164" s="183"/>
      <c r="E164" s="183"/>
      <c r="F164" s="183"/>
      <c r="G164" s="183"/>
      <c r="H164" s="183"/>
    </row>
    <row r="165" spans="1:8" x14ac:dyDescent="0.25">
      <c r="A165" s="183"/>
      <c r="B165" s="183"/>
      <c r="C165" s="183"/>
      <c r="D165" s="183"/>
      <c r="E165" s="183"/>
      <c r="F165" s="183"/>
      <c r="G165" s="183"/>
      <c r="H165" s="183"/>
    </row>
    <row r="166" spans="1:8" x14ac:dyDescent="0.25">
      <c r="A166" s="183"/>
      <c r="B166" s="183"/>
      <c r="C166" s="183"/>
      <c r="D166" s="183"/>
      <c r="E166" s="183"/>
      <c r="F166" s="183"/>
      <c r="G166" s="183"/>
      <c r="H166" s="183"/>
    </row>
    <row r="167" spans="1:8" x14ac:dyDescent="0.25">
      <c r="A167" s="35" t="s">
        <v>62</v>
      </c>
      <c r="B167" s="36"/>
      <c r="C167" s="36"/>
      <c r="D167" s="35" t="str">
        <f>E9</f>
        <v>Dosti West County ­ Phase 5 ­ Dosti Olive ­ Wing A</v>
      </c>
      <c r="F167" s="36"/>
      <c r="G167" s="36"/>
      <c r="H167" s="36"/>
    </row>
    <row r="168" spans="1:8" x14ac:dyDescent="0.25">
      <c r="A168" s="36"/>
      <c r="B168" s="36"/>
      <c r="C168" s="36"/>
      <c r="D168" s="36"/>
      <c r="E168" s="36"/>
      <c r="F168" s="36"/>
      <c r="G168" s="36"/>
      <c r="H168" s="36"/>
    </row>
    <row r="169" spans="1:8" x14ac:dyDescent="0.25">
      <c r="A169" s="36"/>
      <c r="B169" s="36"/>
      <c r="C169" s="36"/>
      <c r="D169" s="36"/>
      <c r="E169" s="36"/>
      <c r="F169" s="36"/>
      <c r="G169" s="36"/>
      <c r="H169" s="36"/>
    </row>
    <row r="170" spans="1:8" ht="15" customHeight="1" x14ac:dyDescent="0.25"/>
    <row r="208" spans="1:1" x14ac:dyDescent="0.25">
      <c r="A208" s="38" t="s">
        <v>155</v>
      </c>
    </row>
    <row r="249" spans="1:1" x14ac:dyDescent="0.25">
      <c r="A249" s="38" t="s">
        <v>63</v>
      </c>
    </row>
  </sheetData>
  <mergeCells count="308">
    <mergeCell ref="B153:H153"/>
    <mergeCell ref="I15:P15"/>
    <mergeCell ref="F96:H96"/>
    <mergeCell ref="F94:H94"/>
    <mergeCell ref="A54:B55"/>
    <mergeCell ref="G54:H54"/>
    <mergeCell ref="A56:B57"/>
    <mergeCell ref="E43:H43"/>
    <mergeCell ref="A43:D43"/>
    <mergeCell ref="C56:E56"/>
    <mergeCell ref="E20:F20"/>
    <mergeCell ref="G20:H20"/>
    <mergeCell ref="A21:B21"/>
    <mergeCell ref="C21:D21"/>
    <mergeCell ref="E21:F21"/>
    <mergeCell ref="G21:H21"/>
    <mergeCell ref="A22:B22"/>
    <mergeCell ref="C22:D22"/>
    <mergeCell ref="A80:B80"/>
    <mergeCell ref="E22:F22"/>
    <mergeCell ref="G22:H22"/>
    <mergeCell ref="E27:H27"/>
    <mergeCell ref="A29:D29"/>
    <mergeCell ref="E29:H29"/>
    <mergeCell ref="A26:D26"/>
    <mergeCell ref="A76:B76"/>
    <mergeCell ref="A81:B81"/>
    <mergeCell ref="A68:C68"/>
    <mergeCell ref="A85:E85"/>
    <mergeCell ref="C71:H71"/>
    <mergeCell ref="A66:C66"/>
    <mergeCell ref="D66:H66"/>
    <mergeCell ref="C73:H73"/>
    <mergeCell ref="A75:B75"/>
    <mergeCell ref="G74:H74"/>
    <mergeCell ref="A83:B83"/>
    <mergeCell ref="A84:B84"/>
    <mergeCell ref="A79:B79"/>
    <mergeCell ref="A78:B78"/>
    <mergeCell ref="E74:F74"/>
    <mergeCell ref="A77:B77"/>
    <mergeCell ref="A82:B82"/>
    <mergeCell ref="E26:H26"/>
    <mergeCell ref="C58:E58"/>
    <mergeCell ref="A74:B74"/>
    <mergeCell ref="A46:D46"/>
    <mergeCell ref="A47:D47"/>
    <mergeCell ref="D65:H65"/>
    <mergeCell ref="A160:H160"/>
    <mergeCell ref="A157:H157"/>
    <mergeCell ref="A135:B135"/>
    <mergeCell ref="A103:B103"/>
    <mergeCell ref="D122:D123"/>
    <mergeCell ref="E122:E123"/>
    <mergeCell ref="F86:H86"/>
    <mergeCell ref="G101:H101"/>
    <mergeCell ref="F93:H93"/>
    <mergeCell ref="C100:D100"/>
    <mergeCell ref="A127:H127"/>
    <mergeCell ref="B146:H146"/>
    <mergeCell ref="A156:H156"/>
    <mergeCell ref="A92:E92"/>
    <mergeCell ref="B152:H152"/>
    <mergeCell ref="B151:H151"/>
    <mergeCell ref="A141:H141"/>
    <mergeCell ref="A89:E89"/>
    <mergeCell ref="F90:H90"/>
    <mergeCell ref="A90:E90"/>
    <mergeCell ref="A131:B131"/>
    <mergeCell ref="B149:H149"/>
    <mergeCell ref="D108:D109"/>
    <mergeCell ref="A93:E93"/>
    <mergeCell ref="E100:F100"/>
    <mergeCell ref="A100:B100"/>
    <mergeCell ref="C103:D103"/>
    <mergeCell ref="F108:F109"/>
    <mergeCell ref="C101:D101"/>
    <mergeCell ref="E101:F101"/>
    <mergeCell ref="B108:B109"/>
    <mergeCell ref="A108:A109"/>
    <mergeCell ref="B144:H144"/>
    <mergeCell ref="A118:B118"/>
    <mergeCell ref="C104:D104"/>
    <mergeCell ref="E104:F104"/>
    <mergeCell ref="G104:H104"/>
    <mergeCell ref="A128:B128"/>
    <mergeCell ref="A117:B117"/>
    <mergeCell ref="A116:B116"/>
    <mergeCell ref="A119:B119"/>
    <mergeCell ref="A163:H166"/>
    <mergeCell ref="A162:B162"/>
    <mergeCell ref="E162:F162"/>
    <mergeCell ref="C162:D162"/>
    <mergeCell ref="G162:H162"/>
    <mergeCell ref="A99:H99"/>
    <mergeCell ref="A97:E97"/>
    <mergeCell ref="F97:H97"/>
    <mergeCell ref="A98:E98"/>
    <mergeCell ref="F98:H98"/>
    <mergeCell ref="A134:H134"/>
    <mergeCell ref="A104:B104"/>
    <mergeCell ref="A101:B101"/>
    <mergeCell ref="A158:H158"/>
    <mergeCell ref="A102:H102"/>
    <mergeCell ref="A161:H161"/>
    <mergeCell ref="A159:H159"/>
    <mergeCell ref="A155:H155"/>
    <mergeCell ref="G103:H103"/>
    <mergeCell ref="B147:H147"/>
    <mergeCell ref="A138:B138"/>
    <mergeCell ref="C105:D105"/>
    <mergeCell ref="A114:B114"/>
    <mergeCell ref="A105:B10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25:D25"/>
    <mergeCell ref="E25:H25"/>
    <mergeCell ref="A27:D27"/>
    <mergeCell ref="A61:C61"/>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50:B50"/>
    <mergeCell ref="A58:B58"/>
    <mergeCell ref="A63:C63"/>
    <mergeCell ref="D63:H63"/>
    <mergeCell ref="A73:B73"/>
    <mergeCell ref="A71:B71"/>
    <mergeCell ref="A70:C70"/>
    <mergeCell ref="D70:H70"/>
    <mergeCell ref="A69:C69"/>
    <mergeCell ref="D69:H69"/>
    <mergeCell ref="C51:E51"/>
    <mergeCell ref="D68:H68"/>
    <mergeCell ref="A67:C67"/>
    <mergeCell ref="D67:H67"/>
    <mergeCell ref="G51:H51"/>
    <mergeCell ref="C57:H57"/>
    <mergeCell ref="D62:H62"/>
    <mergeCell ref="A62:C62"/>
    <mergeCell ref="A30:D30"/>
    <mergeCell ref="E30:H30"/>
    <mergeCell ref="D60:H60"/>
    <mergeCell ref="D61:H61"/>
    <mergeCell ref="G58:H58"/>
    <mergeCell ref="A49:B49"/>
    <mergeCell ref="C49:H49"/>
    <mergeCell ref="G52:H52"/>
    <mergeCell ref="A59:H59"/>
    <mergeCell ref="C53:H53"/>
    <mergeCell ref="A60:C60"/>
    <mergeCell ref="A38:H38"/>
    <mergeCell ref="A37:B37"/>
    <mergeCell ref="C37:E37"/>
    <mergeCell ref="A42:D42"/>
    <mergeCell ref="E42:H42"/>
    <mergeCell ref="A41:H41"/>
    <mergeCell ref="A64:C64"/>
    <mergeCell ref="A65:C65"/>
    <mergeCell ref="D64:H64"/>
    <mergeCell ref="F37:H37"/>
    <mergeCell ref="A39:B39"/>
    <mergeCell ref="C39:H39"/>
    <mergeCell ref="C55:H55"/>
    <mergeCell ref="A52:B53"/>
    <mergeCell ref="C54:E54"/>
    <mergeCell ref="C52:E52"/>
    <mergeCell ref="E44:H44"/>
    <mergeCell ref="E45:H45"/>
    <mergeCell ref="A40:B40"/>
    <mergeCell ref="C40:H40"/>
    <mergeCell ref="E46:H46"/>
    <mergeCell ref="E47:H47"/>
    <mergeCell ref="A48:H48"/>
    <mergeCell ref="A45:D45"/>
    <mergeCell ref="A44:D44"/>
    <mergeCell ref="C50:E50"/>
    <mergeCell ref="G50:H50"/>
    <mergeCell ref="A51:B51"/>
    <mergeCell ref="G56:H56"/>
    <mergeCell ref="A86:E86"/>
    <mergeCell ref="A113:H113"/>
    <mergeCell ref="E108:E109"/>
    <mergeCell ref="E75:F84"/>
    <mergeCell ref="G75:H84"/>
    <mergeCell ref="A91:E91"/>
    <mergeCell ref="A96:E96"/>
    <mergeCell ref="A110:H110"/>
    <mergeCell ref="F85:H85"/>
    <mergeCell ref="F91:H91"/>
    <mergeCell ref="E103:F103"/>
    <mergeCell ref="A106:H106"/>
    <mergeCell ref="F88:H88"/>
    <mergeCell ref="A88:E88"/>
    <mergeCell ref="E105:F105"/>
    <mergeCell ref="C108:C109"/>
    <mergeCell ref="G108:G109"/>
    <mergeCell ref="A107:H107"/>
    <mergeCell ref="G100:H100"/>
    <mergeCell ref="A95:E95"/>
    <mergeCell ref="F92:H92"/>
    <mergeCell ref="A94:E94"/>
    <mergeCell ref="F89:H89"/>
    <mergeCell ref="G105:H105"/>
    <mergeCell ref="B150:H150"/>
    <mergeCell ref="B148:H148"/>
    <mergeCell ref="A139:B139"/>
    <mergeCell ref="A136:B136"/>
    <mergeCell ref="A137:B137"/>
    <mergeCell ref="A129:B129"/>
    <mergeCell ref="A130:B130"/>
    <mergeCell ref="B142:H142"/>
    <mergeCell ref="B143:H143"/>
    <mergeCell ref="B145:H145"/>
    <mergeCell ref="A132:B132"/>
    <mergeCell ref="L119:M119"/>
    <mergeCell ref="A120:H120"/>
    <mergeCell ref="A111:H111"/>
    <mergeCell ref="A125:H125"/>
    <mergeCell ref="A126:H126"/>
    <mergeCell ref="A112:H112"/>
    <mergeCell ref="A124:H124"/>
    <mergeCell ref="C122:C123"/>
    <mergeCell ref="G122:G123"/>
    <mergeCell ref="A121:H121"/>
    <mergeCell ref="A122:A123"/>
    <mergeCell ref="F122:F123"/>
    <mergeCell ref="B122:B123"/>
    <mergeCell ref="A115:B115"/>
    <mergeCell ref="A87:E87"/>
    <mergeCell ref="F87:H87"/>
    <mergeCell ref="B154:H154"/>
    <mergeCell ref="L133:M133"/>
    <mergeCell ref="L135:M135"/>
    <mergeCell ref="L136:M136"/>
    <mergeCell ref="L137:M137"/>
    <mergeCell ref="L138:M138"/>
    <mergeCell ref="L139:M139"/>
    <mergeCell ref="A140:B140"/>
    <mergeCell ref="L140:M140"/>
    <mergeCell ref="C138:H138"/>
    <mergeCell ref="A133:B133"/>
    <mergeCell ref="F95:H95"/>
    <mergeCell ref="L132:M132"/>
    <mergeCell ref="L131:M131"/>
    <mergeCell ref="L128:M128"/>
    <mergeCell ref="L129:M129"/>
    <mergeCell ref="L130:M130"/>
    <mergeCell ref="L117:M117"/>
    <mergeCell ref="L116:M116"/>
    <mergeCell ref="L115:M115"/>
    <mergeCell ref="L114:M114"/>
    <mergeCell ref="L118:M118"/>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08:E109" xr:uid="{00000000-0002-0000-0000-000003000000}">
      <formula1>"Attached Loft area,Attached Otla area,Attached Mezzanine area"</formula1>
    </dataValidation>
    <dataValidation type="list" allowBlank="1" showInputMessage="1" showErrorMessage="1" sqref="G162:H162" xr:uid="{00000000-0002-0000-0000-000004000000}">
      <formula1>"Kunal Kadam,Pranita Mhatre,Shruti Fule,Pooja Kawale,Gaurav Panchal,Shruti Tathare, Dipti Gothawade,Saurav Panse, Sachin Sawant"</formula1>
    </dataValidation>
    <dataValidation type="list" allowBlank="1" showInputMessage="1" showErrorMessage="1" sqref="F85:H85" xr:uid="{00000000-0002-0000-0000-000005000000}">
      <formula1>"On Saleable Area,On Builtup Area,On Carpet Area,On Plot Area"</formula1>
    </dataValidation>
    <dataValidation type="list" allowBlank="1" showInputMessage="1" showErrorMessage="1" sqref="F97:H97" xr:uid="{00000000-0002-0000-0000-000006000000}">
      <formula1>OFFSET($S$85,1,MATCH($G20,$S$85:$W$85,0)-1,15,1)</formula1>
    </dataValidation>
    <dataValidation type="list" allowBlank="1" showInputMessage="1" showErrorMessage="1" sqref="B108:B109" xr:uid="{00000000-0002-0000-0000-000007000000}">
      <formula1>"Shop No. (Sale Plan),Sale / Rehab,Sale / Mhada"</formula1>
    </dataValidation>
    <dataValidation type="list" allowBlank="1" showInputMessage="1" showErrorMessage="1" sqref="B122:B123" xr:uid="{00000000-0002-0000-0000-000008000000}">
      <formula1>"Flat No. (Sale Plan),Sale / Rehab,Sale / Mhada"</formula1>
    </dataValidation>
    <dataValidation type="list" allowBlank="1" showInputMessage="1" showErrorMessage="1" sqref="Y13" xr:uid="{00000000-0002-0000-0000-000009000000}">
      <formula1>$D$5:$H$5</formula1>
    </dataValidation>
    <dataValidation type="list" allowBlank="1" showInputMessage="1" showErrorMessage="1" sqref="E122:E123" xr:uid="{00000000-0002-0000-0000-00000A000000}">
      <formula1>"Balcony + Chhaja Area, Fungible area,Balcony Area,Chajja Area,Cornice Area,AP Area,WS Area"</formula1>
    </dataValidation>
    <dataValidation type="list" allowBlank="1" showInputMessage="1" showErrorMessage="1" sqref="H109 H123"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list" allowBlank="1" showInputMessage="1" showErrorMessage="1" sqref="H108 H122" xr:uid="{00000000-0002-0000-0000-00000E000000}">
      <formula1>"Saleable area Loading :,Builder Saleable Area"</formula1>
    </dataValidation>
    <dataValidation type="list" allowBlank="1" showInputMessage="1" showErrorMessage="1" sqref="D108:D109 D122:D123" xr:uid="{00000000-0002-0000-0000-00000F000000}">
      <formula1>"Carpet area,RERA Carpet area"</formula1>
    </dataValidation>
    <dataValidation type="list" allowBlank="1" showInputMessage="1" showErrorMessage="1" sqref="C21:D21" xr:uid="{00000000-0002-0000-0000-000010000000}">
      <formula1>OFFSET($S$13,1,MATCH($G20,$S$13:$W$13,0)-1,15,1)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32" max="16383" man="1"/>
    <brk id="154" max="16383" man="1"/>
    <brk id="166" max="16383" man="1"/>
    <brk id="207" max="16383" man="1"/>
    <brk id="24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4" t="s">
        <v>102</v>
      </c>
      <c r="C3" s="214"/>
      <c r="D3" s="214"/>
      <c r="E3" s="214"/>
      <c r="F3" s="214"/>
      <c r="G3" s="214"/>
      <c r="H3" s="214"/>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7"/>
      <c r="C4" s="47" t="s">
        <v>11</v>
      </c>
      <c r="D4" s="48" t="s">
        <v>170</v>
      </c>
      <c r="E4" s="48" t="s">
        <v>180</v>
      </c>
      <c r="F4" s="48" t="s">
        <v>164</v>
      </c>
      <c r="G4" s="48" t="s">
        <v>185</v>
      </c>
      <c r="H4" s="48" t="s">
        <v>203</v>
      </c>
      <c r="J4" t="s">
        <v>185</v>
      </c>
      <c r="K4" t="s">
        <v>201</v>
      </c>
    </row>
    <row r="5" spans="2:11" x14ac:dyDescent="0.25">
      <c r="B5" s="47"/>
      <c r="C5" s="47"/>
      <c r="D5" s="48" t="s">
        <v>171</v>
      </c>
      <c r="E5" s="48" t="s">
        <v>178</v>
      </c>
      <c r="F5" s="48" t="s">
        <v>200</v>
      </c>
      <c r="G5" s="48" t="s">
        <v>186</v>
      </c>
      <c r="H5" s="48" t="s">
        <v>204</v>
      </c>
    </row>
    <row r="6" spans="2:11" x14ac:dyDescent="0.25">
      <c r="B6" s="47"/>
      <c r="C6" s="47"/>
      <c r="D6" s="48" t="s">
        <v>172</v>
      </c>
      <c r="E6" s="48" t="s">
        <v>179</v>
      </c>
      <c r="F6" s="48" t="s">
        <v>201</v>
      </c>
      <c r="G6" s="48" t="s">
        <v>187</v>
      </c>
      <c r="H6" s="48" t="s">
        <v>217</v>
      </c>
    </row>
    <row r="7" spans="2:11" x14ac:dyDescent="0.25">
      <c r="B7" s="47"/>
      <c r="C7" s="47"/>
      <c r="D7" s="48" t="s">
        <v>173</v>
      </c>
      <c r="E7" s="48" t="s">
        <v>181</v>
      </c>
      <c r="F7" s="48" t="s">
        <v>202</v>
      </c>
      <c r="G7" s="48" t="s">
        <v>188</v>
      </c>
      <c r="H7" s="48" t="s">
        <v>205</v>
      </c>
    </row>
    <row r="8" spans="2:11" x14ac:dyDescent="0.25">
      <c r="B8" s="47"/>
      <c r="C8" s="47"/>
      <c r="D8" s="48" t="s">
        <v>174</v>
      </c>
      <c r="E8" s="48" t="s">
        <v>182</v>
      </c>
      <c r="F8" s="48"/>
      <c r="G8" s="48" t="s">
        <v>189</v>
      </c>
      <c r="H8" s="48" t="s">
        <v>206</v>
      </c>
    </row>
    <row r="9" spans="2:11" x14ac:dyDescent="0.25">
      <c r="B9" s="47"/>
      <c r="C9" s="47"/>
      <c r="D9" s="48" t="s">
        <v>175</v>
      </c>
      <c r="E9" s="48" t="s">
        <v>180</v>
      </c>
      <c r="F9" s="48"/>
      <c r="G9" s="48" t="s">
        <v>190</v>
      </c>
      <c r="H9" s="48" t="s">
        <v>207</v>
      </c>
    </row>
    <row r="10" spans="2:11" x14ac:dyDescent="0.25">
      <c r="B10" s="47"/>
      <c r="C10" s="47"/>
      <c r="D10" s="48" t="s">
        <v>176</v>
      </c>
      <c r="E10" s="48" t="s">
        <v>183</v>
      </c>
      <c r="F10" s="48"/>
      <c r="G10" s="48" t="s">
        <v>191</v>
      </c>
      <c r="H10" s="48" t="s">
        <v>208</v>
      </c>
    </row>
    <row r="11" spans="2:11" x14ac:dyDescent="0.25">
      <c r="B11" s="47"/>
      <c r="C11" s="47"/>
      <c r="D11" s="48" t="s">
        <v>177</v>
      </c>
      <c r="E11" s="48" t="s">
        <v>184</v>
      </c>
      <c r="F11" s="48"/>
      <c r="G11" s="48" t="s">
        <v>192</v>
      </c>
      <c r="H11" s="48" t="s">
        <v>209</v>
      </c>
    </row>
    <row r="12" spans="2:11" x14ac:dyDescent="0.25">
      <c r="B12" s="47"/>
      <c r="C12" s="47"/>
      <c r="D12" s="48"/>
      <c r="E12" s="48"/>
      <c r="F12" s="48"/>
      <c r="G12" s="48" t="s">
        <v>193</v>
      </c>
      <c r="H12" s="48" t="s">
        <v>210</v>
      </c>
    </row>
    <row r="13" spans="2:11" x14ac:dyDescent="0.25">
      <c r="B13" s="47"/>
      <c r="C13" s="47"/>
      <c r="D13" s="48"/>
      <c r="E13" s="48"/>
      <c r="F13" s="48"/>
      <c r="G13" s="48" t="s">
        <v>194</v>
      </c>
      <c r="H13" s="48" t="s">
        <v>211</v>
      </c>
    </row>
    <row r="14" spans="2:11" x14ac:dyDescent="0.25">
      <c r="B14" s="47"/>
      <c r="C14" s="47"/>
      <c r="D14" s="48"/>
      <c r="E14" s="48"/>
      <c r="F14" s="48"/>
      <c r="G14" s="48" t="s">
        <v>195</v>
      </c>
      <c r="H14" s="48" t="s">
        <v>212</v>
      </c>
    </row>
    <row r="15" spans="2:11" x14ac:dyDescent="0.25">
      <c r="B15" s="47"/>
      <c r="C15" s="47"/>
      <c r="D15" s="48"/>
      <c r="E15" s="48"/>
      <c r="F15" s="48"/>
      <c r="G15" s="48" t="s">
        <v>196</v>
      </c>
      <c r="H15" s="48" t="s">
        <v>213</v>
      </c>
    </row>
    <row r="16" spans="2:11" x14ac:dyDescent="0.25">
      <c r="B16" s="47"/>
      <c r="C16" s="47"/>
      <c r="D16" s="48"/>
      <c r="E16" s="48"/>
      <c r="F16" s="48"/>
      <c r="G16" s="48" t="s">
        <v>197</v>
      </c>
      <c r="H16" s="48" t="s">
        <v>214</v>
      </c>
    </row>
    <row r="17" spans="2:8" x14ac:dyDescent="0.25">
      <c r="B17" s="47"/>
      <c r="C17" s="47"/>
      <c r="D17" s="48"/>
      <c r="E17" s="48"/>
      <c r="F17" s="48"/>
      <c r="G17" s="48" t="s">
        <v>198</v>
      </c>
      <c r="H17" s="48" t="s">
        <v>215</v>
      </c>
    </row>
    <row r="18" spans="2:8" x14ac:dyDescent="0.25">
      <c r="B18" s="47"/>
      <c r="C18" s="47"/>
      <c r="D18" s="48"/>
      <c r="E18" s="48"/>
      <c r="F18" s="48"/>
      <c r="G18" s="48" t="s">
        <v>199</v>
      </c>
      <c r="H18" s="48" t="s">
        <v>216</v>
      </c>
    </row>
    <row r="24" spans="2:8" x14ac:dyDescent="0.25">
      <c r="C24" t="s">
        <v>161</v>
      </c>
    </row>
    <row r="25" spans="2:8" x14ac:dyDescent="0.25">
      <c r="C25" t="s">
        <v>218</v>
      </c>
    </row>
    <row r="26" spans="2:8" x14ac:dyDescent="0.25">
      <c r="C26" t="s">
        <v>219</v>
      </c>
    </row>
    <row r="27" spans="2:8" x14ac:dyDescent="0.25">
      <c r="C27" t="s">
        <v>220</v>
      </c>
    </row>
    <row r="28" spans="2:8" x14ac:dyDescent="0.25">
      <c r="C28" t="s">
        <v>221</v>
      </c>
    </row>
    <row r="29" spans="2:8" x14ac:dyDescent="0.25">
      <c r="C29" t="s">
        <v>222</v>
      </c>
    </row>
    <row r="30" spans="2:8" x14ac:dyDescent="0.25">
      <c r="C30" t="s">
        <v>161</v>
      </c>
    </row>
    <row r="33" spans="3:11" x14ac:dyDescent="0.25">
      <c r="J33">
        <v>1</v>
      </c>
      <c r="K33">
        <v>2</v>
      </c>
    </row>
    <row r="34" spans="3:11" x14ac:dyDescent="0.25">
      <c r="C34" s="49" t="s">
        <v>227</v>
      </c>
      <c r="D34" s="48" t="s">
        <v>225</v>
      </c>
      <c r="E34" s="48" t="s">
        <v>230</v>
      </c>
      <c r="F34" s="48" t="s">
        <v>228</v>
      </c>
      <c r="G34" s="48" t="s">
        <v>229</v>
      </c>
      <c r="H34" s="48" t="s">
        <v>231</v>
      </c>
      <c r="J34" t="s">
        <v>185</v>
      </c>
      <c r="K34" t="s">
        <v>201</v>
      </c>
    </row>
    <row r="35" spans="3:11" x14ac:dyDescent="0.25">
      <c r="C35" s="47" t="s">
        <v>226</v>
      </c>
      <c r="D35" s="48" t="s">
        <v>162</v>
      </c>
      <c r="E35" s="48" t="s">
        <v>235</v>
      </c>
      <c r="F35" s="48" t="s">
        <v>237</v>
      </c>
      <c r="G35" s="48" t="s">
        <v>239</v>
      </c>
      <c r="H35" s="48"/>
    </row>
    <row r="36" spans="3:11" x14ac:dyDescent="0.25">
      <c r="C36" s="47"/>
      <c r="D36" s="48" t="s">
        <v>232</v>
      </c>
      <c r="E36" s="48" t="s">
        <v>236</v>
      </c>
      <c r="F36" s="48" t="s">
        <v>238</v>
      </c>
      <c r="G36" s="48" t="s">
        <v>240</v>
      </c>
      <c r="H36" s="48"/>
    </row>
    <row r="37" spans="3:11" x14ac:dyDescent="0.25">
      <c r="C37" s="47"/>
      <c r="D37" s="48" t="s">
        <v>233</v>
      </c>
      <c r="E37" s="48"/>
      <c r="F37" s="48"/>
      <c r="G37" s="48" t="s">
        <v>241</v>
      </c>
      <c r="H37" s="48"/>
    </row>
    <row r="38" spans="3:11" x14ac:dyDescent="0.25">
      <c r="C38" s="47"/>
      <c r="D38" s="48" t="s">
        <v>234</v>
      </c>
      <c r="E38" s="48"/>
      <c r="F38" s="48"/>
      <c r="G38" s="48" t="s">
        <v>241</v>
      </c>
      <c r="H38" s="48"/>
    </row>
    <row r="39" spans="3:11" x14ac:dyDescent="0.25">
      <c r="C39" s="47"/>
      <c r="D39" s="48"/>
      <c r="E39" s="48"/>
      <c r="F39" s="48"/>
      <c r="G39" s="48" t="s">
        <v>242</v>
      </c>
      <c r="H39" s="48"/>
    </row>
    <row r="40" spans="3:11" x14ac:dyDescent="0.25">
      <c r="C40" s="47"/>
      <c r="D40" s="48"/>
      <c r="E40" s="48"/>
      <c r="F40" s="48"/>
      <c r="G40" s="48" t="s">
        <v>243</v>
      </c>
      <c r="H40" s="48"/>
    </row>
    <row r="41" spans="3:11" x14ac:dyDescent="0.25">
      <c r="C41" s="47"/>
      <c r="D41" s="48"/>
      <c r="E41" s="48"/>
      <c r="F41" s="48"/>
      <c r="G41" s="48"/>
      <c r="H41" s="48"/>
    </row>
    <row r="43" spans="3:11" x14ac:dyDescent="0.25">
      <c r="C43" t="s">
        <v>244</v>
      </c>
    </row>
    <row r="44" spans="3:11" x14ac:dyDescent="0.25">
      <c r="C44" t="s">
        <v>164</v>
      </c>
      <c r="D44" t="s">
        <v>245</v>
      </c>
    </row>
    <row r="45" spans="3:11" x14ac:dyDescent="0.25">
      <c r="D45" t="s">
        <v>246</v>
      </c>
    </row>
    <row r="46" spans="3:11" x14ac:dyDescent="0.25">
      <c r="D46" t="s">
        <v>247</v>
      </c>
    </row>
    <row r="47" spans="3:11" x14ac:dyDescent="0.25">
      <c r="D47" t="s">
        <v>248</v>
      </c>
    </row>
    <row r="48" spans="3:11" x14ac:dyDescent="0.25">
      <c r="D48" t="s">
        <v>249</v>
      </c>
    </row>
    <row r="49" spans="3:4" x14ac:dyDescent="0.25">
      <c r="C49" t="s">
        <v>170</v>
      </c>
      <c r="D49" t="s">
        <v>250</v>
      </c>
    </row>
    <row r="50" spans="3:4" x14ac:dyDescent="0.25">
      <c r="D50" t="s">
        <v>251</v>
      </c>
    </row>
    <row r="51" spans="3:4" x14ac:dyDescent="0.25">
      <c r="D51" t="s">
        <v>252</v>
      </c>
    </row>
    <row r="52" spans="3:4" x14ac:dyDescent="0.25">
      <c r="D52" t="s">
        <v>255</v>
      </c>
    </row>
    <row r="53" spans="3:4" x14ac:dyDescent="0.25">
      <c r="D53" t="s">
        <v>253</v>
      </c>
    </row>
    <row r="54" spans="3:4" x14ac:dyDescent="0.25">
      <c r="D54" t="s">
        <v>254</v>
      </c>
    </row>
    <row r="55" spans="3:4" x14ac:dyDescent="0.25">
      <c r="D55" t="s">
        <v>256</v>
      </c>
    </row>
    <row r="56" spans="3:4" x14ac:dyDescent="0.25">
      <c r="D56" t="s">
        <v>257</v>
      </c>
    </row>
    <row r="57" spans="3:4" x14ac:dyDescent="0.25">
      <c r="D57" t="s">
        <v>258</v>
      </c>
    </row>
    <row r="58" spans="3:4" x14ac:dyDescent="0.25">
      <c r="D58" t="s">
        <v>260</v>
      </c>
    </row>
    <row r="59" spans="3:4" x14ac:dyDescent="0.25">
      <c r="D59" t="s">
        <v>269</v>
      </c>
    </row>
    <row r="60" spans="3:4" x14ac:dyDescent="0.25">
      <c r="C60" t="s">
        <v>185</v>
      </c>
      <c r="D60" t="s">
        <v>261</v>
      </c>
    </row>
    <row r="61" spans="3:4" x14ac:dyDescent="0.25">
      <c r="D61" t="s">
        <v>259</v>
      </c>
    </row>
    <row r="62" spans="3:4" x14ac:dyDescent="0.25">
      <c r="D62" t="s">
        <v>249</v>
      </c>
    </row>
    <row r="63" spans="3:4" x14ac:dyDescent="0.25">
      <c r="D63" t="s">
        <v>262</v>
      </c>
    </row>
    <row r="64" spans="3:4" x14ac:dyDescent="0.25">
      <c r="D64" t="s">
        <v>263</v>
      </c>
    </row>
    <row r="65" spans="3:4" x14ac:dyDescent="0.25">
      <c r="D65" t="s">
        <v>264</v>
      </c>
    </row>
    <row r="66" spans="3:4" x14ac:dyDescent="0.25">
      <c r="D66" t="s">
        <v>265</v>
      </c>
    </row>
    <row r="67" spans="3:4" x14ac:dyDescent="0.25">
      <c r="C67" t="s">
        <v>180</v>
      </c>
      <c r="D67" t="s">
        <v>266</v>
      </c>
    </row>
    <row r="68" spans="3:4" x14ac:dyDescent="0.25">
      <c r="D68" t="s">
        <v>267</v>
      </c>
    </row>
    <row r="69" spans="3:4" x14ac:dyDescent="0.25">
      <c r="D69" t="s">
        <v>268</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9"/>
  <sheetViews>
    <sheetView topLeftCell="A38" zoomScaleNormal="100" workbookViewId="0">
      <selection activeCell="C50" sqref="C50"/>
    </sheetView>
  </sheetViews>
  <sheetFormatPr defaultRowHeight="15" x14ac:dyDescent="0.25"/>
  <cols>
    <col min="2" max="2" width="3" bestFit="1" customWidth="1"/>
    <col min="3" max="3" width="155.28515625" customWidth="1"/>
  </cols>
  <sheetData>
    <row r="2" spans="2:3" ht="15" customHeight="1" x14ac:dyDescent="0.25">
      <c r="B2" s="50">
        <v>1</v>
      </c>
      <c r="C2" s="52" t="s">
        <v>274</v>
      </c>
    </row>
    <row r="3" spans="2:3" x14ac:dyDescent="0.25">
      <c r="B3" s="50">
        <v>2</v>
      </c>
      <c r="C3" s="51" t="s">
        <v>275</v>
      </c>
    </row>
    <row r="4" spans="2:3" x14ac:dyDescent="0.25">
      <c r="B4" s="50">
        <v>3</v>
      </c>
      <c r="C4" s="50" t="s">
        <v>276</v>
      </c>
    </row>
    <row r="5" spans="2:3" x14ac:dyDescent="0.25">
      <c r="B5" s="50">
        <v>4</v>
      </c>
      <c r="C5" s="51" t="s">
        <v>277</v>
      </c>
    </row>
    <row r="6" spans="2:3" x14ac:dyDescent="0.25">
      <c r="B6" s="50">
        <v>5</v>
      </c>
      <c r="C6" s="50" t="s">
        <v>278</v>
      </c>
    </row>
    <row r="7" spans="2:3" ht="30" x14ac:dyDescent="0.25">
      <c r="B7" s="50">
        <v>6</v>
      </c>
      <c r="C7" s="51" t="s">
        <v>279</v>
      </c>
    </row>
    <row r="8" spans="2:3" ht="75" x14ac:dyDescent="0.25">
      <c r="B8" s="50">
        <v>7</v>
      </c>
      <c r="C8" s="51" t="s">
        <v>280</v>
      </c>
    </row>
    <row r="9" spans="2:3" x14ac:dyDescent="0.25">
      <c r="B9" s="50">
        <v>8</v>
      </c>
      <c r="C9" s="50" t="s">
        <v>281</v>
      </c>
    </row>
    <row r="10" spans="2:3" x14ac:dyDescent="0.25">
      <c r="B10" s="50">
        <v>9</v>
      </c>
      <c r="C10" s="50" t="s">
        <v>282</v>
      </c>
    </row>
    <row r="11" spans="2:3" x14ac:dyDescent="0.25">
      <c r="B11" s="50">
        <v>10</v>
      </c>
      <c r="C11" s="50" t="s">
        <v>283</v>
      </c>
    </row>
    <row r="12" spans="2:3" x14ac:dyDescent="0.25">
      <c r="B12" s="50">
        <v>11</v>
      </c>
      <c r="C12" s="50" t="s">
        <v>284</v>
      </c>
    </row>
    <row r="13" spans="2:3" x14ac:dyDescent="0.25">
      <c r="B13" s="50">
        <v>12</v>
      </c>
      <c r="C13" s="50" t="s">
        <v>285</v>
      </c>
    </row>
    <row r="14" spans="2:3" x14ac:dyDescent="0.25">
      <c r="B14" s="50">
        <v>13</v>
      </c>
      <c r="C14" s="50" t="s">
        <v>286</v>
      </c>
    </row>
    <row r="15" spans="2:3" x14ac:dyDescent="0.25">
      <c r="B15" s="50">
        <v>14</v>
      </c>
      <c r="C15" s="50" t="s">
        <v>276</v>
      </c>
    </row>
    <row r="16" spans="2:3" x14ac:dyDescent="0.25">
      <c r="B16" s="50">
        <v>15</v>
      </c>
      <c r="C16" s="50" t="s">
        <v>287</v>
      </c>
    </row>
    <row r="17" spans="2:3" x14ac:dyDescent="0.25">
      <c r="B17" s="68">
        <v>16</v>
      </c>
      <c r="C17" s="55" t="s">
        <v>288</v>
      </c>
    </row>
    <row r="18" spans="2:3" x14ac:dyDescent="0.25">
      <c r="B18" s="54">
        <v>17</v>
      </c>
      <c r="C18" s="55" t="s">
        <v>289</v>
      </c>
    </row>
    <row r="19" spans="2:3" x14ac:dyDescent="0.25">
      <c r="B19" s="53">
        <v>18</v>
      </c>
      <c r="C19" s="50" t="s">
        <v>290</v>
      </c>
    </row>
    <row r="20" spans="2:3" x14ac:dyDescent="0.25">
      <c r="B20" s="54">
        <v>19</v>
      </c>
      <c r="C20" s="50" t="s">
        <v>326</v>
      </c>
    </row>
    <row r="21" spans="2:3" x14ac:dyDescent="0.25">
      <c r="B21" s="50">
        <v>20</v>
      </c>
      <c r="C21" s="50" t="s">
        <v>291</v>
      </c>
    </row>
    <row r="22" spans="2:3" x14ac:dyDescent="0.25">
      <c r="B22" s="54">
        <v>21</v>
      </c>
      <c r="C22" s="50" t="s">
        <v>290</v>
      </c>
    </row>
    <row r="23" spans="2:3" s="63" customFormat="1" ht="29.25" customHeight="1" x14ac:dyDescent="0.25">
      <c r="B23" s="62">
        <v>22</v>
      </c>
      <c r="C23" s="52" t="s">
        <v>318</v>
      </c>
    </row>
    <row r="24" spans="2:3" s="63" customFormat="1" ht="30.75" customHeight="1" x14ac:dyDescent="0.25">
      <c r="B24" s="64">
        <v>23</v>
      </c>
      <c r="C24" s="52" t="s">
        <v>319</v>
      </c>
    </row>
    <row r="25" spans="2:3" x14ac:dyDescent="0.25">
      <c r="B25" s="50">
        <v>24</v>
      </c>
      <c r="C25" s="50" t="s">
        <v>322</v>
      </c>
    </row>
    <row r="26" spans="2:3" x14ac:dyDescent="0.25">
      <c r="B26" s="54">
        <v>25</v>
      </c>
      <c r="C26" s="50" t="s">
        <v>320</v>
      </c>
    </row>
    <row r="27" spans="2:3" x14ac:dyDescent="0.25">
      <c r="B27" s="64">
        <v>26</v>
      </c>
      <c r="C27" s="50" t="s">
        <v>321</v>
      </c>
    </row>
    <row r="28" spans="2:3" x14ac:dyDescent="0.25">
      <c r="B28" s="54">
        <v>27</v>
      </c>
      <c r="C28" s="50" t="s">
        <v>323</v>
      </c>
    </row>
    <row r="29" spans="2:3" ht="60" x14ac:dyDescent="0.25">
      <c r="B29" s="67">
        <v>28</v>
      </c>
      <c r="C29" s="51" t="s">
        <v>324</v>
      </c>
    </row>
    <row r="30" spans="2:3" x14ac:dyDescent="0.25">
      <c r="B30" s="64">
        <v>29</v>
      </c>
      <c r="C30" s="50" t="s">
        <v>325</v>
      </c>
    </row>
    <row r="31" spans="2:3" ht="30" x14ac:dyDescent="0.25">
      <c r="B31" s="64">
        <v>30</v>
      </c>
      <c r="C31" s="51" t="s">
        <v>327</v>
      </c>
    </row>
    <row r="32" spans="2:3" x14ac:dyDescent="0.25">
      <c r="B32" s="64">
        <v>31</v>
      </c>
      <c r="C32" s="50" t="s">
        <v>328</v>
      </c>
    </row>
    <row r="33" spans="2:4" x14ac:dyDescent="0.25">
      <c r="B33" s="64">
        <v>32</v>
      </c>
      <c r="C33" s="50" t="s">
        <v>329</v>
      </c>
    </row>
    <row r="34" spans="2:4" ht="36.75" customHeight="1" x14ac:dyDescent="0.25">
      <c r="B34" s="64">
        <v>33</v>
      </c>
      <c r="C34" s="55" t="s">
        <v>330</v>
      </c>
    </row>
    <row r="35" spans="2:4" x14ac:dyDescent="0.25">
      <c r="B35" s="62">
        <v>34</v>
      </c>
      <c r="C35" s="50" t="s">
        <v>338</v>
      </c>
    </row>
    <row r="36" spans="2:4" ht="60" x14ac:dyDescent="0.25">
      <c r="B36" s="62">
        <v>35</v>
      </c>
      <c r="C36" s="51" t="s">
        <v>340</v>
      </c>
    </row>
    <row r="37" spans="2:4" x14ac:dyDescent="0.25">
      <c r="B37" s="50">
        <v>36</v>
      </c>
      <c r="C37" s="51" t="s">
        <v>349</v>
      </c>
    </row>
    <row r="38" spans="2:4" x14ac:dyDescent="0.25">
      <c r="B38" s="50">
        <f t="shared" ref="B38:B44" si="0">B37+1</f>
        <v>37</v>
      </c>
      <c r="C38" s="50" t="s">
        <v>345</v>
      </c>
    </row>
    <row r="39" spans="2:4" x14ac:dyDescent="0.25">
      <c r="B39" s="50">
        <f t="shared" si="0"/>
        <v>38</v>
      </c>
      <c r="C39" s="50" t="s">
        <v>346</v>
      </c>
    </row>
    <row r="40" spans="2:4" x14ac:dyDescent="0.25">
      <c r="B40" s="50">
        <f t="shared" si="0"/>
        <v>39</v>
      </c>
      <c r="C40" s="50" t="s">
        <v>347</v>
      </c>
    </row>
    <row r="41" spans="2:4" x14ac:dyDescent="0.25">
      <c r="B41" s="50">
        <f t="shared" si="0"/>
        <v>40</v>
      </c>
      <c r="C41" s="50" t="s">
        <v>348</v>
      </c>
    </row>
    <row r="42" spans="2:4" ht="30.75" thickBot="1" x14ac:dyDescent="0.3">
      <c r="B42" s="71">
        <f t="shared" si="0"/>
        <v>41</v>
      </c>
      <c r="C42" s="72" t="s">
        <v>350</v>
      </c>
    </row>
    <row r="43" spans="2:4" ht="30" x14ac:dyDescent="0.25">
      <c r="B43" s="75">
        <f t="shared" si="0"/>
        <v>42</v>
      </c>
      <c r="C43" s="80" t="s">
        <v>355</v>
      </c>
      <c r="D43" t="s">
        <v>356</v>
      </c>
    </row>
    <row r="44" spans="2:4" ht="15.75" thickBot="1" x14ac:dyDescent="0.3">
      <c r="B44" s="77">
        <f t="shared" si="0"/>
        <v>43</v>
      </c>
      <c r="C44" s="79" t="s">
        <v>351</v>
      </c>
    </row>
    <row r="45" spans="2:4" ht="15.75" thickBot="1" x14ac:dyDescent="0.3">
      <c r="B45" s="73">
        <f t="shared" ref="B45:B49" si="1">B44+1</f>
        <v>44</v>
      </c>
      <c r="C45" s="74" t="s">
        <v>352</v>
      </c>
    </row>
    <row r="46" spans="2:4" ht="30" x14ac:dyDescent="0.25">
      <c r="B46" s="75">
        <f t="shared" si="1"/>
        <v>45</v>
      </c>
      <c r="C46" s="76" t="s">
        <v>353</v>
      </c>
    </row>
    <row r="47" spans="2:4" ht="15.75" thickBot="1" x14ac:dyDescent="0.3">
      <c r="B47" s="77">
        <f t="shared" si="1"/>
        <v>46</v>
      </c>
      <c r="C47" s="78" t="s">
        <v>354</v>
      </c>
    </row>
    <row r="48" spans="2:4" x14ac:dyDescent="0.25">
      <c r="B48" s="81">
        <f t="shared" si="1"/>
        <v>47</v>
      </c>
      <c r="C48" s="82" t="s">
        <v>357</v>
      </c>
    </row>
    <row r="49" spans="2:3" x14ac:dyDescent="0.25">
      <c r="B49" s="81">
        <f t="shared" si="1"/>
        <v>48</v>
      </c>
      <c r="C49" s="82" t="s">
        <v>358</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7"/>
    <col min="2" max="2" width="12.28515625" style="47" customWidth="1"/>
    <col min="3" max="16384" width="9.140625" style="47"/>
  </cols>
  <sheetData>
    <row r="2" spans="1:12" x14ac:dyDescent="0.25">
      <c r="B2" s="56" t="s">
        <v>292</v>
      </c>
      <c r="C2" s="215"/>
      <c r="D2" s="215"/>
    </row>
    <row r="3" spans="1:12" x14ac:dyDescent="0.25">
      <c r="D3" s="57"/>
      <c r="E3" s="57"/>
      <c r="F3" s="57"/>
      <c r="G3" s="57"/>
      <c r="H3" s="57"/>
      <c r="I3" s="57"/>
    </row>
    <row r="4" spans="1:12" x14ac:dyDescent="0.25">
      <c r="A4" s="56" t="s">
        <v>65</v>
      </c>
      <c r="B4" s="58" t="s">
        <v>293</v>
      </c>
      <c r="C4" s="216" t="s">
        <v>294</v>
      </c>
      <c r="D4" s="216"/>
      <c r="E4" s="216"/>
      <c r="F4" s="58"/>
      <c r="G4" s="217" t="s">
        <v>295</v>
      </c>
      <c r="H4" s="217"/>
      <c r="I4" s="217"/>
      <c r="J4" s="218" t="s">
        <v>296</v>
      </c>
      <c r="K4" s="218"/>
      <c r="L4" s="218"/>
    </row>
    <row r="5" spans="1:12" x14ac:dyDescent="0.25">
      <c r="A5" s="56"/>
      <c r="B5" s="58"/>
      <c r="C5" s="58" t="s">
        <v>297</v>
      </c>
      <c r="D5" s="58" t="s">
        <v>298</v>
      </c>
      <c r="E5" s="58" t="s">
        <v>299</v>
      </c>
      <c r="F5" s="58"/>
      <c r="G5" s="58" t="s">
        <v>297</v>
      </c>
      <c r="H5" s="58" t="s">
        <v>298</v>
      </c>
      <c r="I5" s="58" t="s">
        <v>299</v>
      </c>
      <c r="J5" s="58" t="s">
        <v>297</v>
      </c>
      <c r="K5" s="58" t="s">
        <v>298</v>
      </c>
      <c r="L5" s="58" t="s">
        <v>299</v>
      </c>
    </row>
    <row r="6" spans="1:12" x14ac:dyDescent="0.25">
      <c r="B6" s="48" t="s">
        <v>300</v>
      </c>
      <c r="C6" s="48"/>
      <c r="D6" s="48"/>
      <c r="E6" s="48">
        <f>C6*D6</f>
        <v>0</v>
      </c>
      <c r="F6" s="48" t="s">
        <v>317</v>
      </c>
      <c r="G6" s="48"/>
      <c r="H6" s="48"/>
      <c r="I6" s="48">
        <f>G6*H6</f>
        <v>0</v>
      </c>
      <c r="J6" s="48"/>
      <c r="K6" s="48"/>
      <c r="L6" s="48">
        <f>J6*K6</f>
        <v>0</v>
      </c>
    </row>
    <row r="7" spans="1:12" x14ac:dyDescent="0.25">
      <c r="B7" s="48"/>
      <c r="C7" s="48"/>
      <c r="D7" s="48"/>
      <c r="E7" s="48">
        <f t="shared" ref="E7:E41" si="0">C7*D7</f>
        <v>0</v>
      </c>
      <c r="F7" s="48" t="s">
        <v>317</v>
      </c>
      <c r="G7" s="48"/>
      <c r="H7" s="48"/>
      <c r="I7" s="48">
        <f t="shared" ref="I7:I35" si="1">G7*H7</f>
        <v>0</v>
      </c>
      <c r="J7" s="48"/>
      <c r="K7" s="48"/>
      <c r="L7" s="48">
        <f t="shared" ref="L7:L35" si="2">J7*K7</f>
        <v>0</v>
      </c>
    </row>
    <row r="8" spans="1:12" x14ac:dyDescent="0.25">
      <c r="B8" s="48"/>
      <c r="C8" s="48"/>
      <c r="D8" s="48"/>
      <c r="E8" s="48">
        <f t="shared" si="0"/>
        <v>0</v>
      </c>
      <c r="F8" s="48"/>
      <c r="G8" s="48"/>
      <c r="H8" s="48"/>
      <c r="I8" s="48">
        <f t="shared" si="1"/>
        <v>0</v>
      </c>
      <c r="J8" s="48"/>
      <c r="K8" s="48"/>
      <c r="L8" s="48">
        <f t="shared" si="2"/>
        <v>0</v>
      </c>
    </row>
    <row r="9" spans="1:12" x14ac:dyDescent="0.25">
      <c r="B9" s="48"/>
      <c r="C9" s="48"/>
      <c r="D9" s="48"/>
      <c r="E9" s="48">
        <f t="shared" si="0"/>
        <v>0</v>
      </c>
      <c r="F9" s="48" t="s">
        <v>301</v>
      </c>
      <c r="G9" s="48"/>
      <c r="H9" s="48"/>
      <c r="I9" s="48">
        <f t="shared" si="1"/>
        <v>0</v>
      </c>
      <c r="J9" s="48"/>
      <c r="K9" s="48"/>
      <c r="L9" s="48">
        <f t="shared" si="2"/>
        <v>0</v>
      </c>
    </row>
    <row r="10" spans="1:12" x14ac:dyDescent="0.25">
      <c r="B10" s="48" t="s">
        <v>302</v>
      </c>
      <c r="C10" s="48"/>
      <c r="D10" s="48"/>
      <c r="E10" s="48">
        <f t="shared" si="0"/>
        <v>0</v>
      </c>
      <c r="F10" s="48" t="s">
        <v>301</v>
      </c>
      <c r="G10" s="48"/>
      <c r="H10" s="48"/>
      <c r="I10" s="48">
        <f t="shared" si="1"/>
        <v>0</v>
      </c>
      <c r="J10" s="48"/>
      <c r="K10" s="48"/>
      <c r="L10" s="48">
        <f t="shared" si="2"/>
        <v>0</v>
      </c>
    </row>
    <row r="11" spans="1:12" x14ac:dyDescent="0.25">
      <c r="B11" s="48"/>
      <c r="C11" s="48"/>
      <c r="D11" s="48"/>
      <c r="E11" s="48">
        <f t="shared" si="0"/>
        <v>0</v>
      </c>
      <c r="F11" s="48" t="s">
        <v>303</v>
      </c>
      <c r="G11" s="48"/>
      <c r="H11" s="48"/>
      <c r="I11" s="48">
        <f t="shared" si="1"/>
        <v>0</v>
      </c>
      <c r="J11" s="48"/>
      <c r="K11" s="48"/>
      <c r="L11" s="48">
        <f t="shared" si="2"/>
        <v>0</v>
      </c>
    </row>
    <row r="12" spans="1:12" x14ac:dyDescent="0.25">
      <c r="B12" s="48"/>
      <c r="C12" s="48"/>
      <c r="D12" s="48"/>
      <c r="E12" s="48">
        <f t="shared" si="0"/>
        <v>0</v>
      </c>
      <c r="F12" s="48"/>
      <c r="G12" s="48"/>
      <c r="H12" s="48"/>
      <c r="I12" s="48">
        <f t="shared" si="1"/>
        <v>0</v>
      </c>
      <c r="J12" s="48"/>
      <c r="K12" s="48"/>
      <c r="L12" s="48">
        <f t="shared" si="2"/>
        <v>0</v>
      </c>
    </row>
    <row r="13" spans="1:12" x14ac:dyDescent="0.25">
      <c r="B13" s="48"/>
      <c r="C13" s="48"/>
      <c r="D13" s="48"/>
      <c r="E13" s="48">
        <f t="shared" si="0"/>
        <v>0</v>
      </c>
      <c r="F13" s="48"/>
      <c r="G13" s="48"/>
      <c r="H13" s="48"/>
      <c r="I13" s="48">
        <f t="shared" si="1"/>
        <v>0</v>
      </c>
      <c r="J13" s="48"/>
      <c r="K13" s="48"/>
      <c r="L13" s="48">
        <f t="shared" si="2"/>
        <v>0</v>
      </c>
    </row>
    <row r="14" spans="1:12" x14ac:dyDescent="0.25">
      <c r="B14" s="48" t="s">
        <v>304</v>
      </c>
      <c r="C14" s="48"/>
      <c r="D14" s="48"/>
      <c r="E14" s="48">
        <f t="shared" si="0"/>
        <v>0</v>
      </c>
      <c r="F14" s="48" t="s">
        <v>301</v>
      </c>
      <c r="G14" s="48"/>
      <c r="H14" s="48"/>
      <c r="I14" s="48">
        <f t="shared" si="1"/>
        <v>0</v>
      </c>
      <c r="J14" s="48"/>
      <c r="K14" s="48"/>
      <c r="L14" s="48">
        <f t="shared" si="2"/>
        <v>0</v>
      </c>
    </row>
    <row r="15" spans="1:12" x14ac:dyDescent="0.25">
      <c r="B15" s="48"/>
      <c r="C15" s="48"/>
      <c r="D15" s="48"/>
      <c r="E15" s="48">
        <f t="shared" si="0"/>
        <v>0</v>
      </c>
      <c r="F15" s="48" t="s">
        <v>303</v>
      </c>
      <c r="G15" s="48"/>
      <c r="H15" s="48"/>
      <c r="I15" s="48">
        <f t="shared" si="1"/>
        <v>0</v>
      </c>
      <c r="J15" s="48"/>
      <c r="K15" s="48"/>
      <c r="L15" s="48">
        <f t="shared" si="2"/>
        <v>0</v>
      </c>
    </row>
    <row r="16" spans="1:12" x14ac:dyDescent="0.25">
      <c r="B16" s="48"/>
      <c r="C16" s="48"/>
      <c r="D16" s="48"/>
      <c r="E16" s="48">
        <f t="shared" si="0"/>
        <v>0</v>
      </c>
      <c r="F16" s="48"/>
      <c r="G16" s="48"/>
      <c r="H16" s="48"/>
      <c r="I16" s="48">
        <f t="shared" si="1"/>
        <v>0</v>
      </c>
      <c r="J16" s="48"/>
      <c r="K16" s="48"/>
      <c r="L16" s="48">
        <f t="shared" si="2"/>
        <v>0</v>
      </c>
    </row>
    <row r="17" spans="2:12" x14ac:dyDescent="0.25">
      <c r="B17" s="48"/>
      <c r="C17" s="48"/>
      <c r="D17" s="48"/>
      <c r="E17" s="48">
        <f t="shared" si="0"/>
        <v>0</v>
      </c>
      <c r="F17" s="48"/>
      <c r="G17" s="48"/>
      <c r="H17" s="48"/>
      <c r="I17" s="48">
        <f t="shared" si="1"/>
        <v>0</v>
      </c>
      <c r="J17" s="48"/>
      <c r="K17" s="48"/>
      <c r="L17" s="48">
        <f t="shared" si="2"/>
        <v>0</v>
      </c>
    </row>
    <row r="18" spans="2:12" x14ac:dyDescent="0.25">
      <c r="B18" s="48" t="s">
        <v>305</v>
      </c>
      <c r="C18" s="48"/>
      <c r="D18" s="48"/>
      <c r="E18" s="48">
        <f t="shared" si="0"/>
        <v>0</v>
      </c>
      <c r="F18" s="48" t="s">
        <v>301</v>
      </c>
      <c r="G18" s="48"/>
      <c r="H18" s="48"/>
      <c r="I18" s="48">
        <f t="shared" si="1"/>
        <v>0</v>
      </c>
      <c r="J18" s="48"/>
      <c r="K18" s="48"/>
      <c r="L18" s="48">
        <f t="shared" si="2"/>
        <v>0</v>
      </c>
    </row>
    <row r="19" spans="2:12" x14ac:dyDescent="0.25">
      <c r="B19" s="48"/>
      <c r="C19" s="48"/>
      <c r="D19" s="48"/>
      <c r="E19" s="48">
        <f t="shared" si="0"/>
        <v>0</v>
      </c>
      <c r="F19" s="48" t="s">
        <v>303</v>
      </c>
      <c r="G19" s="48"/>
      <c r="H19" s="48"/>
      <c r="I19" s="48">
        <f t="shared" si="1"/>
        <v>0</v>
      </c>
      <c r="J19" s="48"/>
      <c r="K19" s="48"/>
      <c r="L19" s="48">
        <f t="shared" si="2"/>
        <v>0</v>
      </c>
    </row>
    <row r="20" spans="2:12" x14ac:dyDescent="0.25">
      <c r="B20" s="48"/>
      <c r="C20" s="48"/>
      <c r="D20" s="48"/>
      <c r="E20" s="48">
        <f t="shared" si="0"/>
        <v>0</v>
      </c>
      <c r="F20" s="48"/>
      <c r="G20" s="48"/>
      <c r="H20" s="48"/>
      <c r="I20" s="48">
        <f t="shared" si="1"/>
        <v>0</v>
      </c>
      <c r="J20" s="48"/>
      <c r="K20" s="48"/>
      <c r="L20" s="48">
        <f t="shared" si="2"/>
        <v>0</v>
      </c>
    </row>
    <row r="21" spans="2:12" x14ac:dyDescent="0.25">
      <c r="B21" s="48" t="s">
        <v>306</v>
      </c>
      <c r="C21" s="48"/>
      <c r="D21" s="48"/>
      <c r="E21" s="48">
        <f t="shared" si="0"/>
        <v>0</v>
      </c>
      <c r="F21" s="48" t="s">
        <v>301</v>
      </c>
      <c r="G21" s="48"/>
      <c r="H21" s="48"/>
      <c r="I21" s="48">
        <f t="shared" si="1"/>
        <v>0</v>
      </c>
      <c r="J21" s="48"/>
      <c r="K21" s="48"/>
      <c r="L21" s="48">
        <f t="shared" si="2"/>
        <v>0</v>
      </c>
    </row>
    <row r="22" spans="2:12" x14ac:dyDescent="0.25">
      <c r="B22" s="48"/>
      <c r="C22" s="48"/>
      <c r="D22" s="48"/>
      <c r="E22" s="48">
        <f t="shared" si="0"/>
        <v>0</v>
      </c>
      <c r="F22" s="48" t="s">
        <v>303</v>
      </c>
      <c r="G22" s="48"/>
      <c r="H22" s="48"/>
      <c r="I22" s="48">
        <f t="shared" si="1"/>
        <v>0</v>
      </c>
      <c r="J22" s="48"/>
      <c r="K22" s="48"/>
      <c r="L22" s="48">
        <f t="shared" si="2"/>
        <v>0</v>
      </c>
    </row>
    <row r="23" spans="2:12" x14ac:dyDescent="0.25">
      <c r="B23" s="48"/>
      <c r="C23" s="48"/>
      <c r="D23" s="48"/>
      <c r="E23" s="48">
        <f t="shared" si="0"/>
        <v>0</v>
      </c>
      <c r="F23" s="48"/>
      <c r="G23" s="48"/>
      <c r="H23" s="48"/>
      <c r="I23" s="48">
        <f t="shared" si="1"/>
        <v>0</v>
      </c>
      <c r="J23" s="48"/>
      <c r="K23" s="48"/>
      <c r="L23" s="48">
        <f t="shared" si="2"/>
        <v>0</v>
      </c>
    </row>
    <row r="24" spans="2:12" x14ac:dyDescent="0.25">
      <c r="B24" s="48" t="s">
        <v>307</v>
      </c>
      <c r="C24" s="48"/>
      <c r="D24" s="48"/>
      <c r="E24" s="48">
        <f t="shared" si="0"/>
        <v>0</v>
      </c>
      <c r="F24" s="48" t="s">
        <v>308</v>
      </c>
      <c r="G24" s="48"/>
      <c r="H24" s="48"/>
      <c r="I24" s="48">
        <f t="shared" si="1"/>
        <v>0</v>
      </c>
      <c r="J24" s="48"/>
      <c r="K24" s="48"/>
      <c r="L24" s="48">
        <f t="shared" si="2"/>
        <v>0</v>
      </c>
    </row>
    <row r="25" spans="2:12" x14ac:dyDescent="0.25">
      <c r="B25" s="48"/>
      <c r="C25" s="48"/>
      <c r="D25" s="48"/>
      <c r="E25" s="48">
        <f>C25*D25</f>
        <v>0</v>
      </c>
      <c r="F25" s="48" t="s">
        <v>308</v>
      </c>
      <c r="G25" s="48"/>
      <c r="H25" s="48"/>
      <c r="I25" s="48">
        <f>G25*H25</f>
        <v>0</v>
      </c>
      <c r="J25" s="48"/>
      <c r="K25" s="48"/>
      <c r="L25" s="48">
        <f>J25*K25</f>
        <v>0</v>
      </c>
    </row>
    <row r="26" spans="2:12" x14ac:dyDescent="0.25">
      <c r="B26" s="48"/>
      <c r="C26" s="48"/>
      <c r="D26" s="48"/>
      <c r="E26" s="48">
        <f>C26*D26</f>
        <v>0</v>
      </c>
      <c r="F26" s="48" t="s">
        <v>308</v>
      </c>
      <c r="G26" s="48"/>
      <c r="H26" s="48"/>
      <c r="I26" s="48">
        <f>G26*H26</f>
        <v>0</v>
      </c>
      <c r="J26" s="48"/>
      <c r="K26" s="48"/>
      <c r="L26" s="48">
        <f>J26*K26</f>
        <v>0</v>
      </c>
    </row>
    <row r="27" spans="2:12" x14ac:dyDescent="0.25">
      <c r="B27" s="48"/>
      <c r="C27" s="48"/>
      <c r="D27" s="48"/>
      <c r="E27" s="48">
        <f>C27*D27</f>
        <v>0</v>
      </c>
      <c r="F27" s="48" t="s">
        <v>308</v>
      </c>
      <c r="G27" s="48"/>
      <c r="H27" s="48"/>
      <c r="I27" s="48">
        <f>G27*H27</f>
        <v>0</v>
      </c>
      <c r="J27" s="48"/>
      <c r="K27" s="48"/>
      <c r="L27" s="48">
        <f>J27*K27</f>
        <v>0</v>
      </c>
    </row>
    <row r="28" spans="2:12" x14ac:dyDescent="0.25">
      <c r="B28" s="48" t="s">
        <v>309</v>
      </c>
      <c r="C28" s="48"/>
      <c r="D28" s="48"/>
      <c r="E28" s="48">
        <f t="shared" si="0"/>
        <v>0</v>
      </c>
      <c r="F28" s="48" t="s">
        <v>308</v>
      </c>
      <c r="G28" s="48"/>
      <c r="H28" s="48"/>
      <c r="I28" s="48">
        <f t="shared" si="1"/>
        <v>0</v>
      </c>
      <c r="J28" s="48"/>
      <c r="K28" s="48"/>
      <c r="L28" s="48">
        <f t="shared" si="2"/>
        <v>0</v>
      </c>
    </row>
    <row r="29" spans="2:12" x14ac:dyDescent="0.25">
      <c r="B29" s="48" t="s">
        <v>310</v>
      </c>
      <c r="C29" s="48"/>
      <c r="D29" s="48"/>
      <c r="E29" s="48">
        <f t="shared" si="0"/>
        <v>0</v>
      </c>
      <c r="F29" s="48" t="s">
        <v>308</v>
      </c>
      <c r="G29" s="48"/>
      <c r="H29" s="48"/>
      <c r="I29" s="48">
        <f t="shared" si="1"/>
        <v>0</v>
      </c>
      <c r="J29" s="48"/>
      <c r="K29" s="48"/>
      <c r="L29" s="48">
        <f t="shared" si="2"/>
        <v>0</v>
      </c>
    </row>
    <row r="30" spans="2:12" x14ac:dyDescent="0.25">
      <c r="B30" s="48" t="s">
        <v>314</v>
      </c>
      <c r="C30" s="48"/>
      <c r="D30" s="48"/>
      <c r="E30" s="48">
        <f t="shared" si="0"/>
        <v>0</v>
      </c>
      <c r="F30" s="48"/>
      <c r="G30" s="48"/>
      <c r="H30" s="48"/>
      <c r="I30" s="48">
        <f t="shared" si="1"/>
        <v>0</v>
      </c>
      <c r="J30" s="48"/>
      <c r="K30" s="48"/>
      <c r="L30" s="48">
        <f t="shared" si="2"/>
        <v>0</v>
      </c>
    </row>
    <row r="31" spans="2:12" x14ac:dyDescent="0.25">
      <c r="B31" s="48"/>
      <c r="C31" s="48"/>
      <c r="D31" s="48"/>
      <c r="E31" s="48">
        <f>C31*D31</f>
        <v>0</v>
      </c>
      <c r="F31" s="48"/>
      <c r="G31" s="48"/>
      <c r="H31" s="48"/>
      <c r="I31" s="48">
        <f>G31*H31</f>
        <v>0</v>
      </c>
      <c r="J31" s="48"/>
      <c r="K31" s="48"/>
      <c r="L31" s="48">
        <f>J31*K31</f>
        <v>0</v>
      </c>
    </row>
    <row r="32" spans="2:12" x14ac:dyDescent="0.25">
      <c r="B32" s="48"/>
      <c r="C32" s="48"/>
      <c r="D32" s="48"/>
      <c r="E32" s="48">
        <f>C32*D32</f>
        <v>0</v>
      </c>
      <c r="F32" s="48"/>
      <c r="G32" s="48"/>
      <c r="H32" s="48"/>
      <c r="I32" s="48">
        <f>G32*H32</f>
        <v>0</v>
      </c>
      <c r="J32" s="48"/>
      <c r="K32" s="48"/>
      <c r="L32" s="48">
        <f>J32*K32</f>
        <v>0</v>
      </c>
    </row>
    <row r="33" spans="2:12" x14ac:dyDescent="0.25">
      <c r="B33" s="48" t="s">
        <v>311</v>
      </c>
      <c r="C33" s="48"/>
      <c r="D33" s="48"/>
      <c r="E33" s="48">
        <f t="shared" si="0"/>
        <v>0</v>
      </c>
      <c r="F33" s="48"/>
      <c r="G33" s="48"/>
      <c r="H33" s="48"/>
      <c r="I33" s="48">
        <f t="shared" si="1"/>
        <v>0</v>
      </c>
      <c r="J33" s="48"/>
      <c r="K33" s="48"/>
      <c r="L33" s="48">
        <f t="shared" si="2"/>
        <v>0</v>
      </c>
    </row>
    <row r="34" spans="2:12" x14ac:dyDescent="0.25">
      <c r="B34" s="48" t="s">
        <v>315</v>
      </c>
      <c r="C34" s="48"/>
      <c r="D34" s="48"/>
      <c r="E34" s="48">
        <f t="shared" si="0"/>
        <v>0</v>
      </c>
      <c r="F34" s="48"/>
      <c r="G34" s="48"/>
      <c r="H34" s="48"/>
      <c r="I34" s="48">
        <f t="shared" si="1"/>
        <v>0</v>
      </c>
      <c r="J34" s="48"/>
      <c r="K34" s="48"/>
      <c r="L34" s="48">
        <f t="shared" si="2"/>
        <v>0</v>
      </c>
    </row>
    <row r="35" spans="2:12" x14ac:dyDescent="0.25">
      <c r="B35" s="48" t="s">
        <v>312</v>
      </c>
      <c r="C35" s="48"/>
      <c r="D35" s="48"/>
      <c r="E35" s="48">
        <f t="shared" si="0"/>
        <v>0</v>
      </c>
      <c r="F35" s="48"/>
      <c r="G35" s="48"/>
      <c r="H35" s="48"/>
      <c r="I35" s="48">
        <f t="shared" si="1"/>
        <v>0</v>
      </c>
      <c r="J35" s="48"/>
      <c r="K35" s="48"/>
      <c r="L35" s="48">
        <f t="shared" si="2"/>
        <v>0</v>
      </c>
    </row>
    <row r="36" spans="2:12" x14ac:dyDescent="0.25">
      <c r="B36" s="48" t="s">
        <v>313</v>
      </c>
      <c r="C36" s="48"/>
      <c r="D36" s="48"/>
      <c r="E36" s="48">
        <f t="shared" si="0"/>
        <v>0</v>
      </c>
      <c r="F36" s="48"/>
      <c r="G36" s="48"/>
      <c r="H36" s="48"/>
      <c r="I36" s="48">
        <f t="shared" ref="I36:I41" si="3">G36*H36</f>
        <v>0</v>
      </c>
      <c r="J36" s="48"/>
      <c r="K36" s="48"/>
      <c r="L36" s="48">
        <f t="shared" ref="L36:L41" si="4">J36*K36</f>
        <v>0</v>
      </c>
    </row>
    <row r="37" spans="2:12" x14ac:dyDescent="0.25">
      <c r="B37" s="48"/>
      <c r="C37" s="48"/>
      <c r="D37" s="48"/>
      <c r="E37" s="48">
        <f>C37*D37</f>
        <v>0</v>
      </c>
      <c r="F37" s="48"/>
      <c r="G37" s="48"/>
      <c r="H37" s="48"/>
      <c r="I37" s="48">
        <f t="shared" si="3"/>
        <v>0</v>
      </c>
      <c r="J37" s="48"/>
      <c r="K37" s="48"/>
      <c r="L37" s="48">
        <f t="shared" si="4"/>
        <v>0</v>
      </c>
    </row>
    <row r="38" spans="2:12" x14ac:dyDescent="0.25">
      <c r="B38" s="48" t="s">
        <v>316</v>
      </c>
      <c r="C38" s="48"/>
      <c r="D38" s="48"/>
      <c r="E38" s="48">
        <f>C38*D38</f>
        <v>0</v>
      </c>
      <c r="F38" s="48"/>
      <c r="G38" s="48"/>
      <c r="H38" s="48"/>
      <c r="I38" s="48">
        <f t="shared" si="3"/>
        <v>0</v>
      </c>
      <c r="J38" s="48"/>
      <c r="K38" s="48"/>
      <c r="L38" s="48">
        <f t="shared" si="4"/>
        <v>0</v>
      </c>
    </row>
    <row r="39" spans="2:12" x14ac:dyDescent="0.25">
      <c r="B39" s="48"/>
      <c r="C39" s="48"/>
      <c r="D39" s="48"/>
      <c r="E39" s="48">
        <f t="shared" si="0"/>
        <v>0</v>
      </c>
      <c r="F39" s="48"/>
      <c r="G39" s="48"/>
      <c r="H39" s="48"/>
      <c r="I39" s="48">
        <f t="shared" si="3"/>
        <v>0</v>
      </c>
      <c r="J39" s="48"/>
      <c r="K39" s="48"/>
      <c r="L39" s="48">
        <f t="shared" si="4"/>
        <v>0</v>
      </c>
    </row>
    <row r="40" spans="2:12" x14ac:dyDescent="0.25">
      <c r="B40" s="48"/>
      <c r="C40" s="48"/>
      <c r="D40" s="48"/>
      <c r="E40" s="48">
        <f t="shared" si="0"/>
        <v>0</v>
      </c>
      <c r="F40" s="48"/>
      <c r="G40" s="48"/>
      <c r="H40" s="48"/>
      <c r="I40" s="48">
        <f t="shared" si="3"/>
        <v>0</v>
      </c>
      <c r="J40" s="48"/>
      <c r="K40" s="48"/>
      <c r="L40" s="48">
        <f t="shared" si="4"/>
        <v>0</v>
      </c>
    </row>
    <row r="41" spans="2:12" x14ac:dyDescent="0.25">
      <c r="B41" s="48"/>
      <c r="C41" s="48"/>
      <c r="D41" s="48"/>
      <c r="E41" s="48">
        <f t="shared" si="0"/>
        <v>0</v>
      </c>
      <c r="F41" s="48"/>
      <c r="G41" s="48"/>
      <c r="H41" s="48"/>
      <c r="I41" s="48">
        <f t="shared" si="3"/>
        <v>0</v>
      </c>
      <c r="J41" s="48"/>
      <c r="K41" s="48"/>
      <c r="L41" s="48">
        <f t="shared" si="4"/>
        <v>0</v>
      </c>
    </row>
    <row r="42" spans="2:12" x14ac:dyDescent="0.25">
      <c r="B42" s="48" t="s">
        <v>143</v>
      </c>
      <c r="C42" s="48"/>
      <c r="D42" s="48">
        <f>E42*10.764</f>
        <v>0</v>
      </c>
      <c r="E42" s="61">
        <f>SUM(E6:E41)</f>
        <v>0</v>
      </c>
      <c r="F42" s="48"/>
      <c r="G42" s="48"/>
      <c r="H42" s="48">
        <f>I42*10.764</f>
        <v>0</v>
      </c>
      <c r="I42" s="60">
        <f>SUM(I6:I41)</f>
        <v>0</v>
      </c>
      <c r="J42" s="48"/>
      <c r="K42" s="48">
        <f>L42*10.764</f>
        <v>0</v>
      </c>
      <c r="L42" s="59">
        <f>SUM(L6:L41)</f>
        <v>0</v>
      </c>
    </row>
    <row r="44" spans="2:12" x14ac:dyDescent="0.25">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2025-08-11T10:40:53Z</cp:lastPrinted>
  <dcterms:created xsi:type="dcterms:W3CDTF">2019-07-16T09:29:46Z</dcterms:created>
  <dcterms:modified xsi:type="dcterms:W3CDTF">2025-08-11T10:43:42Z</dcterms:modified>
</cp:coreProperties>
</file>