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9-08-2025\"/>
    </mc:Choice>
  </mc:AlternateContent>
  <bookViews>
    <workbookView xWindow="0" yWindow="0" windowWidth="19200" windowHeight="6640" tabRatio="723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C78" i="1" l="1"/>
  <c r="C79" i="1" s="1"/>
  <c r="C93" i="1" l="1"/>
  <c r="C86" i="1"/>
  <c r="D132" i="1" l="1"/>
  <c r="D131" i="1"/>
  <c r="D130" i="1"/>
  <c r="D276" i="1" l="1"/>
  <c r="D275" i="1"/>
  <c r="D274" i="1"/>
  <c r="D272" i="1"/>
  <c r="D271" i="1"/>
  <c r="D270" i="1"/>
  <c r="D268" i="1"/>
  <c r="D267" i="1"/>
  <c r="D266" i="1"/>
  <c r="D265" i="1"/>
  <c r="D264" i="1"/>
  <c r="D263" i="1"/>
  <c r="D261" i="1"/>
  <c r="D260" i="1"/>
  <c r="D259" i="1"/>
  <c r="D258" i="1"/>
  <c r="D257" i="1"/>
  <c r="D256" i="1"/>
  <c r="D254" i="1"/>
  <c r="D253" i="1"/>
  <c r="D252" i="1"/>
  <c r="D251" i="1"/>
  <c r="D249" i="1"/>
  <c r="D248" i="1"/>
  <c r="D247" i="1"/>
  <c r="D246" i="1"/>
  <c r="D245" i="1"/>
  <c r="D244" i="1"/>
  <c r="D242" i="1"/>
  <c r="D241" i="1"/>
  <c r="D240" i="1"/>
  <c r="D239" i="1"/>
  <c r="D238" i="1"/>
  <c r="D237" i="1"/>
  <c r="D235" i="1"/>
  <c r="D234" i="1"/>
  <c r="D233" i="1"/>
  <c r="D232" i="1"/>
  <c r="D230" i="1"/>
  <c r="D229" i="1"/>
  <c r="D228" i="1"/>
  <c r="D227" i="1"/>
  <c r="D226" i="1"/>
  <c r="D225" i="1"/>
  <c r="D223" i="1"/>
  <c r="D222" i="1"/>
  <c r="D221" i="1"/>
  <c r="D220" i="1"/>
  <c r="D219" i="1"/>
  <c r="D218" i="1"/>
  <c r="D215" i="1"/>
  <c r="D214" i="1"/>
  <c r="D213" i="1"/>
  <c r="D212" i="1"/>
  <c r="D211" i="1"/>
  <c r="D210" i="1"/>
  <c r="D208" i="1"/>
  <c r="D207" i="1"/>
  <c r="D206" i="1"/>
  <c r="D205" i="1"/>
  <c r="D203" i="1"/>
  <c r="D202" i="1"/>
  <c r="D201" i="1"/>
  <c r="D200" i="1"/>
  <c r="D199" i="1"/>
  <c r="D198" i="1"/>
  <c r="D190" i="1"/>
  <c r="D189" i="1"/>
  <c r="D188" i="1"/>
  <c r="D186" i="1"/>
  <c r="D185" i="1"/>
  <c r="D184" i="1"/>
  <c r="D183" i="1"/>
  <c r="D182" i="1"/>
  <c r="D181" i="1"/>
  <c r="D179" i="1"/>
  <c r="D178" i="1"/>
  <c r="D177" i="1"/>
  <c r="D176" i="1"/>
  <c r="D175" i="1"/>
  <c r="D174" i="1"/>
  <c r="D172" i="1"/>
  <c r="D171" i="1"/>
  <c r="D170" i="1"/>
  <c r="D169" i="1"/>
  <c r="D167" i="1"/>
  <c r="D166" i="1"/>
  <c r="D165" i="1"/>
  <c r="D164" i="1"/>
  <c r="D162" i="1"/>
  <c r="D161" i="1"/>
  <c r="D160" i="1"/>
  <c r="D159" i="1"/>
  <c r="D158" i="1"/>
  <c r="D157" i="1"/>
  <c r="D154" i="1"/>
  <c r="D153" i="1"/>
  <c r="D152" i="1"/>
  <c r="D151" i="1"/>
  <c r="D150" i="1"/>
  <c r="D149" i="1"/>
  <c r="D147" i="1"/>
  <c r="D146" i="1"/>
  <c r="D145" i="1"/>
  <c r="D144" i="1"/>
  <c r="D143" i="1"/>
  <c r="D142" i="1"/>
  <c r="D140" i="1"/>
  <c r="D139" i="1"/>
  <c r="D138" i="1"/>
  <c r="D137" i="1"/>
  <c r="D135" i="1"/>
  <c r="D134" i="1"/>
  <c r="D133" i="1"/>
  <c r="C116" i="1" l="1"/>
  <c r="E116" i="1"/>
  <c r="C117" i="1"/>
  <c r="E117" i="1"/>
  <c r="F276" i="1"/>
  <c r="F275" i="1"/>
  <c r="A275" i="1"/>
  <c r="A276" i="1" s="1"/>
  <c r="G274" i="1"/>
  <c r="F274" i="1"/>
  <c r="F271" i="1"/>
  <c r="F270" i="1"/>
  <c r="F272" i="1"/>
  <c r="A271" i="1"/>
  <c r="A272" i="1" s="1"/>
  <c r="G270" i="1"/>
  <c r="F264" i="1"/>
  <c r="F263" i="1"/>
  <c r="F268" i="1"/>
  <c r="F267" i="1"/>
  <c r="F266" i="1"/>
  <c r="F265" i="1"/>
  <c r="A264" i="1"/>
  <c r="A265" i="1" s="1"/>
  <c r="A266" i="1" s="1"/>
  <c r="A267" i="1" s="1"/>
  <c r="A268" i="1" s="1"/>
  <c r="G263" i="1"/>
  <c r="F259" i="1"/>
  <c r="F258" i="1"/>
  <c r="F260" i="1"/>
  <c r="F257" i="1"/>
  <c r="F261" i="1"/>
  <c r="F256" i="1"/>
  <c r="A257" i="1"/>
  <c r="A258" i="1" s="1"/>
  <c r="A259" i="1" s="1"/>
  <c r="A260" i="1" s="1"/>
  <c r="A261" i="1" s="1"/>
  <c r="G256" i="1"/>
  <c r="F253" i="1"/>
  <c r="F252" i="1"/>
  <c r="F254" i="1"/>
  <c r="F251" i="1"/>
  <c r="A252" i="1"/>
  <c r="A253" i="1" s="1"/>
  <c r="A254" i="1" s="1"/>
  <c r="G251" i="1"/>
  <c r="F246" i="1"/>
  <c r="F248" i="1"/>
  <c r="F245" i="1"/>
  <c r="F249" i="1"/>
  <c r="F244" i="1"/>
  <c r="F247" i="1"/>
  <c r="A245" i="1"/>
  <c r="A246" i="1" s="1"/>
  <c r="A247" i="1" s="1"/>
  <c r="A248" i="1" s="1"/>
  <c r="A249" i="1" s="1"/>
  <c r="G244" i="1"/>
  <c r="F240" i="1"/>
  <c r="F239" i="1"/>
  <c r="F241" i="1"/>
  <c r="F238" i="1"/>
  <c r="F242" i="1"/>
  <c r="F237" i="1"/>
  <c r="A238" i="1"/>
  <c r="A239" i="1" s="1"/>
  <c r="A240" i="1" s="1"/>
  <c r="A241" i="1" s="1"/>
  <c r="A242" i="1" s="1"/>
  <c r="G237" i="1"/>
  <c r="F233" i="1"/>
  <c r="F235" i="1"/>
  <c r="F232" i="1"/>
  <c r="F234" i="1"/>
  <c r="A233" i="1"/>
  <c r="A234" i="1" s="1"/>
  <c r="A235" i="1" s="1"/>
  <c r="G232" i="1"/>
  <c r="F227" i="1"/>
  <c r="F229" i="1"/>
  <c r="F226" i="1"/>
  <c r="F230" i="1"/>
  <c r="F225" i="1"/>
  <c r="F228" i="1"/>
  <c r="A226" i="1"/>
  <c r="A227" i="1" s="1"/>
  <c r="A228" i="1" s="1"/>
  <c r="A229" i="1" s="1"/>
  <c r="A230" i="1" s="1"/>
  <c r="G225" i="1"/>
  <c r="F220" i="1"/>
  <c r="F222" i="1"/>
  <c r="F219" i="1"/>
  <c r="F218" i="1"/>
  <c r="F223" i="1"/>
  <c r="F221" i="1"/>
  <c r="A219" i="1"/>
  <c r="A220" i="1" s="1"/>
  <c r="A221" i="1" s="1"/>
  <c r="A222" i="1" s="1"/>
  <c r="A223" i="1" s="1"/>
  <c r="G218" i="1"/>
  <c r="F215" i="1"/>
  <c r="F214" i="1"/>
  <c r="F213" i="1"/>
  <c r="F212" i="1"/>
  <c r="F211" i="1"/>
  <c r="F210" i="1"/>
  <c r="A211" i="1"/>
  <c r="A212" i="1" s="1"/>
  <c r="A213" i="1" s="1"/>
  <c r="A214" i="1" s="1"/>
  <c r="A215" i="1" s="1"/>
  <c r="G210" i="1"/>
  <c r="F207" i="1"/>
  <c r="F206" i="1"/>
  <c r="F208" i="1"/>
  <c r="F205" i="1"/>
  <c r="F202" i="1"/>
  <c r="G205" i="1"/>
  <c r="A206" i="1"/>
  <c r="A207" i="1" s="1"/>
  <c r="A208" i="1" s="1"/>
  <c r="F203" i="1"/>
  <c r="C118" i="1" l="1"/>
  <c r="E118" i="1"/>
  <c r="F190" i="1"/>
  <c r="F189" i="1"/>
  <c r="A189" i="1"/>
  <c r="A190" i="1" s="1"/>
  <c r="G188" i="1"/>
  <c r="F188" i="1"/>
  <c r="F186" i="1"/>
  <c r="F185" i="1"/>
  <c r="F184" i="1"/>
  <c r="F183" i="1"/>
  <c r="F182" i="1"/>
  <c r="A182" i="1"/>
  <c r="A183" i="1" s="1"/>
  <c r="A184" i="1" s="1"/>
  <c r="A185" i="1" s="1"/>
  <c r="A186" i="1" s="1"/>
  <c r="G181" i="1"/>
  <c r="F181" i="1"/>
  <c r="F177" i="1"/>
  <c r="F176" i="1"/>
  <c r="F178" i="1"/>
  <c r="F175" i="1"/>
  <c r="F179" i="1"/>
  <c r="F174" i="1"/>
  <c r="A175" i="1"/>
  <c r="A176" i="1" s="1"/>
  <c r="A177" i="1" s="1"/>
  <c r="A178" i="1" s="1"/>
  <c r="A179" i="1" s="1"/>
  <c r="G174" i="1"/>
  <c r="F172" i="1"/>
  <c r="F169" i="1"/>
  <c r="F171" i="1"/>
  <c r="F170" i="1"/>
  <c r="A170" i="1"/>
  <c r="A171" i="1" s="1"/>
  <c r="A172" i="1" s="1"/>
  <c r="G169" i="1"/>
  <c r="G164" i="1"/>
  <c r="G137" i="1"/>
  <c r="F167" i="1"/>
  <c r="F164" i="1"/>
  <c r="F166" i="1"/>
  <c r="F165" i="1"/>
  <c r="A165" i="1"/>
  <c r="A166" i="1" s="1"/>
  <c r="A167" i="1" s="1"/>
  <c r="F162" i="1"/>
  <c r="F161" i="1"/>
  <c r="F160" i="1"/>
  <c r="F159" i="1"/>
  <c r="F158" i="1"/>
  <c r="A158" i="1"/>
  <c r="A159" i="1" s="1"/>
  <c r="A160" i="1" s="1"/>
  <c r="A161" i="1" s="1"/>
  <c r="A162" i="1" s="1"/>
  <c r="G157" i="1"/>
  <c r="F157" i="1"/>
  <c r="F154" i="1"/>
  <c r="F153" i="1"/>
  <c r="F152" i="1"/>
  <c r="F151" i="1"/>
  <c r="F150" i="1"/>
  <c r="A150" i="1"/>
  <c r="A151" i="1" s="1"/>
  <c r="A152" i="1" s="1"/>
  <c r="A153" i="1" s="1"/>
  <c r="A154" i="1" s="1"/>
  <c r="G149" i="1"/>
  <c r="F149" i="1"/>
  <c r="F147" i="1"/>
  <c r="F146" i="1"/>
  <c r="F145" i="1"/>
  <c r="F144" i="1"/>
  <c r="F143" i="1"/>
  <c r="A143" i="1"/>
  <c r="A144" i="1" s="1"/>
  <c r="A145" i="1" s="1"/>
  <c r="A146" i="1" s="1"/>
  <c r="A147" i="1" s="1"/>
  <c r="G142" i="1"/>
  <c r="F142" i="1"/>
  <c r="F134" i="1"/>
  <c r="J134" i="1" s="1"/>
  <c r="F131" i="1"/>
  <c r="F140" i="1"/>
  <c r="F137" i="1"/>
  <c r="J137" i="1" s="1"/>
  <c r="F139" i="1"/>
  <c r="F138" i="1"/>
  <c r="A138" i="1"/>
  <c r="A139" i="1" s="1"/>
  <c r="A140" i="1" s="1"/>
  <c r="F135" i="1"/>
  <c r="F133" i="1"/>
  <c r="F132" i="1"/>
  <c r="F130" i="1"/>
  <c r="A131" i="1"/>
  <c r="A132" i="1" s="1"/>
  <c r="A133" i="1" s="1"/>
  <c r="A134" i="1" s="1"/>
  <c r="A135" i="1" s="1"/>
  <c r="G130" i="1"/>
  <c r="J130" i="1" l="1"/>
  <c r="K101" i="1" s="1"/>
  <c r="I101" i="1" s="1"/>
  <c r="G116" i="1"/>
  <c r="F198" i="1"/>
  <c r="E42" i="1" l="1"/>
  <c r="E43" i="1" s="1"/>
  <c r="C14" i="1" l="1"/>
  <c r="E29" i="1" l="1"/>
  <c r="F199" i="1" l="1"/>
  <c r="F200" i="1"/>
  <c r="F201" i="1"/>
  <c r="A199" i="1"/>
  <c r="A200" i="1" s="1"/>
  <c r="A201" i="1" s="1"/>
  <c r="A202" i="1" s="1"/>
  <c r="A203" i="1" s="1"/>
  <c r="G198" i="1"/>
  <c r="G117" i="1" l="1"/>
  <c r="G118" i="1" s="1"/>
  <c r="F113" i="1"/>
  <c r="B27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0" i="1"/>
  <c r="C72" i="1"/>
  <c r="D60" i="1"/>
  <c r="G49" i="1"/>
  <c r="C49" i="1"/>
  <c r="E26" i="1"/>
  <c r="E24" i="1"/>
  <c r="E7" i="1"/>
  <c r="E3" i="1"/>
  <c r="H87" i="1"/>
  <c r="H73" i="1"/>
  <c r="J92" i="1" l="1"/>
  <c r="J93" i="1" s="1"/>
  <c r="J86" i="1"/>
  <c r="J88" i="1" s="1"/>
  <c r="D66" i="1"/>
  <c r="D97" i="1"/>
  <c r="D98" i="1"/>
  <c r="D99" i="1"/>
  <c r="D93" i="1"/>
  <c r="D94" i="1"/>
  <c r="D95" i="1"/>
  <c r="D96" i="1"/>
  <c r="D85" i="1"/>
  <c r="D83" i="1"/>
  <c r="D82" i="1"/>
  <c r="D81" i="1"/>
  <c r="D79" i="1"/>
  <c r="J72" i="1"/>
  <c r="D84" i="1"/>
  <c r="D80" i="1"/>
  <c r="J76" i="1"/>
  <c r="J77" i="1"/>
  <c r="C76" i="1" s="1"/>
  <c r="J75" i="1"/>
  <c r="J78" i="1"/>
  <c r="J79" i="1" s="1"/>
  <c r="J84" i="1" s="1"/>
  <c r="J85" i="1" s="1"/>
  <c r="C77" i="1" s="1"/>
  <c r="J90" i="1"/>
  <c r="J91" i="1"/>
  <c r="C90" i="1" s="1"/>
  <c r="J89" i="1"/>
  <c r="J98" i="1" l="1"/>
  <c r="J94" i="1"/>
  <c r="J95" i="1" s="1"/>
  <c r="J96" i="1" s="1"/>
  <c r="J97" i="1" s="1"/>
  <c r="J80" i="1"/>
  <c r="J81" i="1" s="1"/>
  <c r="J82" i="1" s="1"/>
  <c r="J83" i="1" s="1"/>
  <c r="D92" i="1"/>
  <c r="D78" i="1"/>
  <c r="J74" i="1"/>
  <c r="D76" i="1"/>
  <c r="D90" i="1"/>
  <c r="G76" i="1" l="1"/>
  <c r="D70" i="1" s="1"/>
  <c r="D71" i="1" s="1"/>
  <c r="J99" i="1"/>
  <c r="C91" i="1" l="1"/>
  <c r="J87" i="1" s="1"/>
  <c r="J73" i="1"/>
  <c r="D77" i="1"/>
  <c r="I73" i="1" s="1"/>
  <c r="I74" i="1" s="1"/>
  <c r="E76" i="1"/>
  <c r="F71" i="1"/>
  <c r="G90" i="1" l="1"/>
  <c r="E90" i="1"/>
  <c r="D91" i="1"/>
  <c r="I87" i="1" s="1"/>
  <c r="I88" i="1" s="1"/>
  <c r="I72" i="1"/>
  <c r="C74" i="1" s="1"/>
  <c r="I86" i="1" l="1"/>
  <c r="C88" i="1" s="1"/>
</calcChain>
</file>

<file path=xl/sharedStrings.xml><?xml version="1.0" encoding="utf-8"?>
<sst xmlns="http://schemas.openxmlformats.org/spreadsheetml/2006/main" count="452" uniqueCount="251">
  <si>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</si>
  <si>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</si>
  <si>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</si>
  <si>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</si>
  <si>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</si>
  <si>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</si>
  <si>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</si>
  <si>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</si>
  <si>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</si>
  <si>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</si>
  <si>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</si>
  <si>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</si>
  <si>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</si>
  <si>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</si>
  <si>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</si>
  <si>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</si>
  <si>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</si>
  <si>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</si>
  <si>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</si>
  <si>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</si>
  <si>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</si>
  <si>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</si>
  <si>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</si>
  <si>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</si>
  <si>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</si>
  <si>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</si>
  <si>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</si>
  <si>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</si>
  <si>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</si>
  <si>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</si>
  <si>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</si>
  <si>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</si>
  <si>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</si>
  <si>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</si>
  <si>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</si>
  <si>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</si>
  <si>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</si>
  <si>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</si>
  <si>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</si>
  <si>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</si>
  <si>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</si>
  <si>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</si>
  <si>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</si>
  <si>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</si>
  <si>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</si>
  <si>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</si>
  <si>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</si>
  <si>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</si>
  <si>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</si>
  <si>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</si>
  <si>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</si>
  <si>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</si>
  <si>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</si>
  <si>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</si>
  <si>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</si>
  <si>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</si>
  <si>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</si>
  <si>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</si>
  <si>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</si>
  <si>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</si>
  <si>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</si>
  <si>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</si>
  <si>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</si>
  <si>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</si>
  <si>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</si>
  <si>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</si>
  <si>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</si>
  <si>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</si>
  <si>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</si>
  <si>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</si>
  <si>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</si>
  <si>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</si>
  <si>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</si>
  <si>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</si>
  <si>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</si>
  <si>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</si>
  <si>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</si>
  <si>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</si>
  <si>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</si>
  <si>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</si>
  <si>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</si>
  <si>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</si>
  <si>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</si>
  <si>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</si>
  <si>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</si>
  <si>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</si>
  <si>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</si>
  <si>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</si>
  <si>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</si>
  <si>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</si>
  <si>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</si>
  <si>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</si>
  <si>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</si>
  <si>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</si>
  <si>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</si>
  <si>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</si>
  <si>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</si>
  <si>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</si>
  <si>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</si>
  <si>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</si>
  <si>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</si>
  <si>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</si>
  <si>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</si>
  <si>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</si>
  <si>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</si>
  <si>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</si>
  <si>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</si>
  <si>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</si>
  <si>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</si>
  <si>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</si>
  <si>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</si>
  <si>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</si>
  <si>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</si>
  <si>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</si>
  <si>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</si>
  <si>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</si>
  <si>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</si>
  <si>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</si>
  <si>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</si>
  <si>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</si>
  <si>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</si>
  <si>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</si>
  <si>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</si>
  <si>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</si>
  <si>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</si>
  <si>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</si>
  <si>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</si>
  <si>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</si>
  <si>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</si>
  <si>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</si>
  <si>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</si>
  <si>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</si>
  <si>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</si>
  <si>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</si>
  <si>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</si>
  <si>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</si>
  <si>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</si>
  <si>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</si>
  <si>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</si>
  <si>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</si>
  <si>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</si>
  <si>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</si>
  <si>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</si>
  <si>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</si>
  <si>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</si>
  <si>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</si>
  <si>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</si>
  <si>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</si>
  <si>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</si>
  <si>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</si>
  <si>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</si>
  <si>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</si>
  <si>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</si>
  <si>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</si>
  <si>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</si>
  <si>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</si>
  <si>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</si>
  <si>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</si>
  <si>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</si>
  <si>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</si>
  <si>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</si>
  <si>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</si>
  <si>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</si>
  <si>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</si>
  <si>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</si>
  <si>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</si>
  <si>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</si>
  <si>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</si>
  <si>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</si>
  <si>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</si>
  <si>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</si>
  <si>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</si>
  <si>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</si>
  <si>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Goregaon</t>
  </si>
  <si>
    <t>Bhoomi Properties</t>
  </si>
  <si>
    <t>Simana Phase I</t>
  </si>
  <si>
    <t>Wing A &amp; B</t>
  </si>
  <si>
    <t>8976744032 / 9833095451</t>
  </si>
  <si>
    <t>Municipal Corporation of Greater Mumbai</t>
  </si>
  <si>
    <t>C.S.No</t>
  </si>
  <si>
    <t>Parel-Sewree Division</t>
  </si>
  <si>
    <t>Mumbai</t>
  </si>
  <si>
    <t>02 Wings</t>
  </si>
  <si>
    <t>EB/360/FS/A</t>
  </si>
  <si>
    <t>EB/360/FS/A/FCC/5/Amend</t>
  </si>
  <si>
    <t>Wing A = B + Gr/St + 1st to 3rd Podium Floor + 4th (E-Deck) + 1st to 43rd Floor
Wing B = B + Gr/St + 1st to 3rd Podium Floor + 4th (E-Deck) + 1st to 53rd Floor</t>
  </si>
  <si>
    <t>Wing A</t>
  </si>
  <si>
    <t>Basement Floor for Parking</t>
  </si>
  <si>
    <t>Wing B</t>
  </si>
  <si>
    <t>Ground Floor for Parking</t>
  </si>
  <si>
    <t>1st to 3rd Podium Floor for Parking</t>
  </si>
  <si>
    <t>4th Podium Floor (E-Deck)</t>
  </si>
  <si>
    <t>1st, 5th, 8th &amp; 11th Floor for Residential</t>
  </si>
  <si>
    <t>2.5BHK</t>
  </si>
  <si>
    <t>3BHK</t>
  </si>
  <si>
    <t>2BHK</t>
  </si>
  <si>
    <t>https://goo.gl/maps/x867Y95CNU8cHGhc7?coh=178572&amp;entry=tt</t>
  </si>
  <si>
    <t>18.9892141, 72.8381573</t>
  </si>
  <si>
    <t>EB/360/FS/A/FCC/3/Amend</t>
  </si>
  <si>
    <t>This CC is endorsed as per last approved amended plan dated 14/01/2022. The Further C.C. for wing A extended up to top slab of 36st floor &amp; further CC of wing B extended up to top slab of 36th floor .</t>
  </si>
  <si>
    <t>This C.C. is further extended for Wing B upto 40 th floor top of slab as per last approved plan dated 14.01.2022.</t>
  </si>
  <si>
    <t>EB/360/FS/A/FCC/4/Amend</t>
  </si>
  <si>
    <t>2nd &amp; 9th (Part Refuge Area)</t>
  </si>
  <si>
    <t>3rd, 4th, 6th, 7th, 10th, 12th &amp; 13th Floor</t>
  </si>
  <si>
    <t>14th, 15th, 18th, 19th, 21st, 24th, 26th, 27th, 29th, 32nd, 33rd, 35th &amp; 36th Floor</t>
  </si>
  <si>
    <t>17th, 20th, 22nd, 25th, 28th, 31st &amp; 34th Floor</t>
  </si>
  <si>
    <t>16th, 23rd &amp; 30th Floor (Part Refuge Area)</t>
  </si>
  <si>
    <t>37th Floor (Part Refuge Area)</t>
  </si>
  <si>
    <t>38th &amp; 39th Floor</t>
  </si>
  <si>
    <t>40th Floor</t>
  </si>
  <si>
    <t>41st , 42nd &amp; 43rd Floor</t>
  </si>
  <si>
    <t>5BHK</t>
  </si>
  <si>
    <t>4BHK</t>
  </si>
  <si>
    <t>2nd &amp; 9th Floor (Part Refuge Area)</t>
  </si>
  <si>
    <t>14th, 15th, 17th, 18th, 20th, 21st, 24th &amp; 25th Floor</t>
  </si>
  <si>
    <t>19th &amp; 22nd Floor</t>
  </si>
  <si>
    <t>16th &amp; 23rd Floor (Part Refuge Area)</t>
  </si>
  <si>
    <t>28th, 31st, 33rd, 36th, 39th, 42nd &amp; 45th Floor</t>
  </si>
  <si>
    <t>26th, 27th, 29th, 32nd, 34th, 35th, 38th, 40th, 41st, 43rd &amp; 46th Floor</t>
  </si>
  <si>
    <t>30th, 37th &amp; 44th Floor (Part Refuge Area)</t>
  </si>
  <si>
    <t>48th Floor</t>
  </si>
  <si>
    <t>50th, 52nd &amp; 53rd Floor</t>
  </si>
  <si>
    <t>51st Floor (Part Refuge Area)</t>
  </si>
  <si>
    <t>We considered Gross carpet area = Net carpet.</t>
  </si>
  <si>
    <t>1.4 KM from Chinchpokali Railway Station</t>
  </si>
  <si>
    <t>GD Ambekar Marg</t>
  </si>
  <si>
    <t>Western Heights</t>
  </si>
  <si>
    <t>Ganesh Nagar Ln</t>
  </si>
  <si>
    <t>Internal Road</t>
  </si>
  <si>
    <t>2nd Service floor between 13th &amp; 14th Floor</t>
  </si>
  <si>
    <t>1st Service floor between 4th Podium Floor &amp; 1st floor level</t>
  </si>
  <si>
    <t>2nd Service floor between 21st &amp; 22nd Floor</t>
  </si>
  <si>
    <t>Flats - 529</t>
  </si>
  <si>
    <t>We refer latest approved floor plans &amp; CC from MCGM site.</t>
  </si>
  <si>
    <t>Kids Fun Area, Multipurpose Turf, Fitness centre, Board Games Area, Party Halls, Hangout Gazebos, Jogging Track, Pargola Seating, Meditation Area, Senior Citizen Seating.</t>
  </si>
  <si>
    <t>Lalbaug</t>
  </si>
  <si>
    <t>Approved Plans, CC, Sale Plans</t>
  </si>
  <si>
    <t>MIS</t>
  </si>
  <si>
    <t>Online</t>
  </si>
  <si>
    <t>Phase I 
Wing A = P51900033360
Wing B = P51900033361</t>
  </si>
  <si>
    <t>Karan Misal</t>
  </si>
  <si>
    <t>Wing A = B + Gr/St + 1st to 3rd Podium + 4th (E-Deck) + 1st to 43rd Floor</t>
  </si>
  <si>
    <t>Wing B = B + Gr/St + 1st to 3rd Podium + 4th (E-Deck) + 1st to 53rd Floor</t>
  </si>
  <si>
    <t>EB/360/FS/A/FCC/6/Amend</t>
  </si>
  <si>
    <t>We have updated revised approved CC on 14/05/2024.</t>
  </si>
  <si>
    <t>As per RERA - Wing A = 31/12/2025
                         Wing B = 31/12/2026</t>
  </si>
  <si>
    <t>47th &amp; 49th Floor</t>
  </si>
  <si>
    <t>Construction work is in process at the time of Visit.(Internal Photo was not allowed).</t>
  </si>
  <si>
    <r>
      <t xml:space="preserve">C.C. of </t>
    </r>
    <r>
      <rPr>
        <b/>
        <sz val="12"/>
        <color indexed="8"/>
        <rFont val="Times New Roman"/>
        <family val="1"/>
      </rPr>
      <t>Wing B</t>
    </r>
    <r>
      <rPr>
        <sz val="12"/>
        <color indexed="8"/>
        <rFont val="Times New Roman"/>
        <family val="1"/>
      </rPr>
      <t xml:space="preserve"> is extended further from 49th floor to 53th upper floor + LMR i.e Full C.C. as per amended approved plan dated 13.06.2023 &amp; HRC and AAI approval .</t>
    </r>
  </si>
  <si>
    <r>
      <t xml:space="preserve">This CC is further extend C.C. for </t>
    </r>
    <r>
      <rPr>
        <b/>
        <sz val="12"/>
        <color indexed="8"/>
        <rFont val="Times New Roman"/>
        <family val="1"/>
      </rPr>
      <t>wing A</t>
    </r>
    <r>
      <rPr>
        <sz val="12"/>
        <color indexed="8"/>
        <rFont val="Times New Roman"/>
        <family val="1"/>
      </rPr>
      <t xml:space="preserve"> i.e. from 37th floor to 43rd upper floors + LMR with height of 175.95 mtrs. and for wing B from 41st floor to 48th upper floors with height of 196.60 mtrs. as per HRC NOC.</t>
    </r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</si>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</sst>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25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363678</xdr:colOff>
      <xdr:row>400</xdr:row>
      <xdr:rowOff>146050</xdr:rowOff>
    </xdr:from>
    <xdr:to>
      <xdr:col>7</xdr:col>
      <xdr:colOff>193963</xdr:colOff>
      <xdr:row>416</xdr:row>
      <xdr:rowOff>180469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678" y="81998705"/>
          <a:ext cx="5690758" cy="31378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363678</xdr:colOff>
      <xdr:row>377</xdr:row>
      <xdr:rowOff>103908</xdr:rowOff>
    </xdr:from>
    <xdr:to>
      <xdr:col>7</xdr:col>
      <xdr:colOff>434655</xdr:colOff>
      <xdr:row>400</xdr:row>
      <xdr:rowOff>3248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678" y="89119363"/>
          <a:ext cx="5760000" cy="4480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199159</xdr:colOff>
      <xdr:row>404</xdr:row>
      <xdr:rowOff>0</xdr:rowOff>
    </xdr:from>
    <xdr:to>
      <xdr:col>4</xdr:col>
      <xdr:colOff>31173</xdr:colOff>
      <xdr:row>411</xdr:row>
      <xdr:rowOff>164522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61159" y="94392750"/>
          <a:ext cx="2421082" cy="1558636"/>
        </a:xfrm>
        <a:prstGeom prst="ellipse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909201</xdr:colOff>
      <xdr:row>405</xdr:row>
      <xdr:rowOff>69273</xdr:rowOff>
    </xdr:from>
    <xdr:to>
      <xdr:col>7</xdr:col>
      <xdr:colOff>48487</xdr:colOff>
      <xdr:row>413</xdr:row>
      <xdr:rowOff>173182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16428" y="94661182"/>
          <a:ext cx="2421082" cy="1697182"/>
        </a:xfrm>
        <a:prstGeom prst="ellipse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0</xdr:col>
      <xdr:colOff>562838</xdr:colOff>
      <xdr:row>401</xdr:row>
      <xdr:rowOff>76778</xdr:rowOff>
    </xdr:from>
    <xdr:ext cx="708912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2838" y="93872051"/>
          <a:ext cx="708912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oneCellAnchor>
  <xdr:oneCellAnchor>
    <xdr:from>
      <xdr:col>5</xdr:col>
      <xdr:colOff>516078</xdr:colOff>
      <xdr:row>401</xdr:row>
      <xdr:rowOff>159904</xdr:rowOff>
    </xdr:from>
    <xdr:ext cx="702693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46464" y="93955177"/>
          <a:ext cx="702693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oneCellAnchor>
  <xdr:twoCellAnchor>
    <xdr:from>
      <xdr:col>1</xdr:col>
      <xdr:colOff>155294</xdr:colOff>
      <xdr:row>402</xdr:row>
      <xdr:rowOff>189115</xdr:rowOff>
    </xdr:from>
    <xdr:to>
      <xdr:col>1</xdr:col>
      <xdr:colOff>553718</xdr:colOff>
      <xdr:row>405</xdr:row>
      <xdr:rowOff>29098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7" idx="2"/>
          <a:endCxn id="4" idx="1"/>
        </xdr:cNvCxnSpPr>
      </xdr:nvCxnSpPr>
      <xdr:spPr>
        <a:xfrm>
          <a:off x="917294" y="94183547"/>
          <a:ext cx="398424" cy="437460"/>
        </a:xfrm>
        <a:prstGeom prst="straightConnector1">
          <a:avLst/>
        </a:prstGeom>
        <a:ln w="28575">
          <a:solidFill>
            <a:schemeClr val="bg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692728</xdr:colOff>
      <xdr:row>403</xdr:row>
      <xdr:rowOff>73082</xdr:rowOff>
    </xdr:from>
    <xdr:to>
      <xdr:col>6</xdr:col>
      <xdr:colOff>88106</xdr:colOff>
      <xdr:row>405</xdr:row>
      <xdr:rowOff>129886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8" idx="2"/>
        </xdr:cNvCxnSpPr>
      </xdr:nvCxnSpPr>
      <xdr:spPr>
        <a:xfrm flipH="1">
          <a:off x="4823114" y="94266673"/>
          <a:ext cx="174697" cy="455122"/>
        </a:xfrm>
        <a:prstGeom prst="straightConnector1">
          <a:avLst/>
        </a:prstGeom>
        <a:ln w="28575">
          <a:solidFill>
            <a:schemeClr val="bg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65423</xdr:colOff>
      <xdr:row>307</xdr:row>
      <xdr:rowOff>122535</xdr:rowOff>
    </xdr:from>
    <xdr:ext cx="702693" cy="31149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746037" y="65256217"/>
          <a:ext cx="702693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oneCellAnchor>
  <xdr:twoCellAnchor editAs="oneCell">
    <xdr:from>
      <xdr:col>0</xdr:col>
      <xdr:colOff>432950</xdr:colOff>
      <xdr:row>344</xdr:row>
      <xdr:rowOff>25977</xdr:rowOff>
    </xdr:from>
    <xdr:to>
      <xdr:col>7</xdr:col>
      <xdr:colOff>323927</xdr:colOff>
      <xdr:row>360</xdr:row>
      <xdr:rowOff>12372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2950" y="73879363"/>
          <a:ext cx="5580000" cy="31729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759403</xdr:colOff>
      <xdr:row>297</xdr:row>
      <xdr:rowOff>79663</xdr:rowOff>
    </xdr:from>
    <xdr:ext cx="371192" cy="46801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279698" y="63230413"/>
          <a:ext cx="37119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rgbClr val="FFFF00"/>
              </a:solidFill>
            </a:rPr>
            <a:t>A</a:t>
          </a:r>
        </a:p>
      </xdr:txBody>
    </xdr:sp>
    <xdr:clientData/>
  </xdr:oneCellAnchor>
  <xdr:oneCellAnchor>
    <xdr:from>
      <xdr:col>12</xdr:col>
      <xdr:colOff>101095</xdr:colOff>
      <xdr:row>297</xdr:row>
      <xdr:rowOff>164522</xdr:rowOff>
    </xdr:from>
    <xdr:ext cx="371192" cy="468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946481" y="63315272"/>
          <a:ext cx="37119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rgbClr val="FFFF00"/>
              </a:solidFill>
            </a:rPr>
            <a:t>B</a:t>
          </a:r>
        </a:p>
      </xdr:txBody>
    </xdr:sp>
    <xdr:clientData/>
  </xdr:oneCellAnchor>
  <xdr:oneCellAnchor>
    <xdr:from>
      <xdr:col>8</xdr:col>
      <xdr:colOff>753342</xdr:colOff>
      <xdr:row>302</xdr:row>
      <xdr:rowOff>147204</xdr:rowOff>
    </xdr:from>
    <xdr:ext cx="722442" cy="31149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273637" y="66164113"/>
          <a:ext cx="722442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oneCellAnchor>
  <xdr:oneCellAnchor>
    <xdr:from>
      <xdr:col>13</xdr:col>
      <xdr:colOff>44878</xdr:colOff>
      <xdr:row>299</xdr:row>
      <xdr:rowOff>93292</xdr:rowOff>
    </xdr:from>
    <xdr:ext cx="722442" cy="31149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984548" y="65519275"/>
          <a:ext cx="722442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oneCellAnchor>
  <xdr:twoCellAnchor editAs="oneCell">
    <xdr:from>
      <xdr:col>20</xdr:col>
      <xdr:colOff>59612</xdr:colOff>
      <xdr:row>321</xdr:row>
      <xdr:rowOff>113526</xdr:rowOff>
    </xdr:from>
    <xdr:to>
      <xdr:col>22</xdr:col>
      <xdr:colOff>435907</xdr:colOff>
      <xdr:row>332</xdr:row>
      <xdr:rowOff>104067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0BFFBA7-A1BB-B853-2984-779FCC9E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3794" y="68582690"/>
          <a:ext cx="1623204" cy="212414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</xdr:pic>
    <xdr:clientData/>
  </xdr:twoCellAnchor>
  <xdr:oneCellAnchor>
    <xdr:from>
      <xdr:col>8</xdr:col>
      <xdr:colOff>522908</xdr:colOff>
      <xdr:row>309</xdr:row>
      <xdr:rowOff>87740</xdr:rowOff>
    </xdr:from>
    <xdr:ext cx="722442" cy="31149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B2C88C3-4758-4840-A3A5-721EF2F7B32A}"/>
            </a:ext>
          </a:extLst>
        </xdr:cNvPr>
        <xdr:cNvSpPr txBox="1"/>
      </xdr:nvSpPr>
      <xdr:spPr>
        <a:xfrm>
          <a:off x="7368208" y="66483340"/>
          <a:ext cx="722442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oneCellAnchor>
  <xdr:oneCellAnchor>
    <xdr:from>
      <xdr:col>11</xdr:col>
      <xdr:colOff>393700</xdr:colOff>
      <xdr:row>305</xdr:row>
      <xdr:rowOff>160738</xdr:rowOff>
    </xdr:from>
    <xdr:ext cx="714298" cy="31149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9F00504-85B4-44CB-9107-241DB1FA89A7}"/>
            </a:ext>
          </a:extLst>
        </xdr:cNvPr>
        <xdr:cNvSpPr txBox="1"/>
      </xdr:nvSpPr>
      <xdr:spPr>
        <a:xfrm>
          <a:off x="9994900" y="65768938"/>
          <a:ext cx="714298" cy="31149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oneCellAnchor>
  <xdr:twoCellAnchor>
    <xdr:from>
      <xdr:col>8</xdr:col>
      <xdr:colOff>403225</xdr:colOff>
      <xdr:row>299</xdr:row>
      <xdr:rowOff>158750</xdr:rowOff>
    </xdr:from>
    <xdr:to>
      <xdr:col>16</xdr:col>
      <xdr:colOff>103065</xdr:colOff>
      <xdr:row>330</xdr:row>
      <xdr:rowOff>141786</xdr:rowOff>
    </xdr:to>
    <xdr:grpSp>
      <xdr:nvGrpSpPr>
        <xdr:cNvPr id="9" name="Group 8"/>
        <xdr:cNvGrpSpPr/>
      </xdr:nvGrpSpPr>
      <xdr:grpSpPr>
        <a:xfrm>
          <a:off x="7248525" y="64839850"/>
          <a:ext cx="6399090" cy="6079036"/>
          <a:chOff x="203200" y="64750950"/>
          <a:chExt cx="6380040" cy="6079036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72815" y="6881398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0335" y="6881398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8774" y="647509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6881398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575" y="6881398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4460" y="647509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648110" y="64852550"/>
            <a:ext cx="722442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4154668" y="65620134"/>
            <a:ext cx="722442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B</a:t>
            </a:r>
          </a:p>
        </xdr:txBody>
      </xdr:sp>
    </xdr:grpSp>
    <xdr:clientData/>
  </xdr:twoCellAnchor>
  <xdr:twoCellAnchor>
    <xdr:from>
      <xdr:col>12</xdr:col>
      <xdr:colOff>25400</xdr:colOff>
      <xdr:row>294</xdr:row>
      <xdr:rowOff>82550</xdr:rowOff>
    </xdr:from>
    <xdr:to>
      <xdr:col>12</xdr:col>
      <xdr:colOff>754304</xdr:colOff>
      <xdr:row>296</xdr:row>
      <xdr:rowOff>2052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363200" y="63957200"/>
          <a:ext cx="728904" cy="3132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twoCellAnchor>
  <xdr:twoCellAnchor>
    <xdr:from>
      <xdr:col>8</xdr:col>
      <xdr:colOff>828675</xdr:colOff>
      <xdr:row>293</xdr:row>
      <xdr:rowOff>187325</xdr:rowOff>
    </xdr:from>
    <xdr:to>
      <xdr:col>9</xdr:col>
      <xdr:colOff>341554</xdr:colOff>
      <xdr:row>295</xdr:row>
      <xdr:rowOff>103652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673975" y="63865125"/>
          <a:ext cx="732079" cy="3100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twoCellAnchor>
  <xdr:twoCellAnchor>
    <xdr:from>
      <xdr:col>0</xdr:col>
      <xdr:colOff>177800</xdr:colOff>
      <xdr:row>300</xdr:row>
      <xdr:rowOff>76200</xdr:rowOff>
    </xdr:from>
    <xdr:to>
      <xdr:col>7</xdr:col>
      <xdr:colOff>610399</xdr:colOff>
      <xdr:row>340</xdr:row>
      <xdr:rowOff>46884</xdr:rowOff>
    </xdr:to>
    <xdr:grpSp>
      <xdr:nvGrpSpPr>
        <xdr:cNvPr id="12" name="Group 11"/>
        <xdr:cNvGrpSpPr/>
      </xdr:nvGrpSpPr>
      <xdr:grpSpPr>
        <a:xfrm>
          <a:off x="177800" y="64954150"/>
          <a:ext cx="6407949" cy="7838334"/>
          <a:chOff x="177800" y="65131950"/>
          <a:chExt cx="6407949" cy="7838334"/>
        </a:xfrm>
      </xdr:grpSpPr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2617" y="7081028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6843" y="65131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6843" y="6797111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65131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5886" y="65131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6797111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5886" y="6797111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315443" y="65366900"/>
            <a:ext cx="728904" cy="31320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B</a:t>
            </a:r>
          </a:p>
        </xdr:txBody>
      </xdr:sp>
    </xdr:grpSp>
    <xdr:clientData/>
  </xdr:twoCellAnchor>
  <xdr:twoCellAnchor>
    <xdr:from>
      <xdr:col>1</xdr:col>
      <xdr:colOff>38100</xdr:colOff>
      <xdr:row>324</xdr:row>
      <xdr:rowOff>146050</xdr:rowOff>
    </xdr:from>
    <xdr:to>
      <xdr:col>1</xdr:col>
      <xdr:colOff>767004</xdr:colOff>
      <xdr:row>326</xdr:row>
      <xdr:rowOff>65552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38200" y="69742050"/>
          <a:ext cx="728904" cy="3132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twoCellAnchor>
  <xdr:twoCellAnchor>
    <xdr:from>
      <xdr:col>3</xdr:col>
      <xdr:colOff>336550</xdr:colOff>
      <xdr:row>309</xdr:row>
      <xdr:rowOff>38100</xdr:rowOff>
    </xdr:from>
    <xdr:to>
      <xdr:col>4</xdr:col>
      <xdr:colOff>74854</xdr:colOff>
      <xdr:row>310</xdr:row>
      <xdr:rowOff>154452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863850" y="66681350"/>
          <a:ext cx="728904" cy="3132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1" cap="none" spc="0">
              <a:ln w="0"/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268944</xdr:colOff>
      <xdr:row>14</xdr:row>
      <xdr:rowOff>0</xdr:rowOff>
    </xdr:from>
    <xdr:to>
      <xdr:col>6</xdr:col>
      <xdr:colOff>487679</xdr:colOff>
      <xdr:row>35</xdr:row>
      <xdr:rowOff>47523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944" y="2678206"/>
          <a:ext cx="7200000" cy="404802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867Y95CNU8cHGhc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77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46" t="s">
        <v>169</v>
      </c>
      <c r="B1" s="146"/>
      <c r="C1" s="146"/>
      <c r="D1" s="146"/>
      <c r="E1" s="146"/>
      <c r="F1" s="146"/>
      <c r="G1" s="146"/>
      <c r="H1" s="146"/>
    </row>
    <row r="2" spans="1:8" ht="16.5" customHeight="1" x14ac:dyDescent="0.35">
      <c r="A2" s="134" t="s">
        <v>0</v>
      </c>
      <c r="B2" s="134"/>
      <c r="C2" s="134"/>
      <c r="D2" s="134"/>
      <c r="E2" s="134"/>
      <c r="F2" s="134"/>
      <c r="G2" s="134"/>
      <c r="H2" s="134"/>
    </row>
    <row r="3" spans="1:8" x14ac:dyDescent="0.35">
      <c r="A3" s="118" t="s">
        <v>1</v>
      </c>
      <c r="B3" s="118"/>
      <c r="C3" s="118"/>
      <c r="D3" s="118"/>
      <c r="E3" s="118" t="str">
        <f ca="1">TEXT(TODAY(),"DD/MM/YYYY")</f>
        <v>19/08/2025</v>
      </c>
      <c r="F3" s="118"/>
      <c r="G3" s="118"/>
      <c r="H3" s="118"/>
    </row>
    <row r="4" spans="1:8" ht="15" customHeight="1" x14ac:dyDescent="0.35">
      <c r="A4" s="118" t="s">
        <v>2</v>
      </c>
      <c r="B4" s="118"/>
      <c r="C4" s="118"/>
      <c r="D4" s="118"/>
      <c r="E4" s="118" t="s">
        <v>173</v>
      </c>
      <c r="F4" s="118"/>
      <c r="G4" s="118"/>
      <c r="H4" s="118"/>
    </row>
    <row r="5" spans="1:8" x14ac:dyDescent="0.35">
      <c r="A5" s="118" t="s">
        <v>3</v>
      </c>
      <c r="B5" s="118"/>
      <c r="C5" s="118"/>
      <c r="D5" s="118"/>
      <c r="E5" s="148">
        <v>45880</v>
      </c>
      <c r="F5" s="118"/>
      <c r="G5" s="118"/>
      <c r="H5" s="118"/>
    </row>
    <row r="6" spans="1:8" ht="16.5" customHeight="1" x14ac:dyDescent="0.35">
      <c r="A6" s="118" t="s">
        <v>4</v>
      </c>
      <c r="B6" s="118"/>
      <c r="C6" s="118"/>
      <c r="D6" s="118"/>
      <c r="E6" s="118" t="s">
        <v>174</v>
      </c>
      <c r="F6" s="118"/>
      <c r="G6" s="118"/>
      <c r="H6" s="118"/>
    </row>
    <row r="7" spans="1:8" ht="15" customHeight="1" x14ac:dyDescent="0.35">
      <c r="A7" s="118" t="s">
        <v>5</v>
      </c>
      <c r="B7" s="118"/>
      <c r="C7" s="118"/>
      <c r="D7" s="118"/>
      <c r="E7" s="118" t="str">
        <f>E6</f>
        <v>Bhoomi Properties</v>
      </c>
      <c r="F7" s="118"/>
      <c r="G7" s="118"/>
      <c r="H7" s="118"/>
    </row>
    <row r="8" spans="1:8" x14ac:dyDescent="0.35">
      <c r="A8" s="118" t="s">
        <v>6</v>
      </c>
      <c r="B8" s="118"/>
      <c r="C8" s="118"/>
      <c r="D8" s="118"/>
      <c r="E8" s="147" t="s">
        <v>175</v>
      </c>
      <c r="F8" s="147"/>
      <c r="G8" s="147"/>
      <c r="H8" s="147"/>
    </row>
    <row r="9" spans="1:8" x14ac:dyDescent="0.35">
      <c r="A9" s="118" t="s">
        <v>171</v>
      </c>
      <c r="B9" s="118"/>
      <c r="C9" s="118"/>
      <c r="D9" s="118"/>
      <c r="E9" s="118" t="s">
        <v>177</v>
      </c>
      <c r="F9" s="118"/>
      <c r="G9" s="118"/>
      <c r="H9" s="118"/>
    </row>
    <row r="10" spans="1:8" hidden="1" x14ac:dyDescent="0.35">
      <c r="A10" s="118" t="s">
        <v>172</v>
      </c>
      <c r="B10" s="118"/>
      <c r="C10" s="118"/>
      <c r="D10" s="118"/>
      <c r="E10" s="118"/>
      <c r="F10" s="118"/>
      <c r="G10" s="118"/>
      <c r="H10" s="118"/>
    </row>
    <row r="11" spans="1:8" x14ac:dyDescent="0.35">
      <c r="A11" s="118" t="s">
        <v>7</v>
      </c>
      <c r="B11" s="118"/>
      <c r="C11" s="118"/>
      <c r="D11" s="118"/>
      <c r="E11" s="118" t="s">
        <v>176</v>
      </c>
      <c r="F11" s="118"/>
      <c r="G11" s="118"/>
      <c r="H11" s="118"/>
    </row>
    <row r="12" spans="1:8" x14ac:dyDescent="0.35">
      <c r="A12" s="83" t="s">
        <v>8</v>
      </c>
      <c r="B12" s="83"/>
      <c r="C12" s="83"/>
      <c r="D12" s="83"/>
      <c r="E12" s="117" t="s">
        <v>236</v>
      </c>
      <c r="F12" s="117"/>
      <c r="G12" s="117"/>
      <c r="H12" s="117"/>
    </row>
    <row r="13" spans="1:8" ht="51.75" customHeight="1" x14ac:dyDescent="0.35">
      <c r="A13" s="83" t="s">
        <v>9</v>
      </c>
      <c r="B13" s="83"/>
      <c r="C13" s="83"/>
      <c r="D13" s="83"/>
      <c r="E13" s="117" t="s">
        <v>239</v>
      </c>
      <c r="F13" s="118"/>
      <c r="G13" s="118"/>
      <c r="H13" s="118"/>
    </row>
    <row r="14" spans="1:8" ht="33" customHeight="1" x14ac:dyDescent="0.35">
      <c r="A14" s="117" t="s">
        <v>10</v>
      </c>
      <c r="B14" s="117"/>
      <c r="C14" s="11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Simana Phase I, C.S.No.126, near Western Heights, GD Ambekar Marg, , Parel-Sewree Division, Lalbaug, Mumbai, Mumbai - 400033.</v>
      </c>
      <c r="D14" s="117"/>
      <c r="E14" s="117"/>
      <c r="F14" s="117"/>
      <c r="G14" s="117"/>
      <c r="H14" s="117"/>
    </row>
    <row r="15" spans="1:8" x14ac:dyDescent="0.35">
      <c r="A15" s="117" t="s">
        <v>179</v>
      </c>
      <c r="B15" s="117"/>
      <c r="C15" s="117">
        <v>126</v>
      </c>
      <c r="D15" s="117"/>
      <c r="E15" s="117"/>
      <c r="F15" s="117"/>
      <c r="G15" s="117"/>
      <c r="H15" s="117"/>
    </row>
    <row r="16" spans="1:8" ht="15.75" customHeight="1" x14ac:dyDescent="0.35">
      <c r="A16" s="117" t="s">
        <v>167</v>
      </c>
      <c r="B16" s="117"/>
      <c r="C16" s="117" t="s">
        <v>30</v>
      </c>
      <c r="D16" s="117"/>
      <c r="E16" s="117"/>
      <c r="F16" s="117"/>
      <c r="G16" s="117"/>
      <c r="H16" s="117"/>
    </row>
    <row r="17" spans="1:8" ht="15.75" customHeight="1" x14ac:dyDescent="0.35">
      <c r="A17" s="117" t="s">
        <v>11</v>
      </c>
      <c r="B17" s="117"/>
      <c r="C17" s="118" t="s">
        <v>225</v>
      </c>
      <c r="D17" s="118"/>
      <c r="E17" s="117" t="s">
        <v>75</v>
      </c>
      <c r="F17" s="117"/>
      <c r="G17" s="117" t="s">
        <v>180</v>
      </c>
      <c r="H17" s="117"/>
    </row>
    <row r="18" spans="1:8" x14ac:dyDescent="0.35">
      <c r="A18" s="118" t="s">
        <v>13</v>
      </c>
      <c r="B18" s="118"/>
      <c r="C18" s="117" t="s">
        <v>235</v>
      </c>
      <c r="D18" s="117"/>
      <c r="E18" s="117" t="s">
        <v>12</v>
      </c>
      <c r="F18" s="117"/>
      <c r="G18" s="149" t="s">
        <v>181</v>
      </c>
      <c r="H18" s="149"/>
    </row>
    <row r="19" spans="1:8" x14ac:dyDescent="0.35">
      <c r="A19" s="118" t="s">
        <v>76</v>
      </c>
      <c r="B19" s="118"/>
      <c r="C19" s="117" t="s">
        <v>181</v>
      </c>
      <c r="D19" s="117"/>
      <c r="E19" s="117" t="s">
        <v>14</v>
      </c>
      <c r="F19" s="117"/>
      <c r="G19" s="117">
        <v>400033</v>
      </c>
      <c r="H19" s="117"/>
    </row>
    <row r="20" spans="1:8" ht="48.75" customHeight="1" x14ac:dyDescent="0.35">
      <c r="A20" s="83" t="s">
        <v>125</v>
      </c>
      <c r="B20" s="83"/>
      <c r="C20" s="117" t="s">
        <v>226</v>
      </c>
      <c r="D20" s="117"/>
      <c r="E20" s="116" t="s">
        <v>15</v>
      </c>
      <c r="F20" s="116"/>
      <c r="G20" s="117" t="s">
        <v>224</v>
      </c>
      <c r="H20" s="117"/>
    </row>
    <row r="21" spans="1:8" ht="15" customHeight="1" x14ac:dyDescent="0.35">
      <c r="A21" s="116" t="s">
        <v>78</v>
      </c>
      <c r="B21" s="116"/>
      <c r="C21" s="116"/>
      <c r="D21" s="116"/>
      <c r="E21" s="118" t="s">
        <v>16</v>
      </c>
      <c r="F21" s="118"/>
      <c r="G21" s="118"/>
      <c r="H21" s="118"/>
    </row>
    <row r="22" spans="1:8" ht="18.75" customHeight="1" x14ac:dyDescent="0.35">
      <c r="A22" s="116"/>
      <c r="B22" s="116"/>
      <c r="C22" s="116"/>
      <c r="D22" s="116"/>
      <c r="E22" s="118"/>
      <c r="F22" s="118"/>
      <c r="G22" s="118"/>
      <c r="H22" s="118"/>
    </row>
    <row r="23" spans="1:8" ht="15" customHeight="1" x14ac:dyDescent="0.35">
      <c r="A23" s="116" t="s">
        <v>17</v>
      </c>
      <c r="B23" s="116"/>
      <c r="C23" s="116"/>
      <c r="D23" s="116"/>
      <c r="E23" s="117" t="s">
        <v>18</v>
      </c>
      <c r="F23" s="117"/>
      <c r="G23" s="117"/>
      <c r="H23" s="117"/>
    </row>
    <row r="24" spans="1:8" ht="15" customHeight="1" x14ac:dyDescent="0.35">
      <c r="A24" s="83" t="s">
        <v>19</v>
      </c>
      <c r="B24" s="83"/>
      <c r="C24" s="83"/>
      <c r="D24" s="83"/>
      <c r="E24" s="117" t="str">
        <f>IF(AND(G18="Mumbai"),"Upper Class","Middle Class")</f>
        <v>Upper Class</v>
      </c>
      <c r="F24" s="117"/>
      <c r="G24" s="117"/>
      <c r="H24" s="117"/>
    </row>
    <row r="25" spans="1:8" x14ac:dyDescent="0.35">
      <c r="A25" s="83" t="s">
        <v>20</v>
      </c>
      <c r="B25" s="83"/>
      <c r="C25" s="83"/>
      <c r="D25" s="83"/>
      <c r="E25" s="117" t="s">
        <v>21</v>
      </c>
      <c r="F25" s="117"/>
      <c r="G25" s="117"/>
      <c r="H25" s="117"/>
    </row>
    <row r="26" spans="1:8" ht="15.75" customHeight="1" x14ac:dyDescent="0.35">
      <c r="A26" s="83" t="s">
        <v>22</v>
      </c>
      <c r="B26" s="83"/>
      <c r="C26" s="83"/>
      <c r="D26" s="83"/>
      <c r="E26" s="117" t="str">
        <f>IF(AND(G18="Mumbai"),"Developed","Developing")</f>
        <v>Developed</v>
      </c>
      <c r="F26" s="117"/>
      <c r="G26" s="117"/>
      <c r="H26" s="117"/>
    </row>
    <row r="27" spans="1:8" x14ac:dyDescent="0.35">
      <c r="A27" s="83" t="s">
        <v>23</v>
      </c>
      <c r="B27" s="83"/>
      <c r="C27" s="83"/>
      <c r="D27" s="83"/>
      <c r="E27" s="117" t="s">
        <v>24</v>
      </c>
      <c r="F27" s="117"/>
      <c r="G27" s="117"/>
      <c r="H27" s="117"/>
    </row>
    <row r="28" spans="1:8" ht="15.75" customHeight="1" x14ac:dyDescent="0.35">
      <c r="A28" s="83" t="s">
        <v>83</v>
      </c>
      <c r="B28" s="83"/>
      <c r="C28" s="83"/>
      <c r="D28" s="83"/>
      <c r="E28" s="117" t="s">
        <v>84</v>
      </c>
      <c r="F28" s="117"/>
      <c r="G28" s="117"/>
      <c r="H28" s="117"/>
    </row>
    <row r="29" spans="1:8" ht="15" customHeight="1" x14ac:dyDescent="0.35">
      <c r="A29" s="83" t="s">
        <v>33</v>
      </c>
      <c r="B29" s="83"/>
      <c r="C29" s="83"/>
      <c r="D29" s="83"/>
      <c r="E29" s="117" t="str">
        <f>IF(AND(ISNUMBER(SEARCH("Flat",D61)),ISNUMBER(SEARCH("Shop",D61)),ISNUMBER(SEARCH("Office",D61))),"Residential + Commercial",IF(AND(ISNUMBER(SEARCH("Flat",D61)),ISNUMBER(SEARCH("Shop",D61))),"Residential + Commercial",IF(AND(ISNUMBER(SEARCH("Flat",D61)),ISNUMBER(SEARCH("Office",D61))),"Residential + Commercial",IF(AND(ISNUMBER(SEARCH("Shop",D61)),ISNUMBER(SEARCH("Office",D61))),"Commercial",IF(ISNUMBER(SEARCH("Shop",D61)),"Commercial",IF(ISNUMBER(SEARCH("Office",D61)),"Commercial",IF(ISNUMBER(SEARCH("Flat",D61)),"Residential")))))))</f>
        <v>Residential</v>
      </c>
      <c r="F29" s="117"/>
      <c r="G29" s="117"/>
      <c r="H29" s="117"/>
    </row>
    <row r="30" spans="1:8" ht="15.75" customHeight="1" x14ac:dyDescent="0.35">
      <c r="A30" s="83" t="s">
        <v>95</v>
      </c>
      <c r="B30" s="83"/>
      <c r="C30" s="83"/>
      <c r="D30" s="83"/>
      <c r="E30" s="117" t="s">
        <v>34</v>
      </c>
      <c r="F30" s="117"/>
      <c r="G30" s="117"/>
      <c r="H30" s="117"/>
    </row>
    <row r="31" spans="1:8" s="20" customFormat="1" x14ac:dyDescent="0.35">
      <c r="A31" s="153" t="s">
        <v>96</v>
      </c>
      <c r="B31" s="153"/>
      <c r="C31" s="150" t="s">
        <v>29</v>
      </c>
      <c r="D31" s="150"/>
      <c r="E31" s="150"/>
      <c r="F31" s="150" t="s">
        <v>31</v>
      </c>
      <c r="G31" s="150"/>
      <c r="H31" s="150"/>
    </row>
    <row r="32" spans="1:8" s="20" customFormat="1" x14ac:dyDescent="0.35">
      <c r="A32" s="152" t="s">
        <v>25</v>
      </c>
      <c r="B32" s="152" t="s">
        <v>30</v>
      </c>
      <c r="C32" s="151" t="s">
        <v>30</v>
      </c>
      <c r="D32" s="151"/>
      <c r="E32" s="151"/>
      <c r="F32" s="151" t="s">
        <v>225</v>
      </c>
      <c r="G32" s="151"/>
      <c r="H32" s="151"/>
    </row>
    <row r="33" spans="1:8" x14ac:dyDescent="0.35">
      <c r="A33" s="152" t="s">
        <v>26</v>
      </c>
      <c r="B33" s="152" t="s">
        <v>30</v>
      </c>
      <c r="C33" s="151" t="s">
        <v>30</v>
      </c>
      <c r="D33" s="151"/>
      <c r="E33" s="151"/>
      <c r="F33" s="151" t="s">
        <v>226</v>
      </c>
      <c r="G33" s="151"/>
      <c r="H33" s="151"/>
    </row>
    <row r="34" spans="1:8" s="20" customFormat="1" x14ac:dyDescent="0.35">
      <c r="A34" s="152" t="s">
        <v>28</v>
      </c>
      <c r="B34" s="152" t="s">
        <v>30</v>
      </c>
      <c r="C34" s="151" t="s">
        <v>30</v>
      </c>
      <c r="D34" s="151"/>
      <c r="E34" s="151"/>
      <c r="F34" s="151" t="s">
        <v>227</v>
      </c>
      <c r="G34" s="151"/>
      <c r="H34" s="151"/>
    </row>
    <row r="35" spans="1:8" x14ac:dyDescent="0.35">
      <c r="A35" s="152" t="s">
        <v>27</v>
      </c>
      <c r="B35" s="152" t="s">
        <v>30</v>
      </c>
      <c r="C35" s="151" t="s">
        <v>30</v>
      </c>
      <c r="D35" s="151"/>
      <c r="E35" s="151"/>
      <c r="F35" s="151" t="s">
        <v>228</v>
      </c>
      <c r="G35" s="151"/>
      <c r="H35" s="151"/>
    </row>
    <row r="36" spans="1:8" x14ac:dyDescent="0.35">
      <c r="A36" s="83" t="s">
        <v>32</v>
      </c>
      <c r="B36" s="83"/>
      <c r="C36" s="83"/>
      <c r="D36" s="83"/>
      <c r="E36" s="83"/>
      <c r="F36" s="83"/>
      <c r="G36" s="83"/>
      <c r="H36" s="83"/>
    </row>
    <row r="37" spans="1:8" ht="15.75" customHeight="1" x14ac:dyDescent="0.35">
      <c r="A37" s="83" t="s">
        <v>170</v>
      </c>
      <c r="B37" s="83"/>
      <c r="C37" s="140" t="s">
        <v>197</v>
      </c>
      <c r="D37" s="140"/>
      <c r="E37" s="140"/>
      <c r="F37" s="140"/>
      <c r="G37" s="140"/>
      <c r="H37" s="140"/>
    </row>
    <row r="38" spans="1:8" x14ac:dyDescent="0.35">
      <c r="A38" s="83" t="s">
        <v>166</v>
      </c>
      <c r="B38" s="83"/>
      <c r="C38" s="174" t="s">
        <v>196</v>
      </c>
      <c r="D38" s="117"/>
      <c r="E38" s="117"/>
      <c r="F38" s="117"/>
      <c r="G38" s="117"/>
      <c r="H38" s="117"/>
    </row>
    <row r="39" spans="1:8" x14ac:dyDescent="0.35">
      <c r="A39" s="140" t="s">
        <v>35</v>
      </c>
      <c r="B39" s="140"/>
      <c r="C39" s="140"/>
      <c r="D39" s="140"/>
      <c r="E39" s="140"/>
      <c r="F39" s="140"/>
      <c r="G39" s="140"/>
      <c r="H39" s="140"/>
    </row>
    <row r="40" spans="1:8" x14ac:dyDescent="0.35">
      <c r="A40" s="83" t="s">
        <v>36</v>
      </c>
      <c r="B40" s="83"/>
      <c r="C40" s="83"/>
      <c r="D40" s="83"/>
      <c r="E40" s="154">
        <v>28363.16</v>
      </c>
      <c r="F40" s="154"/>
      <c r="G40" s="154"/>
      <c r="H40" s="154"/>
    </row>
    <row r="41" spans="1:8" x14ac:dyDescent="0.35">
      <c r="A41" s="83" t="s">
        <v>37</v>
      </c>
      <c r="B41" s="83"/>
      <c r="C41" s="83"/>
      <c r="D41" s="83"/>
      <c r="E41" s="82">
        <v>1.33</v>
      </c>
      <c r="F41" s="82"/>
      <c r="G41" s="82"/>
      <c r="H41" s="82"/>
    </row>
    <row r="42" spans="1:8" x14ac:dyDescent="0.35">
      <c r="A42" s="83" t="s">
        <v>38</v>
      </c>
      <c r="B42" s="83"/>
      <c r="C42" s="83"/>
      <c r="D42" s="83"/>
      <c r="E42" s="82">
        <f>E44/E40-E41</f>
        <v>0.16465962184749494</v>
      </c>
      <c r="F42" s="82"/>
      <c r="G42" s="82"/>
      <c r="H42" s="82"/>
    </row>
    <row r="43" spans="1:8" x14ac:dyDescent="0.35">
      <c r="A43" s="83" t="s">
        <v>39</v>
      </c>
      <c r="B43" s="83"/>
      <c r="C43" s="83"/>
      <c r="D43" s="83"/>
      <c r="E43" s="82">
        <f>E41+E42</f>
        <v>1.494659621847495</v>
      </c>
      <c r="F43" s="82"/>
      <c r="G43" s="82"/>
      <c r="H43" s="82"/>
    </row>
    <row r="44" spans="1:8" x14ac:dyDescent="0.35">
      <c r="A44" s="83" t="s">
        <v>94</v>
      </c>
      <c r="B44" s="83"/>
      <c r="C44" s="83"/>
      <c r="D44" s="83"/>
      <c r="E44" s="156">
        <v>42393.27</v>
      </c>
      <c r="F44" s="156"/>
      <c r="G44" s="156"/>
      <c r="H44" s="156"/>
    </row>
    <row r="45" spans="1:8" x14ac:dyDescent="0.35">
      <c r="A45" s="118" t="s">
        <v>40</v>
      </c>
      <c r="B45" s="118"/>
      <c r="C45" s="118"/>
      <c r="D45" s="118"/>
      <c r="E45" s="118" t="s">
        <v>182</v>
      </c>
      <c r="F45" s="118"/>
      <c r="G45" s="118"/>
      <c r="H45" s="118"/>
    </row>
    <row r="46" spans="1:8" x14ac:dyDescent="0.35">
      <c r="A46" s="140" t="s">
        <v>41</v>
      </c>
      <c r="B46" s="140"/>
      <c r="C46" s="140"/>
      <c r="D46" s="140"/>
      <c r="E46" s="140"/>
      <c r="F46" s="140"/>
      <c r="G46" s="140"/>
      <c r="H46" s="140"/>
    </row>
    <row r="47" spans="1:8" ht="33.75" customHeight="1" x14ac:dyDescent="0.35">
      <c r="A47" s="99" t="s">
        <v>154</v>
      </c>
      <c r="B47" s="100"/>
      <c r="C47" s="167" t="s">
        <v>178</v>
      </c>
      <c r="D47" s="168"/>
      <c r="E47" s="168"/>
      <c r="F47" s="168"/>
      <c r="G47" s="168"/>
      <c r="H47" s="169"/>
    </row>
    <row r="48" spans="1:8" ht="15.75" customHeight="1" x14ac:dyDescent="0.35">
      <c r="A48" s="99" t="s">
        <v>42</v>
      </c>
      <c r="B48" s="100"/>
      <c r="C48" s="99" t="s">
        <v>183</v>
      </c>
      <c r="D48" s="101"/>
      <c r="E48" s="100"/>
      <c r="F48" s="18" t="s">
        <v>43</v>
      </c>
      <c r="G48" s="102">
        <v>44575</v>
      </c>
      <c r="H48" s="103"/>
    </row>
    <row r="49" spans="1:9" x14ac:dyDescent="0.35">
      <c r="A49" s="99" t="s">
        <v>44</v>
      </c>
      <c r="B49" s="100"/>
      <c r="C49" s="99" t="str">
        <f>C48</f>
        <v>EB/360/FS/A</v>
      </c>
      <c r="D49" s="101"/>
      <c r="E49" s="100"/>
      <c r="F49" s="18" t="s">
        <v>43</v>
      </c>
      <c r="G49" s="102">
        <f>G48</f>
        <v>44575</v>
      </c>
      <c r="H49" s="103"/>
    </row>
    <row r="50" spans="1:9" s="21" customFormat="1" ht="15.75" customHeight="1" x14ac:dyDescent="0.35">
      <c r="A50" s="65" t="s">
        <v>158</v>
      </c>
      <c r="B50" s="66"/>
      <c r="C50" s="99" t="s">
        <v>198</v>
      </c>
      <c r="D50" s="101"/>
      <c r="E50" s="100"/>
      <c r="F50" s="18" t="s">
        <v>43</v>
      </c>
      <c r="G50" s="102">
        <v>44750</v>
      </c>
      <c r="H50" s="103"/>
    </row>
    <row r="51" spans="1:9" s="21" customFormat="1" ht="76.900000000000006" customHeight="1" x14ac:dyDescent="0.35">
      <c r="A51" s="67"/>
      <c r="B51" s="68"/>
      <c r="C51" s="99" t="s">
        <v>199</v>
      </c>
      <c r="D51" s="101"/>
      <c r="E51" s="100"/>
      <c r="F51" s="18" t="s">
        <v>124</v>
      </c>
      <c r="G51" s="102">
        <v>45114</v>
      </c>
      <c r="H51" s="103"/>
    </row>
    <row r="52" spans="1:9" s="21" customFormat="1" ht="15.75" customHeight="1" x14ac:dyDescent="0.35">
      <c r="A52" s="65" t="s">
        <v>158</v>
      </c>
      <c r="B52" s="66"/>
      <c r="C52" s="99" t="s">
        <v>201</v>
      </c>
      <c r="D52" s="101"/>
      <c r="E52" s="100"/>
      <c r="F52" s="18" t="s">
        <v>43</v>
      </c>
      <c r="G52" s="102">
        <v>44981</v>
      </c>
      <c r="H52" s="103"/>
    </row>
    <row r="53" spans="1:9" s="21" customFormat="1" ht="48.75" customHeight="1" x14ac:dyDescent="0.35">
      <c r="A53" s="67"/>
      <c r="B53" s="68"/>
      <c r="C53" s="99" t="s">
        <v>200</v>
      </c>
      <c r="D53" s="101"/>
      <c r="E53" s="100"/>
      <c r="F53" s="18" t="s">
        <v>124</v>
      </c>
      <c r="G53" s="102">
        <v>45345</v>
      </c>
      <c r="H53" s="103"/>
    </row>
    <row r="54" spans="1:9" s="21" customFormat="1" ht="15.75" customHeight="1" x14ac:dyDescent="0.35">
      <c r="A54" s="65" t="s">
        <v>158</v>
      </c>
      <c r="B54" s="66"/>
      <c r="C54" s="99" t="s">
        <v>184</v>
      </c>
      <c r="D54" s="101"/>
      <c r="E54" s="100"/>
      <c r="F54" s="18" t="s">
        <v>43</v>
      </c>
      <c r="G54" s="102">
        <v>45027</v>
      </c>
      <c r="H54" s="103"/>
    </row>
    <row r="55" spans="1:9" s="21" customFormat="1" ht="96.75" customHeight="1" x14ac:dyDescent="0.35">
      <c r="A55" s="67"/>
      <c r="B55" s="68"/>
      <c r="C55" s="99" t="s">
        <v>249</v>
      </c>
      <c r="D55" s="101"/>
      <c r="E55" s="100"/>
      <c r="F55" s="18" t="s">
        <v>124</v>
      </c>
      <c r="G55" s="102">
        <v>45244</v>
      </c>
      <c r="H55" s="103"/>
    </row>
    <row r="56" spans="1:9" s="21" customFormat="1" ht="15.75" customHeight="1" x14ac:dyDescent="0.35">
      <c r="A56" s="65" t="s">
        <v>158</v>
      </c>
      <c r="B56" s="66"/>
      <c r="C56" s="99" t="s">
        <v>243</v>
      </c>
      <c r="D56" s="101"/>
      <c r="E56" s="100"/>
      <c r="F56" s="18" t="s">
        <v>43</v>
      </c>
      <c r="G56" s="102">
        <v>45296</v>
      </c>
      <c r="H56" s="103"/>
    </row>
    <row r="57" spans="1:9" s="21" customFormat="1" ht="81" customHeight="1" x14ac:dyDescent="0.35">
      <c r="A57" s="67"/>
      <c r="B57" s="68"/>
      <c r="C57" s="99" t="s">
        <v>248</v>
      </c>
      <c r="D57" s="101"/>
      <c r="E57" s="100"/>
      <c r="F57" s="18" t="s">
        <v>124</v>
      </c>
      <c r="G57" s="102">
        <v>45661</v>
      </c>
      <c r="H57" s="103"/>
    </row>
    <row r="58" spans="1:9" x14ac:dyDescent="0.35">
      <c r="A58" s="112" t="s">
        <v>45</v>
      </c>
      <c r="B58" s="113"/>
      <c r="C58" s="112" t="s">
        <v>108</v>
      </c>
      <c r="D58" s="114"/>
      <c r="E58" s="113"/>
      <c r="F58" s="42" t="s">
        <v>43</v>
      </c>
      <c r="G58" s="119" t="s">
        <v>30</v>
      </c>
      <c r="H58" s="120"/>
    </row>
    <row r="59" spans="1:9" x14ac:dyDescent="0.35">
      <c r="A59" s="115" t="s">
        <v>47</v>
      </c>
      <c r="B59" s="115"/>
      <c r="C59" s="115"/>
      <c r="D59" s="115"/>
      <c r="E59" s="115"/>
      <c r="F59" s="115"/>
      <c r="G59" s="115"/>
      <c r="H59" s="115"/>
    </row>
    <row r="60" spans="1:9" x14ac:dyDescent="0.35">
      <c r="A60" s="116" t="s">
        <v>93</v>
      </c>
      <c r="B60" s="116"/>
      <c r="C60" s="116"/>
      <c r="D60" s="83">
        <f>E44</f>
        <v>42393.27</v>
      </c>
      <c r="E60" s="83"/>
      <c r="F60" s="83"/>
      <c r="G60" s="83"/>
      <c r="H60" s="83"/>
    </row>
    <row r="61" spans="1:9" x14ac:dyDescent="0.35">
      <c r="A61" s="117" t="s">
        <v>48</v>
      </c>
      <c r="B61" s="118"/>
      <c r="C61" s="118"/>
      <c r="D61" s="118" t="s">
        <v>232</v>
      </c>
      <c r="E61" s="118"/>
      <c r="F61" s="118"/>
      <c r="G61" s="118"/>
      <c r="H61" s="118"/>
      <c r="I61" s="22"/>
    </row>
    <row r="62" spans="1:9" ht="63.75" customHeight="1" x14ac:dyDescent="0.35">
      <c r="A62" s="104" t="s">
        <v>49</v>
      </c>
      <c r="B62" s="105"/>
      <c r="C62" s="108"/>
      <c r="D62" s="128" t="s">
        <v>185</v>
      </c>
      <c r="E62" s="157"/>
      <c r="F62" s="157"/>
      <c r="G62" s="157"/>
      <c r="H62" s="157"/>
    </row>
    <row r="63" spans="1:9" ht="30.75" customHeight="1" x14ac:dyDescent="0.35">
      <c r="A63" s="104" t="s">
        <v>91</v>
      </c>
      <c r="B63" s="105"/>
      <c r="C63" s="105"/>
      <c r="D63" s="104" t="s">
        <v>241</v>
      </c>
      <c r="E63" s="105"/>
      <c r="F63" s="105"/>
      <c r="G63" s="105"/>
      <c r="H63" s="108"/>
    </row>
    <row r="64" spans="1:9" ht="33" customHeight="1" x14ac:dyDescent="0.35">
      <c r="A64" s="106"/>
      <c r="B64" s="107"/>
      <c r="C64" s="107"/>
      <c r="D64" s="109" t="s">
        <v>242</v>
      </c>
      <c r="E64" s="110"/>
      <c r="F64" s="110"/>
      <c r="G64" s="110"/>
      <c r="H64" s="111"/>
    </row>
    <row r="65" spans="1:14" ht="32.25" customHeight="1" x14ac:dyDescent="0.35">
      <c r="A65" s="83" t="s">
        <v>46</v>
      </c>
      <c r="B65" s="83"/>
      <c r="C65" s="83"/>
      <c r="D65" s="155" t="s">
        <v>245</v>
      </c>
      <c r="E65" s="155"/>
      <c r="F65" s="155"/>
      <c r="G65" s="155"/>
      <c r="H65" s="155"/>
      <c r="J65" s="23"/>
      <c r="K65" s="22"/>
      <c r="N65" s="22"/>
    </row>
    <row r="66" spans="1:14" ht="15.75" customHeight="1" x14ac:dyDescent="0.35">
      <c r="A66" s="83" t="s">
        <v>89</v>
      </c>
      <c r="B66" s="83"/>
      <c r="C66" s="83"/>
      <c r="D66" s="175" t="str">
        <f>(IF(G58="NA","60 Years After Completion",IF(G58&lt;&gt;"NA",""&amp;60-ROUNDDOWN((E3-G58)/360,0)&amp;" Years"," ")))</f>
        <v>60 Years After Completion</v>
      </c>
      <c r="E66" s="175"/>
      <c r="F66" s="175"/>
      <c r="G66" s="175"/>
      <c r="H66" s="175"/>
      <c r="N66" s="22"/>
    </row>
    <row r="67" spans="1:14" ht="15.75" customHeight="1" x14ac:dyDescent="0.35">
      <c r="A67" s="83" t="s">
        <v>90</v>
      </c>
      <c r="B67" s="83"/>
      <c r="C67" s="83"/>
      <c r="D67" s="116" t="s">
        <v>24</v>
      </c>
      <c r="E67" s="116"/>
      <c r="F67" s="116"/>
      <c r="G67" s="116"/>
      <c r="H67" s="116"/>
      <c r="J67" s="24"/>
      <c r="K67" s="24"/>
    </row>
    <row r="68" spans="1:14" ht="48" customHeight="1" x14ac:dyDescent="0.35">
      <c r="A68" s="83" t="s">
        <v>77</v>
      </c>
      <c r="B68" s="83"/>
      <c r="C68" s="83"/>
      <c r="D68" s="117" t="s">
        <v>234</v>
      </c>
      <c r="E68" s="116"/>
      <c r="F68" s="116"/>
      <c r="G68" s="116"/>
      <c r="H68" s="116"/>
    </row>
    <row r="69" spans="1:14" x14ac:dyDescent="0.35">
      <c r="A69" s="116" t="s">
        <v>151</v>
      </c>
      <c r="B69" s="116"/>
      <c r="C69" s="116"/>
      <c r="D69" s="116" t="s">
        <v>30</v>
      </c>
      <c r="E69" s="116"/>
      <c r="F69" s="116"/>
      <c r="G69" s="116"/>
      <c r="H69" s="116"/>
      <c r="I69" s="25"/>
      <c r="J69" s="25"/>
      <c r="K69" s="25"/>
      <c r="L69" s="25"/>
      <c r="M69" s="25"/>
      <c r="N69" s="25"/>
    </row>
    <row r="70" spans="1:14" ht="15.75" customHeight="1" x14ac:dyDescent="0.35">
      <c r="A70" s="185" t="s">
        <v>88</v>
      </c>
      <c r="B70" s="185"/>
      <c r="C70" s="185"/>
      <c r="D70" s="128" t="str">
        <f ca="1">(IF(G76&gt;95%,"Nothing",IF(G76&gt;0%,"Cement, Aggregate, Steel, etc",IF(G76=0%,"Work not yet Started"))))</f>
        <v>Cement, Aggregate, Steel, etc</v>
      </c>
      <c r="E70" s="128"/>
      <c r="F70" s="128"/>
      <c r="G70" s="128"/>
      <c r="H70" s="128"/>
      <c r="J70" s="24"/>
    </row>
    <row r="71" spans="1:14" ht="33.75" customHeight="1" thickBot="1" x14ac:dyDescent="0.4">
      <c r="A71" s="184" t="s">
        <v>121</v>
      </c>
      <c r="B71" s="184"/>
      <c r="C71" s="184"/>
      <c r="D71" s="128" t="str">
        <f ca="1">(IF(D70="Nothing","Yes",IF(D70="Cement, Aggregate, Steel, etc","Under Construction",IF(D70="Work not yet Started","Work not yet Started"))))</f>
        <v>Under Construction</v>
      </c>
      <c r="E71" s="128"/>
      <c r="F71" s="128" t="str">
        <f ca="1">(IF(D70="Nothing","Yes",IF(D70="Cement, Aggregate, Steel, etc","Under Construction",IF(D70="Work not yet Started","Work not yet Started"))))</f>
        <v>Under Construction</v>
      </c>
      <c r="G71" s="128"/>
      <c r="H71" s="128"/>
    </row>
    <row r="72" spans="1:14" x14ac:dyDescent="0.35">
      <c r="A72" s="178" t="s">
        <v>143</v>
      </c>
      <c r="B72" s="179"/>
      <c r="C72" s="180" t="str">
        <f>D63</f>
        <v>Wing A = B + Gr/St + 1st to 3rd Podium + 4th (E-Deck) + 1st to 43rd Floor</v>
      </c>
      <c r="D72" s="181"/>
      <c r="E72" s="181"/>
      <c r="F72" s="181"/>
      <c r="G72" s="181"/>
      <c r="H72" s="182"/>
      <c r="I72" s="44" t="str">
        <f ca="1">IF(D85=100%,"All work Completed. Possession granted to the Building.",IF(D84=100%,"All work Completed, Waiting for OC",I73&amp;""&amp;I74&amp;""&amp;J73&amp;""&amp;J72&amp;" "&amp;J74))</f>
        <v>Excavation, Plinth, RCC Slab, Brickwork, Internal Plaster, External Plaster Completed, Flooring upto 30 Floor, Painting upto 25 Floor Completed</v>
      </c>
      <c r="J72" s="45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>, Flooring upto 30 Floor, Painting upto 25 Floor</v>
      </c>
    </row>
    <row r="73" spans="1:14" x14ac:dyDescent="0.35">
      <c r="A73" s="16" t="s">
        <v>145</v>
      </c>
      <c r="B73" s="48">
        <v>1</v>
      </c>
      <c r="C73" s="48" t="s">
        <v>74</v>
      </c>
      <c r="D73" s="48">
        <v>1</v>
      </c>
      <c r="E73" s="48" t="s">
        <v>73</v>
      </c>
      <c r="F73" s="48">
        <v>4</v>
      </c>
      <c r="G73" s="48" t="s">
        <v>82</v>
      </c>
      <c r="H73" s="17">
        <f ca="1">--TRIM(RIGHT(SUBSTITUTE(LEFT(C72,_xlfn.AGGREGATE(16,6,FIND({0,1,2,3,4,5,6,7,8,9},C72,ROW(INDIRECT("1:"&amp;LEN(C72)))),1))," ",REPT(" ",LEN(C72))),LEN(C72)))</f>
        <v>43</v>
      </c>
      <c r="I73" s="46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</v>
      </c>
      <c r="J73" s="47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ht="34.5" customHeight="1" x14ac:dyDescent="0.35">
      <c r="A74" s="177" t="s">
        <v>92</v>
      </c>
      <c r="B74" s="147"/>
      <c r="C74" s="96" t="str">
        <f ca="1">I72</f>
        <v>Excavation, Plinth, RCC Slab, Brickwork, Internal Plaster, External Plaster Completed, Flooring upto 30 Floor, Painting upto 25 Floor Completed</v>
      </c>
      <c r="D74" s="96"/>
      <c r="E74" s="96"/>
      <c r="F74" s="96"/>
      <c r="G74" s="96"/>
      <c r="H74" s="183"/>
      <c r="I74" s="46" t="str">
        <f ca="1">IF(I73&lt;&gt;""," Completed","")</f>
        <v xml:space="preserve"> Completed</v>
      </c>
      <c r="J74" s="47" t="str">
        <f ca="1">IF(J72&lt;&gt;"","Completed","")</f>
        <v>Completed</v>
      </c>
    </row>
    <row r="75" spans="1:14" ht="15.75" customHeight="1" x14ac:dyDescent="0.35">
      <c r="A75" s="176" t="s">
        <v>50</v>
      </c>
      <c r="B75" s="97"/>
      <c r="C75" s="49" t="s">
        <v>142</v>
      </c>
      <c r="D75" s="49" t="s">
        <v>85</v>
      </c>
      <c r="E75" s="95" t="s">
        <v>87</v>
      </c>
      <c r="F75" s="95"/>
      <c r="G75" s="95" t="s">
        <v>86</v>
      </c>
      <c r="H75" s="129"/>
      <c r="I75" s="14" t="s">
        <v>144</v>
      </c>
      <c r="J75" s="26">
        <f ca="1">H73*25%</f>
        <v>10.75</v>
      </c>
    </row>
    <row r="76" spans="1:14" x14ac:dyDescent="0.35">
      <c r="A76" s="97" t="s">
        <v>131</v>
      </c>
      <c r="B76" s="97"/>
      <c r="C76" s="60">
        <f ca="1">J77</f>
        <v>43</v>
      </c>
      <c r="D76" s="50">
        <f ca="1">((100/H73)*C76)/100</f>
        <v>1</v>
      </c>
      <c r="E76" s="166">
        <f ca="1">(((C77/H73*10)+(40/(D73+F73+H73)*C78)+(7.5/(H73)*C79)+(7.5/(H73)*C80)+(10/H73*C81)+(10/H73*C82)+(5/H73*C83)+(5/H73*C84)+(5/H73*C85))/100)</f>
        <v>0.84883720930232553</v>
      </c>
      <c r="F76" s="166"/>
      <c r="G76" s="166">
        <f ca="1">((((C76/H73)*20)+((C77/H73)*25)+(30/(H73+F73+D73)*C78)+(5/H73*C79)+(5/H73*C80)+(5/H73*C81)+(5/H73*C82)+(0/H73*C83)+(0/H73*C84)+(5/H73*C85))/100)</f>
        <v>0.93488372093023253</v>
      </c>
      <c r="H76" s="166"/>
      <c r="I76" s="14" t="s">
        <v>103</v>
      </c>
      <c r="J76" s="27">
        <f ca="1">H73*50%</f>
        <v>21.5</v>
      </c>
    </row>
    <row r="77" spans="1:14" x14ac:dyDescent="0.35">
      <c r="A77" s="97" t="s">
        <v>51</v>
      </c>
      <c r="B77" s="97"/>
      <c r="C77" s="51">
        <f ca="1">J85</f>
        <v>43</v>
      </c>
      <c r="D77" s="50">
        <f ca="1">((100/H73)*C77)/100</f>
        <v>1</v>
      </c>
      <c r="E77" s="166"/>
      <c r="F77" s="166"/>
      <c r="G77" s="166"/>
      <c r="H77" s="166"/>
      <c r="I77" s="14" t="s">
        <v>104</v>
      </c>
      <c r="J77" s="27">
        <f ca="1">H73</f>
        <v>43</v>
      </c>
    </row>
    <row r="78" spans="1:14" ht="15.75" customHeight="1" x14ac:dyDescent="0.35">
      <c r="A78" s="97" t="s">
        <v>132</v>
      </c>
      <c r="B78" s="97"/>
      <c r="C78" s="60">
        <f>D73+F73+43</f>
        <v>48</v>
      </c>
      <c r="D78" s="50">
        <f ca="1">((100/(D73+F73+H73))*C78)/100</f>
        <v>1</v>
      </c>
      <c r="E78" s="166"/>
      <c r="F78" s="166"/>
      <c r="G78" s="166"/>
      <c r="H78" s="166"/>
      <c r="I78" s="14" t="s">
        <v>105</v>
      </c>
      <c r="J78" s="28">
        <f ca="1">(IF(B73&gt;1,(H73/(B73+2)),H73/4))</f>
        <v>10.75</v>
      </c>
    </row>
    <row r="79" spans="1:14" ht="15.75" customHeight="1" x14ac:dyDescent="0.35">
      <c r="A79" s="97" t="s">
        <v>139</v>
      </c>
      <c r="B79" s="97" t="s">
        <v>133</v>
      </c>
      <c r="C79" s="60">
        <f>C78-D73-F73</f>
        <v>43</v>
      </c>
      <c r="D79" s="50">
        <f ca="1">((100/H73)*C79)/100</f>
        <v>1</v>
      </c>
      <c r="E79" s="166"/>
      <c r="F79" s="166"/>
      <c r="G79" s="166"/>
      <c r="H79" s="166"/>
      <c r="I79" s="14" t="s">
        <v>106</v>
      </c>
      <c r="J79" s="28">
        <f ca="1">(IF(B73&gt;1,(H73/(B73+2)+J78),H73/4+J78))</f>
        <v>21.5</v>
      </c>
    </row>
    <row r="80" spans="1:14" ht="15.75" customHeight="1" x14ac:dyDescent="0.35">
      <c r="A80" s="97" t="s">
        <v>140</v>
      </c>
      <c r="B80" s="97" t="s">
        <v>133</v>
      </c>
      <c r="C80" s="51">
        <v>43</v>
      </c>
      <c r="D80" s="50">
        <f ca="1">((100/H73)*C80)/100</f>
        <v>1</v>
      </c>
      <c r="E80" s="166"/>
      <c r="F80" s="166"/>
      <c r="G80" s="166"/>
      <c r="H80" s="166"/>
      <c r="I80" s="14" t="s">
        <v>149</v>
      </c>
      <c r="J80" s="28">
        <f>(IF(B73&gt;1,(H73/(B73+2)+J79),0))</f>
        <v>0</v>
      </c>
    </row>
    <row r="81" spans="1:10" ht="15" customHeight="1" x14ac:dyDescent="0.35">
      <c r="A81" s="97" t="s">
        <v>138</v>
      </c>
      <c r="B81" s="97" t="s">
        <v>135</v>
      </c>
      <c r="C81" s="51">
        <v>43</v>
      </c>
      <c r="D81" s="50">
        <f ca="1">((100/(H73))*C81)/100</f>
        <v>1</v>
      </c>
      <c r="E81" s="166"/>
      <c r="F81" s="166"/>
      <c r="G81" s="166"/>
      <c r="H81" s="166"/>
      <c r="I81" s="14" t="s">
        <v>146</v>
      </c>
      <c r="J81" s="28">
        <f>(IF(B73&gt;2,(H73/(B73+2)+J80),0))</f>
        <v>0</v>
      </c>
    </row>
    <row r="82" spans="1:10" ht="15.75" customHeight="1" x14ac:dyDescent="0.35">
      <c r="A82" s="97" t="s">
        <v>134</v>
      </c>
      <c r="B82" s="97" t="s">
        <v>134</v>
      </c>
      <c r="C82" s="60">
        <v>30</v>
      </c>
      <c r="D82" s="50">
        <f ca="1">((100/H73)*C82)/100</f>
        <v>0.69767441860465129</v>
      </c>
      <c r="E82" s="166"/>
      <c r="F82" s="166"/>
      <c r="G82" s="166"/>
      <c r="H82" s="166"/>
      <c r="I82" s="14" t="s">
        <v>147</v>
      </c>
      <c r="J82" s="29">
        <f>(IF(B73&gt;3,(H73/(B73+2)+J81),0))</f>
        <v>0</v>
      </c>
    </row>
    <row r="83" spans="1:10" ht="15.75" customHeight="1" x14ac:dyDescent="0.35">
      <c r="A83" s="97" t="s">
        <v>141</v>
      </c>
      <c r="B83" s="97"/>
      <c r="C83" s="60">
        <v>25</v>
      </c>
      <c r="D83" s="50">
        <f ca="1">((100/H73)*C83)/100</f>
        <v>0.58139534883720934</v>
      </c>
      <c r="E83" s="166"/>
      <c r="F83" s="166"/>
      <c r="G83" s="166"/>
      <c r="H83" s="166"/>
      <c r="I83" s="14" t="s">
        <v>148</v>
      </c>
      <c r="J83" s="28">
        <f>(IF(B73&gt;4,(H73/(B73+2)+J82),0))</f>
        <v>0</v>
      </c>
    </row>
    <row r="84" spans="1:10" ht="15.75" customHeight="1" x14ac:dyDescent="0.35">
      <c r="A84" s="97" t="s">
        <v>136</v>
      </c>
      <c r="B84" s="97" t="s">
        <v>136</v>
      </c>
      <c r="C84" s="60">
        <v>0</v>
      </c>
      <c r="D84" s="50">
        <f ca="1">((100/(H73))*C84)/100</f>
        <v>0</v>
      </c>
      <c r="E84" s="166"/>
      <c r="F84" s="166"/>
      <c r="G84" s="166"/>
      <c r="H84" s="166"/>
      <c r="I84" s="14" t="s">
        <v>150</v>
      </c>
      <c r="J84" s="28">
        <f ca="1">(IF(B73=1,(H73/(B73+3)+J79),IF(B73=0,(H73/4+J79),IF(B73&gt;1,0))))</f>
        <v>32.25</v>
      </c>
    </row>
    <row r="85" spans="1:10" ht="16" thickBot="1" x14ac:dyDescent="0.4">
      <c r="A85" s="97" t="s">
        <v>137</v>
      </c>
      <c r="B85" s="97"/>
      <c r="C85" s="60">
        <v>0</v>
      </c>
      <c r="D85" s="50">
        <f ca="1">((100/(H73))*C85)/100</f>
        <v>0</v>
      </c>
      <c r="E85" s="166"/>
      <c r="F85" s="166"/>
      <c r="G85" s="166"/>
      <c r="H85" s="166"/>
      <c r="I85" s="15" t="s">
        <v>107</v>
      </c>
      <c r="J85" s="30">
        <f ca="1">(IF(B73&gt;1.5,(H73/(B73+2)+J79+MAX(0,J80-J79)+MAX(0,J81-J80)+MAX(0,J82-J81)+MAX(0,J83-J82)+MAX(0,J84-J83)),IF(B73=1,(H73/(B73+3)+J84),IF(B73=0,H73/4+J84))))</f>
        <v>43</v>
      </c>
    </row>
    <row r="86" spans="1:10" x14ac:dyDescent="0.35">
      <c r="A86" s="96" t="s">
        <v>143</v>
      </c>
      <c r="B86" s="96"/>
      <c r="C86" s="96" t="str">
        <f>D64</f>
        <v>Wing B = B + Gr/St + 1st to 3rd Podium + 4th (E-Deck) + 1st to 53rd Floor</v>
      </c>
      <c r="D86" s="96"/>
      <c r="E86" s="96"/>
      <c r="F86" s="96"/>
      <c r="G86" s="96"/>
      <c r="H86" s="96"/>
      <c r="I86" s="62" t="str">
        <f ca="1">IF(D99=100%,"All work Completed. Possession granted to the Building.",IF(D98=100%,"All work Completed, Waiting for OC",I87&amp;""&amp;I88&amp;""&amp;J87&amp;""&amp;J86&amp;" "&amp;J88))</f>
        <v>Excavation, Plinth, RCC Slab, Brickwork, Internal Plaster Completed, External Plaster upto 40 Floor, Flooring upto 10 Floor, Painting upto 5 Floor Completed</v>
      </c>
      <c r="J86" s="45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>, External Plaster upto 40 Floor, Flooring upto 10 Floor, Painting upto 5 Floor</v>
      </c>
    </row>
    <row r="87" spans="1:10" x14ac:dyDescent="0.35">
      <c r="A87" s="61" t="s">
        <v>145</v>
      </c>
      <c r="B87" s="61">
        <v>1</v>
      </c>
      <c r="C87" s="61" t="s">
        <v>74</v>
      </c>
      <c r="D87" s="61">
        <v>1</v>
      </c>
      <c r="E87" s="61" t="s">
        <v>73</v>
      </c>
      <c r="F87" s="61">
        <v>4</v>
      </c>
      <c r="G87" s="61" t="s">
        <v>82</v>
      </c>
      <c r="H87" s="61">
        <f ca="1">--TRIM(RIGHT(SUBSTITUTE(LEFT(C86,_xlfn.AGGREGATE(16,6,FIND({0,1,2,3,4,5,6,7,8,9},C86,ROW(INDIRECT("1:"&amp;LEN(C86)))),1))," ",REPT(" ",LEN(C86))),LEN(C86)))</f>
        <v>53</v>
      </c>
      <c r="I87" s="63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Plinth, RCC Slab, Brickwork, Internal Plaster</v>
      </c>
      <c r="J87" s="47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0" ht="49.5" customHeight="1" x14ac:dyDescent="0.35">
      <c r="A88" s="147" t="s">
        <v>92</v>
      </c>
      <c r="B88" s="147"/>
      <c r="C88" s="96" t="str">
        <f ca="1">(IF($G$58="NA",I86,"All work Completed. OC Received."))</f>
        <v>Excavation, Plinth, RCC Slab, Brickwork, Internal Plaster Completed, External Plaster upto 40 Floor, Flooring upto 10 Floor, Painting upto 5 Floor Completed</v>
      </c>
      <c r="D88" s="96"/>
      <c r="E88" s="96"/>
      <c r="F88" s="96"/>
      <c r="G88" s="96"/>
      <c r="H88" s="96"/>
      <c r="I88" s="63" t="str">
        <f ca="1">IF(I87&lt;&gt;""," Completed","")</f>
        <v xml:space="preserve"> Completed</v>
      </c>
      <c r="J88" s="47" t="str">
        <f ca="1">IF(J86&lt;&gt;"","Completed","")</f>
        <v>Completed</v>
      </c>
    </row>
    <row r="89" spans="1:10" ht="15.75" customHeight="1" x14ac:dyDescent="0.35">
      <c r="A89" s="95" t="s">
        <v>50</v>
      </c>
      <c r="B89" s="95"/>
      <c r="C89" s="60" t="s">
        <v>142</v>
      </c>
      <c r="D89" s="60" t="s">
        <v>85</v>
      </c>
      <c r="E89" s="95" t="s">
        <v>87</v>
      </c>
      <c r="F89" s="95"/>
      <c r="G89" s="95" t="s">
        <v>86</v>
      </c>
      <c r="H89" s="95"/>
      <c r="I89" s="14" t="s">
        <v>144</v>
      </c>
      <c r="J89" s="26">
        <f ca="1">H87*25%</f>
        <v>13.25</v>
      </c>
    </row>
    <row r="90" spans="1:10" x14ac:dyDescent="0.35">
      <c r="A90" s="94" t="s">
        <v>131</v>
      </c>
      <c r="B90" s="95"/>
      <c r="C90" s="49">
        <f ca="1">J91</f>
        <v>53</v>
      </c>
      <c r="D90" s="50">
        <f ca="1">((100/H87)*C90)/100</f>
        <v>1</v>
      </c>
      <c r="E90" s="158">
        <f ca="1">(((C91/H87*10)+(40/(D87+F87+H87)*C92)+(7.5/(H87)*C93)+(7.5/(H87)*C94)+(10/H87*C95)+(10/H87*C96)+(5/H87*C97)+(5/H87*C98)+(5/H87*C99))/100)</f>
        <v>0.74905660377358496</v>
      </c>
      <c r="F90" s="159"/>
      <c r="G90" s="158">
        <f ca="1">((((C90/H87)*20)+((C91/H87)*25)+(30/(H87+F87+D87)*C92)+(5/H87*C93)+(5/H87*C94)+(5/H87*C95)+(5/H87*C96)+(0/H87*C97)+(0/H87*C98)+(5/H87*C99))/100)</f>
        <v>0.89716981132075457</v>
      </c>
      <c r="H90" s="170"/>
      <c r="I90" s="14" t="s">
        <v>103</v>
      </c>
      <c r="J90" s="27">
        <f ca="1">H87*50%</f>
        <v>26.5</v>
      </c>
    </row>
    <row r="91" spans="1:10" x14ac:dyDescent="0.35">
      <c r="A91" s="94" t="s">
        <v>51</v>
      </c>
      <c r="B91" s="95"/>
      <c r="C91" s="51">
        <f ca="1">J99</f>
        <v>53</v>
      </c>
      <c r="D91" s="50">
        <f ca="1">((100/H87)*C91)/100</f>
        <v>1</v>
      </c>
      <c r="E91" s="160"/>
      <c r="F91" s="161"/>
      <c r="G91" s="160"/>
      <c r="H91" s="171"/>
      <c r="I91" s="14" t="s">
        <v>104</v>
      </c>
      <c r="J91" s="27">
        <f ca="1">H87</f>
        <v>53</v>
      </c>
    </row>
    <row r="92" spans="1:10" ht="15.75" customHeight="1" x14ac:dyDescent="0.35">
      <c r="A92" s="94" t="s">
        <v>132</v>
      </c>
      <c r="B92" s="95"/>
      <c r="C92" s="49">
        <f>D87+F87+53</f>
        <v>58</v>
      </c>
      <c r="D92" s="50">
        <f ca="1">((100/(D87+F87+H87))*C92)/100</f>
        <v>1</v>
      </c>
      <c r="E92" s="160"/>
      <c r="F92" s="161"/>
      <c r="G92" s="160"/>
      <c r="H92" s="171"/>
      <c r="I92" s="14" t="s">
        <v>105</v>
      </c>
      <c r="J92" s="28">
        <f ca="1">(IF(B87&gt;1,(H87/(B87+2)),H87/4))</f>
        <v>13.25</v>
      </c>
    </row>
    <row r="93" spans="1:10" ht="15.75" customHeight="1" x14ac:dyDescent="0.35">
      <c r="A93" s="94" t="s">
        <v>139</v>
      </c>
      <c r="B93" s="95" t="s">
        <v>133</v>
      </c>
      <c r="C93" s="49">
        <f>C92-D87-F87</f>
        <v>53</v>
      </c>
      <c r="D93" s="50">
        <f ca="1">((100/H87)*C93)/100</f>
        <v>1</v>
      </c>
      <c r="E93" s="160"/>
      <c r="F93" s="161"/>
      <c r="G93" s="160"/>
      <c r="H93" s="171"/>
      <c r="I93" s="14" t="s">
        <v>106</v>
      </c>
      <c r="J93" s="28">
        <f ca="1">(IF(B87&gt;1,(H87/(B87+2)+J92),H87/4+J92))</f>
        <v>26.5</v>
      </c>
    </row>
    <row r="94" spans="1:10" ht="15.75" customHeight="1" x14ac:dyDescent="0.35">
      <c r="A94" s="94" t="s">
        <v>140</v>
      </c>
      <c r="B94" s="95" t="s">
        <v>133</v>
      </c>
      <c r="C94" s="51">
        <v>53</v>
      </c>
      <c r="D94" s="50">
        <f ca="1">((100/H87)*C94)/100</f>
        <v>1</v>
      </c>
      <c r="E94" s="160"/>
      <c r="F94" s="161"/>
      <c r="G94" s="160"/>
      <c r="H94" s="171"/>
      <c r="I94" s="14" t="s">
        <v>149</v>
      </c>
      <c r="J94" s="28">
        <f>(IF(B87&gt;1,(H87/(B87+2)+J93),0))</f>
        <v>0</v>
      </c>
    </row>
    <row r="95" spans="1:10" ht="15" customHeight="1" x14ac:dyDescent="0.35">
      <c r="A95" s="94" t="s">
        <v>138</v>
      </c>
      <c r="B95" s="95" t="s">
        <v>135</v>
      </c>
      <c r="C95" s="51">
        <v>40</v>
      </c>
      <c r="D95" s="50">
        <f ca="1">((100/(H87))*C95)/100</f>
        <v>0.75471698113207553</v>
      </c>
      <c r="E95" s="160"/>
      <c r="F95" s="161"/>
      <c r="G95" s="160"/>
      <c r="H95" s="171"/>
      <c r="I95" s="14" t="s">
        <v>146</v>
      </c>
      <c r="J95" s="28">
        <f>(IF(B87&gt;2,(H87/(B87+2)+J94),0))</f>
        <v>0</v>
      </c>
    </row>
    <row r="96" spans="1:10" ht="15.75" customHeight="1" x14ac:dyDescent="0.35">
      <c r="A96" s="94" t="s">
        <v>134</v>
      </c>
      <c r="B96" s="95" t="s">
        <v>134</v>
      </c>
      <c r="C96" s="49">
        <v>10</v>
      </c>
      <c r="D96" s="50">
        <f ca="1">((100/H87)*C96)/100</f>
        <v>0.18867924528301888</v>
      </c>
      <c r="E96" s="160"/>
      <c r="F96" s="161"/>
      <c r="G96" s="160"/>
      <c r="H96" s="171"/>
      <c r="I96" s="14" t="s">
        <v>147</v>
      </c>
      <c r="J96" s="29">
        <f>(IF(B87&gt;3,(H87/(B87+2)+J95),0))</f>
        <v>0</v>
      </c>
    </row>
    <row r="97" spans="1:14" ht="15.75" customHeight="1" x14ac:dyDescent="0.35">
      <c r="A97" s="94" t="s">
        <v>141</v>
      </c>
      <c r="B97" s="95"/>
      <c r="C97" s="49">
        <v>5</v>
      </c>
      <c r="D97" s="50">
        <f ca="1">((100/H87)*C97)/100</f>
        <v>9.4339622641509441E-2</v>
      </c>
      <c r="E97" s="160"/>
      <c r="F97" s="161"/>
      <c r="G97" s="160"/>
      <c r="H97" s="171"/>
      <c r="I97" s="14" t="s">
        <v>148</v>
      </c>
      <c r="J97" s="28">
        <f>(IF(B87&gt;4,(H87/(B87+2)+J96),0))</f>
        <v>0</v>
      </c>
    </row>
    <row r="98" spans="1:14" ht="15.75" customHeight="1" x14ac:dyDescent="0.35">
      <c r="A98" s="94" t="s">
        <v>136</v>
      </c>
      <c r="B98" s="95" t="s">
        <v>136</v>
      </c>
      <c r="C98" s="49">
        <v>0</v>
      </c>
      <c r="D98" s="50">
        <f ca="1">((100/(H87))*C98)/100</f>
        <v>0</v>
      </c>
      <c r="E98" s="160"/>
      <c r="F98" s="161"/>
      <c r="G98" s="160"/>
      <c r="H98" s="171"/>
      <c r="I98" s="14" t="s">
        <v>150</v>
      </c>
      <c r="J98" s="28">
        <f ca="1">(IF(B87=1,(H87/(B87+3)+J93),IF(B87=0,(H87/4+J93),IF(B87&gt;1,0))))</f>
        <v>39.75</v>
      </c>
    </row>
    <row r="99" spans="1:14" ht="16" thickBot="1" x14ac:dyDescent="0.4">
      <c r="A99" s="164" t="s">
        <v>137</v>
      </c>
      <c r="B99" s="165"/>
      <c r="C99" s="52">
        <v>0</v>
      </c>
      <c r="D99" s="53">
        <f ca="1">((100/(H87))*C99)/100</f>
        <v>0</v>
      </c>
      <c r="E99" s="162"/>
      <c r="F99" s="163"/>
      <c r="G99" s="162"/>
      <c r="H99" s="172"/>
      <c r="I99" s="15" t="s">
        <v>107</v>
      </c>
      <c r="J99" s="30">
        <f ca="1">(IF(B87&gt;1.5,(H87/(B87+2)+J93+MAX(0,J94-J93)+MAX(0,J95-J94)+MAX(0,J96-J95)+MAX(0,J97-J96)+MAX(0,J98-J97)),IF(B87=1,(H87/(B87+3)+J98),IF(B87=0,H87/4+J98))))</f>
        <v>53</v>
      </c>
    </row>
    <row r="100" spans="1:14" x14ac:dyDescent="0.35">
      <c r="A100" s="173" t="s">
        <v>159</v>
      </c>
      <c r="B100" s="173"/>
      <c r="C100" s="173"/>
      <c r="D100" s="173"/>
      <c r="E100" s="173"/>
      <c r="F100" s="142" t="s">
        <v>164</v>
      </c>
      <c r="G100" s="142"/>
      <c r="H100" s="142"/>
      <c r="I100" s="55"/>
      <c r="J100" s="55" t="s">
        <v>237</v>
      </c>
      <c r="K100" s="55" t="s">
        <v>238</v>
      </c>
      <c r="L100" s="55"/>
      <c r="M100" s="55"/>
      <c r="N100" s="55"/>
    </row>
    <row r="101" spans="1:14" x14ac:dyDescent="0.35">
      <c r="A101" s="83" t="s">
        <v>162</v>
      </c>
      <c r="B101" s="83"/>
      <c r="C101" s="83"/>
      <c r="D101" s="83"/>
      <c r="E101" s="83"/>
      <c r="F101" s="98">
        <v>31000</v>
      </c>
      <c r="G101" s="98"/>
      <c r="H101" s="98"/>
      <c r="I101" s="59">
        <f>AVERAGE(J101:K101)</f>
        <v>26399.338891785846</v>
      </c>
      <c r="J101" s="55">
        <v>25000</v>
      </c>
      <c r="K101" s="59">
        <f>AVERAGE(J130:J137)</f>
        <v>27798.677783571697</v>
      </c>
      <c r="L101" s="55"/>
      <c r="M101" s="55"/>
      <c r="N101" s="55"/>
    </row>
    <row r="102" spans="1:14" hidden="1" x14ac:dyDescent="0.35">
      <c r="A102" s="83" t="s">
        <v>161</v>
      </c>
      <c r="B102" s="83"/>
      <c r="C102" s="83"/>
      <c r="D102" s="83"/>
      <c r="E102" s="83"/>
      <c r="F102" s="98"/>
      <c r="G102" s="98"/>
      <c r="H102" s="98"/>
      <c r="I102" s="55"/>
      <c r="J102" s="55"/>
      <c r="K102" s="55"/>
      <c r="L102" s="55"/>
      <c r="M102" s="55"/>
      <c r="N102" s="55"/>
    </row>
    <row r="103" spans="1:14" hidden="1" x14ac:dyDescent="0.35">
      <c r="A103" s="83" t="s">
        <v>163</v>
      </c>
      <c r="B103" s="83"/>
      <c r="C103" s="83"/>
      <c r="D103" s="83"/>
      <c r="E103" s="83"/>
      <c r="F103" s="98"/>
      <c r="G103" s="98"/>
      <c r="H103" s="98"/>
      <c r="I103" s="55"/>
      <c r="J103" s="55"/>
      <c r="K103" s="55"/>
      <c r="L103" s="55"/>
      <c r="M103" s="55"/>
      <c r="N103" s="55"/>
    </row>
    <row r="104" spans="1:14" s="31" customFormat="1" hidden="1" x14ac:dyDescent="0.3">
      <c r="A104" s="83" t="s">
        <v>160</v>
      </c>
      <c r="B104" s="83"/>
      <c r="C104" s="83"/>
      <c r="D104" s="83"/>
      <c r="E104" s="83"/>
      <c r="F104" s="98"/>
      <c r="G104" s="98"/>
      <c r="H104" s="98"/>
      <c r="I104" s="56"/>
      <c r="J104" s="56"/>
      <c r="K104" s="56"/>
      <c r="L104" s="56"/>
      <c r="M104" s="56"/>
      <c r="N104" s="56"/>
    </row>
    <row r="105" spans="1:14" s="31" customFormat="1" hidden="1" x14ac:dyDescent="0.3">
      <c r="A105" s="83" t="s">
        <v>97</v>
      </c>
      <c r="B105" s="83"/>
      <c r="C105" s="83"/>
      <c r="D105" s="83"/>
      <c r="E105" s="83"/>
      <c r="F105" s="98"/>
      <c r="G105" s="98"/>
      <c r="H105" s="98"/>
      <c r="I105" s="56"/>
      <c r="J105" s="56"/>
      <c r="K105" s="56"/>
      <c r="L105" s="56"/>
      <c r="M105" s="56"/>
      <c r="N105" s="56"/>
    </row>
    <row r="106" spans="1:14" s="31" customFormat="1" hidden="1" x14ac:dyDescent="0.3">
      <c r="A106" s="83" t="s">
        <v>98</v>
      </c>
      <c r="B106" s="83"/>
      <c r="C106" s="83"/>
      <c r="D106" s="83"/>
      <c r="E106" s="83"/>
      <c r="F106" s="98"/>
      <c r="G106" s="98"/>
      <c r="H106" s="98"/>
      <c r="I106" s="56"/>
      <c r="J106" s="56"/>
      <c r="K106" s="56"/>
      <c r="L106" s="56"/>
      <c r="M106" s="56"/>
      <c r="N106" s="56"/>
    </row>
    <row r="107" spans="1:14" s="31" customFormat="1" hidden="1" x14ac:dyDescent="0.3">
      <c r="A107" s="83" t="s">
        <v>165</v>
      </c>
      <c r="B107" s="83"/>
      <c r="C107" s="83"/>
      <c r="D107" s="83"/>
      <c r="E107" s="83"/>
      <c r="F107" s="98"/>
      <c r="G107" s="98"/>
      <c r="H107" s="98"/>
      <c r="I107" s="56"/>
      <c r="J107" s="56"/>
      <c r="K107" s="56"/>
      <c r="L107" s="56"/>
      <c r="M107" s="56"/>
      <c r="N107" s="56"/>
    </row>
    <row r="108" spans="1:14" s="31" customFormat="1" hidden="1" x14ac:dyDescent="0.3">
      <c r="A108" s="83" t="s">
        <v>99</v>
      </c>
      <c r="B108" s="83"/>
      <c r="C108" s="83"/>
      <c r="D108" s="83"/>
      <c r="E108" s="83"/>
      <c r="F108" s="98"/>
      <c r="G108" s="98"/>
      <c r="H108" s="98"/>
      <c r="I108" s="56"/>
      <c r="J108" s="56"/>
      <c r="K108" s="56"/>
      <c r="L108" s="56"/>
      <c r="M108" s="56"/>
      <c r="N108" s="56"/>
    </row>
    <row r="109" spans="1:14" s="31" customFormat="1" hidden="1" x14ac:dyDescent="0.3">
      <c r="A109" s="83" t="s">
        <v>100</v>
      </c>
      <c r="B109" s="83"/>
      <c r="C109" s="83"/>
      <c r="D109" s="83"/>
      <c r="E109" s="83"/>
      <c r="F109" s="98"/>
      <c r="G109" s="98"/>
      <c r="H109" s="98"/>
      <c r="I109" s="56"/>
      <c r="J109" s="56"/>
      <c r="K109" s="56"/>
      <c r="L109" s="56"/>
      <c r="M109" s="56"/>
      <c r="N109" s="56"/>
    </row>
    <row r="110" spans="1:14" s="31" customFormat="1" hidden="1" x14ac:dyDescent="0.3">
      <c r="A110" s="83" t="s">
        <v>101</v>
      </c>
      <c r="B110" s="83"/>
      <c r="C110" s="83"/>
      <c r="D110" s="83"/>
      <c r="E110" s="83"/>
      <c r="F110" s="98"/>
      <c r="G110" s="98"/>
      <c r="H110" s="98"/>
      <c r="I110" s="56"/>
      <c r="J110" s="56"/>
      <c r="K110" s="56"/>
      <c r="L110" s="56"/>
      <c r="M110" s="56"/>
      <c r="N110" s="56"/>
    </row>
    <row r="111" spans="1:14" s="31" customFormat="1" hidden="1" x14ac:dyDescent="0.3">
      <c r="A111" s="83" t="s">
        <v>102</v>
      </c>
      <c r="B111" s="83"/>
      <c r="C111" s="83"/>
      <c r="D111" s="83"/>
      <c r="E111" s="83"/>
      <c r="F111" s="98"/>
      <c r="G111" s="98"/>
      <c r="H111" s="98"/>
      <c r="I111" s="56"/>
      <c r="J111" s="56"/>
      <c r="K111" s="56"/>
      <c r="L111" s="56"/>
      <c r="M111" s="56"/>
      <c r="N111" s="56"/>
    </row>
    <row r="112" spans="1:14" x14ac:dyDescent="0.35">
      <c r="A112" s="83" t="s">
        <v>52</v>
      </c>
      <c r="B112" s="83"/>
      <c r="C112" s="83"/>
      <c r="D112" s="83"/>
      <c r="E112" s="83"/>
      <c r="F112" s="98">
        <v>1000000</v>
      </c>
      <c r="G112" s="98"/>
      <c r="H112" s="98"/>
      <c r="I112" s="55"/>
      <c r="J112" s="55"/>
      <c r="K112" s="55"/>
      <c r="L112" s="55"/>
      <c r="M112" s="55"/>
      <c r="N112" s="55"/>
    </row>
    <row r="113" spans="1:14" s="32" customFormat="1" x14ac:dyDescent="0.35">
      <c r="A113" s="140" t="s">
        <v>53</v>
      </c>
      <c r="B113" s="140"/>
      <c r="C113" s="140"/>
      <c r="D113" s="140"/>
      <c r="E113" s="140"/>
      <c r="F113" s="98">
        <f>F101*0.8</f>
        <v>24800</v>
      </c>
      <c r="G113" s="98"/>
      <c r="H113" s="98"/>
      <c r="I113" s="57"/>
      <c r="J113" s="57"/>
      <c r="K113" s="57"/>
      <c r="L113" s="57"/>
      <c r="M113" s="57"/>
      <c r="N113" s="57"/>
    </row>
    <row r="114" spans="1:14" s="33" customFormat="1" x14ac:dyDescent="0.35">
      <c r="A114" s="141" t="s">
        <v>72</v>
      </c>
      <c r="B114" s="141"/>
      <c r="C114" s="141"/>
      <c r="D114" s="141"/>
      <c r="E114" s="141"/>
      <c r="F114" s="141"/>
      <c r="G114" s="141"/>
      <c r="H114" s="141"/>
      <c r="I114" s="58"/>
      <c r="J114" s="58"/>
      <c r="K114" s="58"/>
      <c r="L114" s="58"/>
      <c r="M114" s="58"/>
      <c r="N114" s="58"/>
    </row>
    <row r="115" spans="1:14" s="33" customFormat="1" ht="15.75" customHeight="1" x14ac:dyDescent="0.35">
      <c r="A115" s="85" t="s">
        <v>54</v>
      </c>
      <c r="B115" s="85"/>
      <c r="C115" s="136" t="s">
        <v>80</v>
      </c>
      <c r="D115" s="136"/>
      <c r="E115" s="121" t="s">
        <v>55</v>
      </c>
      <c r="F115" s="121"/>
      <c r="G115" s="85" t="s">
        <v>56</v>
      </c>
      <c r="H115" s="85"/>
    </row>
    <row r="116" spans="1:14" s="33" customFormat="1" x14ac:dyDescent="0.35">
      <c r="A116" s="125" t="s">
        <v>186</v>
      </c>
      <c r="B116" s="125"/>
      <c r="C116" s="126">
        <f>COUNT(D130:D135)*4+COUNT(D137:D140)*2+COUNT(D142:D147)*7+COUNT(D149:D154)*13+COUNT(D157:D162)*7+COUNT(D164:D167)*3+COUNT(D169:D172)+COUNT(D174:D179)*2+COUNT(D181:D186)+COUNT(D188:D190)*3</f>
        <v>237</v>
      </c>
      <c r="D116" s="126"/>
      <c r="E116" s="127">
        <f>SUM(D130:D135)*4+SUM(D137:D140)*2+SUM(D142:D147)*7+SUM(D149:D154)*13+SUM(D157:D162)*7+SUM(D164:D167)*3+SUM(D169:D172)+SUM(D174:D179)*2+SUM(D181:D186)+SUM(D188:D190)*3</f>
        <v>225777.71478599997</v>
      </c>
      <c r="F116" s="127"/>
      <c r="G116" s="127">
        <f>SUM(F130:F135)*4+SUM(F137:F140)*2+SUM(F142:F147)*7+SUM(F149:F154)*13+SUM(F157:F162)*7+SUM(F164:F167)*3+SUM(F169:F172)+SUM(F174:F179)*2+SUM(F181:F186)+SUM(F188:F190)*3</f>
        <v>349955.45791830006</v>
      </c>
      <c r="H116" s="127"/>
    </row>
    <row r="117" spans="1:14" s="33" customFormat="1" x14ac:dyDescent="0.35">
      <c r="A117" s="125" t="s">
        <v>188</v>
      </c>
      <c r="B117" s="125"/>
      <c r="C117" s="126">
        <f>COUNT(D198:D203)*4+COUNT(D205:D208)*2+COUNT(D210:D215)*7+COUNT(D218:D223)*8+COUNT(D225:D230)*2+COUNT(D232:D235)*2+COUNT(D237:D242)*7+COUNT(D244:D249)*11+COUNT(D251:D254)*3+COUNT(D256:D261)*2+COUNT(D263:D268)+COUNT(D270:D272)*3+COUNT(D274:D276)</f>
        <v>292</v>
      </c>
      <c r="D117" s="126"/>
      <c r="E117" s="127">
        <f>SUM(D198:D203)*4+SUM(D205:D208)*2+SUM(D210:D215)*7+SUM(D218:D223)*8+SUM(D225:D230)*2+SUM(D232:D235)*2+SUM(D237:D242)*7+SUM(D244:D249)*11+SUM(D251:D254)*3+SUM(D256:D261)*2+SUM(D263:D268)+SUM(D270:D272)*3+SUM(D274:D276)</f>
        <v>278510.16005280003</v>
      </c>
      <c r="F117" s="127"/>
      <c r="G117" s="127">
        <f>SUM(F198:F203)*4+SUM(F205:F208)*2+SUM(F210:F215)*7+SUM(F218:F223)*8+SUM(F225:F230)*2+SUM(F232:F235)*2+SUM(F237:F242)*7+SUM(F244:F249)*11+SUM(F251:F254)*3+SUM(F256:F261)*2+SUM(F263:F268)+SUM(F270:F272)*3+SUM(F274:F276)</f>
        <v>431690.74808183999</v>
      </c>
      <c r="H117" s="127"/>
    </row>
    <row r="118" spans="1:14" s="33" customFormat="1" x14ac:dyDescent="0.35">
      <c r="A118" s="141" t="s">
        <v>153</v>
      </c>
      <c r="B118" s="141"/>
      <c r="C118" s="135">
        <f>SUM(C116:C117)</f>
        <v>529</v>
      </c>
      <c r="D118" s="136"/>
      <c r="E118" s="186">
        <f>SUM(E116:E117)</f>
        <v>504287.87483879999</v>
      </c>
      <c r="F118" s="121"/>
      <c r="G118" s="85">
        <f>SUM(G116:G117)</f>
        <v>781646.20600014005</v>
      </c>
      <c r="H118" s="85"/>
    </row>
    <row r="119" spans="1:14" s="32" customFormat="1" x14ac:dyDescent="0.35">
      <c r="A119" s="142" t="s">
        <v>57</v>
      </c>
      <c r="B119" s="142"/>
      <c r="C119" s="142"/>
      <c r="D119" s="142"/>
      <c r="E119" s="142"/>
      <c r="F119" s="142"/>
      <c r="G119" s="142"/>
      <c r="H119" s="142"/>
    </row>
    <row r="120" spans="1:14" x14ac:dyDescent="0.35">
      <c r="A120" s="134" t="s">
        <v>58</v>
      </c>
      <c r="B120" s="134"/>
      <c r="C120" s="134"/>
      <c r="D120" s="134"/>
      <c r="E120" s="134"/>
      <c r="F120" s="134"/>
      <c r="G120" s="134"/>
      <c r="H120" s="134"/>
    </row>
    <row r="121" spans="1:14" ht="47.25" customHeight="1" x14ac:dyDescent="0.35">
      <c r="A121" s="90" t="s">
        <v>122</v>
      </c>
      <c r="B121" s="90" t="s">
        <v>123</v>
      </c>
      <c r="C121" s="86" t="s">
        <v>59</v>
      </c>
      <c r="D121" s="86" t="s">
        <v>60</v>
      </c>
      <c r="E121" s="88" t="s">
        <v>61</v>
      </c>
      <c r="F121" s="41" t="s">
        <v>152</v>
      </c>
      <c r="G121" s="90" t="s">
        <v>62</v>
      </c>
      <c r="H121" s="91"/>
      <c r="I121" s="34"/>
    </row>
    <row r="122" spans="1:14" s="35" customFormat="1" x14ac:dyDescent="0.35">
      <c r="A122" s="92"/>
      <c r="B122" s="92"/>
      <c r="C122" s="87"/>
      <c r="D122" s="87"/>
      <c r="E122" s="89"/>
      <c r="F122" s="13">
        <v>0.55000000000000004</v>
      </c>
      <c r="G122" s="92"/>
      <c r="H122" s="93"/>
      <c r="I122" s="34"/>
    </row>
    <row r="123" spans="1:14" s="35" customFormat="1" x14ac:dyDescent="0.35">
      <c r="A123" s="122" t="s">
        <v>186</v>
      </c>
      <c r="B123" s="123"/>
      <c r="C123" s="123"/>
      <c r="D123" s="123"/>
      <c r="E123" s="123"/>
      <c r="F123" s="123"/>
      <c r="G123" s="123"/>
      <c r="H123" s="124"/>
      <c r="J123" s="34"/>
    </row>
    <row r="124" spans="1:14" s="35" customFormat="1" x14ac:dyDescent="0.35">
      <c r="A124" s="76" t="s">
        <v>187</v>
      </c>
      <c r="B124" s="77"/>
      <c r="C124" s="77"/>
      <c r="D124" s="77"/>
      <c r="E124" s="77"/>
      <c r="F124" s="77"/>
      <c r="G124" s="77"/>
      <c r="H124" s="78"/>
      <c r="J124" s="54">
        <v>10.763999999999999</v>
      </c>
    </row>
    <row r="125" spans="1:14" s="35" customFormat="1" x14ac:dyDescent="0.35">
      <c r="A125" s="76" t="s">
        <v>189</v>
      </c>
      <c r="B125" s="77"/>
      <c r="C125" s="77"/>
      <c r="D125" s="77"/>
      <c r="E125" s="77"/>
      <c r="F125" s="77"/>
      <c r="G125" s="77"/>
      <c r="H125" s="78"/>
      <c r="J125" s="34"/>
    </row>
    <row r="126" spans="1:14" s="35" customFormat="1" x14ac:dyDescent="0.35">
      <c r="A126" s="76" t="s">
        <v>190</v>
      </c>
      <c r="B126" s="77"/>
      <c r="C126" s="77"/>
      <c r="D126" s="77"/>
      <c r="E126" s="77"/>
      <c r="F126" s="77"/>
      <c r="G126" s="77"/>
      <c r="H126" s="78"/>
      <c r="J126" s="34"/>
    </row>
    <row r="127" spans="1:14" s="35" customFormat="1" x14ac:dyDescent="0.35">
      <c r="A127" s="76" t="s">
        <v>191</v>
      </c>
      <c r="B127" s="77"/>
      <c r="C127" s="77"/>
      <c r="D127" s="77"/>
      <c r="E127" s="77"/>
      <c r="F127" s="77"/>
      <c r="G127" s="77"/>
      <c r="H127" s="78"/>
      <c r="J127" s="34"/>
    </row>
    <row r="128" spans="1:14" s="35" customFormat="1" x14ac:dyDescent="0.35">
      <c r="A128" s="76" t="s">
        <v>230</v>
      </c>
      <c r="B128" s="77"/>
      <c r="C128" s="77"/>
      <c r="D128" s="77"/>
      <c r="E128" s="77"/>
      <c r="F128" s="77"/>
      <c r="G128" s="77"/>
      <c r="H128" s="78"/>
      <c r="J128" s="34"/>
    </row>
    <row r="129" spans="1:14" s="35" customFormat="1" x14ac:dyDescent="0.35">
      <c r="A129" s="137" t="s">
        <v>192</v>
      </c>
      <c r="B129" s="137"/>
      <c r="C129" s="137"/>
      <c r="D129" s="137"/>
      <c r="E129" s="137"/>
      <c r="F129" s="137"/>
      <c r="G129" s="137"/>
      <c r="H129" s="137"/>
      <c r="J129" s="34"/>
    </row>
    <row r="130" spans="1:14" s="35" customFormat="1" ht="15.75" customHeight="1" x14ac:dyDescent="0.35">
      <c r="A130" s="79">
        <v>1</v>
      </c>
      <c r="B130" s="79"/>
      <c r="C130" s="64" t="s">
        <v>193</v>
      </c>
      <c r="D130" s="54">
        <f>(6.1*3.2+2.57*1.52+2.42*3.05+3.35*1.52+3.35*3.15+3.35*3.95+3.35*2.43+2.42*1.78+2.15*1.63+2.42*1.62+1.05*3.15)*10.764</f>
        <v>891.95778359999986</v>
      </c>
      <c r="E130" s="64">
        <v>0</v>
      </c>
      <c r="F130" s="64">
        <f t="shared" ref="F130:F135" si="0">D130*(($F$122)+1)+(IF(E130&lt;101,E130,IF(E130&lt;201,E130/2,IF(E130&lt;=301,E130/3,E130/4))))</f>
        <v>1382.5345645799998</v>
      </c>
      <c r="G130" s="79" t="str">
        <f>A129</f>
        <v>1st, 5th, 8th &amp; 11th Floor for Residential</v>
      </c>
      <c r="H130" s="79"/>
      <c r="I130" s="34"/>
      <c r="J130" s="34">
        <f>38100000/F130</f>
        <v>27558.081350085016</v>
      </c>
      <c r="L130" s="75"/>
      <c r="M130" s="75"/>
      <c r="N130" s="34"/>
    </row>
    <row r="131" spans="1:14" s="35" customFormat="1" x14ac:dyDescent="0.35">
      <c r="A131" s="79">
        <f t="shared" ref="A131:A135" si="1">A130+1</f>
        <v>2</v>
      </c>
      <c r="B131" s="79"/>
      <c r="C131" s="64" t="s">
        <v>194</v>
      </c>
      <c r="D131" s="54">
        <f>(6.1*3.35+2.57*1.52+2.42*3.2+3.63*1.52+3.65*3.15+3.65*3.05+3.62*3.8+2.02*1.78+1.6*0.75+1.23*1.63+2.42*1.22+2.42*1.53+2.42*1.62+1.05*1.68+1.05*3.15)*10.764</f>
        <v>1038.0414096000002</v>
      </c>
      <c r="E131" s="64">
        <v>0</v>
      </c>
      <c r="F131" s="64">
        <f t="shared" si="0"/>
        <v>1608.9641848800004</v>
      </c>
      <c r="G131" s="79"/>
      <c r="H131" s="79"/>
      <c r="I131" s="34"/>
      <c r="L131" s="75"/>
      <c r="M131" s="75"/>
      <c r="N131" s="34"/>
    </row>
    <row r="132" spans="1:14" s="35" customFormat="1" x14ac:dyDescent="0.35">
      <c r="A132" s="79">
        <f t="shared" si="1"/>
        <v>3</v>
      </c>
      <c r="B132" s="79"/>
      <c r="C132" s="64" t="s">
        <v>195</v>
      </c>
      <c r="D132" s="54">
        <f>(1.52*2.57+3.2*5.47+3.05*2.43+1.78*2.43+1.52*3.35+3.15*3.35+4*3.35+1.63*2.15+1.67*2.42+1.92*1.05+1.05*1.05)*10.764</f>
        <v>784.2241368</v>
      </c>
      <c r="E132" s="64">
        <v>0</v>
      </c>
      <c r="F132" s="64">
        <f t="shared" si="0"/>
        <v>1215.5474120399999</v>
      </c>
      <c r="G132" s="79"/>
      <c r="H132" s="79"/>
      <c r="I132" s="34"/>
      <c r="L132" s="75"/>
      <c r="M132" s="75"/>
      <c r="N132" s="34"/>
    </row>
    <row r="133" spans="1:14" s="35" customFormat="1" x14ac:dyDescent="0.35">
      <c r="A133" s="79">
        <f t="shared" si="1"/>
        <v>4</v>
      </c>
      <c r="B133" s="79"/>
      <c r="C133" s="64" t="s">
        <v>195</v>
      </c>
      <c r="D133" s="54">
        <f>(1.52*2.57+3.2*5.47+3.05*2.43+1.78*2.43+1.52*3.35+3.15*3.35+4*3.35+1.63*2.15+1.67*2.42+1.92*1.05+1.05*1.05)*10.764</f>
        <v>784.2241368</v>
      </c>
      <c r="E133" s="64">
        <v>0</v>
      </c>
      <c r="F133" s="64">
        <f t="shared" si="0"/>
        <v>1215.5474120399999</v>
      </c>
      <c r="G133" s="79"/>
      <c r="H133" s="79"/>
      <c r="I133" s="34"/>
      <c r="L133" s="75"/>
      <c r="M133" s="75"/>
      <c r="N133" s="34"/>
    </row>
    <row r="134" spans="1:14" s="35" customFormat="1" x14ac:dyDescent="0.35">
      <c r="A134" s="79">
        <f t="shared" si="1"/>
        <v>5</v>
      </c>
      <c r="B134" s="79"/>
      <c r="C134" s="64" t="s">
        <v>194</v>
      </c>
      <c r="D134" s="54">
        <f>(6.1*3.35+2.57*1.52+2.42*3.2+3.63*1.52+3.65*3.15+3.65*3.05+3.62*3.8+2.02*1.78+1.6*0.75+1.23*1.63+2.42*1.22+2.42*1.53+2.42*1.62+1.05*1.68+1.05*3.15)*10.764</f>
        <v>1038.0414096000002</v>
      </c>
      <c r="E134" s="64">
        <v>0</v>
      </c>
      <c r="F134" s="64">
        <f t="shared" si="0"/>
        <v>1608.9641848800004</v>
      </c>
      <c r="G134" s="79"/>
      <c r="H134" s="79"/>
      <c r="I134" s="34"/>
      <c r="J134" s="34">
        <f>44000000/F134</f>
        <v>27346.786468886879</v>
      </c>
      <c r="L134" s="75"/>
      <c r="M134" s="75"/>
      <c r="N134" s="34"/>
    </row>
    <row r="135" spans="1:14" s="35" customFormat="1" x14ac:dyDescent="0.35">
      <c r="A135" s="79">
        <f t="shared" si="1"/>
        <v>6</v>
      </c>
      <c r="B135" s="79"/>
      <c r="C135" s="64" t="s">
        <v>193</v>
      </c>
      <c r="D135" s="54">
        <f>(6.1*3.2+2.57*1.52+2.42*3.05+3.35*1.52+3.35*3.15+3.35*3.95+3.35*2.43+2.42*1.78+2.15*1.63+2.42*1.62+1.05*3.15)*10.764</f>
        <v>891.95778359999986</v>
      </c>
      <c r="E135" s="64">
        <v>0</v>
      </c>
      <c r="F135" s="64">
        <f t="shared" si="0"/>
        <v>1382.5345645799998</v>
      </c>
      <c r="G135" s="79"/>
      <c r="H135" s="79"/>
      <c r="I135" s="34"/>
      <c r="L135" s="75"/>
      <c r="M135" s="75"/>
      <c r="N135" s="34"/>
    </row>
    <row r="136" spans="1:14" s="35" customFormat="1" x14ac:dyDescent="0.35">
      <c r="A136" s="137" t="s">
        <v>202</v>
      </c>
      <c r="B136" s="137"/>
      <c r="C136" s="137"/>
      <c r="D136" s="137"/>
      <c r="E136" s="137"/>
      <c r="F136" s="137"/>
      <c r="G136" s="137"/>
      <c r="H136" s="137"/>
      <c r="J136" s="34"/>
    </row>
    <row r="137" spans="1:14" s="35" customFormat="1" x14ac:dyDescent="0.35">
      <c r="A137" s="79">
        <v>1</v>
      </c>
      <c r="B137" s="79"/>
      <c r="C137" s="64" t="s">
        <v>194</v>
      </c>
      <c r="D137" s="54">
        <f>(4.1*3.28+6.1*3.35+2.57*1.52+2.43*3.2+3.63*1.52+3.65*3.15+3.65*3.05+3.62*3.8+2.02*1.78+1.6*1.08+1.23*1.63+2.42*1.22+2.42*1.53+2.42*1.62+1.05*1.68+1.05*3.15)*10.764</f>
        <v>1188.8235216</v>
      </c>
      <c r="E137" s="64">
        <v>0</v>
      </c>
      <c r="F137" s="64">
        <f>D137*(($F$122)+1)+(IF(E137&lt;101,E137,IF(E137&lt;201,E137/2,IF(E137&lt;=301,E137/3,E137/4))))</f>
        <v>1842.6764584800001</v>
      </c>
      <c r="G137" s="79" t="str">
        <f>A136</f>
        <v>2nd &amp; 9th (Part Refuge Area)</v>
      </c>
      <c r="H137" s="79"/>
      <c r="I137" s="34"/>
      <c r="J137" s="34">
        <f>52500000/F137</f>
        <v>28491.165531743194</v>
      </c>
      <c r="L137" s="75"/>
      <c r="M137" s="75"/>
      <c r="N137" s="34"/>
    </row>
    <row r="138" spans="1:14" s="35" customFormat="1" x14ac:dyDescent="0.35">
      <c r="A138" s="79">
        <f t="shared" ref="A138:A140" si="2">A137+1</f>
        <v>2</v>
      </c>
      <c r="B138" s="79"/>
      <c r="C138" s="64" t="s">
        <v>195</v>
      </c>
      <c r="D138" s="54">
        <f>(1.52*2.57+3.2*5.47+3.05*2.43+1.78*2.43+1.52*3.35+3.15*3.35+4*3.35+1.63*2.15+1.67*2.42+1.92*1.05+1.05*1.05)*10.764</f>
        <v>784.2241368</v>
      </c>
      <c r="E138" s="64">
        <v>0</v>
      </c>
      <c r="F138" s="64">
        <f>D138*(($F$122)+1)+(IF(E138&lt;101,E138,IF(E138&lt;201,E138/2,IF(E138&lt;=301,E138/3,E138/4))))</f>
        <v>1215.5474120399999</v>
      </c>
      <c r="G138" s="79"/>
      <c r="H138" s="79"/>
      <c r="I138" s="34"/>
      <c r="L138" s="75"/>
      <c r="M138" s="75"/>
      <c r="N138" s="34"/>
    </row>
    <row r="139" spans="1:14" s="35" customFormat="1" x14ac:dyDescent="0.35">
      <c r="A139" s="79">
        <f t="shared" si="2"/>
        <v>3</v>
      </c>
      <c r="B139" s="79"/>
      <c r="C139" s="64" t="s">
        <v>195</v>
      </c>
      <c r="D139" s="54">
        <f>(1.52*2.57+3.2*5.47+3.05*2.43+1.78*2.43+1.52*3.35+3.15*3.35+4*3.35+1.63*2.15+1.67*2.42+1.92*1.05+1.05*1.05)*10.764</f>
        <v>784.2241368</v>
      </c>
      <c r="E139" s="64">
        <v>0</v>
      </c>
      <c r="F139" s="64">
        <f>D139*(($F$122)+1)+(IF(E139&lt;101,E139,IF(E139&lt;201,E139/2,IF(E139&lt;=301,E139/3,E139/4))))</f>
        <v>1215.5474120399999</v>
      </c>
      <c r="G139" s="79"/>
      <c r="H139" s="79"/>
      <c r="I139" s="34"/>
      <c r="L139" s="75"/>
      <c r="M139" s="75"/>
      <c r="N139" s="34"/>
    </row>
    <row r="140" spans="1:14" s="35" customFormat="1" x14ac:dyDescent="0.35">
      <c r="A140" s="79">
        <f t="shared" si="2"/>
        <v>4</v>
      </c>
      <c r="B140" s="79"/>
      <c r="C140" s="64" t="s">
        <v>194</v>
      </c>
      <c r="D140" s="54">
        <f>(4.1*3.28+6.1*3.35+2.57*1.52+2.43*3.2+3.63*1.52+3.65*3.15+3.65*3.05+3.62*3.8+2.02*1.78+1.6*1.08+1.23*1.63+2.42*1.22+2.42*1.53+2.42*1.62+1.05*1.68+1.05*3.15)*10.764</f>
        <v>1188.8235216</v>
      </c>
      <c r="E140" s="64">
        <v>0</v>
      </c>
      <c r="F140" s="64">
        <f>D140*(($F$122)+1)+(IF(E140&lt;101,E140,IF(E140&lt;201,E140/2,IF(E140&lt;=301,E140/3,E140/4))))</f>
        <v>1842.6764584800001</v>
      </c>
      <c r="G140" s="79"/>
      <c r="H140" s="79"/>
      <c r="I140" s="34"/>
      <c r="L140" s="75"/>
      <c r="M140" s="75"/>
      <c r="N140" s="34"/>
    </row>
    <row r="141" spans="1:14" s="35" customFormat="1" x14ac:dyDescent="0.35">
      <c r="A141" s="76" t="s">
        <v>203</v>
      </c>
      <c r="B141" s="77"/>
      <c r="C141" s="77"/>
      <c r="D141" s="77"/>
      <c r="E141" s="77"/>
      <c r="F141" s="77"/>
      <c r="G141" s="77"/>
      <c r="H141" s="78"/>
      <c r="J141" s="34"/>
    </row>
    <row r="142" spans="1:14" s="35" customFormat="1" ht="15.75" customHeight="1" x14ac:dyDescent="0.35">
      <c r="A142" s="69">
        <v>1</v>
      </c>
      <c r="B142" s="70"/>
      <c r="C142" s="40" t="s">
        <v>193</v>
      </c>
      <c r="D142" s="54">
        <f>(6.1*3.2+2.57*1.52+2.42*3.05+3.35*1.52+3.35*3.15+3.35*3.95+3.35*2.43+2.42*1.78+2.15*1.63+2.42*1.62+1.05*3.15)*10.764</f>
        <v>891.95778359999986</v>
      </c>
      <c r="E142" s="40">
        <v>0</v>
      </c>
      <c r="F142" s="40">
        <f t="shared" ref="F142:F147" si="3">D142*(($F$122)+1)+(IF(E142&lt;101,E142,IF(E142&lt;201,E142/2,IF(E142&lt;=301,E142/3,E142/4))))</f>
        <v>1382.5345645799998</v>
      </c>
      <c r="G142" s="71" t="str">
        <f>A141</f>
        <v>3rd, 4th, 6th, 7th, 10th, 12th &amp; 13th Floor</v>
      </c>
      <c r="H142" s="72"/>
      <c r="I142" s="34"/>
      <c r="L142" s="75"/>
      <c r="M142" s="75"/>
      <c r="N142" s="34"/>
    </row>
    <row r="143" spans="1:14" s="35" customFormat="1" x14ac:dyDescent="0.35">
      <c r="A143" s="69">
        <f t="shared" ref="A143:A147" si="4">A142+1</f>
        <v>2</v>
      </c>
      <c r="B143" s="70"/>
      <c r="C143" s="40" t="s">
        <v>194</v>
      </c>
      <c r="D143" s="54">
        <f>(6.1*3.35+2.57*1.52+2.42*3.2+3.63*1.52+3.65*3.15+3.65*3.05+3.62*3.8+2.02*1.78+1.6*0.75+1.23*1.63+2.42*1.22+2.42*1.53+2.42*1.62+1.05*1.68+1.05*3.15)*10.764</f>
        <v>1038.0414096000002</v>
      </c>
      <c r="E143" s="40">
        <v>0</v>
      </c>
      <c r="F143" s="40">
        <f t="shared" si="3"/>
        <v>1608.9641848800004</v>
      </c>
      <c r="G143" s="73"/>
      <c r="H143" s="74"/>
      <c r="I143" s="34"/>
      <c r="L143" s="75"/>
      <c r="M143" s="75"/>
      <c r="N143" s="34"/>
    </row>
    <row r="144" spans="1:14" s="35" customFormat="1" x14ac:dyDescent="0.35">
      <c r="A144" s="69">
        <f t="shared" si="4"/>
        <v>3</v>
      </c>
      <c r="B144" s="70"/>
      <c r="C144" s="40" t="s">
        <v>195</v>
      </c>
      <c r="D144" s="54">
        <f>(1.52*2.57+3.2*5.47+3.05*2.43+1.78*2.43+1.52*3.35+3.15*3.35+4*3.35+1.63*2.15+1.67*2.42+1.92*1.05+1.05*1.05)*10.764</f>
        <v>784.2241368</v>
      </c>
      <c r="E144" s="40">
        <v>0</v>
      </c>
      <c r="F144" s="40">
        <f t="shared" si="3"/>
        <v>1215.5474120399999</v>
      </c>
      <c r="G144" s="73"/>
      <c r="H144" s="74"/>
      <c r="I144" s="34"/>
      <c r="L144" s="75"/>
      <c r="M144" s="75"/>
      <c r="N144" s="34"/>
    </row>
    <row r="145" spans="1:14" s="35" customFormat="1" x14ac:dyDescent="0.35">
      <c r="A145" s="69">
        <f t="shared" si="4"/>
        <v>4</v>
      </c>
      <c r="B145" s="70"/>
      <c r="C145" s="40" t="s">
        <v>195</v>
      </c>
      <c r="D145" s="54">
        <f>(1.52*2.57+3.2*5.47+3.05*2.43+1.78*2.43+1.52*3.35+3.15*3.35+4*3.35+1.63*2.15+1.67*2.42+1.92*1.05+1.05*1.05)*10.764</f>
        <v>784.2241368</v>
      </c>
      <c r="E145" s="40">
        <v>0</v>
      </c>
      <c r="F145" s="40">
        <f t="shared" si="3"/>
        <v>1215.5474120399999</v>
      </c>
      <c r="G145" s="73"/>
      <c r="H145" s="74"/>
      <c r="I145" s="34"/>
      <c r="L145" s="75"/>
      <c r="M145" s="75"/>
      <c r="N145" s="34"/>
    </row>
    <row r="146" spans="1:14" s="35" customFormat="1" x14ac:dyDescent="0.35">
      <c r="A146" s="69">
        <f t="shared" si="4"/>
        <v>5</v>
      </c>
      <c r="B146" s="70"/>
      <c r="C146" s="40" t="s">
        <v>194</v>
      </c>
      <c r="D146" s="54">
        <f>(6.1*3.35+2.57*1.52+2.42*3.2+3.63*1.52+3.65*3.15+3.65*3.05+3.62*3.8+2.02*1.78+1.6*0.75+1.23*1.63+2.42*1.22+2.42*1.53+2.42*1.62+1.05*1.68+1.05*3.15)*10.764</f>
        <v>1038.0414096000002</v>
      </c>
      <c r="E146" s="40">
        <v>0</v>
      </c>
      <c r="F146" s="40">
        <f t="shared" si="3"/>
        <v>1608.9641848800004</v>
      </c>
      <c r="G146" s="73"/>
      <c r="H146" s="74"/>
      <c r="I146" s="34"/>
      <c r="L146" s="75"/>
      <c r="M146" s="75"/>
      <c r="N146" s="34"/>
    </row>
    <row r="147" spans="1:14" s="35" customFormat="1" x14ac:dyDescent="0.35">
      <c r="A147" s="69">
        <f t="shared" si="4"/>
        <v>6</v>
      </c>
      <c r="B147" s="70"/>
      <c r="C147" s="40" t="s">
        <v>193</v>
      </c>
      <c r="D147" s="54">
        <f>(6.1*3.2+2.57*1.52+2.42*3.05+3.35*1.52+3.35*3.15+3.35*3.95+3.35*2.43+2.42*1.78+2.15*1.63+2.42*1.62+1.05*3.15)*10.764</f>
        <v>891.95778359999986</v>
      </c>
      <c r="E147" s="40">
        <v>0</v>
      </c>
      <c r="F147" s="40">
        <f t="shared" si="3"/>
        <v>1382.5345645799998</v>
      </c>
      <c r="G147" s="80"/>
      <c r="H147" s="81"/>
      <c r="I147" s="34"/>
      <c r="L147" s="75"/>
      <c r="M147" s="75"/>
      <c r="N147" s="34"/>
    </row>
    <row r="148" spans="1:14" s="35" customFormat="1" x14ac:dyDescent="0.35">
      <c r="A148" s="76" t="s">
        <v>204</v>
      </c>
      <c r="B148" s="77"/>
      <c r="C148" s="77"/>
      <c r="D148" s="77"/>
      <c r="E148" s="77"/>
      <c r="F148" s="77"/>
      <c r="G148" s="77"/>
      <c r="H148" s="78"/>
      <c r="J148" s="34"/>
    </row>
    <row r="149" spans="1:14" s="35" customFormat="1" ht="15.75" customHeight="1" x14ac:dyDescent="0.35">
      <c r="A149" s="69">
        <v>1</v>
      </c>
      <c r="B149" s="70"/>
      <c r="C149" s="40" t="s">
        <v>193</v>
      </c>
      <c r="D149" s="54">
        <f>(6.1*3.2+2.57*1.52+2.42*3.05+3.35*1.52+3.35*3.15+3.35*3.95+3.35*2.43+2.42*1.78+2.15*1.63+2.42*1.62+1.05*3.15)*10.764</f>
        <v>891.95778359999986</v>
      </c>
      <c r="E149" s="40">
        <v>0</v>
      </c>
      <c r="F149" s="40">
        <f t="shared" ref="F149:F154" si="5">D149*(($F$122)+1)+(IF(E149&lt;101,E149,IF(E149&lt;201,E149/2,IF(E149&lt;=301,E149/3,E149/4))))</f>
        <v>1382.5345645799998</v>
      </c>
      <c r="G149" s="71" t="str">
        <f>A148</f>
        <v>14th, 15th, 18th, 19th, 21st, 24th, 26th, 27th, 29th, 32nd, 33rd, 35th &amp; 36th Floor</v>
      </c>
      <c r="H149" s="72"/>
      <c r="I149" s="34"/>
      <c r="L149" s="75"/>
      <c r="M149" s="75"/>
      <c r="N149" s="34"/>
    </row>
    <row r="150" spans="1:14" s="35" customFormat="1" x14ac:dyDescent="0.35">
      <c r="A150" s="69">
        <f t="shared" ref="A150:A154" si="6">A149+1</f>
        <v>2</v>
      </c>
      <c r="B150" s="70"/>
      <c r="C150" s="40" t="s">
        <v>194</v>
      </c>
      <c r="D150" s="54">
        <f>(6.1*3.35+2.57*1.52+2.42*3.2+3.63*1.52+3.65*3.15+3.65*3.05+3.62*3.8+2.02*1.78+1.6*0.75+1.23*1.63+2.42*1.22+2.42*1.53+2.42*1.62+1.05*1.68+1.05*3.15)*10.764</f>
        <v>1038.0414096000002</v>
      </c>
      <c r="E150" s="40">
        <v>0</v>
      </c>
      <c r="F150" s="40">
        <f t="shared" si="5"/>
        <v>1608.9641848800004</v>
      </c>
      <c r="G150" s="73"/>
      <c r="H150" s="74"/>
      <c r="I150" s="34"/>
      <c r="L150" s="75"/>
      <c r="M150" s="75"/>
      <c r="N150" s="34"/>
    </row>
    <row r="151" spans="1:14" s="35" customFormat="1" x14ac:dyDescent="0.35">
      <c r="A151" s="69">
        <f t="shared" si="6"/>
        <v>3</v>
      </c>
      <c r="B151" s="70"/>
      <c r="C151" s="40" t="s">
        <v>195</v>
      </c>
      <c r="D151" s="54">
        <f>(1.52*2.57+3.2*5.47+3.05*2.43+1.78*2.43+1.52*3.35+3.15*3.35+4*3.35+1.63*2.15+1.67*2.42+1.92*1.05+1.05*1.05)*10.764</f>
        <v>784.2241368</v>
      </c>
      <c r="E151" s="40">
        <v>0</v>
      </c>
      <c r="F151" s="40">
        <f t="shared" si="5"/>
        <v>1215.5474120399999</v>
      </c>
      <c r="G151" s="73"/>
      <c r="H151" s="74"/>
      <c r="I151" s="34"/>
      <c r="L151" s="75"/>
      <c r="M151" s="75"/>
      <c r="N151" s="34"/>
    </row>
    <row r="152" spans="1:14" s="35" customFormat="1" x14ac:dyDescent="0.35">
      <c r="A152" s="69">
        <f t="shared" si="6"/>
        <v>4</v>
      </c>
      <c r="B152" s="70"/>
      <c r="C152" s="40" t="s">
        <v>195</v>
      </c>
      <c r="D152" s="54">
        <f>(1.52*2.57+3.2*5.47+3.05*2.43+1.78*2.43+1.52*3.35+3.15*3.35+4*3.35+1.63*2.15+1.67*2.42+1.92*1.05+1.05*1.05)*10.764</f>
        <v>784.2241368</v>
      </c>
      <c r="E152" s="40">
        <v>0</v>
      </c>
      <c r="F152" s="40">
        <f t="shared" si="5"/>
        <v>1215.5474120399999</v>
      </c>
      <c r="G152" s="73"/>
      <c r="H152" s="74"/>
      <c r="I152" s="34"/>
      <c r="L152" s="75"/>
      <c r="M152" s="75"/>
      <c r="N152" s="34"/>
    </row>
    <row r="153" spans="1:14" s="35" customFormat="1" x14ac:dyDescent="0.35">
      <c r="A153" s="69">
        <f t="shared" si="6"/>
        <v>5</v>
      </c>
      <c r="B153" s="70"/>
      <c r="C153" s="40" t="s">
        <v>194</v>
      </c>
      <c r="D153" s="54">
        <f>(6.1*3.35+2.57*1.52+2.42*3.2+3.63*1.52+3.65*3.15+3.65*3.05+3.62*3.8+2.02*1.78+1.6*0.75+1.23*1.63+2.42*1.22+2.42*1.53+2.42*1.62+1.05*1.68+1.05*3.15)*10.764</f>
        <v>1038.0414096000002</v>
      </c>
      <c r="E153" s="40">
        <v>0</v>
      </c>
      <c r="F153" s="40">
        <f t="shared" si="5"/>
        <v>1608.9641848800004</v>
      </c>
      <c r="G153" s="73"/>
      <c r="H153" s="74"/>
      <c r="I153" s="34"/>
      <c r="L153" s="75"/>
      <c r="M153" s="75"/>
      <c r="N153" s="34"/>
    </row>
    <row r="154" spans="1:14" s="35" customFormat="1" x14ac:dyDescent="0.35">
      <c r="A154" s="69">
        <f t="shared" si="6"/>
        <v>6</v>
      </c>
      <c r="B154" s="70"/>
      <c r="C154" s="40" t="s">
        <v>193</v>
      </c>
      <c r="D154" s="54">
        <f>(6.1*3.2+2.57*1.52+2.42*3.05+3.35*1.52+3.35*3.15+3.35*3.95+3.35*2.43+2.42*1.78+2.15*1.63+2.42*1.62+1.05*3.15)*10.764</f>
        <v>891.95778359999986</v>
      </c>
      <c r="E154" s="40">
        <v>0</v>
      </c>
      <c r="F154" s="40">
        <f t="shared" si="5"/>
        <v>1382.5345645799998</v>
      </c>
      <c r="G154" s="80"/>
      <c r="H154" s="81"/>
      <c r="I154" s="34"/>
      <c r="L154" s="75"/>
      <c r="M154" s="75"/>
      <c r="N154" s="34"/>
    </row>
    <row r="155" spans="1:14" s="35" customFormat="1" x14ac:dyDescent="0.35">
      <c r="A155" s="76" t="s">
        <v>231</v>
      </c>
      <c r="B155" s="77"/>
      <c r="C155" s="77"/>
      <c r="D155" s="77"/>
      <c r="E155" s="77"/>
      <c r="F155" s="77"/>
      <c r="G155" s="77"/>
      <c r="H155" s="78"/>
      <c r="J155" s="34"/>
    </row>
    <row r="156" spans="1:14" s="35" customFormat="1" x14ac:dyDescent="0.35">
      <c r="A156" s="76" t="s">
        <v>205</v>
      </c>
      <c r="B156" s="77"/>
      <c r="C156" s="77"/>
      <c r="D156" s="77"/>
      <c r="E156" s="77"/>
      <c r="F156" s="77"/>
      <c r="G156" s="77"/>
      <c r="H156" s="78"/>
      <c r="J156" s="34"/>
    </row>
    <row r="157" spans="1:14" s="35" customFormat="1" ht="15.75" customHeight="1" x14ac:dyDescent="0.35">
      <c r="A157" s="69">
        <v>1</v>
      </c>
      <c r="B157" s="70"/>
      <c r="C157" s="40" t="s">
        <v>193</v>
      </c>
      <c r="D157" s="54">
        <f>(6.1*3.2+2.57*1.52+2.42*3.05+3.35*1.52+3.35*3.15+3.35*3.95+3.35*2.43+2.42*1.78+2.15*1.63+2.42*1.62+1.05*3.15)*10.764</f>
        <v>891.95778359999986</v>
      </c>
      <c r="E157" s="40">
        <v>0</v>
      </c>
      <c r="F157" s="40">
        <f t="shared" ref="F157:F162" si="7">D157*(($F$122)+1)+(IF(E157&lt;101,E157,IF(E157&lt;201,E157/2,IF(E157&lt;=301,E157/3,E157/4))))</f>
        <v>1382.5345645799998</v>
      </c>
      <c r="G157" s="71" t="str">
        <f>A156</f>
        <v>17th, 20th, 22nd, 25th, 28th, 31st &amp; 34th Floor</v>
      </c>
      <c r="H157" s="72"/>
      <c r="I157" s="34"/>
      <c r="L157" s="75"/>
      <c r="M157" s="75"/>
      <c r="N157" s="34"/>
    </row>
    <row r="158" spans="1:14" s="35" customFormat="1" x14ac:dyDescent="0.35">
      <c r="A158" s="69">
        <f t="shared" ref="A158:A162" si="8">A157+1</f>
        <v>2</v>
      </c>
      <c r="B158" s="70"/>
      <c r="C158" s="40" t="s">
        <v>194</v>
      </c>
      <c r="D158" s="54">
        <f>(6.1*3.35+2.57*1.52+2.42*3.2+3.63*1.52+3.65*3.15+3.65*3.05+3.62*3.8+2.02*1.78+1.6*0.75+1.23*1.63+2.42*1.22+2.42*1.53+2.42*1.62+1.05*1.68+1.05*3.15)*10.764</f>
        <v>1038.0414096000002</v>
      </c>
      <c r="E158" s="40">
        <v>0</v>
      </c>
      <c r="F158" s="40">
        <f t="shared" si="7"/>
        <v>1608.9641848800004</v>
      </c>
      <c r="G158" s="73"/>
      <c r="H158" s="74"/>
      <c r="I158" s="34"/>
      <c r="L158" s="75"/>
      <c r="M158" s="75"/>
      <c r="N158" s="34"/>
    </row>
    <row r="159" spans="1:14" s="35" customFormat="1" x14ac:dyDescent="0.35">
      <c r="A159" s="69">
        <f t="shared" si="8"/>
        <v>3</v>
      </c>
      <c r="B159" s="70"/>
      <c r="C159" s="40" t="s">
        <v>195</v>
      </c>
      <c r="D159" s="54">
        <f>(1.52*2.57+3.2*5.47+3.05*2.43+1.78*2.43+1.52*3.35+3.15*3.35+4*3.35+1.63*2.15+1.67*2.42+1.92*1.05+1.05*1.05)*10.764</f>
        <v>784.2241368</v>
      </c>
      <c r="E159" s="40">
        <v>0</v>
      </c>
      <c r="F159" s="40">
        <f t="shared" si="7"/>
        <v>1215.5474120399999</v>
      </c>
      <c r="G159" s="73"/>
      <c r="H159" s="74"/>
      <c r="I159" s="34"/>
      <c r="L159" s="75"/>
      <c r="M159" s="75"/>
      <c r="N159" s="34"/>
    </row>
    <row r="160" spans="1:14" s="35" customFormat="1" x14ac:dyDescent="0.35">
      <c r="A160" s="69">
        <f t="shared" si="8"/>
        <v>4</v>
      </c>
      <c r="B160" s="70"/>
      <c r="C160" s="40" t="s">
        <v>195</v>
      </c>
      <c r="D160" s="54">
        <f>(1.52*2.57+3.2*5.47+3.05*2.43+1.78*2.43+1.52*3.35+3.15*3.35+4*3.35+1.63*2.15+1.67*2.42+1.92*1.05+1.05*1.05)*10.764</f>
        <v>784.2241368</v>
      </c>
      <c r="E160" s="40">
        <v>0</v>
      </c>
      <c r="F160" s="40">
        <f t="shared" si="7"/>
        <v>1215.5474120399999</v>
      </c>
      <c r="G160" s="73"/>
      <c r="H160" s="74"/>
      <c r="I160" s="34"/>
      <c r="L160" s="75"/>
      <c r="M160" s="75"/>
      <c r="N160" s="34"/>
    </row>
    <row r="161" spans="1:14" s="35" customFormat="1" x14ac:dyDescent="0.35">
      <c r="A161" s="69">
        <f t="shared" si="8"/>
        <v>5</v>
      </c>
      <c r="B161" s="70"/>
      <c r="C161" s="40" t="s">
        <v>194</v>
      </c>
      <c r="D161" s="54">
        <f>(6.1*3.35+2.57*1.52+2.42*3.2+3.63*1.52+3.65*3.15+3.65*3.05+3.62*3.8+2.02*1.78+1.6*0.75+1.23*1.63+2.42*1.22+2.42*1.53+2.42*1.62+1.05*1.68+1.05*3.15)*10.764</f>
        <v>1038.0414096000002</v>
      </c>
      <c r="E161" s="40">
        <v>0</v>
      </c>
      <c r="F161" s="40">
        <f t="shared" si="7"/>
        <v>1608.9641848800004</v>
      </c>
      <c r="G161" s="73"/>
      <c r="H161" s="74"/>
      <c r="I161" s="34"/>
      <c r="L161" s="75"/>
      <c r="M161" s="75"/>
      <c r="N161" s="34"/>
    </row>
    <row r="162" spans="1:14" s="35" customFormat="1" x14ac:dyDescent="0.35">
      <c r="A162" s="69">
        <f t="shared" si="8"/>
        <v>6</v>
      </c>
      <c r="B162" s="70"/>
      <c r="C162" s="40" t="s">
        <v>193</v>
      </c>
      <c r="D162" s="54">
        <f>(6.1*3.2+2.57*1.52+2.42*3.05+3.35*1.52+3.35*3.15+3.35*3.95+3.35*2.43+2.42*1.78+2.15*1.63+2.42*1.62+1.05*3.15)*10.764</f>
        <v>891.95778359999986</v>
      </c>
      <c r="E162" s="40">
        <v>0</v>
      </c>
      <c r="F162" s="40">
        <f t="shared" si="7"/>
        <v>1382.5345645799998</v>
      </c>
      <c r="G162" s="80"/>
      <c r="H162" s="81"/>
      <c r="I162" s="34"/>
      <c r="L162" s="75"/>
      <c r="M162" s="75"/>
      <c r="N162" s="34"/>
    </row>
    <row r="163" spans="1:14" s="35" customFormat="1" x14ac:dyDescent="0.35">
      <c r="A163" s="76" t="s">
        <v>206</v>
      </c>
      <c r="B163" s="77"/>
      <c r="C163" s="77"/>
      <c r="D163" s="77"/>
      <c r="E163" s="77"/>
      <c r="F163" s="77"/>
      <c r="G163" s="77"/>
      <c r="H163" s="78"/>
      <c r="J163" s="34"/>
    </row>
    <row r="164" spans="1:14" s="35" customFormat="1" x14ac:dyDescent="0.35">
      <c r="A164" s="69">
        <v>1</v>
      </c>
      <c r="B164" s="70"/>
      <c r="C164" s="40" t="s">
        <v>194</v>
      </c>
      <c r="D164" s="54">
        <f>(4.07*3.27+6.1*3.35+2.57*1.52+2.43*3.2+3.63*1.52+3.65*3.15+3.65*3.05+3.62*3.8+2.02*1.78+1.6*1.08+1.23*1.63+2.42*1.22+2.42*1.53+2.42*1.62+1.05*1.68+1.05*3.15)*10.764</f>
        <v>1187.3262491999999</v>
      </c>
      <c r="E164" s="40">
        <v>0</v>
      </c>
      <c r="F164" s="40">
        <f>D164*(($F$122)+1)+(IF(E164&lt;101,E164,IF(E164&lt;201,E164/2,IF(E164&lt;=301,E164/3,E164/4))))</f>
        <v>1840.3556862599999</v>
      </c>
      <c r="G164" s="73" t="str">
        <f>A163</f>
        <v>16th, 23rd &amp; 30th Floor (Part Refuge Area)</v>
      </c>
      <c r="H164" s="74"/>
      <c r="I164" s="34"/>
      <c r="L164" s="75"/>
      <c r="M164" s="75"/>
      <c r="N164" s="34"/>
    </row>
    <row r="165" spans="1:14" s="35" customFormat="1" x14ac:dyDescent="0.35">
      <c r="A165" s="69">
        <f t="shared" ref="A165:A167" si="9">A164+1</f>
        <v>2</v>
      </c>
      <c r="B165" s="70"/>
      <c r="C165" s="40" t="s">
        <v>195</v>
      </c>
      <c r="D165" s="54">
        <f>(1.52*2.57+3.2*5.47+3.05*2.43+1.78*2.43+1.52*3.35+3.15*3.35+4*3.35+1.63*2.15+1.67*2.42+1.92*1.05+1.05*1.05)*10.764</f>
        <v>784.2241368</v>
      </c>
      <c r="E165" s="40">
        <v>0</v>
      </c>
      <c r="F165" s="40">
        <f>D165*(($F$122)+1)+(IF(E165&lt;101,E165,IF(E165&lt;201,E165/2,IF(E165&lt;=301,E165/3,E165/4))))</f>
        <v>1215.5474120399999</v>
      </c>
      <c r="G165" s="73"/>
      <c r="H165" s="74"/>
      <c r="I165" s="34"/>
      <c r="L165" s="75"/>
      <c r="M165" s="75"/>
      <c r="N165" s="34"/>
    </row>
    <row r="166" spans="1:14" s="35" customFormat="1" x14ac:dyDescent="0.35">
      <c r="A166" s="69">
        <f t="shared" si="9"/>
        <v>3</v>
      </c>
      <c r="B166" s="70"/>
      <c r="C166" s="40" t="s">
        <v>195</v>
      </c>
      <c r="D166" s="54">
        <f>(1.52*2.57+3.2*5.47+3.05*2.43+1.78*2.43+1.52*3.35+3.15*3.35+4*3.35+1.63*2.15+1.67*2.42+1.92*1.05+1.05*1.05)*10.764</f>
        <v>784.2241368</v>
      </c>
      <c r="E166" s="40">
        <v>0</v>
      </c>
      <c r="F166" s="40">
        <f>D166*(($F$122)+1)+(IF(E166&lt;101,E166,IF(E166&lt;201,E166/2,IF(E166&lt;=301,E166/3,E166/4))))</f>
        <v>1215.5474120399999</v>
      </c>
      <c r="G166" s="73"/>
      <c r="H166" s="74"/>
      <c r="I166" s="34"/>
      <c r="L166" s="75"/>
      <c r="M166" s="75"/>
      <c r="N166" s="34"/>
    </row>
    <row r="167" spans="1:14" s="35" customFormat="1" x14ac:dyDescent="0.35">
      <c r="A167" s="69">
        <f t="shared" si="9"/>
        <v>4</v>
      </c>
      <c r="B167" s="70"/>
      <c r="C167" s="40" t="s">
        <v>194</v>
      </c>
      <c r="D167" s="54">
        <f>(4.07*3.27+6.1*3.35+2.57*1.52+2.43*3.2+3.63*1.52+3.65*3.15+3.65*3.05+3.62*3.8+2.02*1.78+1.6*1.08+1.23*1.63+2.42*1.22+2.42*1.53+2.42*1.62+1.05*1.68+1.05*3.15)*10.764</f>
        <v>1187.3262491999999</v>
      </c>
      <c r="E167" s="40">
        <v>0</v>
      </c>
      <c r="F167" s="40">
        <f>D167*(($F$122)+1)+(IF(E167&lt;101,E167,IF(E167&lt;201,E167/2,IF(E167&lt;=301,E167/3,E167/4))))</f>
        <v>1840.3556862599999</v>
      </c>
      <c r="G167" s="73"/>
      <c r="H167" s="74"/>
      <c r="I167" s="34"/>
      <c r="L167" s="75"/>
      <c r="M167" s="75"/>
      <c r="N167" s="34"/>
    </row>
    <row r="168" spans="1:14" s="35" customFormat="1" x14ac:dyDescent="0.35">
      <c r="A168" s="76" t="s">
        <v>207</v>
      </c>
      <c r="B168" s="77"/>
      <c r="C168" s="77"/>
      <c r="D168" s="77"/>
      <c r="E168" s="77"/>
      <c r="F168" s="77"/>
      <c r="G168" s="77"/>
      <c r="H168" s="78"/>
      <c r="J168" s="34"/>
    </row>
    <row r="169" spans="1:14" s="35" customFormat="1" x14ac:dyDescent="0.35">
      <c r="A169" s="69">
        <v>1</v>
      </c>
      <c r="B169" s="70"/>
      <c r="C169" s="40" t="s">
        <v>194</v>
      </c>
      <c r="D169" s="54">
        <f>(3.62*2.9+6.1*3.35+2.57*1.52+2.43*3.2+3.63*1.52+3.65*3.15+3.65*3.05+3.62*3.8+2.02*1.78+1.6*1.08+1.23*1.63+2.42*1.22+2.42*1.53+2.42*1.62+1.05*1.68+1.05*3.15)*10.764</f>
        <v>1157.0697215999999</v>
      </c>
      <c r="E169" s="40">
        <v>0</v>
      </c>
      <c r="F169" s="40">
        <f>D169*(($F$122)+1)+(IF(E169&lt;101,E169,IF(E169&lt;201,E169/2,IF(E169&lt;=301,E169/3,E169/4))))</f>
        <v>1793.4580684799998</v>
      </c>
      <c r="G169" s="73" t="str">
        <f>A168</f>
        <v>37th Floor (Part Refuge Area)</v>
      </c>
      <c r="H169" s="74"/>
      <c r="I169" s="34"/>
      <c r="L169" s="75"/>
      <c r="M169" s="75"/>
      <c r="N169" s="34"/>
    </row>
    <row r="170" spans="1:14" s="35" customFormat="1" x14ac:dyDescent="0.35">
      <c r="A170" s="69">
        <f t="shared" ref="A170:A172" si="10">A169+1</f>
        <v>2</v>
      </c>
      <c r="B170" s="70"/>
      <c r="C170" s="40" t="s">
        <v>195</v>
      </c>
      <c r="D170" s="54">
        <f>(1.52*2.57+3.2*5.47+3.05*2.43+1.78*2.43+1.52*3.35+3.15*3.35+4*3.35+1.63*2.15+1.67*2.42+1.92*1.05+1.05*1.05)*10.764</f>
        <v>784.2241368</v>
      </c>
      <c r="E170" s="40">
        <v>0</v>
      </c>
      <c r="F170" s="40">
        <f>D170*(($F$122)+1)+(IF(E170&lt;101,E170,IF(E170&lt;201,E170/2,IF(E170&lt;=301,E170/3,E170/4))))</f>
        <v>1215.5474120399999</v>
      </c>
      <c r="G170" s="73"/>
      <c r="H170" s="74"/>
      <c r="I170" s="34"/>
      <c r="L170" s="75"/>
      <c r="M170" s="75"/>
      <c r="N170" s="34"/>
    </row>
    <row r="171" spans="1:14" s="35" customFormat="1" x14ac:dyDescent="0.35">
      <c r="A171" s="69">
        <f t="shared" si="10"/>
        <v>3</v>
      </c>
      <c r="B171" s="70"/>
      <c r="C171" s="40" t="s">
        <v>195</v>
      </c>
      <c r="D171" s="54">
        <f>(1.52*2.57+3.2*5.47+3.05*2.43+1.78*2.43+1.52*3.35+3.15*3.35+4*3.35+1.63*2.15+1.67*2.42+1.92*1.05+1.05*1.05)*10.764</f>
        <v>784.2241368</v>
      </c>
      <c r="E171" s="40">
        <v>0</v>
      </c>
      <c r="F171" s="40">
        <f>D171*(($F$122)+1)+(IF(E171&lt;101,E171,IF(E171&lt;201,E171/2,IF(E171&lt;=301,E171/3,E171/4))))</f>
        <v>1215.5474120399999</v>
      </c>
      <c r="G171" s="73"/>
      <c r="H171" s="74"/>
      <c r="I171" s="34"/>
      <c r="L171" s="75"/>
      <c r="M171" s="75"/>
      <c r="N171" s="34"/>
    </row>
    <row r="172" spans="1:14" s="35" customFormat="1" x14ac:dyDescent="0.35">
      <c r="A172" s="69">
        <f t="shared" si="10"/>
        <v>4</v>
      </c>
      <c r="B172" s="70"/>
      <c r="C172" s="40" t="s">
        <v>194</v>
      </c>
      <c r="D172" s="54">
        <f>(3.62*2.9+6.1*3.35+2.57*1.52+2.43*3.2+3.63*1.52+3.65*3.15+3.65*3.05+3.62*3.8+2.02*1.78+1.6*1.08+1.23*1.63+2.42*1.22+2.42*1.53+2.42*1.62+1.05*1.68+1.05*3.15)*10.764</f>
        <v>1157.0697215999999</v>
      </c>
      <c r="E172" s="40">
        <v>0</v>
      </c>
      <c r="F172" s="40">
        <f>D172*(($F$122)+1)+(IF(E172&lt;101,E172,IF(E172&lt;201,E172/2,IF(E172&lt;=301,E172/3,E172/4))))</f>
        <v>1793.4580684799998</v>
      </c>
      <c r="G172" s="73"/>
      <c r="H172" s="74"/>
      <c r="I172" s="34"/>
      <c r="L172" s="75"/>
      <c r="M172" s="75"/>
      <c r="N172" s="34"/>
    </row>
    <row r="173" spans="1:14" s="35" customFormat="1" x14ac:dyDescent="0.35">
      <c r="A173" s="76" t="s">
        <v>208</v>
      </c>
      <c r="B173" s="77"/>
      <c r="C173" s="77"/>
      <c r="D173" s="77"/>
      <c r="E173" s="77"/>
      <c r="F173" s="77"/>
      <c r="G173" s="77"/>
      <c r="H173" s="78"/>
      <c r="J173" s="34"/>
    </row>
    <row r="174" spans="1:14" s="35" customFormat="1" ht="15.75" customHeight="1" x14ac:dyDescent="0.35">
      <c r="A174" s="79">
        <v>1</v>
      </c>
      <c r="B174" s="79"/>
      <c r="C174" s="40" t="s">
        <v>193</v>
      </c>
      <c r="D174" s="54">
        <f>(5.9*3.2+2.57*1.52+2.9*1.1+2.52*3.05+3.35*1.52+3.35*3.22+3.42*3.95+3.35*2.43+2.42*1.7+2.15*1.7+1.52*1.78+1.05*3.15)*10.764</f>
        <v>914.64937200000008</v>
      </c>
      <c r="E174" s="40">
        <v>0</v>
      </c>
      <c r="F174" s="40">
        <f t="shared" ref="F174:F179" si="11">D174*(($F$122)+1)+(IF(E174&lt;101,E174,IF(E174&lt;201,E174/2,IF(E174&lt;=301,E174/3,E174/4))))</f>
        <v>1417.7065266000002</v>
      </c>
      <c r="G174" s="79" t="str">
        <f>A173</f>
        <v>38th &amp; 39th Floor</v>
      </c>
      <c r="H174" s="79"/>
      <c r="I174" s="34"/>
      <c r="L174" s="75"/>
      <c r="M174" s="75"/>
      <c r="N174" s="34"/>
    </row>
    <row r="175" spans="1:14" s="35" customFormat="1" x14ac:dyDescent="0.35">
      <c r="A175" s="79">
        <f t="shared" ref="A175:A179" si="12">A174+1</f>
        <v>2</v>
      </c>
      <c r="B175" s="79"/>
      <c r="C175" s="40" t="s">
        <v>194</v>
      </c>
      <c r="D175" s="54">
        <f>(5.9*3.35+2.9*1.1+2.57*1.52+2.52*3.2+3.63*1.52+3.65*3.22+3.65*3.05+3.7*3.8+2.12*1.78+1.6*0.75+1.23*1.7+2.42*1.22+2.42*1.53+2.42*1.7+1.05*1.68+1.05*3.15)*10.764</f>
        <v>1079.5603104000002</v>
      </c>
      <c r="E175" s="40">
        <v>0</v>
      </c>
      <c r="F175" s="40">
        <f t="shared" si="11"/>
        <v>1673.3184811200003</v>
      </c>
      <c r="G175" s="79"/>
      <c r="H175" s="79"/>
      <c r="I175" s="34"/>
      <c r="L175" s="75"/>
      <c r="M175" s="75"/>
      <c r="N175" s="34"/>
    </row>
    <row r="176" spans="1:14" s="35" customFormat="1" x14ac:dyDescent="0.35">
      <c r="A176" s="79">
        <f t="shared" si="12"/>
        <v>3</v>
      </c>
      <c r="B176" s="79"/>
      <c r="C176" s="40" t="s">
        <v>195</v>
      </c>
      <c r="D176" s="54">
        <f>(1.52*2.57+3.2*5.33+3.05*2.52+1.78*2.52+1.52*3.35+3.22*3.35+4.07*3.35+1.7*2.15+1.67*2.42+2*1.05+0.98*1.05)*10.764</f>
        <v>790.8622955999997</v>
      </c>
      <c r="E176" s="40">
        <v>0</v>
      </c>
      <c r="F176" s="40">
        <f t="shared" si="11"/>
        <v>1225.8365581799997</v>
      </c>
      <c r="G176" s="79"/>
      <c r="H176" s="79"/>
      <c r="I176" s="34"/>
      <c r="L176" s="75"/>
      <c r="M176" s="75"/>
      <c r="N176" s="34"/>
    </row>
    <row r="177" spans="1:14" s="35" customFormat="1" x14ac:dyDescent="0.35">
      <c r="A177" s="79">
        <f t="shared" si="12"/>
        <v>4</v>
      </c>
      <c r="B177" s="79"/>
      <c r="C177" s="40" t="s">
        <v>195</v>
      </c>
      <c r="D177" s="54">
        <f>(1.52*2.57+3.2*5.33+3.05*2.52+1.78*2.52+1.52*3.35+3.22*3.35+4.07*3.35+1.7*2.15+1.67*2.42+2*1.05+0.98*1.05)*10.764</f>
        <v>790.8622955999997</v>
      </c>
      <c r="E177" s="40">
        <v>0</v>
      </c>
      <c r="F177" s="40">
        <f t="shared" si="11"/>
        <v>1225.8365581799997</v>
      </c>
      <c r="G177" s="79"/>
      <c r="H177" s="79"/>
      <c r="I177" s="34"/>
      <c r="L177" s="75"/>
      <c r="M177" s="75"/>
      <c r="N177" s="34"/>
    </row>
    <row r="178" spans="1:14" s="35" customFormat="1" x14ac:dyDescent="0.35">
      <c r="A178" s="79">
        <f t="shared" si="12"/>
        <v>5</v>
      </c>
      <c r="B178" s="79"/>
      <c r="C178" s="40" t="s">
        <v>194</v>
      </c>
      <c r="D178" s="54">
        <f>(5.9*3.35+2.9*1.1+2.57*1.52+2.52*3.2+3.63*1.52+3.65*3.22+3.65*3.05+3.7*3.8+2.12*1.78+1.6*0.75+1.23*1.7+2.42*1.22+2.42*1.53+2.42*1.7+1.05*1.68+1.05*3.15)*10.764</f>
        <v>1079.5603104000002</v>
      </c>
      <c r="E178" s="40">
        <v>0</v>
      </c>
      <c r="F178" s="40">
        <f t="shared" si="11"/>
        <v>1673.3184811200003</v>
      </c>
      <c r="G178" s="79"/>
      <c r="H178" s="79"/>
      <c r="I178" s="34"/>
      <c r="L178" s="75"/>
      <c r="M178" s="75"/>
      <c r="N178" s="34"/>
    </row>
    <row r="179" spans="1:14" s="35" customFormat="1" x14ac:dyDescent="0.35">
      <c r="A179" s="79">
        <f t="shared" si="12"/>
        <v>6</v>
      </c>
      <c r="B179" s="79"/>
      <c r="C179" s="40" t="s">
        <v>193</v>
      </c>
      <c r="D179" s="54">
        <f>(5.9*3.2+2.57*1.52+2.9*1.1+2.52*3.05+3.35*1.52+3.35*3.22+3.42*3.95+3.35*2.43+2.42*1.7+2.15*1.7+1.52*1.78+1.05*3.15)*10.764</f>
        <v>914.64937200000008</v>
      </c>
      <c r="E179" s="40">
        <v>0</v>
      </c>
      <c r="F179" s="40">
        <f t="shared" si="11"/>
        <v>1417.7065266000002</v>
      </c>
      <c r="G179" s="79"/>
      <c r="H179" s="79"/>
      <c r="I179" s="34"/>
      <c r="L179" s="75"/>
      <c r="M179" s="75"/>
      <c r="N179" s="34"/>
    </row>
    <row r="180" spans="1:14" s="35" customFormat="1" x14ac:dyDescent="0.35">
      <c r="A180" s="137" t="s">
        <v>209</v>
      </c>
      <c r="B180" s="137"/>
      <c r="C180" s="137"/>
      <c r="D180" s="137"/>
      <c r="E180" s="137"/>
      <c r="F180" s="137"/>
      <c r="G180" s="137"/>
      <c r="H180" s="137"/>
      <c r="J180" s="34"/>
    </row>
    <row r="181" spans="1:14" s="35" customFormat="1" ht="15.75" customHeight="1" x14ac:dyDescent="0.35">
      <c r="A181" s="79">
        <v>1</v>
      </c>
      <c r="B181" s="79"/>
      <c r="C181" s="40" t="s">
        <v>193</v>
      </c>
      <c r="D181" s="54">
        <f>(5.9*3.2+2.57*1.52+2.9*1.1+2.52*3.05+3.35*1.52+3.35*3.22+3.42*3.95+3.35*2.43+2.42*1.7+2.15*1.7+1.52*1.78+1.05*3.15)*10.764</f>
        <v>914.64937200000008</v>
      </c>
      <c r="E181" s="40">
        <v>0</v>
      </c>
      <c r="F181" s="40">
        <f t="shared" ref="F181:F186" si="13">D181*(($F$122)+1)+(IF(E181&lt;101,E181,IF(E181&lt;201,E181/2,IF(E181&lt;=301,E181/3,E181/4))))</f>
        <v>1417.7065266000002</v>
      </c>
      <c r="G181" s="79" t="str">
        <f>A180</f>
        <v>40th Floor</v>
      </c>
      <c r="H181" s="79"/>
      <c r="I181" s="34"/>
      <c r="L181" s="75"/>
      <c r="M181" s="75"/>
      <c r="N181" s="34"/>
    </row>
    <row r="182" spans="1:14" s="35" customFormat="1" x14ac:dyDescent="0.35">
      <c r="A182" s="79">
        <f t="shared" ref="A182:A186" si="14">A181+1</f>
        <v>2</v>
      </c>
      <c r="B182" s="79"/>
      <c r="C182" s="40" t="s">
        <v>194</v>
      </c>
      <c r="D182" s="54">
        <f>(5.9*3.35+2.9*1.1+2.57*1.52+2.52*3.2+3.63*1.52+3.65*3.22+3.65*3.05+3.7*3.8+2.12*1.78+1.6*0.75+1.23*1.7+2.42*1.22+2.42*1.53+2.42*1.7+1.05*1.68+1.05*3.15)*10.764</f>
        <v>1079.5603104000002</v>
      </c>
      <c r="E182" s="40">
        <v>0</v>
      </c>
      <c r="F182" s="40">
        <f t="shared" si="13"/>
        <v>1673.3184811200003</v>
      </c>
      <c r="G182" s="79"/>
      <c r="H182" s="79"/>
      <c r="I182" s="34"/>
      <c r="L182" s="75"/>
      <c r="M182" s="75"/>
      <c r="N182" s="34"/>
    </row>
    <row r="183" spans="1:14" s="35" customFormat="1" x14ac:dyDescent="0.35">
      <c r="A183" s="79">
        <f t="shared" si="14"/>
        <v>3</v>
      </c>
      <c r="B183" s="79"/>
      <c r="C183" s="40" t="s">
        <v>195</v>
      </c>
      <c r="D183" s="54">
        <f>(1.52*2.57+3.2*5.33+3.05*2.52+1.78*2.52+1.52*3.35+3.22*3.35+4.07*3.35+1.7*2.15+1.67*2.42+2*1.05+0.98*1.05)*10.764</f>
        <v>790.8622955999997</v>
      </c>
      <c r="E183" s="40">
        <v>0</v>
      </c>
      <c r="F183" s="40">
        <f t="shared" si="13"/>
        <v>1225.8365581799997</v>
      </c>
      <c r="G183" s="79"/>
      <c r="H183" s="79"/>
      <c r="I183" s="34"/>
      <c r="L183" s="75"/>
      <c r="M183" s="75"/>
      <c r="N183" s="34"/>
    </row>
    <row r="184" spans="1:14" s="35" customFormat="1" x14ac:dyDescent="0.35">
      <c r="A184" s="79">
        <f t="shared" si="14"/>
        <v>4</v>
      </c>
      <c r="B184" s="79"/>
      <c r="C184" s="40" t="s">
        <v>195</v>
      </c>
      <c r="D184" s="54">
        <f>(1.52*2.57+3.2*5.33+3.05*2.52+1.78*2.52+1.52*3.35+3.22*3.35+4.07*3.35+1.7*2.15+1.67*2.42+2*1.05+0.98*1.05)*10.764</f>
        <v>790.8622955999997</v>
      </c>
      <c r="E184" s="40">
        <v>0</v>
      </c>
      <c r="F184" s="40">
        <f t="shared" si="13"/>
        <v>1225.8365581799997</v>
      </c>
      <c r="G184" s="79"/>
      <c r="H184" s="79"/>
      <c r="I184" s="34"/>
      <c r="L184" s="75"/>
      <c r="M184" s="75"/>
      <c r="N184" s="34"/>
    </row>
    <row r="185" spans="1:14" s="35" customFormat="1" x14ac:dyDescent="0.35">
      <c r="A185" s="79">
        <f t="shared" si="14"/>
        <v>5</v>
      </c>
      <c r="B185" s="79"/>
      <c r="C185" s="40" t="s">
        <v>194</v>
      </c>
      <c r="D185" s="54">
        <f>(5.9*3.35+2.9*1.1+2.57*1.52+2.52*3.2+3.63*1.52+3.65*3.22+3.65*3.05+3.7*3.8+2.12*1.78+1.6*0.75+1.23*1.7+2.42*1.22+2.42*1.53+2.42*1.7+1.05*1.68+1.05*3.15)*10.764</f>
        <v>1079.5603104000002</v>
      </c>
      <c r="E185" s="40">
        <v>0</v>
      </c>
      <c r="F185" s="40">
        <f t="shared" si="13"/>
        <v>1673.3184811200003</v>
      </c>
      <c r="G185" s="79"/>
      <c r="H185" s="79"/>
      <c r="I185" s="34"/>
      <c r="L185" s="75"/>
      <c r="M185" s="75"/>
      <c r="N185" s="34"/>
    </row>
    <row r="186" spans="1:14" s="35" customFormat="1" x14ac:dyDescent="0.35">
      <c r="A186" s="79">
        <f t="shared" si="14"/>
        <v>6</v>
      </c>
      <c r="B186" s="79"/>
      <c r="C186" s="40" t="s">
        <v>193</v>
      </c>
      <c r="D186" s="54">
        <f>(5.9*3.2+2.57*1.52+2.9*1.1+2.52*3.05+3.35*1.52+3.35*3.22+3.42*3.95+3.35*2.43+2.42*1.7+2.15*1.7+1.52*1.78+1.05*3.15)*10.764</f>
        <v>914.64937200000008</v>
      </c>
      <c r="E186" s="40">
        <v>0</v>
      </c>
      <c r="F186" s="40">
        <f t="shared" si="13"/>
        <v>1417.7065266000002</v>
      </c>
      <c r="G186" s="79"/>
      <c r="H186" s="79"/>
      <c r="I186" s="34"/>
      <c r="L186" s="75"/>
      <c r="M186" s="75"/>
      <c r="N186" s="34"/>
    </row>
    <row r="187" spans="1:14" s="35" customFormat="1" x14ac:dyDescent="0.35">
      <c r="A187" s="76" t="s">
        <v>210</v>
      </c>
      <c r="B187" s="77"/>
      <c r="C187" s="77"/>
      <c r="D187" s="77"/>
      <c r="E187" s="77"/>
      <c r="F187" s="77"/>
      <c r="G187" s="77"/>
      <c r="H187" s="78"/>
      <c r="J187" s="34"/>
    </row>
    <row r="188" spans="1:14" s="35" customFormat="1" ht="15.75" customHeight="1" x14ac:dyDescent="0.35">
      <c r="A188" s="69">
        <v>1</v>
      </c>
      <c r="B188" s="70"/>
      <c r="C188" s="40" t="s">
        <v>211</v>
      </c>
      <c r="D188" s="54">
        <f>(4.03*2.55+4.7*6.7+5.8*1.1+2.15*1.52+3.88*3.52+3.52*3.73+2.52*1.78+1.6*1.08+1.23*1.7+1.38*1.37+2.52*1.78+3.35*3.22+3.5*2.43+3.42*3.95+2.42*1.7+1.05*1.3+1.05*1.7+3.65*3.22+3.65*3.05+3.7*3.8+2.42*1.7+2.42*1.53+2.42*1.22+1.05*1.68+1.05*4.3)*10.764</f>
        <v>2012.2329240000001</v>
      </c>
      <c r="E188" s="40">
        <v>0</v>
      </c>
      <c r="F188" s="40">
        <f>D188*(($F$122)+1)+(IF(E188&lt;101,E188,IF(E188&lt;201,E188/2,IF(E188&lt;=301,E188/3,E188/4))))</f>
        <v>3118.9610322000003</v>
      </c>
      <c r="G188" s="71" t="str">
        <f>A187</f>
        <v>41st , 42nd &amp; 43rd Floor</v>
      </c>
      <c r="H188" s="72"/>
      <c r="I188" s="34"/>
      <c r="L188" s="75"/>
      <c r="M188" s="75"/>
      <c r="N188" s="34"/>
    </row>
    <row r="189" spans="1:14" s="35" customFormat="1" x14ac:dyDescent="0.35">
      <c r="A189" s="69">
        <f t="shared" ref="A189:A190" si="15">A188+1</f>
        <v>2</v>
      </c>
      <c r="B189" s="70"/>
      <c r="C189" s="40" t="s">
        <v>212</v>
      </c>
      <c r="D189" s="54">
        <f>(2.55*3.93+6.55*4.23+5.65*1.53+3.37*3.62+1.78*2.52+3.52*3.92+1.78*2.52+4.07*3.35+3.22*3.35+1.7*2.15+1.67*2.42+1.37*1.2+0.98*1.05+1.05*3.22+1.52*2.25+3.22*3.35+4.07*3.35+1.7*2.15+1.67*2.42+2*1.05+0.98*1.05)*10.764</f>
        <v>1702.6527492</v>
      </c>
      <c r="E189" s="40">
        <v>0</v>
      </c>
      <c r="F189" s="40">
        <f>D189*(($F$122)+1)+(IF(E189&lt;101,E189,IF(E189&lt;201,E189/2,IF(E189&lt;=301,E189/3,E189/4))))</f>
        <v>2639.1117612600001</v>
      </c>
      <c r="G189" s="73"/>
      <c r="H189" s="74"/>
      <c r="I189" s="34"/>
      <c r="L189" s="75"/>
      <c r="M189" s="75"/>
      <c r="N189" s="34"/>
    </row>
    <row r="190" spans="1:14" s="35" customFormat="1" x14ac:dyDescent="0.35">
      <c r="A190" s="69">
        <f t="shared" si="15"/>
        <v>3</v>
      </c>
      <c r="B190" s="70"/>
      <c r="C190" s="40" t="s">
        <v>211</v>
      </c>
      <c r="D190" s="54">
        <f>(4.03*2.55+4.7*6.7+5.8*1.1+2.15*1.52+3.88*3.52+3.52*3.73+2.52*1.78+1.6*1.08+1.23*1.7+1.38*1.37+2.52*1.78+3.35*3.22+3.5*2.43+3.42*3.95+2.42*1.7+1.05*1.3+1.05*1.7+3.65*3.22+3.65*3.05+3.7*3.8+2.42*1.7+2.42*1.53+2.42*1.22+1.05*1.68+1.05*4.3)*10.764</f>
        <v>2012.2329240000001</v>
      </c>
      <c r="E190" s="40">
        <v>0</v>
      </c>
      <c r="F190" s="40">
        <f>D190*(($F$122)+1)+(IF(E190&lt;101,E190,IF(E190&lt;201,E190/2,IF(E190&lt;=301,E190/3,E190/4))))</f>
        <v>3118.9610322000003</v>
      </c>
      <c r="G190" s="73"/>
      <c r="H190" s="74"/>
      <c r="I190" s="34"/>
      <c r="L190" s="75"/>
      <c r="M190" s="75"/>
      <c r="N190" s="34"/>
    </row>
    <row r="191" spans="1:14" s="35" customFormat="1" x14ac:dyDescent="0.35">
      <c r="A191" s="122" t="s">
        <v>188</v>
      </c>
      <c r="B191" s="123"/>
      <c r="C191" s="123"/>
      <c r="D191" s="123"/>
      <c r="E191" s="123"/>
      <c r="F191" s="123"/>
      <c r="G191" s="123"/>
      <c r="H191" s="124"/>
      <c r="J191" s="34"/>
    </row>
    <row r="192" spans="1:14" s="35" customFormat="1" x14ac:dyDescent="0.35">
      <c r="A192" s="76" t="s">
        <v>187</v>
      </c>
      <c r="B192" s="77"/>
      <c r="C192" s="77"/>
      <c r="D192" s="77"/>
      <c r="E192" s="77"/>
      <c r="F192" s="77"/>
      <c r="G192" s="77"/>
      <c r="H192" s="78"/>
      <c r="J192" s="34"/>
    </row>
    <row r="193" spans="1:14" s="35" customFormat="1" x14ac:dyDescent="0.35">
      <c r="A193" s="76" t="s">
        <v>189</v>
      </c>
      <c r="B193" s="77"/>
      <c r="C193" s="77"/>
      <c r="D193" s="77"/>
      <c r="E193" s="77"/>
      <c r="F193" s="77"/>
      <c r="G193" s="77"/>
      <c r="H193" s="78"/>
      <c r="J193" s="34"/>
    </row>
    <row r="194" spans="1:14" s="35" customFormat="1" x14ac:dyDescent="0.35">
      <c r="A194" s="76" t="s">
        <v>190</v>
      </c>
      <c r="B194" s="77"/>
      <c r="C194" s="77"/>
      <c r="D194" s="77"/>
      <c r="E194" s="77"/>
      <c r="F194" s="77"/>
      <c r="G194" s="77"/>
      <c r="H194" s="78"/>
      <c r="J194" s="34"/>
    </row>
    <row r="195" spans="1:14" s="35" customFormat="1" x14ac:dyDescent="0.35">
      <c r="A195" s="76" t="s">
        <v>191</v>
      </c>
      <c r="B195" s="77"/>
      <c r="C195" s="77"/>
      <c r="D195" s="77"/>
      <c r="E195" s="77"/>
      <c r="F195" s="77"/>
      <c r="G195" s="77"/>
      <c r="H195" s="78"/>
      <c r="J195" s="34"/>
    </row>
    <row r="196" spans="1:14" s="35" customFormat="1" x14ac:dyDescent="0.35">
      <c r="A196" s="76" t="s">
        <v>230</v>
      </c>
      <c r="B196" s="77"/>
      <c r="C196" s="77"/>
      <c r="D196" s="77"/>
      <c r="E196" s="77"/>
      <c r="F196" s="77"/>
      <c r="G196" s="77"/>
      <c r="H196" s="78"/>
      <c r="J196" s="34"/>
    </row>
    <row r="197" spans="1:14" s="35" customFormat="1" x14ac:dyDescent="0.35">
      <c r="A197" s="76" t="s">
        <v>192</v>
      </c>
      <c r="B197" s="77"/>
      <c r="C197" s="77"/>
      <c r="D197" s="77"/>
      <c r="E197" s="77"/>
      <c r="F197" s="77"/>
      <c r="G197" s="77"/>
      <c r="H197" s="78"/>
      <c r="J197" s="34"/>
    </row>
    <row r="198" spans="1:14" s="35" customFormat="1" ht="15.75" customHeight="1" x14ac:dyDescent="0.35">
      <c r="A198" s="69">
        <v>1</v>
      </c>
      <c r="B198" s="70"/>
      <c r="C198" s="40" t="s">
        <v>193</v>
      </c>
      <c r="D198" s="54">
        <f>(2.57*1.52+6.1*3.2+3.35*1.52+2.43*3.05+1.73*1.78+3.35*3.15+3.35*2.43+3.35*3.95+2.15*1.63+2.42*1.62+1.05*3.15)*10.764</f>
        <v>879.06574080000007</v>
      </c>
      <c r="E198" s="40">
        <v>0</v>
      </c>
      <c r="F198" s="40">
        <f t="shared" ref="F198:F203" si="16">D198*(($F$122)+1)+(IF(E198&lt;101,E198,IF(E198&lt;201,E198/2,IF(E198&lt;=301,E198/3,E198/4))))</f>
        <v>1362.5518982400001</v>
      </c>
      <c r="G198" s="71" t="str">
        <f>A197</f>
        <v>1st, 5th, 8th &amp; 11th Floor for Residential</v>
      </c>
      <c r="H198" s="72"/>
      <c r="I198" s="34"/>
      <c r="L198" s="75"/>
      <c r="M198" s="75"/>
      <c r="N198" s="34"/>
    </row>
    <row r="199" spans="1:14" s="35" customFormat="1" x14ac:dyDescent="0.35">
      <c r="A199" s="69">
        <f t="shared" ref="A199:A203" si="17">A198+1</f>
        <v>2</v>
      </c>
      <c r="B199" s="70"/>
      <c r="C199" s="40" t="s">
        <v>194</v>
      </c>
      <c r="D199" s="54">
        <f>(2.57*1.52+6.1*3.35+2.33*3.2+1.93*1.78+1.6*0.75+1.23*1.63+3.63*1.52+3.65*3.15+3.65*3.05+3.62*3.8+2.42*1.62+2.42*1.53+2.42*1.22+1.05*1.68+1.05*3.15)*10.764</f>
        <v>1033.2169847999999</v>
      </c>
      <c r="E199" s="40">
        <v>0</v>
      </c>
      <c r="F199" s="40">
        <f t="shared" si="16"/>
        <v>1601.4863264399999</v>
      </c>
      <c r="G199" s="73"/>
      <c r="H199" s="74"/>
      <c r="I199" s="34"/>
      <c r="L199" s="75"/>
      <c r="M199" s="75"/>
      <c r="N199" s="34"/>
    </row>
    <row r="200" spans="1:14" s="35" customFormat="1" x14ac:dyDescent="0.35">
      <c r="A200" s="69">
        <f t="shared" si="17"/>
        <v>3</v>
      </c>
      <c r="B200" s="70"/>
      <c r="C200" s="40" t="s">
        <v>195</v>
      </c>
      <c r="D200" s="54">
        <f>(1.52*2.57+3.2*5.47+3.05*2.33+1.78*2.33+1.52*3.35+3.15*3.35+4*3.35+1.63*2.15+1.67*2.42+1.92*1.05+1.05*1.05)*10.764</f>
        <v>779.02512480000007</v>
      </c>
      <c r="E200" s="40">
        <v>0</v>
      </c>
      <c r="F200" s="40">
        <f t="shared" si="16"/>
        <v>1207.4889434400002</v>
      </c>
      <c r="G200" s="73"/>
      <c r="H200" s="74"/>
      <c r="I200" s="34"/>
      <c r="L200" s="75"/>
      <c r="M200" s="75"/>
      <c r="N200" s="34"/>
    </row>
    <row r="201" spans="1:14" s="35" customFormat="1" x14ac:dyDescent="0.35">
      <c r="A201" s="69">
        <f t="shared" si="17"/>
        <v>4</v>
      </c>
      <c r="B201" s="70"/>
      <c r="C201" s="40" t="s">
        <v>195</v>
      </c>
      <c r="D201" s="54">
        <f>(1.52*2.57+3.2*5.47+3.05*2.33+1.78*2.33+1.52*3.35+3.15*3.35+4*3.35+1.63*2.15+1.67*2.42+1.92*1.05+1.05*1.05)*10.764</f>
        <v>779.02512480000007</v>
      </c>
      <c r="E201" s="40">
        <v>0</v>
      </c>
      <c r="F201" s="40">
        <f t="shared" si="16"/>
        <v>1207.4889434400002</v>
      </c>
      <c r="G201" s="73"/>
      <c r="H201" s="74"/>
      <c r="I201" s="34"/>
      <c r="L201" s="75"/>
      <c r="M201" s="75"/>
      <c r="N201" s="34"/>
    </row>
    <row r="202" spans="1:14" s="35" customFormat="1" x14ac:dyDescent="0.35">
      <c r="A202" s="69">
        <f t="shared" si="17"/>
        <v>5</v>
      </c>
      <c r="B202" s="70"/>
      <c r="C202" s="40" t="s">
        <v>194</v>
      </c>
      <c r="D202" s="54">
        <f>(2.57*1.52+6.1*3.35+2.33*3.2+1.93*1.78+1.6*0.75+1.23*1.63+3.63*1.52+3.65*3.15+3.65*3.05+3.62*3.8+2.42*1.62+2.42*1.53+2.42*1.22+1.05*1.68+1.05*3.15)*10.764</f>
        <v>1033.2169847999999</v>
      </c>
      <c r="E202" s="40">
        <v>0</v>
      </c>
      <c r="F202" s="40">
        <f t="shared" si="16"/>
        <v>1601.4863264399999</v>
      </c>
      <c r="G202" s="73"/>
      <c r="H202" s="74"/>
      <c r="I202" s="34"/>
      <c r="L202" s="75"/>
      <c r="M202" s="75"/>
      <c r="N202" s="34"/>
    </row>
    <row r="203" spans="1:14" s="35" customFormat="1" x14ac:dyDescent="0.35">
      <c r="A203" s="69">
        <f t="shared" si="17"/>
        <v>6</v>
      </c>
      <c r="B203" s="70"/>
      <c r="C203" s="40" t="s">
        <v>193</v>
      </c>
      <c r="D203" s="54">
        <f>(2.57*1.52+6.1*3.2+3.35*1.52+2.43*3.05+1.73*1.78+3.35*3.15+3.35*2.43+3.35*3.95+2.15*1.63+2.42*1.62+1.05*3.15)*10.764</f>
        <v>879.06574080000007</v>
      </c>
      <c r="E203" s="40">
        <v>0</v>
      </c>
      <c r="F203" s="40">
        <f t="shared" si="16"/>
        <v>1362.5518982400001</v>
      </c>
      <c r="G203" s="80"/>
      <c r="H203" s="81"/>
      <c r="I203" s="34"/>
      <c r="L203" s="75"/>
      <c r="M203" s="75"/>
      <c r="N203" s="34"/>
    </row>
    <row r="204" spans="1:14" s="35" customFormat="1" x14ac:dyDescent="0.35">
      <c r="A204" s="76" t="s">
        <v>213</v>
      </c>
      <c r="B204" s="77"/>
      <c r="C204" s="77"/>
      <c r="D204" s="77"/>
      <c r="E204" s="77"/>
      <c r="F204" s="77"/>
      <c r="G204" s="77"/>
      <c r="H204" s="78"/>
      <c r="J204" s="34"/>
    </row>
    <row r="205" spans="1:14" s="35" customFormat="1" x14ac:dyDescent="0.35">
      <c r="A205" s="69">
        <v>1</v>
      </c>
      <c r="B205" s="70"/>
      <c r="C205" s="40" t="s">
        <v>194</v>
      </c>
      <c r="D205" s="54">
        <f>(4.1*3.28+2.47*1.52+6.1*3.35+2.33*3.2+1.93*1.78+1.6*0.75+1.23*1.63+3.63*1.52+3.65*3.15+3.65*3.05+3.62*3.8+2.42*1.62+2.42*1.53+2.42*1.22+1.05*1.68+1.05*3.15)*10.764</f>
        <v>1176.3351287999999</v>
      </c>
      <c r="E205" s="40">
        <v>0</v>
      </c>
      <c r="F205" s="40">
        <f>D205*(($F$122)+1)+(IF(E205&lt;101,E205,IF(E205&lt;201,E205/2,IF(E205&lt;=301,E205/3,E205/4))))</f>
        <v>1823.3194496399999</v>
      </c>
      <c r="G205" s="73" t="str">
        <f>A204</f>
        <v>2nd &amp; 9th Floor (Part Refuge Area)</v>
      </c>
      <c r="H205" s="74"/>
      <c r="I205" s="34"/>
      <c r="L205" s="75"/>
      <c r="M205" s="75"/>
      <c r="N205" s="34"/>
    </row>
    <row r="206" spans="1:14" s="35" customFormat="1" x14ac:dyDescent="0.35">
      <c r="A206" s="69">
        <f t="shared" ref="A206:A208" si="18">A205+1</f>
        <v>2</v>
      </c>
      <c r="B206" s="70"/>
      <c r="C206" s="40" t="s">
        <v>195</v>
      </c>
      <c r="D206" s="54">
        <f>(1.52*2.47+3.2*5.47+3.05*2.33+1.78*2.33+1.52*3.35+3.15*3.35+4*3.35+1.63*2.15+1.67*2.42+1.78*1.05+1.2*0.9)*10.764</f>
        <v>775.56449879999991</v>
      </c>
      <c r="E206" s="40">
        <v>0</v>
      </c>
      <c r="F206" s="40">
        <f>D206*(($F$122)+1)+(IF(E206&lt;101,E206,IF(E206&lt;201,E206/2,IF(E206&lt;=301,E206/3,E206/4))))</f>
        <v>1202.1249731399998</v>
      </c>
      <c r="G206" s="73"/>
      <c r="H206" s="74"/>
      <c r="I206" s="34"/>
      <c r="L206" s="75"/>
      <c r="M206" s="75"/>
      <c r="N206" s="34"/>
    </row>
    <row r="207" spans="1:14" s="35" customFormat="1" x14ac:dyDescent="0.35">
      <c r="A207" s="69">
        <f t="shared" si="18"/>
        <v>3</v>
      </c>
      <c r="B207" s="70"/>
      <c r="C207" s="40" t="s">
        <v>195</v>
      </c>
      <c r="D207" s="54">
        <f>(1.52*2.47+3.2*5.47+3.05*2.33+1.78*2.33+1.52*3.35+3.15*3.35+4*3.35+1.63*2.15+1.67*2.42+1.78*1.05+1.2*0.9)*10.764</f>
        <v>775.56449879999991</v>
      </c>
      <c r="E207" s="40">
        <v>0</v>
      </c>
      <c r="F207" s="40">
        <f>D207*(($F$122)+1)+(IF(E207&lt;101,E207,IF(E207&lt;201,E207/2,IF(E207&lt;=301,E207/3,E207/4))))</f>
        <v>1202.1249731399998</v>
      </c>
      <c r="G207" s="73"/>
      <c r="H207" s="74"/>
      <c r="I207" s="34"/>
      <c r="L207" s="75"/>
      <c r="M207" s="75"/>
      <c r="N207" s="34"/>
    </row>
    <row r="208" spans="1:14" s="35" customFormat="1" x14ac:dyDescent="0.35">
      <c r="A208" s="69">
        <f t="shared" si="18"/>
        <v>4</v>
      </c>
      <c r="B208" s="70"/>
      <c r="C208" s="40" t="s">
        <v>194</v>
      </c>
      <c r="D208" s="54">
        <f>(4.1*3.28+2.47*1.52+6.1*3.35+2.33*3.2+1.93*1.78+1.6*0.75+1.23*1.63+3.63*1.52+3.65*3.15+3.65*3.05+3.62*3.8+2.42*1.62+2.42*1.53+2.42*1.22+1.05*1.68+1.05*3.15)*10.764</f>
        <v>1176.3351287999999</v>
      </c>
      <c r="E208" s="40">
        <v>0</v>
      </c>
      <c r="F208" s="40">
        <f>D208*(($F$122)+1)+(IF(E208&lt;101,E208,IF(E208&lt;201,E208/2,IF(E208&lt;=301,E208/3,E208/4))))</f>
        <v>1823.3194496399999</v>
      </c>
      <c r="G208" s="73"/>
      <c r="H208" s="74"/>
      <c r="I208" s="34"/>
      <c r="L208" s="75"/>
      <c r="M208" s="75"/>
      <c r="N208" s="34"/>
    </row>
    <row r="209" spans="1:14" s="35" customFormat="1" x14ac:dyDescent="0.35">
      <c r="A209" s="76" t="s">
        <v>203</v>
      </c>
      <c r="B209" s="77"/>
      <c r="C209" s="77"/>
      <c r="D209" s="77"/>
      <c r="E209" s="77"/>
      <c r="F209" s="77"/>
      <c r="G209" s="77"/>
      <c r="H209" s="78"/>
      <c r="J209" s="34"/>
    </row>
    <row r="210" spans="1:14" s="35" customFormat="1" ht="15.75" customHeight="1" x14ac:dyDescent="0.35">
      <c r="A210" s="69">
        <v>1</v>
      </c>
      <c r="B210" s="70"/>
      <c r="C210" s="40" t="s">
        <v>193</v>
      </c>
      <c r="D210" s="54">
        <f>(2.57*1.52+6.1*3.2+3.35*1.52+2.43*3.05+1.73*1.78+3.35*3.15+3.35*2.43+3.35*3.95+2.15*1.63+2.42*1.62+1.05*3.15)*10.764</f>
        <v>879.06574080000007</v>
      </c>
      <c r="E210" s="40">
        <v>0</v>
      </c>
      <c r="F210" s="40">
        <f t="shared" ref="F210:F215" si="19">D210*(($F$122)+1)+(IF(E210&lt;101,E210,IF(E210&lt;201,E210/2,IF(E210&lt;=301,E210/3,E210/4))))</f>
        <v>1362.5518982400001</v>
      </c>
      <c r="G210" s="71" t="str">
        <f>A209</f>
        <v>3rd, 4th, 6th, 7th, 10th, 12th &amp; 13th Floor</v>
      </c>
      <c r="H210" s="72"/>
      <c r="I210" s="34"/>
      <c r="L210" s="75"/>
      <c r="M210" s="75"/>
      <c r="N210" s="34"/>
    </row>
    <row r="211" spans="1:14" s="35" customFormat="1" x14ac:dyDescent="0.35">
      <c r="A211" s="69">
        <f t="shared" ref="A211:A215" si="20">A210+1</f>
        <v>2</v>
      </c>
      <c r="B211" s="70"/>
      <c r="C211" s="40" t="s">
        <v>194</v>
      </c>
      <c r="D211" s="54">
        <f>(2.57*1.52+6.1*3.35+2.33*3.2+1.93*1.78+1.6*0.75+1.23*1.63+3.63*1.52+3.65*3.15+3.65*3.05+3.62*3.8+2.42*1.62+2.42*1.53+2.42*1.22+1.05*1.68+1.05*3.15)*10.764</f>
        <v>1033.2169847999999</v>
      </c>
      <c r="E211" s="40">
        <v>0</v>
      </c>
      <c r="F211" s="40">
        <f t="shared" si="19"/>
        <v>1601.4863264399999</v>
      </c>
      <c r="G211" s="73"/>
      <c r="H211" s="74"/>
      <c r="I211" s="34"/>
      <c r="L211" s="75"/>
      <c r="M211" s="75"/>
      <c r="N211" s="34"/>
    </row>
    <row r="212" spans="1:14" s="35" customFormat="1" x14ac:dyDescent="0.35">
      <c r="A212" s="69">
        <f t="shared" si="20"/>
        <v>3</v>
      </c>
      <c r="B212" s="70"/>
      <c r="C212" s="40" t="s">
        <v>195</v>
      </c>
      <c r="D212" s="54">
        <f>(1.52*2.57+3.2*5.47+3.05*2.33+1.78*2.42+1.52*3.35+3.15*3.35+4*3.35+1.63*2.15+1.67*2.42+1.92*1.05+1.05*1.05)*10.764</f>
        <v>780.74951759999999</v>
      </c>
      <c r="E212" s="40">
        <v>0</v>
      </c>
      <c r="F212" s="40">
        <f t="shared" si="19"/>
        <v>1210.16175228</v>
      </c>
      <c r="G212" s="73"/>
      <c r="H212" s="74"/>
      <c r="I212" s="34"/>
      <c r="L212" s="75"/>
      <c r="M212" s="75"/>
      <c r="N212" s="34"/>
    </row>
    <row r="213" spans="1:14" s="35" customFormat="1" x14ac:dyDescent="0.35">
      <c r="A213" s="69">
        <f t="shared" si="20"/>
        <v>4</v>
      </c>
      <c r="B213" s="70"/>
      <c r="C213" s="40" t="s">
        <v>195</v>
      </c>
      <c r="D213" s="54">
        <f>(1.52*2.57+3.2*5.47+3.05*2.33+1.78*2.42+1.52*3.35+3.15*3.35+4*3.35+1.63*2.15+1.67*2.42+1.92*1.05+1.05*1.05)*10.764</f>
        <v>780.74951759999999</v>
      </c>
      <c r="E213" s="40">
        <v>0</v>
      </c>
      <c r="F213" s="40">
        <f t="shared" si="19"/>
        <v>1210.16175228</v>
      </c>
      <c r="G213" s="73"/>
      <c r="H213" s="74"/>
      <c r="I213" s="34"/>
      <c r="L213" s="75"/>
      <c r="M213" s="75"/>
      <c r="N213" s="34"/>
    </row>
    <row r="214" spans="1:14" s="35" customFormat="1" x14ac:dyDescent="0.35">
      <c r="A214" s="69">
        <f t="shared" si="20"/>
        <v>5</v>
      </c>
      <c r="B214" s="70"/>
      <c r="C214" s="40" t="s">
        <v>194</v>
      </c>
      <c r="D214" s="54">
        <f>(2.57*1.52+6.1*3.35+2.33*3.2+1.93*1.78+1.6*0.75+1.23*1.63+3.63*1.52+3.65*3.15+3.65*3.05+3.62*3.8+2.42*1.62+2.42*1.53+2.42*1.22+1.05*1.68+1.05*3.15)*10.764</f>
        <v>1033.2169847999999</v>
      </c>
      <c r="E214" s="40">
        <v>0</v>
      </c>
      <c r="F214" s="40">
        <f t="shared" si="19"/>
        <v>1601.4863264399999</v>
      </c>
      <c r="G214" s="73"/>
      <c r="H214" s="74"/>
      <c r="I214" s="34"/>
      <c r="L214" s="75"/>
      <c r="M214" s="75"/>
      <c r="N214" s="34"/>
    </row>
    <row r="215" spans="1:14" s="35" customFormat="1" x14ac:dyDescent="0.35">
      <c r="A215" s="69">
        <f t="shared" si="20"/>
        <v>6</v>
      </c>
      <c r="B215" s="70"/>
      <c r="C215" s="40" t="s">
        <v>193</v>
      </c>
      <c r="D215" s="54">
        <f>(2.57*1.52+6.1*3.2+3.35*1.52+2.43*3.05+1.73*1.78+3.35*3.15+3.35*2.43+3.35*3.95+2.15*1.63+2.42*1.62+1.05*3.15)*10.764</f>
        <v>879.06574080000007</v>
      </c>
      <c r="E215" s="40">
        <v>0</v>
      </c>
      <c r="F215" s="40">
        <f t="shared" si="19"/>
        <v>1362.5518982400001</v>
      </c>
      <c r="G215" s="80"/>
      <c r="H215" s="81"/>
      <c r="I215" s="34"/>
      <c r="L215" s="75"/>
      <c r="M215" s="75"/>
      <c r="N215" s="34"/>
    </row>
    <row r="216" spans="1:14" s="35" customFormat="1" x14ac:dyDescent="0.35">
      <c r="A216" s="76" t="s">
        <v>229</v>
      </c>
      <c r="B216" s="77"/>
      <c r="C216" s="77"/>
      <c r="D216" s="77"/>
      <c r="E216" s="77"/>
      <c r="F216" s="77"/>
      <c r="G216" s="77"/>
      <c r="H216" s="78"/>
      <c r="J216" s="34"/>
    </row>
    <row r="217" spans="1:14" s="35" customFormat="1" x14ac:dyDescent="0.35">
      <c r="A217" s="76" t="s">
        <v>214</v>
      </c>
      <c r="B217" s="77"/>
      <c r="C217" s="77"/>
      <c r="D217" s="77"/>
      <c r="E217" s="77"/>
      <c r="F217" s="77"/>
      <c r="G217" s="77"/>
      <c r="H217" s="78"/>
      <c r="J217" s="34"/>
    </row>
    <row r="218" spans="1:14" s="35" customFormat="1" ht="15.75" customHeight="1" x14ac:dyDescent="0.35">
      <c r="A218" s="79">
        <v>1</v>
      </c>
      <c r="B218" s="79"/>
      <c r="C218" s="40" t="s">
        <v>193</v>
      </c>
      <c r="D218" s="54">
        <f>(2.57*1.52+6.1*3.2+3.35*1.52+2.43*3.05+1.73*1.78+3.35*3.15+3.35*2.43+3.35*3.95+2.15*1.63+2.42*1.62+1.05*3.15)*10.764</f>
        <v>879.06574080000007</v>
      </c>
      <c r="E218" s="40">
        <v>0</v>
      </c>
      <c r="F218" s="40">
        <f t="shared" ref="F218:F223" si="21">D218*(($F$122)+1)+(IF(E218&lt;101,E218,IF(E218&lt;201,E218/2,IF(E218&lt;=301,E218/3,E218/4))))</f>
        <v>1362.5518982400001</v>
      </c>
      <c r="G218" s="79" t="str">
        <f>A217</f>
        <v>14th, 15th, 17th, 18th, 20th, 21st, 24th &amp; 25th Floor</v>
      </c>
      <c r="H218" s="79"/>
      <c r="I218" s="34"/>
      <c r="L218" s="75"/>
      <c r="M218" s="75"/>
      <c r="N218" s="34"/>
    </row>
    <row r="219" spans="1:14" s="35" customFormat="1" x14ac:dyDescent="0.35">
      <c r="A219" s="79">
        <f t="shared" ref="A219:A223" si="22">A218+1</f>
        <v>2</v>
      </c>
      <c r="B219" s="79"/>
      <c r="C219" s="40" t="s">
        <v>194</v>
      </c>
      <c r="D219" s="54">
        <f>(2.57*1.52+6.1*3.35+2.42*3.2+1.93*1.78+1.6*0.75+1.23*1.63+3.63*1.52+3.65*3.15+3.65*3.05+3.62*3.8+2.42*1.62+2.42*1.53+2.42*1.22+1.05*1.68+1.05*3.15)*10.764</f>
        <v>1036.3170167999999</v>
      </c>
      <c r="E219" s="40">
        <v>0</v>
      </c>
      <c r="F219" s="40">
        <f t="shared" si="21"/>
        <v>1606.2913760399999</v>
      </c>
      <c r="G219" s="79"/>
      <c r="H219" s="79"/>
      <c r="I219" s="34"/>
      <c r="L219" s="75"/>
      <c r="M219" s="75"/>
      <c r="N219" s="34"/>
    </row>
    <row r="220" spans="1:14" s="35" customFormat="1" x14ac:dyDescent="0.35">
      <c r="A220" s="79">
        <f t="shared" si="22"/>
        <v>3</v>
      </c>
      <c r="B220" s="79"/>
      <c r="C220" s="40" t="s">
        <v>195</v>
      </c>
      <c r="D220" s="54">
        <f>(1.52*2.57+3.2*5.47+3.05*2.43+1.78*2.42+1.52*3.35+3.15*3.35+4*3.35+1.63*2.15+1.67*2.42+1.92*1.05+1.05*1.05)*10.764</f>
        <v>784.03253760000007</v>
      </c>
      <c r="E220" s="40">
        <v>0</v>
      </c>
      <c r="F220" s="40">
        <f t="shared" si="21"/>
        <v>1215.2504332800002</v>
      </c>
      <c r="G220" s="79"/>
      <c r="H220" s="79"/>
      <c r="I220" s="34"/>
      <c r="L220" s="75"/>
      <c r="M220" s="75"/>
      <c r="N220" s="34"/>
    </row>
    <row r="221" spans="1:14" s="35" customFormat="1" x14ac:dyDescent="0.35">
      <c r="A221" s="79">
        <f t="shared" si="22"/>
        <v>4</v>
      </c>
      <c r="B221" s="79"/>
      <c r="C221" s="40" t="s">
        <v>195</v>
      </c>
      <c r="D221" s="54">
        <f>(1.52*2.57+3.2*5.47+3.05*2.33+1.78*2.42+1.52*3.35+3.15*3.35+4*3.35+1.63*2.15+1.67*2.42+1.92*1.05+1.05*1.05)*10.764</f>
        <v>780.74951759999999</v>
      </c>
      <c r="E221" s="40">
        <v>0</v>
      </c>
      <c r="F221" s="40">
        <f t="shared" si="21"/>
        <v>1210.16175228</v>
      </c>
      <c r="G221" s="79"/>
      <c r="H221" s="79"/>
      <c r="I221" s="34"/>
      <c r="L221" s="75"/>
      <c r="M221" s="75"/>
      <c r="N221" s="34"/>
    </row>
    <row r="222" spans="1:14" s="35" customFormat="1" x14ac:dyDescent="0.35">
      <c r="A222" s="79">
        <f t="shared" si="22"/>
        <v>5</v>
      </c>
      <c r="B222" s="79"/>
      <c r="C222" s="40" t="s">
        <v>194</v>
      </c>
      <c r="D222" s="54">
        <f>(2.57*1.52+6.1*3.35+2.42*3.2+1.93*1.78+1.6*0.75+1.23*1.63+3.63*1.52+3.65*3.15+3.65*3.05+3.62*3.8+2.42*1.62+2.42*1.53+2.42*1.22+1.05*1.68+1.05*3.15)*10.764</f>
        <v>1036.3170167999999</v>
      </c>
      <c r="E222" s="40">
        <v>0</v>
      </c>
      <c r="F222" s="40">
        <f t="shared" si="21"/>
        <v>1606.2913760399999</v>
      </c>
      <c r="G222" s="79"/>
      <c r="H222" s="79"/>
      <c r="I222" s="34"/>
      <c r="L222" s="75"/>
      <c r="M222" s="75"/>
      <c r="N222" s="34"/>
    </row>
    <row r="223" spans="1:14" s="35" customFormat="1" x14ac:dyDescent="0.35">
      <c r="A223" s="79">
        <f t="shared" si="22"/>
        <v>6</v>
      </c>
      <c r="B223" s="79"/>
      <c r="C223" s="40" t="s">
        <v>193</v>
      </c>
      <c r="D223" s="54">
        <f>(2.57*1.52+6.1*3.2+3.35*1.52+2.43*3.05+1.73*1.78+3.35*3.15+3.35*2.43+3.35*3.95+2.15*1.63+2.42*1.62+1.05*3.15)*10.764</f>
        <v>879.06574080000007</v>
      </c>
      <c r="E223" s="40">
        <v>0</v>
      </c>
      <c r="F223" s="40">
        <f t="shared" si="21"/>
        <v>1362.5518982400001</v>
      </c>
      <c r="G223" s="79"/>
      <c r="H223" s="79"/>
      <c r="I223" s="34"/>
      <c r="L223" s="75"/>
      <c r="M223" s="75"/>
      <c r="N223" s="34"/>
    </row>
    <row r="224" spans="1:14" s="35" customFormat="1" x14ac:dyDescent="0.35">
      <c r="A224" s="137" t="s">
        <v>215</v>
      </c>
      <c r="B224" s="137"/>
      <c r="C224" s="137"/>
      <c r="D224" s="137"/>
      <c r="E224" s="137"/>
      <c r="F224" s="137"/>
      <c r="G224" s="137"/>
      <c r="H224" s="137"/>
      <c r="J224" s="34"/>
    </row>
    <row r="225" spans="1:14" s="35" customFormat="1" ht="15.75" customHeight="1" x14ac:dyDescent="0.35">
      <c r="A225" s="69">
        <v>1</v>
      </c>
      <c r="B225" s="70"/>
      <c r="C225" s="40" t="s">
        <v>193</v>
      </c>
      <c r="D225" s="54">
        <f>(2.57*1.52+6.1*3.2+3.35*1.52+2.43*3.05+1.8*1.78+3.35*3.15+3.35*2.43+3.35*3.95+2.15*1.63+2.42*1.62+1.05*3.15)*10.764</f>
        <v>880.40693520000002</v>
      </c>
      <c r="E225" s="40">
        <v>0</v>
      </c>
      <c r="F225" s="40">
        <f t="shared" ref="F225:F230" si="23">D225*(($F$122)+1)+(IF(E225&lt;101,E225,IF(E225&lt;201,E225/2,IF(E225&lt;=301,E225/3,E225/4))))</f>
        <v>1364.6307495600001</v>
      </c>
      <c r="G225" s="71" t="str">
        <f>A224</f>
        <v>19th &amp; 22nd Floor</v>
      </c>
      <c r="H225" s="72"/>
      <c r="I225" s="34"/>
      <c r="L225" s="75"/>
      <c r="M225" s="75"/>
      <c r="N225" s="34"/>
    </row>
    <row r="226" spans="1:14" s="35" customFormat="1" x14ac:dyDescent="0.35">
      <c r="A226" s="69">
        <f t="shared" ref="A226:A230" si="24">A225+1</f>
        <v>2</v>
      </c>
      <c r="B226" s="70"/>
      <c r="C226" s="40" t="s">
        <v>194</v>
      </c>
      <c r="D226" s="54">
        <f>(2.57*1.52+6.1*3.35+2.42*3.2+2.03*1.78+1.6*0.75+1.23*1.63+3.63*1.52+3.65*3.15+3.65*3.05+3.62*3.8+2.42*1.62+2.42*1.53+2.42*1.22+1.05*1.68+1.05*3.15)*10.764</f>
        <v>1038.2330087999999</v>
      </c>
      <c r="E226" s="40">
        <v>0</v>
      </c>
      <c r="F226" s="40">
        <f t="shared" si="23"/>
        <v>1609.2611636399999</v>
      </c>
      <c r="G226" s="73"/>
      <c r="H226" s="74"/>
      <c r="I226" s="34"/>
      <c r="L226" s="75"/>
      <c r="M226" s="75"/>
      <c r="N226" s="34"/>
    </row>
    <row r="227" spans="1:14" s="35" customFormat="1" x14ac:dyDescent="0.35">
      <c r="A227" s="69">
        <f t="shared" si="24"/>
        <v>3</v>
      </c>
      <c r="B227" s="70"/>
      <c r="C227" s="40" t="s">
        <v>195</v>
      </c>
      <c r="D227" s="54">
        <f>(1.52*2.57+3.2*5.47+3.05*2.43+1.78*2.42+1.52*3.35+3.15*3.35+4*3.35+1.63*2.15+1.67*2.42+1.92*1.05+1.05*1.05)*10.764</f>
        <v>784.03253760000007</v>
      </c>
      <c r="E227" s="40">
        <v>0</v>
      </c>
      <c r="F227" s="40">
        <f t="shared" si="23"/>
        <v>1215.2504332800002</v>
      </c>
      <c r="G227" s="73"/>
      <c r="H227" s="74"/>
      <c r="I227" s="34"/>
      <c r="L227" s="75"/>
      <c r="M227" s="75"/>
      <c r="N227" s="34"/>
    </row>
    <row r="228" spans="1:14" s="35" customFormat="1" x14ac:dyDescent="0.35">
      <c r="A228" s="69">
        <f t="shared" si="24"/>
        <v>4</v>
      </c>
      <c r="B228" s="70"/>
      <c r="C228" s="40" t="s">
        <v>195</v>
      </c>
      <c r="D228" s="54">
        <f>(1.52*2.57+3.2*5.47+3.05*2.33+1.78*2.42+1.52*3.35+3.15*3.35+4*3.35+1.63*2.15+1.67*2.42+1.92*1.05+1.05*1.05)*10.764</f>
        <v>780.74951759999999</v>
      </c>
      <c r="E228" s="40">
        <v>0</v>
      </c>
      <c r="F228" s="40">
        <f t="shared" si="23"/>
        <v>1210.16175228</v>
      </c>
      <c r="G228" s="73"/>
      <c r="H228" s="74"/>
      <c r="I228" s="34"/>
      <c r="L228" s="75"/>
      <c r="M228" s="75"/>
      <c r="N228" s="34"/>
    </row>
    <row r="229" spans="1:14" s="35" customFormat="1" x14ac:dyDescent="0.35">
      <c r="A229" s="69">
        <f t="shared" si="24"/>
        <v>5</v>
      </c>
      <c r="B229" s="70"/>
      <c r="C229" s="40" t="s">
        <v>194</v>
      </c>
      <c r="D229" s="54">
        <f>(2.57*1.52+6.1*3.35+2.42*3.2+2.03*1.78+1.6*0.75+1.23*1.63+3.63*1.52+3.65*3.15+3.65*3.05+3.62*3.8+2.42*1.62+2.42*1.53+2.42*1.22+1.05*1.68+1.05*3.15)*10.764</f>
        <v>1038.2330087999999</v>
      </c>
      <c r="E229" s="40">
        <v>0</v>
      </c>
      <c r="F229" s="40">
        <f t="shared" si="23"/>
        <v>1609.2611636399999</v>
      </c>
      <c r="G229" s="73"/>
      <c r="H229" s="74"/>
      <c r="I229" s="34"/>
      <c r="L229" s="75"/>
      <c r="M229" s="75"/>
      <c r="N229" s="34"/>
    </row>
    <row r="230" spans="1:14" s="35" customFormat="1" x14ac:dyDescent="0.35">
      <c r="A230" s="69">
        <f t="shared" si="24"/>
        <v>6</v>
      </c>
      <c r="B230" s="70"/>
      <c r="C230" s="40" t="s">
        <v>193</v>
      </c>
      <c r="D230" s="54">
        <f>(2.57*1.52+6.1*3.2+3.35*1.52+2.43*3.05+1.8*1.78+3.35*3.15+3.35*2.43+3.35*3.95+2.15*1.63+2.42*1.62+1.05*3.15)*10.764</f>
        <v>880.40693520000002</v>
      </c>
      <c r="E230" s="40">
        <v>0</v>
      </c>
      <c r="F230" s="40">
        <f t="shared" si="23"/>
        <v>1364.6307495600001</v>
      </c>
      <c r="G230" s="80"/>
      <c r="H230" s="81"/>
      <c r="I230" s="34"/>
      <c r="L230" s="75"/>
      <c r="M230" s="75"/>
      <c r="N230" s="34"/>
    </row>
    <row r="231" spans="1:14" s="35" customFormat="1" x14ac:dyDescent="0.35">
      <c r="A231" s="76" t="s">
        <v>216</v>
      </c>
      <c r="B231" s="77"/>
      <c r="C231" s="77"/>
      <c r="D231" s="77"/>
      <c r="E231" s="77"/>
      <c r="F231" s="77"/>
      <c r="G231" s="77"/>
      <c r="H231" s="78"/>
      <c r="J231" s="34"/>
    </row>
    <row r="232" spans="1:14" s="35" customFormat="1" x14ac:dyDescent="0.35">
      <c r="A232" s="69">
        <v>1</v>
      </c>
      <c r="B232" s="70"/>
      <c r="C232" s="40" t="s">
        <v>194</v>
      </c>
      <c r="D232" s="54">
        <f>(4.23*3.28+2.57*1.52+6.1*3.35+2.43*3.2+2.03*1.78+1.6*0.75+1.23*1.63+3.63*1.52+3.65*3.15+3.65*3.05+3.62*3.8+2.42*1.62+2.42*1.53+2.42*1.22+1.05*1.68+1.05*3.15)*10.764</f>
        <v>1187.9214984</v>
      </c>
      <c r="E232" s="40">
        <v>0</v>
      </c>
      <c r="F232" s="40">
        <f>D232*(($F$122)+1)+(IF(E232&lt;101,E232,IF(E232&lt;201,E232/2,IF(E232&lt;=301,E232/3,E232/4))))</f>
        <v>1841.2783225200001</v>
      </c>
      <c r="G232" s="73" t="str">
        <f>A231</f>
        <v>16th &amp; 23rd Floor (Part Refuge Area)</v>
      </c>
      <c r="H232" s="74"/>
      <c r="I232" s="34"/>
      <c r="L232" s="75"/>
      <c r="M232" s="75"/>
      <c r="N232" s="34"/>
    </row>
    <row r="233" spans="1:14" s="35" customFormat="1" x14ac:dyDescent="0.35">
      <c r="A233" s="69">
        <f t="shared" ref="A233:A235" si="25">A232+1</f>
        <v>2</v>
      </c>
      <c r="B233" s="70"/>
      <c r="C233" s="40" t="s">
        <v>195</v>
      </c>
      <c r="D233" s="54">
        <f>(1.52*2.57+3.2*5.47+3.05*2.43+1.78*2.42+1.52*3.35+3.15*3.35+4*3.35+1.63*2.15+1.67*2.42+1.78*1.05+1.2*0.9)*10.764</f>
        <v>782.20803959999989</v>
      </c>
      <c r="E233" s="40">
        <v>0</v>
      </c>
      <c r="F233" s="40">
        <f>D233*(($F$122)+1)+(IF(E233&lt;101,E233,IF(E233&lt;201,E233/2,IF(E233&lt;=301,E233/3,E233/4))))</f>
        <v>1212.42246138</v>
      </c>
      <c r="G233" s="73"/>
      <c r="H233" s="74"/>
      <c r="I233" s="34"/>
      <c r="L233" s="75"/>
      <c r="M233" s="75"/>
      <c r="N233" s="34"/>
    </row>
    <row r="234" spans="1:14" s="35" customFormat="1" x14ac:dyDescent="0.35">
      <c r="A234" s="69">
        <f t="shared" si="25"/>
        <v>3</v>
      </c>
      <c r="B234" s="70"/>
      <c r="C234" s="40" t="s">
        <v>195</v>
      </c>
      <c r="D234" s="54">
        <f>(1.52*2.57+3.2*5.47+3.05*2.43+1.78*2.42+1.52*3.35+3.15*3.35+4*3.35+1.63*2.15+1.67*2.42+1.78*1.05+1.2*0.9)*10.764</f>
        <v>782.20803959999989</v>
      </c>
      <c r="E234" s="40">
        <v>0</v>
      </c>
      <c r="F234" s="40">
        <f>D234*(($F$122)+1)+(IF(E234&lt;101,E234,IF(E234&lt;201,E234/2,IF(E234&lt;=301,E234/3,E234/4))))</f>
        <v>1212.42246138</v>
      </c>
      <c r="G234" s="73"/>
      <c r="H234" s="74"/>
      <c r="I234" s="34"/>
      <c r="L234" s="75"/>
      <c r="M234" s="75"/>
      <c r="N234" s="34"/>
    </row>
    <row r="235" spans="1:14" s="35" customFormat="1" x14ac:dyDescent="0.35">
      <c r="A235" s="69">
        <f t="shared" si="25"/>
        <v>4</v>
      </c>
      <c r="B235" s="70"/>
      <c r="C235" s="40" t="s">
        <v>194</v>
      </c>
      <c r="D235" s="54">
        <f>(4.23*3.28+2.57*1.52+6.1*3.35+2.43*3.2+2.03*1.78+1.6*0.75+1.23*1.63+3.63*1.52+3.65*3.15+3.65*3.05+3.62*3.8+2.42*1.62+2.42*1.53+2.42*1.22+1.05*1.68+1.05*3.15)*10.764</f>
        <v>1187.9214984</v>
      </c>
      <c r="E235" s="40">
        <v>0</v>
      </c>
      <c r="F235" s="40">
        <f>D235*(($F$122)+1)+(IF(E235&lt;101,E235,IF(E235&lt;201,E235/2,IF(E235&lt;=301,E235/3,E235/4))))</f>
        <v>1841.2783225200001</v>
      </c>
      <c r="G235" s="73"/>
      <c r="H235" s="74"/>
      <c r="I235" s="34"/>
      <c r="L235" s="75"/>
      <c r="M235" s="75"/>
      <c r="N235" s="34"/>
    </row>
    <row r="236" spans="1:14" s="35" customFormat="1" x14ac:dyDescent="0.35">
      <c r="A236" s="76" t="s">
        <v>217</v>
      </c>
      <c r="B236" s="77"/>
      <c r="C236" s="77"/>
      <c r="D236" s="77"/>
      <c r="E236" s="77"/>
      <c r="F236" s="77"/>
      <c r="G236" s="77"/>
      <c r="H236" s="78"/>
      <c r="J236" s="34"/>
    </row>
    <row r="237" spans="1:14" s="35" customFormat="1" ht="15.75" customHeight="1" x14ac:dyDescent="0.35">
      <c r="A237" s="69">
        <v>1</v>
      </c>
      <c r="B237" s="70"/>
      <c r="C237" s="40" t="s">
        <v>193</v>
      </c>
      <c r="D237" s="54">
        <f>(2.57*1.52+6.1*3.2+3.35*1.52+2.42*3.05+1.8*1.78+3.35*3.22+3.35*2.43+3.42*3.95+2.15*1.7+2.42*1.7+1.05*3.15)*10.764</f>
        <v>889.2829296000001</v>
      </c>
      <c r="E237" s="40">
        <v>0</v>
      </c>
      <c r="F237" s="40">
        <f t="shared" ref="F237:F242" si="26">D237*(($F$122)+1)+(IF(E237&lt;101,E237,IF(E237&lt;201,E237/2,IF(E237&lt;=301,E237/3,E237/4))))</f>
        <v>1378.3885408800002</v>
      </c>
      <c r="G237" s="71" t="str">
        <f>A236</f>
        <v>28th, 31st, 33rd, 36th, 39th, 42nd &amp; 45th Floor</v>
      </c>
      <c r="H237" s="72"/>
      <c r="I237" s="34"/>
      <c r="L237" s="75"/>
      <c r="M237" s="75"/>
      <c r="N237" s="34"/>
    </row>
    <row r="238" spans="1:14" s="35" customFormat="1" x14ac:dyDescent="0.35">
      <c r="A238" s="69">
        <f t="shared" ref="A238:A242" si="27">A237+1</f>
        <v>2</v>
      </c>
      <c r="B238" s="70"/>
      <c r="C238" s="40" t="s">
        <v>194</v>
      </c>
      <c r="D238" s="54">
        <f>(2.57*1.52+6.1*3.35+2.42*3.2+2.03*1.78+1.6*0.75+1.23*1.63+3.63*1.52+3.65*3.22+3.65*3.05+3.7*3.8+2.42*1.7+2.42*1.53+2.42*1.22+1.05*1.68+1.05*3.15)*10.764</f>
        <v>1046.3393771999999</v>
      </c>
      <c r="E238" s="40">
        <v>0</v>
      </c>
      <c r="F238" s="40">
        <f t="shared" si="26"/>
        <v>1621.82603466</v>
      </c>
      <c r="G238" s="73"/>
      <c r="H238" s="74"/>
      <c r="I238" s="34"/>
      <c r="L238" s="75"/>
      <c r="M238" s="75"/>
      <c r="N238" s="34"/>
    </row>
    <row r="239" spans="1:14" s="35" customFormat="1" x14ac:dyDescent="0.35">
      <c r="A239" s="69">
        <f t="shared" si="27"/>
        <v>3</v>
      </c>
      <c r="B239" s="70"/>
      <c r="C239" s="40" t="s">
        <v>195</v>
      </c>
      <c r="D239" s="54">
        <f>(1.52*2.57+3.2*5.47+3.05*2.42+1.78*2.42+1.52*3.35+3.22*3.35+4.07*3.35+1.7*2.15+1.67*2.42+2*1.05+0.98*1.05)*10.764</f>
        <v>790.48555559999977</v>
      </c>
      <c r="E239" s="40">
        <v>0</v>
      </c>
      <c r="F239" s="40">
        <f t="shared" si="26"/>
        <v>1225.2526111799996</v>
      </c>
      <c r="G239" s="73"/>
      <c r="H239" s="74"/>
      <c r="I239" s="34"/>
      <c r="L239" s="75"/>
      <c r="M239" s="75"/>
      <c r="N239" s="34"/>
    </row>
    <row r="240" spans="1:14" s="35" customFormat="1" x14ac:dyDescent="0.35">
      <c r="A240" s="69">
        <f t="shared" si="27"/>
        <v>4</v>
      </c>
      <c r="B240" s="70"/>
      <c r="C240" s="40" t="s">
        <v>195</v>
      </c>
      <c r="D240" s="54">
        <f>(1.52*2.57+3.2*5.47+3.05*2.42+1.78*2.42+1.52*3.35+3.22*3.35+4.07*3.35+1.7*2.15+1.67*2.42+2*1.05+0.98*1.05)*10.764</f>
        <v>790.48555559999977</v>
      </c>
      <c r="E240" s="40">
        <v>0</v>
      </c>
      <c r="F240" s="40">
        <f t="shared" si="26"/>
        <v>1225.2526111799996</v>
      </c>
      <c r="G240" s="73"/>
      <c r="H240" s="74"/>
      <c r="I240" s="34"/>
      <c r="L240" s="75"/>
      <c r="M240" s="75"/>
      <c r="N240" s="34"/>
    </row>
    <row r="241" spans="1:14" s="35" customFormat="1" x14ac:dyDescent="0.35">
      <c r="A241" s="69">
        <f t="shared" si="27"/>
        <v>5</v>
      </c>
      <c r="B241" s="70"/>
      <c r="C241" s="40" t="s">
        <v>194</v>
      </c>
      <c r="D241" s="54">
        <f>(2.57*1.52+6.1*3.35+2.42*3.2+2.03*1.78+1.6*0.75+1.23*1.63+3.63*1.52+3.65*3.22+3.65*3.05+3.7*3.8+2.42*1.7+2.42*1.53+2.42*1.22+1.05*1.68+1.05*3.15)*10.764</f>
        <v>1046.3393771999999</v>
      </c>
      <c r="E241" s="40">
        <v>0</v>
      </c>
      <c r="F241" s="40">
        <f t="shared" si="26"/>
        <v>1621.82603466</v>
      </c>
      <c r="G241" s="73"/>
      <c r="H241" s="74"/>
      <c r="I241" s="34"/>
      <c r="L241" s="75"/>
      <c r="M241" s="75"/>
      <c r="N241" s="34"/>
    </row>
    <row r="242" spans="1:14" s="35" customFormat="1" x14ac:dyDescent="0.35">
      <c r="A242" s="69">
        <f t="shared" si="27"/>
        <v>6</v>
      </c>
      <c r="B242" s="70"/>
      <c r="C242" s="40" t="s">
        <v>193</v>
      </c>
      <c r="D242" s="54">
        <f>(2.57*1.52+6.1*3.2+3.35*1.52+2.42*3.05+1.8*1.78+3.35*3.22+3.35*2.43+3.42*3.95+2.15*1.7+2.42*1.7+1.05*3.15)*10.764</f>
        <v>889.2829296000001</v>
      </c>
      <c r="E242" s="40">
        <v>0</v>
      </c>
      <c r="F242" s="40">
        <f t="shared" si="26"/>
        <v>1378.3885408800002</v>
      </c>
      <c r="G242" s="80"/>
      <c r="H242" s="81"/>
      <c r="I242" s="34"/>
      <c r="L242" s="75"/>
      <c r="M242" s="75"/>
      <c r="N242" s="34"/>
    </row>
    <row r="243" spans="1:14" s="35" customFormat="1" x14ac:dyDescent="0.35">
      <c r="A243" s="76" t="s">
        <v>218</v>
      </c>
      <c r="B243" s="77"/>
      <c r="C243" s="77"/>
      <c r="D243" s="77"/>
      <c r="E243" s="77"/>
      <c r="F243" s="77"/>
      <c r="G243" s="77"/>
      <c r="H243" s="78"/>
      <c r="J243" s="34"/>
    </row>
    <row r="244" spans="1:14" s="35" customFormat="1" ht="15.75" customHeight="1" x14ac:dyDescent="0.35">
      <c r="A244" s="69">
        <v>1</v>
      </c>
      <c r="B244" s="70"/>
      <c r="C244" s="40" t="s">
        <v>193</v>
      </c>
      <c r="D244" s="54">
        <f>(2.57*1.52+6.1*3.2+3.35*1.52+2.42*3.05+1.8*1.78+3.35*3.22+3.35*2.43+3.42*3.95+2.15*1.63+2.42*1.7+1.05*3.15)*10.764</f>
        <v>887.66294760000005</v>
      </c>
      <c r="E244" s="40">
        <v>0</v>
      </c>
      <c r="F244" s="40">
        <f t="shared" ref="F244:F249" si="28">D244*(($F$122)+1)+(IF(E244&lt;101,E244,IF(E244&lt;201,E244/2,IF(E244&lt;=301,E244/3,E244/4))))</f>
        <v>1375.87756878</v>
      </c>
      <c r="G244" s="71" t="str">
        <f>A243</f>
        <v>26th, 27th, 29th, 32nd, 34th, 35th, 38th, 40th, 41st, 43rd &amp; 46th Floor</v>
      </c>
      <c r="H244" s="72"/>
      <c r="I244" s="34"/>
      <c r="L244" s="75"/>
      <c r="M244" s="75"/>
      <c r="N244" s="34"/>
    </row>
    <row r="245" spans="1:14" s="35" customFormat="1" x14ac:dyDescent="0.35">
      <c r="A245" s="69">
        <f t="shared" ref="A245:A249" si="29">A244+1</f>
        <v>2</v>
      </c>
      <c r="B245" s="70"/>
      <c r="C245" s="40" t="s">
        <v>194</v>
      </c>
      <c r="D245" s="54">
        <f>(2.57*1.52+6.1*3.35+2.42*3.2+2.03*1.78+1.6*0.75+1.23*1.63+3.63*1.52+3.65*3.22+3.65*3.05+3.7*3.8+2.42*1.7+2.42*1.53+2.42*1.22+1.05*1.68+1.05*3.15)*10.764</f>
        <v>1046.3393771999999</v>
      </c>
      <c r="E245" s="40">
        <v>0</v>
      </c>
      <c r="F245" s="40">
        <f t="shared" si="28"/>
        <v>1621.82603466</v>
      </c>
      <c r="G245" s="73"/>
      <c r="H245" s="74"/>
      <c r="I245" s="34"/>
      <c r="L245" s="75"/>
      <c r="M245" s="75"/>
      <c r="N245" s="34"/>
    </row>
    <row r="246" spans="1:14" s="35" customFormat="1" x14ac:dyDescent="0.35">
      <c r="A246" s="69">
        <f t="shared" si="29"/>
        <v>3</v>
      </c>
      <c r="B246" s="70"/>
      <c r="C246" s="40" t="s">
        <v>195</v>
      </c>
      <c r="D246" s="54">
        <f>(1.52*2.57+3.2*5.47+3.05*2.42+1.78*2.42+1.52*3.35+3.22*3.35+4.07*3.35+1.7*2.15+1.67*2.42+2*1.05+0.98*1.05)*10.764</f>
        <v>790.48555559999977</v>
      </c>
      <c r="E246" s="40">
        <v>0</v>
      </c>
      <c r="F246" s="40">
        <f t="shared" si="28"/>
        <v>1225.2526111799996</v>
      </c>
      <c r="G246" s="73"/>
      <c r="H246" s="74"/>
      <c r="I246" s="34"/>
      <c r="L246" s="75"/>
      <c r="M246" s="75"/>
      <c r="N246" s="34"/>
    </row>
    <row r="247" spans="1:14" s="35" customFormat="1" x14ac:dyDescent="0.35">
      <c r="A247" s="69">
        <f t="shared" si="29"/>
        <v>4</v>
      </c>
      <c r="B247" s="70"/>
      <c r="C247" s="40" t="s">
        <v>195</v>
      </c>
      <c r="D247" s="54">
        <f>(1.52*2.57+3.2*5.47+3.05*2.42+1.78*2.42+1.52*3.35+3.22*3.35+4.07*3.35+1.7*2.15+1.67*2.42+2*1.05+0.98*1.05)*10.764</f>
        <v>790.48555559999977</v>
      </c>
      <c r="E247" s="40">
        <v>0</v>
      </c>
      <c r="F247" s="40">
        <f t="shared" si="28"/>
        <v>1225.2526111799996</v>
      </c>
      <c r="G247" s="73"/>
      <c r="H247" s="74"/>
      <c r="I247" s="34"/>
      <c r="L247" s="75"/>
      <c r="M247" s="75"/>
      <c r="N247" s="34"/>
    </row>
    <row r="248" spans="1:14" s="35" customFormat="1" x14ac:dyDescent="0.35">
      <c r="A248" s="69">
        <f t="shared" si="29"/>
        <v>5</v>
      </c>
      <c r="B248" s="70"/>
      <c r="C248" s="40" t="s">
        <v>194</v>
      </c>
      <c r="D248" s="54">
        <f>(2.57*1.52+6.1*3.35+2.42*3.2+2.03*1.78+1.6*0.75+1.23*1.63+3.63*1.52+3.65*3.22+3.65*3.05+3.7*3.8+2.42*1.7+2.42*1.53+2.42*1.22+1.05*1.68+1.05*3.15)*10.764</f>
        <v>1046.3393771999999</v>
      </c>
      <c r="E248" s="40">
        <v>0</v>
      </c>
      <c r="F248" s="40">
        <f t="shared" si="28"/>
        <v>1621.82603466</v>
      </c>
      <c r="G248" s="73"/>
      <c r="H248" s="74"/>
      <c r="I248" s="34"/>
      <c r="L248" s="75"/>
      <c r="M248" s="75"/>
      <c r="N248" s="34"/>
    </row>
    <row r="249" spans="1:14" s="35" customFormat="1" x14ac:dyDescent="0.35">
      <c r="A249" s="69">
        <f t="shared" si="29"/>
        <v>6</v>
      </c>
      <c r="B249" s="70"/>
      <c r="C249" s="40" t="s">
        <v>193</v>
      </c>
      <c r="D249" s="54">
        <f>(2.57*1.52+6.1*3.2+3.35*1.52+2.42*3.05+1.8*1.78+3.35*3.22+3.35*2.43+3.42*3.95+2.15*1.63+2.42*1.7+1.05*3.15)*10.764</f>
        <v>887.66294760000005</v>
      </c>
      <c r="E249" s="40">
        <v>0</v>
      </c>
      <c r="F249" s="40">
        <f t="shared" si="28"/>
        <v>1375.87756878</v>
      </c>
      <c r="G249" s="80"/>
      <c r="H249" s="81"/>
      <c r="I249" s="34"/>
      <c r="L249" s="75"/>
      <c r="M249" s="75"/>
      <c r="N249" s="34"/>
    </row>
    <row r="250" spans="1:14" s="35" customFormat="1" x14ac:dyDescent="0.35">
      <c r="A250" s="76" t="s">
        <v>219</v>
      </c>
      <c r="B250" s="77"/>
      <c r="C250" s="77"/>
      <c r="D250" s="77"/>
      <c r="E250" s="77"/>
      <c r="F250" s="77"/>
      <c r="G250" s="77"/>
      <c r="H250" s="78"/>
      <c r="J250" s="34"/>
    </row>
    <row r="251" spans="1:14" s="35" customFormat="1" x14ac:dyDescent="0.35">
      <c r="A251" s="69">
        <v>1</v>
      </c>
      <c r="B251" s="70"/>
      <c r="C251" s="40" t="s">
        <v>194</v>
      </c>
      <c r="D251" s="54">
        <f>(4.03*3.28+2.57*1.52+6.1*3.35+2.52*3.2+2.13*1.78+1.6*0.75+1.23*1.63+3.63*1.52+3.65*3.22+3.65*3.05+3.7*3.8+2.42*1.7+2.42*1.53+2.42*1.22+1.05*1.68+1.05*3.15)*10.764</f>
        <v>1193.9827068</v>
      </c>
      <c r="E251" s="40">
        <v>0</v>
      </c>
      <c r="F251" s="40">
        <f>D251*(($F$122)+1)+(IF(E251&lt;101,E251,IF(E251&lt;201,E251/2,IF(E251&lt;=301,E251/3,E251/4))))</f>
        <v>1850.6731955400001</v>
      </c>
      <c r="G251" s="73" t="str">
        <f>A250</f>
        <v>30th, 37th &amp; 44th Floor (Part Refuge Area)</v>
      </c>
      <c r="H251" s="74"/>
      <c r="I251" s="34"/>
      <c r="L251" s="75"/>
      <c r="M251" s="75"/>
      <c r="N251" s="34"/>
    </row>
    <row r="252" spans="1:14" s="35" customFormat="1" x14ac:dyDescent="0.35">
      <c r="A252" s="69">
        <f t="shared" ref="A252:A254" si="30">A251+1</f>
        <v>2</v>
      </c>
      <c r="B252" s="70"/>
      <c r="C252" s="40" t="s">
        <v>195</v>
      </c>
      <c r="D252" s="54">
        <f>(1.52*2.57+3.2*5.47+3.05*2.52+1.78*2.52+1.52*3.35+3.22*3.35+4.07*3.35+1.7*2.15+1.67*2.42+2*1.05+0.98*1.05)*10.764</f>
        <v>795.68456759999981</v>
      </c>
      <c r="E252" s="40">
        <v>0</v>
      </c>
      <c r="F252" s="40">
        <f>D252*(($F$122)+1)+(IF(E252&lt;101,E252,IF(E252&lt;201,E252/2,IF(E252&lt;=301,E252/3,E252/4))))</f>
        <v>1233.3110797799998</v>
      </c>
      <c r="G252" s="73"/>
      <c r="H252" s="74"/>
      <c r="I252" s="34"/>
      <c r="L252" s="75"/>
      <c r="M252" s="75"/>
      <c r="N252" s="34"/>
    </row>
    <row r="253" spans="1:14" s="35" customFormat="1" x14ac:dyDescent="0.35">
      <c r="A253" s="69">
        <f t="shared" si="30"/>
        <v>3</v>
      </c>
      <c r="B253" s="70"/>
      <c r="C253" s="40" t="s">
        <v>195</v>
      </c>
      <c r="D253" s="54">
        <f>(1.52*2.57+3.2*5.47+3.05*2.52+1.78*2.52+1.52*3.35+3.22*3.35+4.07*3.35+1.7*2.15+1.67*2.42+2*1.05+0.98*1.05)*10.764</f>
        <v>795.68456759999981</v>
      </c>
      <c r="E253" s="40">
        <v>0</v>
      </c>
      <c r="F253" s="40">
        <f>D253*(($F$122)+1)+(IF(E253&lt;101,E253,IF(E253&lt;201,E253/2,IF(E253&lt;=301,E253/3,E253/4))))</f>
        <v>1233.3110797799998</v>
      </c>
      <c r="G253" s="73"/>
      <c r="H253" s="74"/>
      <c r="I253" s="34"/>
      <c r="L253" s="75"/>
      <c r="M253" s="75"/>
      <c r="N253" s="34"/>
    </row>
    <row r="254" spans="1:14" s="35" customFormat="1" x14ac:dyDescent="0.35">
      <c r="A254" s="69">
        <f t="shared" si="30"/>
        <v>4</v>
      </c>
      <c r="B254" s="70"/>
      <c r="C254" s="40" t="s">
        <v>194</v>
      </c>
      <c r="D254" s="54">
        <f>(4.03*3.28+2.57*1.52+6.1*3.35+2.52*3.2+2.13*1.78+1.6*0.75+1.23*1.63+3.63*1.52+3.65*3.22+3.65*3.05+3.7*3.8+2.42*1.7+2.42*1.53+2.42*1.22+1.05*1.68+1.05*3.15)*10.764</f>
        <v>1193.9827068</v>
      </c>
      <c r="E254" s="40">
        <v>0</v>
      </c>
      <c r="F254" s="40">
        <f>D254*(($F$122)+1)+(IF(E254&lt;101,E254,IF(E254&lt;201,E254/2,IF(E254&lt;=301,E254/3,E254/4))))</f>
        <v>1850.6731955400001</v>
      </c>
      <c r="G254" s="73"/>
      <c r="H254" s="74"/>
      <c r="I254" s="34"/>
      <c r="L254" s="75"/>
      <c r="M254" s="75"/>
      <c r="N254" s="34"/>
    </row>
    <row r="255" spans="1:14" s="35" customFormat="1" x14ac:dyDescent="0.35">
      <c r="A255" s="76" t="s">
        <v>246</v>
      </c>
      <c r="B255" s="77"/>
      <c r="C255" s="77"/>
      <c r="D255" s="77"/>
      <c r="E255" s="77"/>
      <c r="F255" s="77"/>
      <c r="G255" s="77"/>
      <c r="H255" s="78"/>
      <c r="J255" s="34"/>
    </row>
    <row r="256" spans="1:14" s="35" customFormat="1" ht="15.75" customHeight="1" x14ac:dyDescent="0.35">
      <c r="A256" s="69">
        <v>1</v>
      </c>
      <c r="B256" s="70"/>
      <c r="C256" s="40" t="s">
        <v>193</v>
      </c>
      <c r="D256" s="54">
        <f>(2.57*1.52+5.9*3.2+2.9*1.1+3.35*1.52+2.52*3.05+1.9*1.78+3.35*3.22+3.35*2.43+3.42*3.95+2.15*1.7+2.42*1.7+1.05*3.15)*10.764</f>
        <v>921.93014160000007</v>
      </c>
      <c r="E256" s="40">
        <v>0</v>
      </c>
      <c r="F256" s="40">
        <f t="shared" ref="F256:F261" si="31">D256*(($F$122)+1)+(IF(E256&lt;101,E256,IF(E256&lt;201,E256/2,IF(E256&lt;=301,E256/3,E256/4))))</f>
        <v>1428.9917194800003</v>
      </c>
      <c r="G256" s="71" t="str">
        <f>A255</f>
        <v>47th &amp; 49th Floor</v>
      </c>
      <c r="H256" s="72"/>
      <c r="I256" s="34"/>
      <c r="L256" s="75"/>
      <c r="M256" s="75"/>
      <c r="N256" s="34"/>
    </row>
    <row r="257" spans="1:14" s="35" customFormat="1" x14ac:dyDescent="0.35">
      <c r="A257" s="69">
        <f t="shared" ref="A257:A261" si="32">A256+1</f>
        <v>2</v>
      </c>
      <c r="B257" s="70"/>
      <c r="C257" s="40" t="s">
        <v>194</v>
      </c>
      <c r="D257" s="54">
        <f>(2.57*1.52+5.9*3.35+2.9*1.1+2.52*3.2+2.03*1.78+1.6*0.75+1.23*1.63+3.63*1.52+3.65*3.22+3.65*3.05+3.7*3.8+2.42*1.7+2.42*1.53+2.42*1.22+1.05*1.68+1.05*3.15)*10.764</f>
        <v>1076.9091372</v>
      </c>
      <c r="E257" s="40">
        <v>0</v>
      </c>
      <c r="F257" s="40">
        <f t="shared" si="31"/>
        <v>1669.2091626600002</v>
      </c>
      <c r="G257" s="73"/>
      <c r="H257" s="74"/>
      <c r="I257" s="34"/>
      <c r="L257" s="75"/>
      <c r="M257" s="75"/>
      <c r="N257" s="34"/>
    </row>
    <row r="258" spans="1:14" s="35" customFormat="1" x14ac:dyDescent="0.35">
      <c r="A258" s="69">
        <f t="shared" si="32"/>
        <v>3</v>
      </c>
      <c r="B258" s="70"/>
      <c r="C258" s="40" t="s">
        <v>195</v>
      </c>
      <c r="D258" s="54">
        <f>(1.52*2.57+3.2*5.02+2.75*1.83+3.05*2.52+1.78*2.52+1.52*3.35+3.22*3.35+4.07*3.35+1.7*2.15+1.67*2.42+2*1.05+0.98*1.05)*10.764</f>
        <v>834.35423759999969</v>
      </c>
      <c r="E258" s="40">
        <v>0</v>
      </c>
      <c r="F258" s="40">
        <f t="shared" si="31"/>
        <v>1293.2490682799996</v>
      </c>
      <c r="G258" s="73"/>
      <c r="H258" s="74"/>
      <c r="I258" s="34"/>
      <c r="L258" s="75"/>
      <c r="M258" s="75"/>
      <c r="N258" s="34"/>
    </row>
    <row r="259" spans="1:14" s="35" customFormat="1" x14ac:dyDescent="0.35">
      <c r="A259" s="69">
        <f t="shared" si="32"/>
        <v>4</v>
      </c>
      <c r="B259" s="70"/>
      <c r="C259" s="40" t="s">
        <v>195</v>
      </c>
      <c r="D259" s="54">
        <f>(1.52*2.57+3.2*5.02+2.75*1.83+3.05*2.52+1.78*2.52+1.52*3.35+3.22*3.35+4.07*3.35+1.7*2.15+1.67*2.42+2*1.05+0.98*1.05)*10.764</f>
        <v>834.35423759999969</v>
      </c>
      <c r="E259" s="40">
        <v>0</v>
      </c>
      <c r="F259" s="40">
        <f t="shared" si="31"/>
        <v>1293.2490682799996</v>
      </c>
      <c r="G259" s="73"/>
      <c r="H259" s="74"/>
      <c r="I259" s="34"/>
      <c r="L259" s="75"/>
      <c r="M259" s="75"/>
      <c r="N259" s="34"/>
    </row>
    <row r="260" spans="1:14" s="35" customFormat="1" x14ac:dyDescent="0.35">
      <c r="A260" s="69">
        <f t="shared" si="32"/>
        <v>5</v>
      </c>
      <c r="B260" s="70"/>
      <c r="C260" s="40" t="s">
        <v>194</v>
      </c>
      <c r="D260" s="54">
        <f>(2.57*1.52+5.9*3.35+2.9*1.1+2.52*3.2+2.03*1.78+1.6*0.75+1.23*1.63+3.63*1.52+3.65*3.22+3.65*3.05+3.7*3.8+2.42*1.7+2.42*1.53+2.42*1.22+1.05*1.68+1.05*3.15)*10.764</f>
        <v>1076.9091372</v>
      </c>
      <c r="E260" s="40">
        <v>0</v>
      </c>
      <c r="F260" s="40">
        <f t="shared" si="31"/>
        <v>1669.2091626600002</v>
      </c>
      <c r="G260" s="73"/>
      <c r="H260" s="74"/>
      <c r="I260" s="34"/>
      <c r="L260" s="75"/>
      <c r="M260" s="75"/>
      <c r="N260" s="34"/>
    </row>
    <row r="261" spans="1:14" s="35" customFormat="1" x14ac:dyDescent="0.35">
      <c r="A261" s="69">
        <f t="shared" si="32"/>
        <v>6</v>
      </c>
      <c r="B261" s="70"/>
      <c r="C261" s="40" t="s">
        <v>193</v>
      </c>
      <c r="D261" s="54">
        <f>(2.57*1.52+5.9*3.2+2.9*1.1+3.35*1.52+2.52*3.05+1.9*1.78+3.35*3.22+3.35*2.43+3.42*3.95+2.15*1.7+2.42*1.7+1.05*3.15)*10.764</f>
        <v>921.93014160000007</v>
      </c>
      <c r="E261" s="40">
        <v>0</v>
      </c>
      <c r="F261" s="40">
        <f t="shared" si="31"/>
        <v>1428.9917194800003</v>
      </c>
      <c r="G261" s="80"/>
      <c r="H261" s="81"/>
      <c r="I261" s="34"/>
      <c r="L261" s="75"/>
      <c r="M261" s="75"/>
      <c r="N261" s="34"/>
    </row>
    <row r="262" spans="1:14" s="35" customFormat="1" x14ac:dyDescent="0.35">
      <c r="A262" s="137" t="s">
        <v>220</v>
      </c>
      <c r="B262" s="137"/>
      <c r="C262" s="137"/>
      <c r="D262" s="137"/>
      <c r="E262" s="137"/>
      <c r="F262" s="137"/>
      <c r="G262" s="137"/>
      <c r="H262" s="137"/>
      <c r="J262" s="34"/>
    </row>
    <row r="263" spans="1:14" s="35" customFormat="1" ht="15.75" customHeight="1" x14ac:dyDescent="0.35">
      <c r="A263" s="79">
        <v>1</v>
      </c>
      <c r="B263" s="79"/>
      <c r="C263" s="40" t="s">
        <v>193</v>
      </c>
      <c r="D263" s="54">
        <f>(2.57*1.52+5.9*3.2+2.9*1.1+3.35*1.52+2.52*3.05+1.9*1.78+3.35*3.22+3.35*2.43+3.42*3.95+2.15*1.7+2.42*1.7+1.05*3.15)*10.764</f>
        <v>921.93014160000007</v>
      </c>
      <c r="E263" s="40">
        <v>0</v>
      </c>
      <c r="F263" s="40">
        <f t="shared" ref="F263:F268" si="33">D263*(($F$122)+1)+(IF(E263&lt;101,E263,IF(E263&lt;201,E263/2,IF(E263&lt;=301,E263/3,E263/4))))</f>
        <v>1428.9917194800003</v>
      </c>
      <c r="G263" s="79" t="str">
        <f>A262</f>
        <v>48th Floor</v>
      </c>
      <c r="H263" s="79"/>
      <c r="I263" s="34"/>
      <c r="L263" s="75"/>
      <c r="M263" s="75"/>
      <c r="N263" s="34"/>
    </row>
    <row r="264" spans="1:14" s="35" customFormat="1" x14ac:dyDescent="0.35">
      <c r="A264" s="79">
        <f t="shared" ref="A264:A268" si="34">A263+1</f>
        <v>2</v>
      </c>
      <c r="B264" s="79"/>
      <c r="C264" s="40" t="s">
        <v>194</v>
      </c>
      <c r="D264" s="54">
        <f>(2.57*1.52+5.9*3.35+2.9*1.1+2.52*3.2+2.03*1.78+1.6*0.75+1.23*1.63+3.63*1.52+3.65*3.22+3.65*3.05+3.7*3.8+2.42*1.7+2.42*1.53+2.42*1.22+1.05*1.68+1.05*3.15)*10.764</f>
        <v>1076.9091372</v>
      </c>
      <c r="E264" s="40">
        <v>0</v>
      </c>
      <c r="F264" s="40">
        <f t="shared" si="33"/>
        <v>1669.2091626600002</v>
      </c>
      <c r="G264" s="79"/>
      <c r="H264" s="79"/>
      <c r="I264" s="34"/>
      <c r="L264" s="75"/>
      <c r="M264" s="75"/>
      <c r="N264" s="34"/>
    </row>
    <row r="265" spans="1:14" s="35" customFormat="1" x14ac:dyDescent="0.35">
      <c r="A265" s="79">
        <f t="shared" si="34"/>
        <v>3</v>
      </c>
      <c r="B265" s="79"/>
      <c r="C265" s="40" t="s">
        <v>195</v>
      </c>
      <c r="D265" s="54">
        <f>(1.52*2.57+3.2*5.02+2.75*1.83+3.05*2.52+1.78*2.52+1.52*3.35+3.22*3.35+4.07*3.35+1.7*2.15+1.67*2.42+2*1.05+0.98*1.05)*10.764</f>
        <v>834.35423759999969</v>
      </c>
      <c r="E265" s="40">
        <v>0</v>
      </c>
      <c r="F265" s="40">
        <f t="shared" si="33"/>
        <v>1293.2490682799996</v>
      </c>
      <c r="G265" s="79"/>
      <c r="H265" s="79"/>
      <c r="I265" s="34"/>
      <c r="L265" s="75"/>
      <c r="M265" s="75"/>
      <c r="N265" s="34"/>
    </row>
    <row r="266" spans="1:14" s="35" customFormat="1" x14ac:dyDescent="0.35">
      <c r="A266" s="79">
        <f t="shared" si="34"/>
        <v>4</v>
      </c>
      <c r="B266" s="79"/>
      <c r="C266" s="40" t="s">
        <v>195</v>
      </c>
      <c r="D266" s="54">
        <f>(1.52*2.57+3.2*5.02+2.75*1.83+3.05*2.52+1.78*2.52+1.52*3.35+3.22*3.35+4.07*3.35+1.7*2.15+1.67*2.42+2*1.05+0.98*1.05)*10.764</f>
        <v>834.35423759999969</v>
      </c>
      <c r="E266" s="40">
        <v>0</v>
      </c>
      <c r="F266" s="40">
        <f t="shared" si="33"/>
        <v>1293.2490682799996</v>
      </c>
      <c r="G266" s="79"/>
      <c r="H266" s="79"/>
      <c r="I266" s="34"/>
      <c r="L266" s="75"/>
      <c r="M266" s="75"/>
      <c r="N266" s="34"/>
    </row>
    <row r="267" spans="1:14" s="35" customFormat="1" x14ac:dyDescent="0.35">
      <c r="A267" s="79">
        <f t="shared" si="34"/>
        <v>5</v>
      </c>
      <c r="B267" s="79"/>
      <c r="C267" s="40" t="s">
        <v>194</v>
      </c>
      <c r="D267" s="54">
        <f>(2.57*1.52+5.9*3.35+2.9*1.1+2.52*3.2+2.03*1.78+1.6*0.75+1.23*1.63+3.63*1.52+3.65*3.22+3.65*3.05+3.7*3.8+2.42*1.7+2.42*1.53+2.42*1.22+1.05*1.68+1.05*3.15)*10.764</f>
        <v>1076.9091372</v>
      </c>
      <c r="E267" s="40">
        <v>0</v>
      </c>
      <c r="F267" s="40">
        <f t="shared" si="33"/>
        <v>1669.2091626600002</v>
      </c>
      <c r="G267" s="79"/>
      <c r="H267" s="79"/>
      <c r="I267" s="34"/>
      <c r="L267" s="75"/>
      <c r="M267" s="75"/>
      <c r="N267" s="34"/>
    </row>
    <row r="268" spans="1:14" s="35" customFormat="1" x14ac:dyDescent="0.35">
      <c r="A268" s="79">
        <f t="shared" si="34"/>
        <v>6</v>
      </c>
      <c r="B268" s="79"/>
      <c r="C268" s="40" t="s">
        <v>193</v>
      </c>
      <c r="D268" s="54">
        <f>(2.57*1.52+5.9*3.2+2.9*1.1+3.35*1.52+2.52*3.05+1.9*1.78+3.35*3.22+3.35*2.43+3.42*3.95+2.15*1.7+2.42*1.7+1.05*3.15)*10.764</f>
        <v>921.93014160000007</v>
      </c>
      <c r="E268" s="40">
        <v>0</v>
      </c>
      <c r="F268" s="40">
        <f t="shared" si="33"/>
        <v>1428.9917194800003</v>
      </c>
      <c r="G268" s="79"/>
      <c r="H268" s="79"/>
      <c r="I268" s="34"/>
      <c r="L268" s="75"/>
      <c r="M268" s="75"/>
      <c r="N268" s="34"/>
    </row>
    <row r="269" spans="1:14" s="35" customFormat="1" x14ac:dyDescent="0.35">
      <c r="A269" s="76" t="s">
        <v>221</v>
      </c>
      <c r="B269" s="77"/>
      <c r="C269" s="77"/>
      <c r="D269" s="77"/>
      <c r="E269" s="77"/>
      <c r="F269" s="77"/>
      <c r="G269" s="77"/>
      <c r="H269" s="78"/>
      <c r="J269" s="34"/>
    </row>
    <row r="270" spans="1:14" s="35" customFormat="1" ht="15.75" customHeight="1" x14ac:dyDescent="0.35">
      <c r="A270" s="69">
        <v>1</v>
      </c>
      <c r="B270" s="70"/>
      <c r="C270" s="40" t="s">
        <v>211</v>
      </c>
      <c r="D270" s="54">
        <f>(4.03*2.88+4.7*6.7+5.5*1.1+2.15*1.52+3.88*3.52+3.52*3.73+2.13*1.78+1.6*1.08+1.23*1.7+1.38*1.37+2.15*1.52+3.35*3.22+3.51*2.43+3.42*3.95+2.42*1.7+2.15*1.7+1.05*1.31+1.05*1.7+3.65*3.22+3.65*3.05+3.7*3.8+2.42*1.7+2.42*1.53+2.42*1.22+1.05*1.68+1.05*4.3)*10.764</f>
        <v>2042.1342395999995</v>
      </c>
      <c r="E270" s="40">
        <v>0</v>
      </c>
      <c r="F270" s="40">
        <f>D270*(($F$122)+1)+(IF(E270&lt;101,E270,IF(E270&lt;201,E270/2,IF(E270&lt;=301,E270/3,E270/4))))</f>
        <v>3165.3080713799995</v>
      </c>
      <c r="G270" s="71" t="str">
        <f>A269</f>
        <v>50th, 52nd &amp; 53rd Floor</v>
      </c>
      <c r="H270" s="72"/>
      <c r="I270" s="34"/>
      <c r="L270" s="75"/>
      <c r="M270" s="75"/>
      <c r="N270" s="34"/>
    </row>
    <row r="271" spans="1:14" s="35" customFormat="1" x14ac:dyDescent="0.35">
      <c r="A271" s="69">
        <f t="shared" ref="A271:A272" si="35">A270+1</f>
        <v>2</v>
      </c>
      <c r="B271" s="70"/>
      <c r="C271" s="40" t="s">
        <v>212</v>
      </c>
      <c r="D271" s="54">
        <f>(2.55*3.93+6.55*3.92+5.65*1.53+3.37*3.62+1.78*2.52+3.52*3.77+1.37*1.2+4.07*3.35+3.22*3.35+1.7*2.15+1.67*2.42+0.98*1.05+1.52*2.25+3.22*3.35+4.07*3.35+1.7*2.15+1.67*2.42+2*1.05+0.98*1.05)*10.764</f>
        <v>1590.4369727999999</v>
      </c>
      <c r="E271" s="40">
        <v>0</v>
      </c>
      <c r="F271" s="40">
        <f>D271*(($F$122)+1)+(IF(E271&lt;101,E271,IF(E271&lt;201,E271/2,IF(E271&lt;=301,E271/3,E271/4))))</f>
        <v>2465.1773078400001</v>
      </c>
      <c r="G271" s="73"/>
      <c r="H271" s="74"/>
      <c r="I271" s="34"/>
      <c r="L271" s="75"/>
      <c r="M271" s="75"/>
      <c r="N271" s="34"/>
    </row>
    <row r="272" spans="1:14" s="35" customFormat="1" x14ac:dyDescent="0.35">
      <c r="A272" s="69">
        <f t="shared" si="35"/>
        <v>3</v>
      </c>
      <c r="B272" s="70"/>
      <c r="C272" s="40" t="s">
        <v>211</v>
      </c>
      <c r="D272" s="54">
        <f>(4.03*2.55+4.7*6.7+5.8*1.1+2.15*1.52+3.88*3.52+3.52*3.73+2.52*1.78+1.6*1.08+1.23*1.7+1.38*1.37+2.52*1.78+3.35*3.22+3.5*2.43+3.42*3.95+2.42*1.7+1.05*1.3+1.05*1.7+3.65*3.22+3.65*3.05+3.7*3.8+2.42*1.7+2.42*1.53+2.42*1.22+1.05*1.68+1.05*4.3)*10.764</f>
        <v>2012.2329240000001</v>
      </c>
      <c r="E272" s="40">
        <v>0</v>
      </c>
      <c r="F272" s="40">
        <f>D272*(($F$122)+1)+(IF(E272&lt;101,E272,IF(E272&lt;201,E272/2,IF(E272&lt;=301,E272/3,E272/4))))</f>
        <v>3118.9610322000003</v>
      </c>
      <c r="G272" s="73"/>
      <c r="H272" s="74"/>
      <c r="I272" s="34"/>
      <c r="L272" s="75"/>
      <c r="M272" s="75"/>
      <c r="N272" s="34"/>
    </row>
    <row r="273" spans="1:14" s="35" customFormat="1" x14ac:dyDescent="0.35">
      <c r="A273" s="76" t="s">
        <v>222</v>
      </c>
      <c r="B273" s="77"/>
      <c r="C273" s="77"/>
      <c r="D273" s="77"/>
      <c r="E273" s="77"/>
      <c r="F273" s="77"/>
      <c r="G273" s="77"/>
      <c r="H273" s="78"/>
      <c r="J273" s="34"/>
    </row>
    <row r="274" spans="1:14" s="35" customFormat="1" ht="15.75" customHeight="1" x14ac:dyDescent="0.35">
      <c r="A274" s="69">
        <v>1</v>
      </c>
      <c r="B274" s="70"/>
      <c r="C274" s="40" t="s">
        <v>194</v>
      </c>
      <c r="D274" s="54">
        <f>(4.03*2.88+4.7*6.7+5.5*1.1+2.15*1.52+3.88*3.52+3.52*3.73+2.13*1.78+1.6*1.08+1.23*1.7+1.38*1.37+2.15*1.52+3.35*3.22+3.51*2.43+3.42*3.95+2.42*1.7+2.15*1.7+1.05*1.31+1.05*1.7+3.65*3.22+3.65*3.05+3.7*3.8+2.42*1.7+2.42*1.53+2.42*1.22+1.05*1.68+1.05*4.3)*10.764</f>
        <v>2042.1342395999995</v>
      </c>
      <c r="E274" s="40">
        <v>0</v>
      </c>
      <c r="F274" s="40">
        <f>D274*(($F$122)+1)+(IF(E274&lt;101,E274,IF(E274&lt;201,E274/2,IF(E274&lt;=301,E274/3,E274/4))))</f>
        <v>3165.3080713799995</v>
      </c>
      <c r="G274" s="71" t="str">
        <f>A273</f>
        <v>51st Floor (Part Refuge Area)</v>
      </c>
      <c r="H274" s="72"/>
      <c r="I274" s="34"/>
      <c r="L274" s="75"/>
      <c r="M274" s="75"/>
      <c r="N274" s="34"/>
    </row>
    <row r="275" spans="1:14" s="35" customFormat="1" x14ac:dyDescent="0.35">
      <c r="A275" s="69">
        <f t="shared" ref="A275:A276" si="36">A274+1</f>
        <v>2</v>
      </c>
      <c r="B275" s="70"/>
      <c r="C275" s="40" t="s">
        <v>212</v>
      </c>
      <c r="D275" s="54">
        <f>(2.55*3.93+6.55*3.92+5.65*1.53+3.37*3.62+1.78*2.52+3.52*3.77+1.37*1.2+4.07*3.35+3.22*3.35+1.7*2.15+1.67*2.42+0.98*1.05+1.52*2.25+3.22*3.35+4.07*3.35+1.7*2.15+1.67*2.42+2*1.05+0.98*1.05)*10.764</f>
        <v>1590.4369727999999</v>
      </c>
      <c r="E275" s="40">
        <v>0</v>
      </c>
      <c r="F275" s="40">
        <f>D275*(($F$122)+1)+(IF(E275&lt;101,E275,IF(E275&lt;201,E275/2,IF(E275&lt;=301,E275/3,E275/4))))</f>
        <v>2465.1773078400001</v>
      </c>
      <c r="G275" s="73"/>
      <c r="H275" s="74"/>
      <c r="I275" s="34"/>
      <c r="L275" s="75"/>
      <c r="M275" s="75"/>
      <c r="N275" s="34"/>
    </row>
    <row r="276" spans="1:14" s="35" customFormat="1" x14ac:dyDescent="0.35">
      <c r="A276" s="69">
        <f t="shared" si="36"/>
        <v>3</v>
      </c>
      <c r="B276" s="70"/>
      <c r="C276" s="40" t="s">
        <v>211</v>
      </c>
      <c r="D276" s="54">
        <f>(4.03*2.55+4.7*6.7+5.8*1.1+2.15*1.52+3.88*3.52+3.52*3.73+2.52*1.78+1.6*1.08+1.23*1.7+1.38*1.37+2.52*1.78+3.35*3.22+3.5*2.43+3.42*3.95+2.42*1.7+1.05*1.3+1.05*1.7+3.65*3.22+3.65*3.05+3.7*3.8+2.42*1.7+2.42*1.53+2.42*1.22+1.05*1.68+1.05*4.3)*10.764</f>
        <v>2012.2329240000001</v>
      </c>
      <c r="E276" s="40">
        <v>0</v>
      </c>
      <c r="F276" s="40">
        <f>D276*(($F$122)+1)+(IF(E276&lt;101,E276,IF(E276&lt;201,E276/2,IF(E276&lt;=301,E276/3,E276/4))))</f>
        <v>3118.9610322000003</v>
      </c>
      <c r="G276" s="73"/>
      <c r="H276" s="74"/>
      <c r="I276" s="34"/>
      <c r="L276" s="75"/>
      <c r="M276" s="75"/>
      <c r="N276" s="34"/>
    </row>
    <row r="277" spans="1:14" s="33" customFormat="1" x14ac:dyDescent="0.35">
      <c r="A277" s="133" t="s">
        <v>70</v>
      </c>
      <c r="B277" s="133"/>
      <c r="C277" s="133"/>
      <c r="D277" s="133"/>
      <c r="E277" s="133"/>
      <c r="F277" s="133"/>
      <c r="G277" s="133"/>
      <c r="H277" s="133"/>
    </row>
    <row r="278" spans="1:14" s="33" customFormat="1" x14ac:dyDescent="0.35">
      <c r="A278" s="43" t="s">
        <v>156</v>
      </c>
      <c r="B278" s="143" t="s">
        <v>247</v>
      </c>
      <c r="C278" s="144"/>
      <c r="D278" s="144"/>
      <c r="E278" s="144"/>
      <c r="F278" s="144"/>
      <c r="G278" s="144"/>
      <c r="H278" s="145"/>
    </row>
    <row r="279" spans="1:14" s="33" customFormat="1" x14ac:dyDescent="0.35">
      <c r="A279" s="43" t="s">
        <v>156</v>
      </c>
      <c r="B279" s="143" t="str">
        <f>(IF(F121="Saleable area Loading :","We have considered Saleable area of Flats as per our Calculation.","We considered Saleable area of Flat as per Builder area Sheet."))</f>
        <v>We have considered Saleable area of Flats as per our Calculation.</v>
      </c>
      <c r="C279" s="144"/>
      <c r="D279" s="144"/>
      <c r="E279" s="144"/>
      <c r="F279" s="144"/>
      <c r="G279" s="144"/>
      <c r="H279" s="145"/>
    </row>
    <row r="280" spans="1:14" s="33" customFormat="1" x14ac:dyDescent="0.35">
      <c r="A280" s="43" t="s">
        <v>156</v>
      </c>
      <c r="B280" s="130" t="s">
        <v>126</v>
      </c>
      <c r="C280" s="131"/>
      <c r="D280" s="131"/>
      <c r="E280" s="131"/>
      <c r="F280" s="131"/>
      <c r="G280" s="131"/>
      <c r="H280" s="132"/>
    </row>
    <row r="281" spans="1:14" s="33" customFormat="1" x14ac:dyDescent="0.35">
      <c r="A281" s="43" t="s">
        <v>156</v>
      </c>
      <c r="B281" s="130" t="s">
        <v>223</v>
      </c>
      <c r="C281" s="131"/>
      <c r="D281" s="131"/>
      <c r="E281" s="131"/>
      <c r="F281" s="131"/>
      <c r="G281" s="131"/>
      <c r="H281" s="132"/>
    </row>
    <row r="282" spans="1:14" s="33" customFormat="1" x14ac:dyDescent="0.35">
      <c r="A282" s="43" t="s">
        <v>156</v>
      </c>
      <c r="B282" s="130" t="s">
        <v>155</v>
      </c>
      <c r="C282" s="131"/>
      <c r="D282" s="131"/>
      <c r="E282" s="131"/>
      <c r="F282" s="131"/>
      <c r="G282" s="131"/>
      <c r="H282" s="132"/>
    </row>
    <row r="283" spans="1:14" s="33" customFormat="1" x14ac:dyDescent="0.35">
      <c r="A283" s="43" t="s">
        <v>156</v>
      </c>
      <c r="B283" s="130" t="s">
        <v>127</v>
      </c>
      <c r="C283" s="131"/>
      <c r="D283" s="131"/>
      <c r="E283" s="131"/>
      <c r="F283" s="131"/>
      <c r="G283" s="131"/>
      <c r="H283" s="132"/>
    </row>
    <row r="284" spans="1:14" s="33" customFormat="1" ht="34.5" customHeight="1" x14ac:dyDescent="0.35">
      <c r="A284" s="43" t="s">
        <v>156</v>
      </c>
      <c r="B284" s="130" t="s">
        <v>157</v>
      </c>
      <c r="C284" s="131"/>
      <c r="D284" s="131"/>
      <c r="E284" s="131"/>
      <c r="F284" s="131"/>
      <c r="G284" s="131"/>
      <c r="H284" s="132"/>
    </row>
    <row r="285" spans="1:14" s="33" customFormat="1" x14ac:dyDescent="0.35">
      <c r="A285" s="43" t="s">
        <v>156</v>
      </c>
      <c r="B285" s="130" t="s">
        <v>128</v>
      </c>
      <c r="C285" s="131"/>
      <c r="D285" s="131"/>
      <c r="E285" s="131"/>
      <c r="F285" s="131"/>
      <c r="G285" s="131"/>
      <c r="H285" s="132"/>
    </row>
    <row r="286" spans="1:14" s="33" customFormat="1" x14ac:dyDescent="0.35">
      <c r="A286" s="43" t="s">
        <v>156</v>
      </c>
      <c r="B286" s="130" t="s">
        <v>233</v>
      </c>
      <c r="C286" s="131"/>
      <c r="D286" s="131"/>
      <c r="E286" s="131"/>
      <c r="F286" s="131"/>
      <c r="G286" s="131"/>
      <c r="H286" s="132"/>
    </row>
    <row r="287" spans="1:14" s="33" customFormat="1" x14ac:dyDescent="0.35">
      <c r="A287" s="43" t="s">
        <v>156</v>
      </c>
      <c r="B287" s="130" t="s">
        <v>244</v>
      </c>
      <c r="C287" s="131"/>
      <c r="D287" s="131"/>
      <c r="E287" s="131"/>
      <c r="F287" s="131"/>
      <c r="G287" s="131"/>
      <c r="H287" s="132"/>
    </row>
    <row r="288" spans="1:14" x14ac:dyDescent="0.35">
      <c r="A288" s="115" t="s">
        <v>63</v>
      </c>
      <c r="B288" s="115"/>
      <c r="C288" s="115"/>
      <c r="D288" s="115"/>
      <c r="E288" s="115"/>
      <c r="F288" s="115"/>
      <c r="G288" s="115"/>
      <c r="H288" s="115"/>
    </row>
    <row r="289" spans="1:8" x14ac:dyDescent="0.35">
      <c r="A289" s="83" t="s">
        <v>64</v>
      </c>
      <c r="B289" s="83"/>
      <c r="C289" s="83"/>
      <c r="D289" s="83"/>
      <c r="E289" s="83"/>
      <c r="F289" s="83"/>
      <c r="G289" s="83"/>
      <c r="H289" s="83"/>
    </row>
    <row r="290" spans="1:8" ht="15.75" customHeight="1" x14ac:dyDescent="0.35">
      <c r="A290" s="84" t="s">
        <v>65</v>
      </c>
      <c r="B290" s="84"/>
      <c r="C290" s="84"/>
      <c r="D290" s="84"/>
      <c r="E290" s="84"/>
      <c r="F290" s="84"/>
      <c r="G290" s="84"/>
      <c r="H290" s="84"/>
    </row>
    <row r="291" spans="1:8" x14ac:dyDescent="0.35">
      <c r="A291" s="83" t="s">
        <v>66</v>
      </c>
      <c r="B291" s="83"/>
      <c r="C291" s="83"/>
      <c r="D291" s="83"/>
      <c r="E291" s="83"/>
      <c r="F291" s="83"/>
      <c r="G291" s="83"/>
      <c r="H291" s="83"/>
    </row>
    <row r="292" spans="1:8" x14ac:dyDescent="0.35">
      <c r="A292" s="83" t="s">
        <v>67</v>
      </c>
      <c r="B292" s="83"/>
      <c r="C292" s="83"/>
      <c r="D292" s="83"/>
      <c r="E292" s="83"/>
      <c r="F292" s="83"/>
      <c r="G292" s="83"/>
      <c r="H292" s="83"/>
    </row>
    <row r="293" spans="1:8" x14ac:dyDescent="0.35">
      <c r="A293" s="83" t="s">
        <v>129</v>
      </c>
      <c r="B293" s="83"/>
      <c r="C293" s="83"/>
      <c r="D293" s="83"/>
      <c r="E293" s="83"/>
      <c r="F293" s="83"/>
      <c r="G293" s="83"/>
      <c r="H293" s="83"/>
    </row>
    <row r="294" spans="1:8" x14ac:dyDescent="0.35">
      <c r="A294" s="116" t="s">
        <v>130</v>
      </c>
      <c r="B294" s="116"/>
      <c r="C294" s="116"/>
      <c r="D294" s="116"/>
      <c r="E294" s="116"/>
      <c r="F294" s="116"/>
      <c r="G294" s="116"/>
      <c r="H294" s="116"/>
    </row>
    <row r="295" spans="1:8" x14ac:dyDescent="0.35">
      <c r="A295" s="139" t="s">
        <v>79</v>
      </c>
      <c r="B295" s="139"/>
      <c r="C295" s="139" t="s">
        <v>240</v>
      </c>
      <c r="D295" s="139"/>
      <c r="E295" s="139" t="s">
        <v>109</v>
      </c>
      <c r="F295" s="139"/>
      <c r="G295" s="139" t="s">
        <v>250</v>
      </c>
      <c r="H295" s="139"/>
    </row>
    <row r="296" spans="1:8" x14ac:dyDescent="0.35">
      <c r="A296" s="138" t="s">
        <v>81</v>
      </c>
      <c r="B296" s="138"/>
      <c r="C296" s="138"/>
      <c r="D296" s="138"/>
      <c r="E296" s="138"/>
      <c r="F296" s="138"/>
      <c r="G296" s="138"/>
      <c r="H296" s="138"/>
    </row>
    <row r="297" spans="1:8" x14ac:dyDescent="0.35">
      <c r="A297" s="138"/>
      <c r="B297" s="138"/>
      <c r="C297" s="138"/>
      <c r="D297" s="138"/>
      <c r="E297" s="138"/>
      <c r="F297" s="138"/>
      <c r="G297" s="138"/>
      <c r="H297" s="138"/>
    </row>
    <row r="298" spans="1:8" x14ac:dyDescent="0.35">
      <c r="A298" s="138"/>
      <c r="B298" s="138"/>
      <c r="C298" s="138"/>
      <c r="D298" s="138"/>
      <c r="E298" s="138"/>
      <c r="F298" s="138"/>
      <c r="G298" s="138"/>
      <c r="H298" s="138"/>
    </row>
    <row r="299" spans="1:8" x14ac:dyDescent="0.35">
      <c r="A299" s="138"/>
      <c r="B299" s="138"/>
      <c r="C299" s="138"/>
      <c r="D299" s="138"/>
      <c r="E299" s="138"/>
      <c r="F299" s="138"/>
      <c r="G299" s="138"/>
      <c r="H299" s="138"/>
    </row>
    <row r="300" spans="1:8" x14ac:dyDescent="0.35">
      <c r="A300" s="36" t="s">
        <v>68</v>
      </c>
      <c r="B300" s="37"/>
      <c r="C300" s="37"/>
      <c r="D300" s="36" t="str">
        <f>E8</f>
        <v>Simana Phase I</v>
      </c>
      <c r="F300" s="37"/>
      <c r="G300" s="37"/>
      <c r="H300" s="37"/>
    </row>
    <row r="301" spans="1:8" x14ac:dyDescent="0.35">
      <c r="A301" s="37"/>
      <c r="B301" s="37"/>
      <c r="C301" s="37"/>
      <c r="D301" s="37"/>
      <c r="E301" s="37"/>
      <c r="F301" s="37"/>
      <c r="G301" s="37"/>
      <c r="H301" s="37"/>
    </row>
    <row r="302" spans="1:8" x14ac:dyDescent="0.35">
      <c r="A302" s="37"/>
      <c r="B302" s="37"/>
      <c r="C302" s="37"/>
      <c r="D302" s="37"/>
      <c r="E302" s="37"/>
      <c r="F302" s="37"/>
      <c r="G302" s="37"/>
      <c r="H302" s="37"/>
    </row>
    <row r="303" spans="1:8" ht="15" customHeight="1" x14ac:dyDescent="0.35"/>
    <row r="343" spans="1:1" x14ac:dyDescent="0.35">
      <c r="A343" s="39" t="s">
        <v>168</v>
      </c>
    </row>
    <row r="377" spans="1:1" x14ac:dyDescent="0.35">
      <c r="A377" s="39" t="s">
        <v>69</v>
      </c>
    </row>
  </sheetData>
  <mergeCells count="561">
    <mergeCell ref="A56:B57"/>
    <mergeCell ref="C56:E56"/>
    <mergeCell ref="G56:H56"/>
    <mergeCell ref="C57:E57"/>
    <mergeCell ref="G57:H57"/>
    <mergeCell ref="B287:H287"/>
    <mergeCell ref="A155:H155"/>
    <mergeCell ref="B286:H286"/>
    <mergeCell ref="L188:M188"/>
    <mergeCell ref="A189:B189"/>
    <mergeCell ref="L189:M189"/>
    <mergeCell ref="A190:B190"/>
    <mergeCell ref="L190:M190"/>
    <mergeCell ref="L179:M179"/>
    <mergeCell ref="A180:H180"/>
    <mergeCell ref="A181:B181"/>
    <mergeCell ref="G181:H186"/>
    <mergeCell ref="L181:M181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L174:M174"/>
    <mergeCell ref="A175:B175"/>
    <mergeCell ref="L175:M175"/>
    <mergeCell ref="A176:B176"/>
    <mergeCell ref="L176:M176"/>
    <mergeCell ref="A177:B177"/>
    <mergeCell ref="L177:M177"/>
    <mergeCell ref="A178:B178"/>
    <mergeCell ref="L178:M178"/>
    <mergeCell ref="L164:M164"/>
    <mergeCell ref="A165:B165"/>
    <mergeCell ref="L165:M165"/>
    <mergeCell ref="A166:B166"/>
    <mergeCell ref="L166:M166"/>
    <mergeCell ref="A167:B167"/>
    <mergeCell ref="L167:M167"/>
    <mergeCell ref="A168:H168"/>
    <mergeCell ref="A169:B169"/>
    <mergeCell ref="G169:H172"/>
    <mergeCell ref="L169:M169"/>
    <mergeCell ref="A170:B170"/>
    <mergeCell ref="L170:M170"/>
    <mergeCell ref="A171:B171"/>
    <mergeCell ref="L171:M171"/>
    <mergeCell ref="A172:B172"/>
    <mergeCell ref="L172:M172"/>
    <mergeCell ref="L131:M131"/>
    <mergeCell ref="L152:M152"/>
    <mergeCell ref="A153:B153"/>
    <mergeCell ref="L153:M153"/>
    <mergeCell ref="L154:M154"/>
    <mergeCell ref="A156:H156"/>
    <mergeCell ref="A157:B157"/>
    <mergeCell ref="G157:H162"/>
    <mergeCell ref="L157:M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A154:B154"/>
    <mergeCell ref="A151:B151"/>
    <mergeCell ref="L151:M151"/>
    <mergeCell ref="L138:M138"/>
    <mergeCell ref="A138:B138"/>
    <mergeCell ref="A105:E105"/>
    <mergeCell ref="A118:B118"/>
    <mergeCell ref="E118:F118"/>
    <mergeCell ref="A141:H141"/>
    <mergeCell ref="A142:B142"/>
    <mergeCell ref="G142:H147"/>
    <mergeCell ref="L142:M142"/>
    <mergeCell ref="A143:B143"/>
    <mergeCell ref="L143:M143"/>
    <mergeCell ref="A144:B144"/>
    <mergeCell ref="L144:M144"/>
    <mergeCell ref="A145:B145"/>
    <mergeCell ref="L145:M145"/>
    <mergeCell ref="A146:B146"/>
    <mergeCell ref="L146:M146"/>
    <mergeCell ref="A147:B147"/>
    <mergeCell ref="L147:M147"/>
    <mergeCell ref="L135:M135"/>
    <mergeCell ref="G130:H135"/>
    <mergeCell ref="G137:H140"/>
    <mergeCell ref="A136:H136"/>
    <mergeCell ref="L130:M130"/>
    <mergeCell ref="L137:M137"/>
    <mergeCell ref="A128:H128"/>
    <mergeCell ref="L139:M139"/>
    <mergeCell ref="A140:B140"/>
    <mergeCell ref="L140:M140"/>
    <mergeCell ref="L149:M149"/>
    <mergeCell ref="A150:B150"/>
    <mergeCell ref="L150:M150"/>
    <mergeCell ref="L132:M132"/>
    <mergeCell ref="A133:B133"/>
    <mergeCell ref="L133:M133"/>
    <mergeCell ref="A134:B134"/>
    <mergeCell ref="L134:M134"/>
    <mergeCell ref="A132:B132"/>
    <mergeCell ref="A139:B139"/>
    <mergeCell ref="A38:B38"/>
    <mergeCell ref="C38:H38"/>
    <mergeCell ref="D66:H66"/>
    <mergeCell ref="A82:B82"/>
    <mergeCell ref="A75:B75"/>
    <mergeCell ref="A78:B78"/>
    <mergeCell ref="A74:B74"/>
    <mergeCell ref="A72:B72"/>
    <mergeCell ref="C72:H72"/>
    <mergeCell ref="A80:B80"/>
    <mergeCell ref="A67:C67"/>
    <mergeCell ref="D67:H67"/>
    <mergeCell ref="C74:H74"/>
    <mergeCell ref="A77:B77"/>
    <mergeCell ref="A79:B79"/>
    <mergeCell ref="E75:F75"/>
    <mergeCell ref="A68:C68"/>
    <mergeCell ref="D68:H68"/>
    <mergeCell ref="A71:C71"/>
    <mergeCell ref="D71:H71"/>
    <mergeCell ref="A69:C69"/>
    <mergeCell ref="D69:H69"/>
    <mergeCell ref="A70:C70"/>
    <mergeCell ref="A47:B47"/>
    <mergeCell ref="C47:H47"/>
    <mergeCell ref="B282:H282"/>
    <mergeCell ref="G90:H99"/>
    <mergeCell ref="A91:B91"/>
    <mergeCell ref="A92:B92"/>
    <mergeCell ref="A93:B93"/>
    <mergeCell ref="F102:H102"/>
    <mergeCell ref="A102:E102"/>
    <mergeCell ref="A104:E104"/>
    <mergeCell ref="A88:B88"/>
    <mergeCell ref="C88:H88"/>
    <mergeCell ref="A163:H163"/>
    <mergeCell ref="A164:B164"/>
    <mergeCell ref="G164:H167"/>
    <mergeCell ref="A173:H173"/>
    <mergeCell ref="A174:B174"/>
    <mergeCell ref="G174:H179"/>
    <mergeCell ref="A103:E103"/>
    <mergeCell ref="A100:E100"/>
    <mergeCell ref="F104:H104"/>
    <mergeCell ref="A84:B84"/>
    <mergeCell ref="A85:B85"/>
    <mergeCell ref="F108:H108"/>
    <mergeCell ref="A262:H262"/>
    <mergeCell ref="A37:B37"/>
    <mergeCell ref="C37:H37"/>
    <mergeCell ref="A44:D44"/>
    <mergeCell ref="A83:B83"/>
    <mergeCell ref="C116:D116"/>
    <mergeCell ref="E116:F116"/>
    <mergeCell ref="G116:H116"/>
    <mergeCell ref="F107:H107"/>
    <mergeCell ref="A101:E101"/>
    <mergeCell ref="A90:B90"/>
    <mergeCell ref="E90:F99"/>
    <mergeCell ref="A97:B97"/>
    <mergeCell ref="A98:B98"/>
    <mergeCell ref="A99:B99"/>
    <mergeCell ref="F100:H100"/>
    <mergeCell ref="F105:H105"/>
    <mergeCell ref="A111:E111"/>
    <mergeCell ref="C115:D115"/>
    <mergeCell ref="A89:B89"/>
    <mergeCell ref="E89:F89"/>
    <mergeCell ref="G89:H89"/>
    <mergeCell ref="A66:C66"/>
    <mergeCell ref="E76:F85"/>
    <mergeCell ref="G76:H85"/>
    <mergeCell ref="A36:H36"/>
    <mergeCell ref="A35:B35"/>
    <mergeCell ref="C35:E35"/>
    <mergeCell ref="A40:D40"/>
    <mergeCell ref="E40:H40"/>
    <mergeCell ref="F32:H32"/>
    <mergeCell ref="F33:H33"/>
    <mergeCell ref="A39:H39"/>
    <mergeCell ref="A65:C65"/>
    <mergeCell ref="D65:H65"/>
    <mergeCell ref="A42:D42"/>
    <mergeCell ref="E42:H42"/>
    <mergeCell ref="E43:H43"/>
    <mergeCell ref="E44:H44"/>
    <mergeCell ref="E45:H45"/>
    <mergeCell ref="A43:D43"/>
    <mergeCell ref="F35:H35"/>
    <mergeCell ref="A34:B34"/>
    <mergeCell ref="C34:E34"/>
    <mergeCell ref="A45:D45"/>
    <mergeCell ref="A46:H46"/>
    <mergeCell ref="D62:H62"/>
    <mergeCell ref="A62:C62"/>
    <mergeCell ref="G49:H49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96:H299"/>
    <mergeCell ref="A295:B295"/>
    <mergeCell ref="E295:F295"/>
    <mergeCell ref="C295:D295"/>
    <mergeCell ref="G295:H295"/>
    <mergeCell ref="A112:E112"/>
    <mergeCell ref="F112:H112"/>
    <mergeCell ref="A113:E113"/>
    <mergeCell ref="F113:H113"/>
    <mergeCell ref="A116:B116"/>
    <mergeCell ref="A291:H291"/>
    <mergeCell ref="A114:H114"/>
    <mergeCell ref="A294:H294"/>
    <mergeCell ref="A292:H292"/>
    <mergeCell ref="A288:H288"/>
    <mergeCell ref="A289:H289"/>
    <mergeCell ref="G115:H115"/>
    <mergeCell ref="A121:A122"/>
    <mergeCell ref="G118:H118"/>
    <mergeCell ref="B285:H285"/>
    <mergeCell ref="B283:H283"/>
    <mergeCell ref="A119:H119"/>
    <mergeCell ref="B278:H278"/>
    <mergeCell ref="B279:H279"/>
    <mergeCell ref="B284:H284"/>
    <mergeCell ref="A191:H191"/>
    <mergeCell ref="A192:H192"/>
    <mergeCell ref="A193:H193"/>
    <mergeCell ref="A194:H194"/>
    <mergeCell ref="A260:B260"/>
    <mergeCell ref="G210:H215"/>
    <mergeCell ref="A215:B215"/>
    <mergeCell ref="A224:H224"/>
    <mergeCell ref="A225:B225"/>
    <mergeCell ref="G225:H230"/>
    <mergeCell ref="A230:B230"/>
    <mergeCell ref="A236:H236"/>
    <mergeCell ref="A237:B237"/>
    <mergeCell ref="G237:H242"/>
    <mergeCell ref="A242:B242"/>
    <mergeCell ref="A196:H196"/>
    <mergeCell ref="A261:B261"/>
    <mergeCell ref="A266:B266"/>
    <mergeCell ref="A250:H250"/>
    <mergeCell ref="A251:B251"/>
    <mergeCell ref="G251:H254"/>
    <mergeCell ref="D70:H70"/>
    <mergeCell ref="A76:B76"/>
    <mergeCell ref="G75:H75"/>
    <mergeCell ref="A200:B200"/>
    <mergeCell ref="B280:H280"/>
    <mergeCell ref="B281:H281"/>
    <mergeCell ref="A277:H277"/>
    <mergeCell ref="B121:B122"/>
    <mergeCell ref="A201:B201"/>
    <mergeCell ref="A198:B198"/>
    <mergeCell ref="A106:E106"/>
    <mergeCell ref="F106:H106"/>
    <mergeCell ref="A107:E107"/>
    <mergeCell ref="A109:E109"/>
    <mergeCell ref="F103:H103"/>
    <mergeCell ref="A108:E108"/>
    <mergeCell ref="F111:H111"/>
    <mergeCell ref="F109:H109"/>
    <mergeCell ref="A120:H120"/>
    <mergeCell ref="A110:E110"/>
    <mergeCell ref="C121:C122"/>
    <mergeCell ref="C118:D118"/>
    <mergeCell ref="A197:H197"/>
    <mergeCell ref="F110:H110"/>
    <mergeCell ref="E115:F115"/>
    <mergeCell ref="A179:B179"/>
    <mergeCell ref="A187:H187"/>
    <mergeCell ref="A188:B188"/>
    <mergeCell ref="G188:H190"/>
    <mergeCell ref="A195:H195"/>
    <mergeCell ref="A129:H129"/>
    <mergeCell ref="A130:B130"/>
    <mergeCell ref="A135:B135"/>
    <mergeCell ref="A123:H123"/>
    <mergeCell ref="A124:H124"/>
    <mergeCell ref="A125:H125"/>
    <mergeCell ref="A126:H126"/>
    <mergeCell ref="A127:H127"/>
    <mergeCell ref="A152:B152"/>
    <mergeCell ref="A117:B117"/>
    <mergeCell ref="C117:D117"/>
    <mergeCell ref="E117:F117"/>
    <mergeCell ref="G117:H117"/>
    <mergeCell ref="A148:H148"/>
    <mergeCell ref="A149:B149"/>
    <mergeCell ref="G149:H154"/>
    <mergeCell ref="A137:B137"/>
    <mergeCell ref="A131:B131"/>
    <mergeCell ref="D60:H60"/>
    <mergeCell ref="C54:E54"/>
    <mergeCell ref="A63:C64"/>
    <mergeCell ref="D63:H63"/>
    <mergeCell ref="D64:H64"/>
    <mergeCell ref="C49:E49"/>
    <mergeCell ref="A58:B58"/>
    <mergeCell ref="C58:E58"/>
    <mergeCell ref="A49:B49"/>
    <mergeCell ref="A59:H59"/>
    <mergeCell ref="A60:C60"/>
    <mergeCell ref="A61:C61"/>
    <mergeCell ref="D61:H61"/>
    <mergeCell ref="G58:H58"/>
    <mergeCell ref="C50:E50"/>
    <mergeCell ref="G50:H50"/>
    <mergeCell ref="C51:E51"/>
    <mergeCell ref="G51:H51"/>
    <mergeCell ref="C52:E52"/>
    <mergeCell ref="G52:H52"/>
    <mergeCell ref="C53:E53"/>
    <mergeCell ref="G53:H53"/>
    <mergeCell ref="A50:B51"/>
    <mergeCell ref="A52:B53"/>
    <mergeCell ref="E41:H41"/>
    <mergeCell ref="A41:D41"/>
    <mergeCell ref="A293:H293"/>
    <mergeCell ref="A290:H290"/>
    <mergeCell ref="A115:B115"/>
    <mergeCell ref="D121:D122"/>
    <mergeCell ref="E121:E122"/>
    <mergeCell ref="G121:H122"/>
    <mergeCell ref="A94:B94"/>
    <mergeCell ref="A95:B95"/>
    <mergeCell ref="A96:B96"/>
    <mergeCell ref="A86:B86"/>
    <mergeCell ref="C86:H86"/>
    <mergeCell ref="A81:B81"/>
    <mergeCell ref="F101:H101"/>
    <mergeCell ref="A202:B202"/>
    <mergeCell ref="A48:B48"/>
    <mergeCell ref="C48:E48"/>
    <mergeCell ref="C55:E55"/>
    <mergeCell ref="G55:H55"/>
    <mergeCell ref="G48:H48"/>
    <mergeCell ref="G54:H54"/>
    <mergeCell ref="A209:H209"/>
    <mergeCell ref="A210:B210"/>
    <mergeCell ref="L202:M202"/>
    <mergeCell ref="A203:B203"/>
    <mergeCell ref="L203:M203"/>
    <mergeCell ref="G198:H203"/>
    <mergeCell ref="A204:H204"/>
    <mergeCell ref="G205:H208"/>
    <mergeCell ref="A205:B205"/>
    <mergeCell ref="L205:M205"/>
    <mergeCell ref="A206:B206"/>
    <mergeCell ref="L206:M206"/>
    <mergeCell ref="A207:B207"/>
    <mergeCell ref="L207:M207"/>
    <mergeCell ref="A208:B208"/>
    <mergeCell ref="L208:M208"/>
    <mergeCell ref="L201:M201"/>
    <mergeCell ref="L198:M198"/>
    <mergeCell ref="L199:M199"/>
    <mergeCell ref="L200:M200"/>
    <mergeCell ref="A199:B199"/>
    <mergeCell ref="L210:M210"/>
    <mergeCell ref="A211:B211"/>
    <mergeCell ref="L211:M211"/>
    <mergeCell ref="A212:B212"/>
    <mergeCell ref="L212:M212"/>
    <mergeCell ref="A213:B213"/>
    <mergeCell ref="L213:M213"/>
    <mergeCell ref="A214:B214"/>
    <mergeCell ref="L214:M214"/>
    <mergeCell ref="L215:M215"/>
    <mergeCell ref="A217:H217"/>
    <mergeCell ref="A218:B218"/>
    <mergeCell ref="G218:H223"/>
    <mergeCell ref="L218:M218"/>
    <mergeCell ref="A219:B219"/>
    <mergeCell ref="L219:M219"/>
    <mergeCell ref="A220:B220"/>
    <mergeCell ref="L220:M220"/>
    <mergeCell ref="A221:B221"/>
    <mergeCell ref="L221:M221"/>
    <mergeCell ref="A222:B222"/>
    <mergeCell ref="L222:M222"/>
    <mergeCell ref="A223:B223"/>
    <mergeCell ref="L223:M223"/>
    <mergeCell ref="A216:H216"/>
    <mergeCell ref="L225:M225"/>
    <mergeCell ref="A226:B226"/>
    <mergeCell ref="L226:M226"/>
    <mergeCell ref="A227:B227"/>
    <mergeCell ref="L227:M227"/>
    <mergeCell ref="A228:B228"/>
    <mergeCell ref="L228:M228"/>
    <mergeCell ref="A229:B229"/>
    <mergeCell ref="L229:M229"/>
    <mergeCell ref="L230:M230"/>
    <mergeCell ref="A231:H231"/>
    <mergeCell ref="A232:B232"/>
    <mergeCell ref="G232:H235"/>
    <mergeCell ref="L232:M232"/>
    <mergeCell ref="A233:B233"/>
    <mergeCell ref="L233:M233"/>
    <mergeCell ref="A234:B234"/>
    <mergeCell ref="L234:M234"/>
    <mergeCell ref="A235:B235"/>
    <mergeCell ref="L235:M235"/>
    <mergeCell ref="L237:M237"/>
    <mergeCell ref="A238:B238"/>
    <mergeCell ref="L238:M238"/>
    <mergeCell ref="A239:B239"/>
    <mergeCell ref="L239:M239"/>
    <mergeCell ref="A240:B240"/>
    <mergeCell ref="L240:M240"/>
    <mergeCell ref="A241:B241"/>
    <mergeCell ref="L241:M241"/>
    <mergeCell ref="L242:M242"/>
    <mergeCell ref="A243:H243"/>
    <mergeCell ref="A244:B244"/>
    <mergeCell ref="G244:H249"/>
    <mergeCell ref="L244:M244"/>
    <mergeCell ref="A245:B245"/>
    <mergeCell ref="L245:M245"/>
    <mergeCell ref="A246:B246"/>
    <mergeCell ref="L246:M246"/>
    <mergeCell ref="A247:B247"/>
    <mergeCell ref="L247:M247"/>
    <mergeCell ref="A248:B248"/>
    <mergeCell ref="L248:M248"/>
    <mergeCell ref="A249:B249"/>
    <mergeCell ref="L249:M249"/>
    <mergeCell ref="L266:M266"/>
    <mergeCell ref="A267:B267"/>
    <mergeCell ref="L267:M267"/>
    <mergeCell ref="A268:B268"/>
    <mergeCell ref="L268:M268"/>
    <mergeCell ref="L251:M251"/>
    <mergeCell ref="A252:B252"/>
    <mergeCell ref="L252:M252"/>
    <mergeCell ref="A253:B253"/>
    <mergeCell ref="L253:M253"/>
    <mergeCell ref="A254:B254"/>
    <mergeCell ref="L254:M254"/>
    <mergeCell ref="A255:H255"/>
    <mergeCell ref="A256:B256"/>
    <mergeCell ref="G256:H261"/>
    <mergeCell ref="L256:M256"/>
    <mergeCell ref="A257:B257"/>
    <mergeCell ref="L257:M257"/>
    <mergeCell ref="A258:B258"/>
    <mergeCell ref="L258:M258"/>
    <mergeCell ref="A259:B259"/>
    <mergeCell ref="L259:M259"/>
    <mergeCell ref="L260:M260"/>
    <mergeCell ref="L261:M261"/>
    <mergeCell ref="A54:B55"/>
    <mergeCell ref="A274:B274"/>
    <mergeCell ref="G274:H276"/>
    <mergeCell ref="L274:M274"/>
    <mergeCell ref="A275:B275"/>
    <mergeCell ref="L275:M275"/>
    <mergeCell ref="A276:B276"/>
    <mergeCell ref="L276:M276"/>
    <mergeCell ref="A269:H269"/>
    <mergeCell ref="A270:B270"/>
    <mergeCell ref="G270:H272"/>
    <mergeCell ref="L270:M270"/>
    <mergeCell ref="A271:B271"/>
    <mergeCell ref="L271:M271"/>
    <mergeCell ref="A272:B272"/>
    <mergeCell ref="L272:M272"/>
    <mergeCell ref="A273:H273"/>
    <mergeCell ref="A263:B263"/>
    <mergeCell ref="G263:H268"/>
    <mergeCell ref="L263:M263"/>
    <mergeCell ref="A264:B264"/>
    <mergeCell ref="L264:M264"/>
    <mergeCell ref="A265:B265"/>
    <mergeCell ref="L265:M265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5" max="7" man="1"/>
    <brk id="299" max="16383" man="1"/>
    <brk id="342" max="16383" man="1"/>
    <brk id="37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I21" sqref="I21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7" t="s">
        <v>110</v>
      </c>
      <c r="C3" s="187"/>
      <c r="D3" s="187"/>
      <c r="E3" s="187"/>
      <c r="F3" s="187"/>
      <c r="G3" s="187"/>
      <c r="H3" s="187"/>
    </row>
    <row r="4" spans="1:9" x14ac:dyDescent="0.3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2025-05-13T06:22:45Z</cp:lastPrinted>
  <dcterms:created xsi:type="dcterms:W3CDTF">2019-07-16T09:29:46Z</dcterms:created>
  <dcterms:modified xsi:type="dcterms:W3CDTF">2025-08-19T12:49:05Z</dcterms:modified>
</cp:coreProperties>
</file>