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669"/>
  </bookViews>
  <sheets>
    <sheet name="Report" sheetId="1" r:id="rId1"/>
    <sheet name="valuation" sheetId="5" r:id="rId2"/>
    <sheet name="Research" sheetId="4" r:id="rId3"/>
    <sheet name="Remarks" sheetId="6" r:id="rId4"/>
    <sheet name="Area Calculation" sheetId="7" r:id="rId5"/>
  </sheets>
  <definedNames>
    <definedName name="_xlnm.Print_Area" localSheetId="0">Report!$A$1:$H$327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1" l="1"/>
  <c r="L174" i="1" l="1"/>
  <c r="D175" i="1" l="1"/>
  <c r="D174" i="1"/>
  <c r="D173" i="1"/>
  <c r="F173" i="1" s="1"/>
  <c r="H173" i="1" s="1"/>
  <c r="D172" i="1"/>
  <c r="F172" i="1" s="1"/>
  <c r="H172" i="1" s="1"/>
  <c r="D171" i="1"/>
  <c r="F171" i="1" s="1"/>
  <c r="H171" i="1" s="1"/>
  <c r="D167" i="1"/>
  <c r="F167" i="1" s="1"/>
  <c r="H167" i="1" s="1"/>
  <c r="D166" i="1"/>
  <c r="F166" i="1" s="1"/>
  <c r="H166" i="1" s="1"/>
  <c r="D165" i="1"/>
  <c r="F165" i="1" s="1"/>
  <c r="H165" i="1" s="1"/>
  <c r="D164" i="1"/>
  <c r="F164" i="1" s="1"/>
  <c r="H164" i="1" s="1"/>
  <c r="D163" i="1"/>
  <c r="F163" i="1" s="1"/>
  <c r="H163" i="1" s="1"/>
  <c r="D162" i="1"/>
  <c r="F162" i="1" s="1"/>
  <c r="H162" i="1" s="1"/>
  <c r="D161" i="1"/>
  <c r="F161" i="1" s="1"/>
  <c r="H161"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1" i="1"/>
  <c r="F151" i="1" s="1"/>
  <c r="H151" i="1" s="1"/>
  <c r="J151" i="1" s="1"/>
  <c r="D150" i="1"/>
  <c r="F150" i="1" s="1"/>
  <c r="H150" i="1" s="1"/>
  <c r="D149" i="1"/>
  <c r="F149" i="1" s="1"/>
  <c r="H149" i="1" s="1"/>
  <c r="D148" i="1"/>
  <c r="F148" i="1" s="1"/>
  <c r="H148" i="1" s="1"/>
  <c r="D147" i="1"/>
  <c r="F147" i="1" s="1"/>
  <c r="H147" i="1" s="1"/>
  <c r="D143" i="1"/>
  <c r="D142" i="1"/>
  <c r="D141" i="1"/>
  <c r="D140" i="1"/>
  <c r="D139" i="1"/>
  <c r="D138" i="1"/>
  <c r="D137" i="1"/>
  <c r="D135" i="1"/>
  <c r="F135" i="1" s="1"/>
  <c r="H135" i="1" s="1"/>
  <c r="D133" i="1"/>
  <c r="F133" i="1" s="1"/>
  <c r="H133" i="1" s="1"/>
  <c r="D130" i="1"/>
  <c r="D129" i="1"/>
  <c r="A162" i="1"/>
  <c r="A163" i="1" s="1"/>
  <c r="A164" i="1" s="1"/>
  <c r="A165" i="1" s="1"/>
  <c r="A166" i="1" s="1"/>
  <c r="A167" i="1" s="1"/>
  <c r="F175" i="1"/>
  <c r="H175" i="1" s="1"/>
  <c r="F174" i="1"/>
  <c r="H174" i="1" s="1"/>
  <c r="A172" i="1"/>
  <c r="A173" i="1" s="1"/>
  <c r="A174" i="1" s="1"/>
  <c r="A175" i="1" s="1"/>
  <c r="A154" i="1"/>
  <c r="A155" i="1" s="1"/>
  <c r="A156" i="1" s="1"/>
  <c r="A157" i="1" s="1"/>
  <c r="A158" i="1" s="1"/>
  <c r="A159" i="1" s="1"/>
  <c r="A146" i="1"/>
  <c r="A147" i="1" s="1"/>
  <c r="A148" i="1" s="1"/>
  <c r="A149" i="1" s="1"/>
  <c r="A150" i="1" s="1"/>
  <c r="A151" i="1" s="1"/>
  <c r="F142" i="1"/>
  <c r="H142" i="1" s="1"/>
  <c r="F143" i="1"/>
  <c r="H143" i="1" s="1"/>
  <c r="I129" i="1"/>
  <c r="I125" i="1"/>
  <c r="C54" i="1" l="1"/>
  <c r="G51"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E44" i="7"/>
  <c r="D44" i="7" l="1"/>
  <c r="E31" i="1"/>
  <c r="B179" i="1" l="1"/>
  <c r="F120" i="1" l="1"/>
  <c r="H120" i="1" s="1"/>
  <c r="F121" i="1"/>
  <c r="H121" i="1" s="1"/>
  <c r="F122" i="1"/>
  <c r="H122" i="1" s="1"/>
  <c r="F119" i="1"/>
  <c r="H119" i="1" s="1"/>
  <c r="G58" i="1" l="1"/>
  <c r="C58" i="1"/>
  <c r="G56" i="1"/>
  <c r="C56" i="1"/>
  <c r="S33" i="1" l="1"/>
  <c r="F11" i="5" l="1"/>
  <c r="G11" i="5" s="1"/>
  <c r="F10" i="5"/>
  <c r="G10" i="5" s="1"/>
  <c r="F9" i="5"/>
  <c r="G9" i="5" s="1"/>
  <c r="F8" i="5"/>
  <c r="G8" i="5" s="1"/>
  <c r="F7" i="5"/>
  <c r="G7" i="5" s="1"/>
  <c r="F6" i="5"/>
  <c r="G6" i="5" s="1"/>
  <c r="F5" i="5"/>
  <c r="G5" i="5" s="1"/>
  <c r="G12" i="5" s="1"/>
  <c r="D201" i="1"/>
  <c r="B180" i="1"/>
  <c r="F141" i="1"/>
  <c r="H141" i="1" s="1"/>
  <c r="F140" i="1"/>
  <c r="H140" i="1" s="1"/>
  <c r="F139" i="1"/>
  <c r="H139" i="1" s="1"/>
  <c r="F138" i="1"/>
  <c r="H138" i="1" s="1"/>
  <c r="F137" i="1"/>
  <c r="A138" i="1"/>
  <c r="A139" i="1" s="1"/>
  <c r="A140" i="1" s="1"/>
  <c r="A141" i="1" s="1"/>
  <c r="A142" i="1" s="1"/>
  <c r="A143" i="1" s="1"/>
  <c r="F130" i="1"/>
  <c r="H130" i="1" s="1"/>
  <c r="A130" i="1"/>
  <c r="F129" i="1"/>
  <c r="A120" i="1"/>
  <c r="A121" i="1" s="1"/>
  <c r="A122" i="1" s="1"/>
  <c r="F99" i="1"/>
  <c r="C73" i="1"/>
  <c r="D67" i="1"/>
  <c r="D62" i="1"/>
  <c r="C51" i="1"/>
  <c r="E44" i="1"/>
  <c r="E45" i="1" s="1"/>
  <c r="E28" i="1"/>
  <c r="E26" i="1"/>
  <c r="C16" i="1"/>
  <c r="I15" i="1"/>
  <c r="Z13" i="1"/>
  <c r="E3" i="1"/>
  <c r="H74" i="1"/>
  <c r="H129" i="1" l="1"/>
  <c r="G107" i="1" s="1"/>
  <c r="G108" i="1" s="1"/>
  <c r="E107" i="1"/>
  <c r="E108" i="1" s="1"/>
  <c r="C107" i="1"/>
  <c r="C108" i="1" s="1"/>
  <c r="H137" i="1"/>
  <c r="G111" i="1" s="1"/>
  <c r="G112" i="1" s="1"/>
  <c r="C111" i="1"/>
  <c r="C112" i="1" s="1"/>
  <c r="E111" i="1"/>
  <c r="E112" i="1" s="1"/>
  <c r="J73" i="1"/>
  <c r="J75" i="1" s="1"/>
  <c r="J76" i="1"/>
  <c r="J77" i="1"/>
  <c r="J78" i="1"/>
  <c r="C77" i="1" s="1"/>
  <c r="D81" i="1"/>
  <c r="D83" i="1"/>
  <c r="D82" i="1"/>
  <c r="D86" i="1"/>
  <c r="D80" i="1"/>
  <c r="D85" i="1"/>
  <c r="D79" i="1"/>
  <c r="D84" i="1"/>
  <c r="B74" i="1"/>
  <c r="J79" i="1" s="1"/>
  <c r="C113" i="1" l="1"/>
  <c r="E113" i="1"/>
  <c r="G113" i="1"/>
  <c r="D77" i="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<sst xmlns="http://schemas.openxmlformats.org/spreadsheetml/2006/main" count="668" uniqueCount="394">
  <si>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</si>
  <si>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</si>
  <si>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</si>
  <si>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</si>
  <si>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</si>
  <si>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</si>
  <si>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</si>
  <si>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</si>
  <si>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</si>
  <si>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</si>
  <si>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</si>
  <si>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</si>
  <si>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</si>
  <si>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</si>
  <si>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</si>
  <si>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</si>
  <si>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</si>
  <si>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</si>
  <si>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</si>
  <si>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</si>
  <si>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</si>
  <si>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</si>
  <si>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</si>
  <si>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</si>
  <si>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</si>
  <si>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</si>
  <si>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</si>
  <si>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</si>
  <si>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</si>
  <si>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</si>
  <si>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</si>
  <si>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</si>
  <si>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</si>
  <si>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</si>
  <si>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</si>
  <si>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</si>
  <si>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</si>
  <si>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</si>
  <si>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</si>
  <si>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</si>
  <si>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</si>
  <si>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</si>
  <si>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</si>
  <si>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</si>
  <si>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</si>
  <si>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</si>
  <si>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</si>
  <si>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</si>
  <si>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</si>
  <si>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</si>
  <si>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</si>
  <si>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</si>
  <si>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</si>
  <si>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</si>
  <si>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</si>
  <si>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</si>
  <si>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</si>
  <si>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</si>
  <si>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</si>
  <si>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</si>
  <si>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</si>
  <si>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</si>
  <si>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</si>
  <si>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</si>
  <si>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</si>
  <si>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</si>
  <si>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</si>
  <si>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</si>
  <si>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</si>
  <si>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</si>
  <si>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</si>
  <si>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</si>
  <si>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</si>
  <si>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</si>
  <si>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</si>
  <si>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</si>
  <si>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</si>
  <si>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</si>
  <si>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</si>
  <si>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</si>
  <si>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</si>
  <si>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</si>
  <si>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</si>
  <si>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</si>
  <si>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</si>
  <si>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</si>
  <si>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</si>
  <si>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</si>
  <si>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</si>
  <si>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</si>
  <si>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</si>
  <si>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</si>
  <si>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</si>
  <si>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</si>
  <si>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</si>
  <si>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</si>
  <si>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</si>
  <si>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</si>
  <si>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</si>
  <si>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</si>
  <si>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</si>
  <si>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</si>
  <si>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</si>
  <si>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</si>
  <si>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</si>
  <si>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</si>
  <si>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</si>
  <si>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</si>
  <si>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</si>
  <si>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</si>
  <si>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</si>
  <si>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</si>
  <si>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</si>
  <si>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</si>
  <si>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</si>
  <si>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</si>
  <si>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</si>
  <si>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</si>
  <si>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</si>
  <si>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</si>
  <si>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</si>
  <si>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</si>
  <si>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</si>
  <si>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</si>
  <si>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</si>
  <si>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</si>
  <si>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</si>
  <si>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</si>
  <si>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</si>
  <si>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</si>
  <si>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</si>
  <si>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</si>
  <si>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</si>
  <si>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</si>
  <si>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</si>
  <si>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</si>
  <si>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</si>
  <si>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</si>
  <si>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</si>
  <si>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</si>
  <si>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</si>
  <si>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</si>
  <si>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</si>
  <si>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</si>
  <si>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</si>
  <si>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</si>
  <si>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</si>
  <si>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</si>
  <si>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</si>
  <si>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</si>
  <si>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</si>
  <si>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</si>
  <si>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</si>
  <si>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</si>
  <si>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</si>
  <si>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</si>
  <si>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</si>
  <si>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</si>
  <si>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</si>
  <si>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</si>
  <si>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</si>
  <si>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</si>
  <si>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</si>
  <si>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</si>
  <si>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</si>
  <si>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</si>
  <si>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</si>
  <si>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</si>
  <si>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</si>
  <si>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</si>
  <si>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</si>
  <si>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</si>
  <si>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</si>
  <si>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</si>
  <si>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</si>
  <si>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</si>
  <si>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</si>
  <si>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</si>
  <si>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</si>
  <si>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</si>
  <si>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</si>
  <si>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</si>
  <si>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</si>
  <si>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</si>
  <si>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</si>
  <si>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</si>
  <si>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</si>
  <si>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</si>
  <si>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</si>
  <si>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</si>
  <si>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</si>
  <si>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</si>
  <si>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</si>
  <si>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</si>
  <si>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</si>
  <si>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</si>
  <si>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</si>
  <si>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</si>
  <si>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</si>
  <si>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</si>
  <si>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</si>
  <si>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</si>
  <si>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</si>
  <si>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</si>
  <si>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</si>
  <si>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</si>
  <si>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</si>
  <si>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</si>
  <si>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</si>
  <si>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</si>
  <si>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</si>
  <si>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</si>
  <si>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</si>
  <si>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</si>
  <si>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</si>
  <si>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</si>
  <si>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</si>
  <si>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</si>
  <si>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</si>
  <si>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</si>
  <si>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</si>
  <si>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</si>
  <si>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</si>
  <si>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</si>
  <si>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</si>
  <si>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</si>
  <si>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</si>
  <si>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</si>
  <si>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</si>
  <si>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</si>
  <si>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</si>
  <si>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</si>
  <si>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</si>
  <si>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</si>
  <si>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</si>
  <si>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</si>
  <si>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</si>
  <si>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</si>
  <si>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</si>
  <si>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</si>
  <si>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</si>
  <si>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</si>
  <si>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</si>
  <si>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</si>
  <si>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</si>
  <si>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</si>
  <si>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</si>
  <si>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</si>
  <si>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</si>
  <si>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</si>
  <si>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</si>
  <si>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</si>
  <si>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</si>
  <si>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</si>
  <si>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</si>
  <si>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</si>
  <si>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</si>
  <si>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</si>
  <si>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</si>
  <si>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</si>
  <si>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</si>
  <si>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</si>
  <si>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</si>
  <si>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</si>
  <si>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</si>
  <si>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</si>
  <si>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</si>
  <si>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</si>
  <si>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</si>
  <si>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</si>
  <si>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</si>
  <si>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</si>
  <si>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</si>
  <si>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</si>
  <si>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</si>
  <si>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</si>
  <si>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</si>
  <si>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</si>
  <si>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</si>
  <si>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</si>
  <si>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</si>
  <si>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</si>
  <si>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</si>
  <si>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</si>
  <si>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</si>
  <si>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</si>
  <si>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</si>
  <si>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</si>
  <si>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</si>
  <si>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</si>
  <si>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</si>
  <si>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</si>
  <si>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</si>
  <si>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</si>
  <si>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</si>
  <si>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</si>
  <si>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</si>
  <si>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</si>
  <si>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</si>
  <si>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</si>
  <si>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</si>
  <si>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</si>
  <si>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</si>
  <si>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</si>
  <si>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</si>
  <si>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</si>
  <si>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</si>
  <si>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</si>
  <si>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</si>
  <si>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</si>
  <si>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</si>
  <si>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</si>
  <si>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</si>
  <si>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</si>
  <si>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</si>
  <si>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</si>
  <si>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</si>
  <si>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</si>
  <si>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</si>
  <si>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</si>
  <si>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</si>
  <si>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</si>
  <si>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</si>
  <si>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</si>
  <si>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</si>
  <si>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</si>
  <si>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</si>
  <si>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</si>
  <si>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</si>
  <si>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</si>
  <si>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</si>
  <si>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</si>
  <si>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Swastik Homes  </t>
  </si>
  <si>
    <t>Swastik Coral</t>
  </si>
  <si>
    <t>022-66890000</t>
  </si>
  <si>
    <t>P51800050020</t>
  </si>
  <si>
    <t>Shree Sai CHSL (Building No.36)</t>
  </si>
  <si>
    <t>Approved Plans, CC, Sale Plans, Cost Sheet</t>
  </si>
  <si>
    <t>Vikhroli</t>
  </si>
  <si>
    <t>19.114417,72.933611</t>
  </si>
  <si>
    <t>https://maps.app.goo.gl/S9Nwr6MiFYuRL7758</t>
  </si>
  <si>
    <t>0.9 KM from Vikhroli Railway Station</t>
  </si>
  <si>
    <t>Vikhroli East</t>
  </si>
  <si>
    <t>Tagore Nagar</t>
  </si>
  <si>
    <t>Adityaraj Sai Prasad</t>
  </si>
  <si>
    <t>Ashok N Pangare Road</t>
  </si>
  <si>
    <t>Internal Road</t>
  </si>
  <si>
    <t>Shop</t>
  </si>
  <si>
    <t>Other Plot</t>
  </si>
  <si>
    <t>12.20 Mtr Wide Road</t>
  </si>
  <si>
    <t>Mhada-8/1180/2023</t>
  </si>
  <si>
    <t>1B + Gr + 1st to 17th Floor</t>
  </si>
  <si>
    <t>As per RERA - 31/12/2027</t>
  </si>
  <si>
    <t>1B + Gr + 1st to 23rd Floor</t>
  </si>
  <si>
    <r>
      <t xml:space="preserve">Proposed Amenities :                                                                                                                                                                                                                         </t>
    </r>
    <r>
      <rPr>
        <b/>
        <sz val="12"/>
        <rFont val="Times New Roman"/>
        <family val="1"/>
      </rPr>
      <t xml:space="preserve">                                               </t>
    </r>
  </si>
  <si>
    <t>Grand Entrance Lobby, Gymnasium, Modern Rooftop Amenities, Yoga/Medition Area, Landscaping, Indoor Games, Senior Citizen Sitout Area, EV Charging Point, Walkway, Sky Garden, High Speed Elevator, Society Office, CCTV Cameras, 24 x 7 Security, etc.</t>
  </si>
  <si>
    <t xml:space="preserve">Details of Residential in Building   </t>
  </si>
  <si>
    <t>Basement Floor For Pump Room, Parking Pit, UGT/Fire Fighting Tank</t>
  </si>
  <si>
    <t>Ground Floor For Gymnasium/Fitness Center, Meter Room &amp; Parking</t>
  </si>
  <si>
    <t>2BHK</t>
  </si>
  <si>
    <t>1st Floor For Residential  (Part Parking, Double Height Lobby &amp; Gymnasium Area)</t>
  </si>
  <si>
    <t>Parking &amp; Double Height Lobby</t>
  </si>
  <si>
    <t>-</t>
  </si>
  <si>
    <t>1BHK</t>
  </si>
  <si>
    <t>Gymnasium Area</t>
  </si>
  <si>
    <t>2nd to 7th &amp; 9th to 12th Floor For Residential</t>
  </si>
  <si>
    <t>Sale / Rehab</t>
  </si>
  <si>
    <t>Sale</t>
  </si>
  <si>
    <t>Rehab</t>
  </si>
  <si>
    <t>8th Floor (Part Refuge Area)</t>
  </si>
  <si>
    <t>Refuge Area</t>
  </si>
  <si>
    <t>14th, 16th &amp; 17th Floor</t>
  </si>
  <si>
    <t>13th Floor</t>
  </si>
  <si>
    <t>15th Floor (Part Refuge Area)</t>
  </si>
  <si>
    <t>We considered Gross carpet area = Net carpet Area.</t>
  </si>
  <si>
    <t>Sale Flat</t>
  </si>
  <si>
    <t>Rehab Flat</t>
  </si>
  <si>
    <t>Sale Flats - 80, Rehab Flat - 32</t>
  </si>
  <si>
    <t xml:space="preserve">Swastik Homes </t>
  </si>
  <si>
    <t>349 (Pt), S. No.113(Pt), Redevelopement of " Shree Sai CHSL (Building No.36) "</t>
  </si>
  <si>
    <t>MH/EE/(BP)/GM/MHADA-8/1180/2024/FCC/1/Amend</t>
  </si>
  <si>
    <t>This C.C.is Re-endorsed and Further extended from 16th floor to 23rd upper Residential Floor with total building
ht. 69.90 mt. from ground level + LMR + OHT and along with parking tower having total height 69.90 mt. AGL as
per approved amended plans dtd. 22.04.2024 vide u/no. MH/EE/B.P.Cell/GM/MHADA-08/1180/2024.
Note:- That the guidelines for reduction of Air Pollution issued by Chief Engineer (D.P.) BMC dt.15/09/2023,Hon’ble Municipal Commissioner (BMC) dt. 25/10/2023 and MHADA circular vide No. ET-321, dtd. 25.10.2023 shall be strictly followed on site.</t>
  </si>
  <si>
    <t>Mr. Param Kothari - 9920989939</t>
  </si>
  <si>
    <t xml:space="preserve">Provide revised approved plan dtd.22/04/2024 
</t>
  </si>
  <si>
    <t>`</t>
  </si>
  <si>
    <t>14000 to 14600</t>
  </si>
  <si>
    <t xml:space="preserve">Bhargav </t>
  </si>
  <si>
    <t xml:space="preserve">Verbal </t>
  </si>
  <si>
    <t>Flat 1404</t>
  </si>
  <si>
    <t>Recommended Rates / Other charges of the Property have been revised on 22/05/2025.</t>
  </si>
  <si>
    <t>Param kothari 9920989939</t>
  </si>
  <si>
    <t>Finishing work is in process.</t>
  </si>
  <si>
    <t>Pooja Kawale</t>
  </si>
  <si>
    <t>Nainesh Tambe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</si>
</sst>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5" fillId="2" borderId="0" xfId="1" applyFont="1" applyFill="1"/>
    <xf numFmtId="14" fontId="15" fillId="2" borderId="0" xfId="1" applyNumberFormat="1" applyFont="1" applyFill="1"/>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64" fontId="6" fillId="0" borderId="1"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3"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4" fillId="0" borderId="1"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1.png"/><Relationship Id="rId18" Type="http://schemas.openxmlformats.org/officeDocument/2006/relationships/image" Target="../media/image16.png"/><Relationship Id="rId26" Type="http://schemas.openxmlformats.org/officeDocument/2006/relationships/image" Target="../media/image24.png"/><Relationship Id="rId3" Type="http://schemas.openxmlformats.org/officeDocument/2006/relationships/image" Target="../media/image3.png"/><Relationship Id="rId21" Type="http://schemas.openxmlformats.org/officeDocument/2006/relationships/image" Target="../media/image19.png"/><Relationship Id="rId34" Type="http://schemas.openxmlformats.org/officeDocument/2006/relationships/image" Target="../media/image32.png"/><Relationship Id="rId7" Type="http://schemas.microsoft.com/office/2007/relationships/hdphoto" Target="../media/hdphoto2.wdp"/><Relationship Id="rId12" Type="http://schemas.openxmlformats.org/officeDocument/2006/relationships/image" Target="../media/image10.png"/><Relationship Id="rId17" Type="http://schemas.openxmlformats.org/officeDocument/2006/relationships/image" Target="../media/image15.png"/><Relationship Id="rId25" Type="http://schemas.openxmlformats.org/officeDocument/2006/relationships/image" Target="../media/image23.png"/><Relationship Id="rId33" Type="http://schemas.openxmlformats.org/officeDocument/2006/relationships/image" Target="../media/image31.pn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8.png"/><Relationship Id="rId29"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9.png"/><Relationship Id="rId24" Type="http://schemas.openxmlformats.org/officeDocument/2006/relationships/image" Target="../media/image22.png"/><Relationship Id="rId32" Type="http://schemas.openxmlformats.org/officeDocument/2006/relationships/image" Target="../media/image30.png"/><Relationship Id="rId5" Type="http://schemas.microsoft.com/office/2007/relationships/hdphoto" Target="../media/hdphoto1.wdp"/><Relationship Id="rId15" Type="http://schemas.openxmlformats.org/officeDocument/2006/relationships/image" Target="../media/image13.png"/><Relationship Id="rId23" Type="http://schemas.openxmlformats.org/officeDocument/2006/relationships/image" Target="../media/image21.png"/><Relationship Id="rId28" Type="http://schemas.openxmlformats.org/officeDocument/2006/relationships/image" Target="../media/image26.png"/><Relationship Id="rId10" Type="http://schemas.openxmlformats.org/officeDocument/2006/relationships/image" Target="../media/image8.png"/><Relationship Id="rId19" Type="http://schemas.openxmlformats.org/officeDocument/2006/relationships/image" Target="../media/image17.png"/><Relationship Id="rId31" Type="http://schemas.openxmlformats.org/officeDocument/2006/relationships/image" Target="../media/image29.png"/><Relationship Id="rId4" Type="http://schemas.openxmlformats.org/officeDocument/2006/relationships/image" Target="../media/image4.png"/><Relationship Id="rId9" Type="http://schemas.openxmlformats.org/officeDocument/2006/relationships/image" Target="../media/image7.png"/><Relationship Id="rId14" Type="http://schemas.openxmlformats.org/officeDocument/2006/relationships/image" Target="../media/image12.png"/><Relationship Id="rId22" Type="http://schemas.openxmlformats.org/officeDocument/2006/relationships/image" Target="../media/image20.png"/><Relationship Id="rId27" Type="http://schemas.openxmlformats.org/officeDocument/2006/relationships/image" Target="../media/image25.png"/><Relationship Id="rId30" Type="http://schemas.openxmlformats.org/officeDocument/2006/relationships/image" Target="../media/image28.png"/><Relationship Id="rId8"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8</xdr:col>
      <xdr:colOff>447675</xdr:colOff>
      <xdr:row>10</xdr:row>
      <xdr:rowOff>171450</xdr:rowOff>
    </xdr:from>
    <xdr:to>
      <xdr:col>15</xdr:col>
      <xdr:colOff>524722</xdr:colOff>
      <xdr:row>18</xdr:row>
      <xdr:rowOff>105239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62750" y="2552700"/>
          <a:ext cx="6068272" cy="1981477"/>
        </a:xfrm>
        <a:prstGeom prst="rect">
          <a:avLst/>
        </a:prstGeom>
      </xdr:spPr>
    </xdr:pic>
    <xdr:clientData/>
  </xdr:twoCellAnchor>
  <xdr:twoCellAnchor editAs="oneCell">
    <xdr:from>
      <xdr:col>8</xdr:col>
      <xdr:colOff>200025</xdr:colOff>
      <xdr:row>18</xdr:row>
      <xdr:rowOff>192100</xdr:rowOff>
    </xdr:from>
    <xdr:to>
      <xdr:col>19</xdr:col>
      <xdr:colOff>39294</xdr:colOff>
      <xdr:row>25</xdr:row>
      <xdr:rowOff>177136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515100" y="4621225"/>
          <a:ext cx="8554644" cy="1613811"/>
        </a:xfrm>
        <a:prstGeom prst="rect">
          <a:avLst/>
        </a:prstGeom>
      </xdr:spPr>
    </xdr:pic>
    <xdr:clientData/>
  </xdr:twoCellAnchor>
  <xdr:twoCellAnchor editAs="oneCell">
    <xdr:from>
      <xdr:col>0</xdr:col>
      <xdr:colOff>612322</xdr:colOff>
      <xdr:row>286</xdr:row>
      <xdr:rowOff>122465</xdr:rowOff>
    </xdr:from>
    <xdr:to>
      <xdr:col>6</xdr:col>
      <xdr:colOff>719661</xdr:colOff>
      <xdr:row>304</xdr:row>
      <xdr:rowOff>27217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12322" y="66008251"/>
          <a:ext cx="4951482" cy="3578679"/>
        </a:xfrm>
        <a:prstGeom prst="rect">
          <a:avLst/>
        </a:prstGeom>
        <a:ln>
          <a:solidFill>
            <a:sysClr val="windowText" lastClr="000000"/>
          </a:solidFill>
        </a:ln>
      </xdr:spPr>
    </xdr:pic>
    <xdr:clientData/>
  </xdr:twoCellAnchor>
  <xdr:twoCellAnchor editAs="oneCell">
    <xdr:from>
      <xdr:col>1</xdr:col>
      <xdr:colOff>284581</xdr:colOff>
      <xdr:row>244</xdr:row>
      <xdr:rowOff>30323</xdr:rowOff>
    </xdr:from>
    <xdr:to>
      <xdr:col>6</xdr:col>
      <xdr:colOff>57303</xdr:colOff>
      <xdr:row>264</xdr:row>
      <xdr:rowOff>147358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bright="20000" contrast="40000"/>
                  </a14:imgEffect>
                </a14:imgLayer>
              </a14:imgProps>
            </a:ext>
          </a:extLst>
        </a:blip>
        <a:stretch>
          <a:fillRect/>
        </a:stretch>
      </xdr:blipFill>
      <xdr:spPr>
        <a:xfrm>
          <a:off x="1046581" y="56440735"/>
          <a:ext cx="3862869" cy="4151153"/>
        </a:xfrm>
        <a:prstGeom prst="rect">
          <a:avLst/>
        </a:prstGeom>
        <a:ln>
          <a:solidFill>
            <a:sysClr val="windowText" lastClr="000000"/>
          </a:solidFill>
        </a:ln>
      </xdr:spPr>
    </xdr:pic>
    <xdr:clientData/>
  </xdr:twoCellAnchor>
  <xdr:twoCellAnchor>
    <xdr:from>
      <xdr:col>0</xdr:col>
      <xdr:colOff>331975</xdr:colOff>
      <xdr:row>265</xdr:row>
      <xdr:rowOff>104967</xdr:rowOff>
    </xdr:from>
    <xdr:to>
      <xdr:col>7</xdr:col>
      <xdr:colOff>212912</xdr:colOff>
      <xdr:row>283</xdr:row>
      <xdr:rowOff>23103</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331975" y="52962367"/>
          <a:ext cx="5697537" cy="3461436"/>
          <a:chOff x="331975" y="60751201"/>
          <a:chExt cx="5461466" cy="3548842"/>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20000"/>
                    </a14:imgEffect>
                  </a14:imgLayer>
                </a14:imgProps>
              </a:ext>
            </a:extLst>
          </a:blip>
          <a:stretch>
            <a:fillRect/>
          </a:stretch>
        </xdr:blipFill>
        <xdr:spPr>
          <a:xfrm>
            <a:off x="331975" y="60751201"/>
            <a:ext cx="5461466" cy="3435084"/>
          </a:xfrm>
          <a:prstGeom prst="rect">
            <a:avLst/>
          </a:prstGeom>
          <a:ln>
            <a:solidFill>
              <a:sysClr val="windowText" lastClr="000000"/>
            </a:solidFill>
          </a:ln>
        </xdr:spPr>
      </xdr:pic>
      <xdr:grpSp>
        <xdr:nvGrpSpPr>
          <xdr:cNvPr id="10" name="Group 9">
            <a:extLst>
              <a:ext uri="{FF2B5EF4-FFF2-40B4-BE49-F238E27FC236}">
                <a16:creationId xmlns:a16="http://schemas.microsoft.com/office/drawing/2014/main" id="{00000000-0008-0000-0000-00000A000000}"/>
              </a:ext>
            </a:extLst>
          </xdr:cNvPr>
          <xdr:cNvGrpSpPr/>
        </xdr:nvGrpSpPr>
        <xdr:grpSpPr>
          <a:xfrm rot="12372232">
            <a:off x="952499" y="63402882"/>
            <a:ext cx="359227" cy="897161"/>
            <a:chOff x="26903" y="-29837"/>
            <a:chExt cx="221944" cy="786749"/>
          </a:xfrm>
        </xdr:grpSpPr>
        <xdr:sp macro="" textlink="">
          <xdr:nvSpPr>
            <xdr:cNvPr id="11" name="TextBox 7">
              <a:extLst>
                <a:ext uri="{FF2B5EF4-FFF2-40B4-BE49-F238E27FC236}">
                  <a16:creationId xmlns:a16="http://schemas.microsoft.com/office/drawing/2014/main" id="{00000000-0008-0000-0000-00000B000000}"/>
                </a:ext>
              </a:extLst>
            </xdr:cNvPr>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000" b="1"/>
                <a:t>N</a:t>
              </a:r>
            </a:p>
          </xdr:txBody>
        </xdr: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rot="10800000">
              <a:off x="121015" y="334676"/>
              <a:ext cx="3210" cy="4222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586887</xdr:colOff>
      <xdr:row>48</xdr:row>
      <xdr:rowOff>275493</xdr:rowOff>
    </xdr:from>
    <xdr:to>
      <xdr:col>13</xdr:col>
      <xdr:colOff>271659</xdr:colOff>
      <xdr:row>52</xdr:row>
      <xdr:rowOff>814113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6901962" y="10914918"/>
          <a:ext cx="4028172" cy="1786395"/>
        </a:xfrm>
        <a:prstGeom prst="rect">
          <a:avLst/>
        </a:prstGeom>
      </xdr:spPr>
    </xdr:pic>
    <xdr:clientData/>
  </xdr:twoCellAnchor>
  <xdr:twoCellAnchor>
    <xdr:from>
      <xdr:col>0</xdr:col>
      <xdr:colOff>340180</xdr:colOff>
      <xdr:row>304</xdr:row>
      <xdr:rowOff>198444</xdr:rowOff>
    </xdr:from>
    <xdr:to>
      <xdr:col>7</xdr:col>
      <xdr:colOff>325211</xdr:colOff>
      <xdr:row>325</xdr:row>
      <xdr:rowOff>114301</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340180" y="60732994"/>
          <a:ext cx="5801631" cy="4049707"/>
          <a:chOff x="368755" y="65073219"/>
          <a:chExt cx="5566681" cy="4116382"/>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368755" y="65073219"/>
            <a:ext cx="5566681" cy="4116382"/>
          </a:xfrm>
          <a:prstGeom prst="rect">
            <a:avLst/>
          </a:prstGeom>
          <a:ln>
            <a:solidFill>
              <a:sysClr val="windowText" lastClr="000000"/>
            </a:solidFill>
          </a:ln>
        </xdr:spPr>
      </xdr:pic>
      <xdr:sp macro="" textlink="">
        <xdr:nvSpPr>
          <xdr:cNvPr id="26" name="Freeform 25">
            <a:extLst>
              <a:ext uri="{FF2B5EF4-FFF2-40B4-BE49-F238E27FC236}">
                <a16:creationId xmlns:a16="http://schemas.microsoft.com/office/drawing/2014/main" id="{00000000-0008-0000-0000-00001A000000}"/>
              </a:ext>
            </a:extLst>
          </xdr:cNvPr>
          <xdr:cNvSpPr/>
        </xdr:nvSpPr>
        <xdr:spPr>
          <a:xfrm rot="11023209">
            <a:off x="2419350" y="66551175"/>
            <a:ext cx="952500" cy="466724"/>
          </a:xfrm>
          <a:custGeom>
            <a:avLst/>
            <a:gdLst>
              <a:gd name="connsiteX0" fmla="*/ 3867150 w 4057650"/>
              <a:gd name="connsiteY0" fmla="*/ 1905000 h 1952625"/>
              <a:gd name="connsiteX1" fmla="*/ 0 w 4057650"/>
              <a:gd name="connsiteY1" fmla="*/ 1952625 h 1952625"/>
              <a:gd name="connsiteX2" fmla="*/ 247650 w 4057650"/>
              <a:gd name="connsiteY2" fmla="*/ 28575 h 1952625"/>
              <a:gd name="connsiteX3" fmla="*/ 4057650 w 4057650"/>
              <a:gd name="connsiteY3" fmla="*/ 0 h 1952625"/>
              <a:gd name="connsiteX4" fmla="*/ 3867150 w 4057650"/>
              <a:gd name="connsiteY4" fmla="*/ 1905000 h 1952625"/>
              <a:gd name="connsiteX0" fmla="*/ 4019550 w 4057650"/>
              <a:gd name="connsiteY0" fmla="*/ 1933575 h 1952625"/>
              <a:gd name="connsiteX1" fmla="*/ 0 w 4057650"/>
              <a:gd name="connsiteY1" fmla="*/ 1952625 h 1952625"/>
              <a:gd name="connsiteX2" fmla="*/ 247650 w 4057650"/>
              <a:gd name="connsiteY2" fmla="*/ 28575 h 1952625"/>
              <a:gd name="connsiteX3" fmla="*/ 4057650 w 4057650"/>
              <a:gd name="connsiteY3" fmla="*/ 0 h 1952625"/>
              <a:gd name="connsiteX4" fmla="*/ 4019550 w 4057650"/>
              <a:gd name="connsiteY4" fmla="*/ 1933575 h 19526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57650" h="1952625">
                <a:moveTo>
                  <a:pt x="4019550" y="1933575"/>
                </a:moveTo>
                <a:lnTo>
                  <a:pt x="0" y="1952625"/>
                </a:lnTo>
                <a:lnTo>
                  <a:pt x="247650" y="28575"/>
                </a:lnTo>
                <a:lnTo>
                  <a:pt x="4057650" y="0"/>
                </a:lnTo>
                <a:lnTo>
                  <a:pt x="4019550" y="193357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960275</xdr:colOff>
      <xdr:row>123</xdr:row>
      <xdr:rowOff>261327</xdr:rowOff>
    </xdr:from>
    <xdr:to>
      <xdr:col>12</xdr:col>
      <xdr:colOff>697393</xdr:colOff>
      <xdr:row>130</xdr:row>
      <xdr:rowOff>149231</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0"/>
        <a:stretch>
          <a:fillRect/>
        </a:stretch>
      </xdr:blipFill>
      <xdr:spPr>
        <a:xfrm>
          <a:off x="7261429" y="25612481"/>
          <a:ext cx="3302887" cy="1719637"/>
        </a:xfrm>
        <a:prstGeom prst="rect">
          <a:avLst/>
        </a:prstGeom>
      </xdr:spPr>
    </xdr:pic>
    <xdr:clientData/>
  </xdr:twoCellAnchor>
  <xdr:twoCellAnchor editAs="oneCell">
    <xdr:from>
      <xdr:col>12</xdr:col>
      <xdr:colOff>717414</xdr:colOff>
      <xdr:row>106</xdr:row>
      <xdr:rowOff>146538</xdr:rowOff>
    </xdr:from>
    <xdr:to>
      <xdr:col>17</xdr:col>
      <xdr:colOff>302931</xdr:colOff>
      <xdr:row>123</xdr:row>
      <xdr:rowOff>208922</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1"/>
        <a:stretch>
          <a:fillRect/>
        </a:stretch>
      </xdr:blipFill>
      <xdr:spPr>
        <a:xfrm>
          <a:off x="10584337" y="23885769"/>
          <a:ext cx="3395517" cy="1667957"/>
        </a:xfrm>
        <a:prstGeom prst="rect">
          <a:avLst/>
        </a:prstGeom>
      </xdr:spPr>
    </xdr:pic>
    <xdr:clientData/>
  </xdr:twoCellAnchor>
  <xdr:twoCellAnchor editAs="oneCell">
    <xdr:from>
      <xdr:col>8</xdr:col>
      <xdr:colOff>924408</xdr:colOff>
      <xdr:row>105</xdr:row>
      <xdr:rowOff>190500</xdr:rowOff>
    </xdr:from>
    <xdr:to>
      <xdr:col>12</xdr:col>
      <xdr:colOff>628109</xdr:colOff>
      <xdr:row>123</xdr:row>
      <xdr:rowOff>206630</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2"/>
        <a:stretch>
          <a:fillRect/>
        </a:stretch>
      </xdr:blipFill>
      <xdr:spPr>
        <a:xfrm>
          <a:off x="7239483" y="23955375"/>
          <a:ext cx="3256526" cy="1829055"/>
        </a:xfrm>
        <a:prstGeom prst="rect">
          <a:avLst/>
        </a:prstGeom>
      </xdr:spPr>
    </xdr:pic>
    <xdr:clientData/>
  </xdr:twoCellAnchor>
  <xdr:twoCellAnchor editAs="oneCell">
    <xdr:from>
      <xdr:col>19</xdr:col>
      <xdr:colOff>294244</xdr:colOff>
      <xdr:row>146</xdr:row>
      <xdr:rowOff>19858</xdr:rowOff>
    </xdr:from>
    <xdr:to>
      <xdr:col>24</xdr:col>
      <xdr:colOff>218923</xdr:colOff>
      <xdr:row>155</xdr:row>
      <xdr:rowOff>195056</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3"/>
        <a:stretch>
          <a:fillRect/>
        </a:stretch>
      </xdr:blipFill>
      <xdr:spPr>
        <a:xfrm>
          <a:off x="15341476" y="31282269"/>
          <a:ext cx="3088340" cy="2012162"/>
        </a:xfrm>
        <a:prstGeom prst="rect">
          <a:avLst/>
        </a:prstGeom>
      </xdr:spPr>
    </xdr:pic>
    <xdr:clientData/>
  </xdr:twoCellAnchor>
  <xdr:twoCellAnchor editAs="oneCell">
    <xdr:from>
      <xdr:col>13</xdr:col>
      <xdr:colOff>427761</xdr:colOff>
      <xdr:row>131</xdr:row>
      <xdr:rowOff>163015</xdr:rowOff>
    </xdr:from>
    <xdr:to>
      <xdr:col>19</xdr:col>
      <xdr:colOff>144452</xdr:colOff>
      <xdr:row>145</xdr:row>
      <xdr:rowOff>125300</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4"/>
        <a:stretch>
          <a:fillRect/>
        </a:stretch>
      </xdr:blipFill>
      <xdr:spPr>
        <a:xfrm>
          <a:off x="11076223" y="27541284"/>
          <a:ext cx="4088421" cy="2697670"/>
        </a:xfrm>
        <a:prstGeom prst="rect">
          <a:avLst/>
        </a:prstGeom>
      </xdr:spPr>
    </xdr:pic>
    <xdr:clientData/>
  </xdr:twoCellAnchor>
  <xdr:twoCellAnchor editAs="oneCell">
    <xdr:from>
      <xdr:col>13</xdr:col>
      <xdr:colOff>15601</xdr:colOff>
      <xdr:row>123</xdr:row>
      <xdr:rowOff>261628</xdr:rowOff>
    </xdr:from>
    <xdr:to>
      <xdr:col>17</xdr:col>
      <xdr:colOff>236985</xdr:colOff>
      <xdr:row>131</xdr:row>
      <xdr:rowOff>21804</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5"/>
        <a:stretch>
          <a:fillRect/>
        </a:stretch>
      </xdr:blipFill>
      <xdr:spPr>
        <a:xfrm>
          <a:off x="10664063" y="25612782"/>
          <a:ext cx="3249845" cy="1787291"/>
        </a:xfrm>
        <a:prstGeom prst="rect">
          <a:avLst/>
        </a:prstGeom>
      </xdr:spPr>
    </xdr:pic>
    <xdr:clientData/>
  </xdr:twoCellAnchor>
  <xdr:twoCellAnchor editAs="oneCell">
    <xdr:from>
      <xdr:col>19</xdr:col>
      <xdr:colOff>253521</xdr:colOff>
      <xdr:row>137</xdr:row>
      <xdr:rowOff>33735</xdr:rowOff>
    </xdr:from>
    <xdr:to>
      <xdr:col>23</xdr:col>
      <xdr:colOff>314638</xdr:colOff>
      <xdr:row>145</xdr:row>
      <xdr:rowOff>118894</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6"/>
        <a:stretch>
          <a:fillRect/>
        </a:stretch>
      </xdr:blipFill>
      <xdr:spPr>
        <a:xfrm>
          <a:off x="15300753" y="29459181"/>
          <a:ext cx="2612456" cy="1718014"/>
        </a:xfrm>
        <a:prstGeom prst="rect">
          <a:avLst/>
        </a:prstGeom>
      </xdr:spPr>
    </xdr:pic>
    <xdr:clientData/>
  </xdr:twoCellAnchor>
  <xdr:twoCellAnchor editAs="oneCell">
    <xdr:from>
      <xdr:col>8</xdr:col>
      <xdr:colOff>931985</xdr:colOff>
      <xdr:row>131</xdr:row>
      <xdr:rowOff>154842</xdr:rowOff>
    </xdr:from>
    <xdr:to>
      <xdr:col>13</xdr:col>
      <xdr:colOff>296528</xdr:colOff>
      <xdr:row>145</xdr:row>
      <xdr:rowOff>48920</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7"/>
        <a:stretch>
          <a:fillRect/>
        </a:stretch>
      </xdr:blipFill>
      <xdr:spPr>
        <a:xfrm>
          <a:off x="7233139" y="27533111"/>
          <a:ext cx="3711851" cy="2629463"/>
        </a:xfrm>
        <a:prstGeom prst="rect">
          <a:avLst/>
        </a:prstGeom>
      </xdr:spPr>
    </xdr:pic>
    <xdr:clientData/>
  </xdr:twoCellAnchor>
  <xdr:twoCellAnchor editAs="oneCell">
    <xdr:from>
      <xdr:col>13</xdr:col>
      <xdr:colOff>452853</xdr:colOff>
      <xdr:row>146</xdr:row>
      <xdr:rowOff>29397</xdr:rowOff>
    </xdr:from>
    <xdr:to>
      <xdr:col>19</xdr:col>
      <xdr:colOff>58735</xdr:colOff>
      <xdr:row>160</xdr:row>
      <xdr:rowOff>2655</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8"/>
        <a:stretch>
          <a:fillRect/>
        </a:stretch>
      </xdr:blipFill>
      <xdr:spPr>
        <a:xfrm>
          <a:off x="11123121" y="31291808"/>
          <a:ext cx="3982846" cy="2830756"/>
        </a:xfrm>
        <a:prstGeom prst="rect">
          <a:avLst/>
        </a:prstGeom>
      </xdr:spPr>
    </xdr:pic>
    <xdr:clientData/>
  </xdr:twoCellAnchor>
  <xdr:twoCellAnchor editAs="oneCell">
    <xdr:from>
      <xdr:col>8</xdr:col>
      <xdr:colOff>743511</xdr:colOff>
      <xdr:row>98</xdr:row>
      <xdr:rowOff>28575</xdr:rowOff>
    </xdr:from>
    <xdr:to>
      <xdr:col>21</xdr:col>
      <xdr:colOff>296055</xdr:colOff>
      <xdr:row>109</xdr:row>
      <xdr:rowOff>171051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9"/>
        <a:stretch>
          <a:fillRect/>
        </a:stretch>
      </xdr:blipFill>
      <xdr:spPr>
        <a:xfrm>
          <a:off x="7182411" y="22831425"/>
          <a:ext cx="9572844" cy="1142601"/>
        </a:xfrm>
        <a:prstGeom prst="rect">
          <a:avLst/>
        </a:prstGeom>
      </xdr:spPr>
    </xdr:pic>
    <xdr:clientData/>
  </xdr:twoCellAnchor>
  <xdr:twoCellAnchor editAs="oneCell">
    <xdr:from>
      <xdr:col>12</xdr:col>
      <xdr:colOff>725557</xdr:colOff>
      <xdr:row>73</xdr:row>
      <xdr:rowOff>1657</xdr:rowOff>
    </xdr:from>
    <xdr:to>
      <xdr:col>14</xdr:col>
      <xdr:colOff>582889</xdr:colOff>
      <xdr:row>106</xdr:row>
      <xdr:rowOff>13251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0"/>
        <a:stretch>
          <a:fillRect/>
        </a:stretch>
      </xdr:blipFill>
      <xdr:spPr>
        <a:xfrm>
          <a:off x="10717282" y="19204057"/>
          <a:ext cx="1486107" cy="4024794"/>
        </a:xfrm>
        <a:prstGeom prst="rect">
          <a:avLst/>
        </a:prstGeom>
      </xdr:spPr>
    </xdr:pic>
    <xdr:clientData/>
  </xdr:twoCellAnchor>
  <xdr:twoCellAnchor>
    <xdr:from>
      <xdr:col>8</xdr:col>
      <xdr:colOff>60325</xdr:colOff>
      <xdr:row>202</xdr:row>
      <xdr:rowOff>15875</xdr:rowOff>
    </xdr:from>
    <xdr:to>
      <xdr:col>15</xdr:col>
      <xdr:colOff>191421</xdr:colOff>
      <xdr:row>233</xdr:row>
      <xdr:rowOff>190825</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a:off x="6804025" y="40471725"/>
          <a:ext cx="6404896" cy="6277300"/>
          <a:chOff x="88900" y="40424100"/>
          <a:chExt cx="6398546" cy="6274125"/>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97978" y="40424100"/>
            <a:ext cx="2970000" cy="396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607446" y="44538225"/>
            <a:ext cx="2880000"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848173" y="44538225"/>
            <a:ext cx="1620000"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304465" y="40424100"/>
            <a:ext cx="2970000" cy="396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88900" y="44538225"/>
            <a:ext cx="1620000" cy="2160000"/>
          </a:xfrm>
          <a:prstGeom prst="rect">
            <a:avLst/>
          </a:prstGeom>
          <a:ln>
            <a:solidFill>
              <a:schemeClr val="tx1"/>
            </a:solidFill>
          </a:ln>
        </xdr:spPr>
      </xdr:pic>
    </xdr:grpSp>
    <xdr:clientData/>
  </xdr:twoCellAnchor>
  <xdr:twoCellAnchor>
    <xdr:from>
      <xdr:col>0</xdr:col>
      <xdr:colOff>146050</xdr:colOff>
      <xdr:row>201</xdr:row>
      <xdr:rowOff>107950</xdr:rowOff>
    </xdr:from>
    <xdr:to>
      <xdr:col>7</xdr:col>
      <xdr:colOff>778194</xdr:colOff>
      <xdr:row>241</xdr:row>
      <xdr:rowOff>80768</xdr:rowOff>
    </xdr:to>
    <xdr:grpSp>
      <xdr:nvGrpSpPr>
        <xdr:cNvPr id="16" name="Group 15"/>
        <xdr:cNvGrpSpPr/>
      </xdr:nvGrpSpPr>
      <xdr:grpSpPr>
        <a:xfrm>
          <a:off x="146050" y="40366950"/>
          <a:ext cx="6448744" cy="7846818"/>
          <a:chOff x="146050" y="40366950"/>
          <a:chExt cx="6448744" cy="7846818"/>
        </a:xfrm>
      </xdr:grpSpPr>
      <xdr:pic>
        <xdr:nvPicPr>
          <xdr:cNvPr id="42" name="Picture 4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254178" y="46053768"/>
            <a:ext cx="1624519" cy="216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146050" y="40366950"/>
            <a:ext cx="2057724" cy="273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341560" y="40366950"/>
            <a:ext cx="2057724"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4537070" y="43210359"/>
            <a:ext cx="2057724"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2341560" y="43210359"/>
            <a:ext cx="2057724"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4537070" y="40366950"/>
            <a:ext cx="2057724" cy="273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729568" y="46053768"/>
            <a:ext cx="1624519"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2491873" y="46053768"/>
            <a:ext cx="1624519"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146050" y="43210359"/>
            <a:ext cx="2057724"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9Nwr6MiFYuRL775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8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54296875" style="37" customWidth="1"/>
    <col min="4" max="4" width="13.54296875" style="37" customWidth="1"/>
    <col min="5" max="5" width="11.54296875" style="37" customWidth="1"/>
    <col min="6" max="6" width="11.1796875" style="37" customWidth="1"/>
    <col min="7" max="7" width="11" style="37" customWidth="1"/>
    <col min="8" max="8" width="13.26953125"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54296875" style="18" customWidth="1"/>
    <col min="17" max="18" width="9.1796875" style="18"/>
    <col min="19" max="19" width="10.81640625" style="18" bestFit="1" customWidth="1"/>
    <col min="20" max="20" width="10.54296875" style="18" customWidth="1"/>
    <col min="21" max="247" width="9.1796875" style="18"/>
    <col min="248" max="248" width="8.54296875" style="18" customWidth="1"/>
    <col min="249" max="249" width="9.81640625" style="18" customWidth="1"/>
    <col min="250" max="250" width="14.453125" style="18" customWidth="1"/>
    <col min="251" max="251" width="7.4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54296875" style="18" customWidth="1"/>
    <col min="505" max="505" width="9.81640625" style="18" customWidth="1"/>
    <col min="506" max="506" width="14.453125" style="18" customWidth="1"/>
    <col min="507" max="507" width="7.4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54296875" style="18" customWidth="1"/>
    <col min="761" max="761" width="9.81640625" style="18" customWidth="1"/>
    <col min="762" max="762" width="14.453125" style="18" customWidth="1"/>
    <col min="763" max="763" width="7.4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54296875" style="18" customWidth="1"/>
    <col min="1017" max="1017" width="9.81640625" style="18" customWidth="1"/>
    <col min="1018" max="1018" width="14.453125" style="18" customWidth="1"/>
    <col min="1019" max="1019" width="7.4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54296875" style="18" customWidth="1"/>
    <col min="1273" max="1273" width="9.81640625" style="18" customWidth="1"/>
    <col min="1274" max="1274" width="14.453125" style="18" customWidth="1"/>
    <col min="1275" max="1275" width="7.4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54296875" style="18" customWidth="1"/>
    <col min="1529" max="1529" width="9.81640625" style="18" customWidth="1"/>
    <col min="1530" max="1530" width="14.453125" style="18" customWidth="1"/>
    <col min="1531" max="1531" width="7.4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54296875" style="18" customWidth="1"/>
    <col min="1785" max="1785" width="9.81640625" style="18" customWidth="1"/>
    <col min="1786" max="1786" width="14.453125" style="18" customWidth="1"/>
    <col min="1787" max="1787" width="7.4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54296875" style="18" customWidth="1"/>
    <col min="2041" max="2041" width="9.81640625" style="18" customWidth="1"/>
    <col min="2042" max="2042" width="14.453125" style="18" customWidth="1"/>
    <col min="2043" max="2043" width="7.4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54296875" style="18" customWidth="1"/>
    <col min="2297" max="2297" width="9.81640625" style="18" customWidth="1"/>
    <col min="2298" max="2298" width="14.453125" style="18" customWidth="1"/>
    <col min="2299" max="2299" width="7.4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54296875" style="18" customWidth="1"/>
    <col min="2553" max="2553" width="9.81640625" style="18" customWidth="1"/>
    <col min="2554" max="2554" width="14.453125" style="18" customWidth="1"/>
    <col min="2555" max="2555" width="7.4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54296875" style="18" customWidth="1"/>
    <col min="2809" max="2809" width="9.81640625" style="18" customWidth="1"/>
    <col min="2810" max="2810" width="14.453125" style="18" customWidth="1"/>
    <col min="2811" max="2811" width="7.4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54296875" style="18" customWidth="1"/>
    <col min="3065" max="3065" width="9.81640625" style="18" customWidth="1"/>
    <col min="3066" max="3066" width="14.453125" style="18" customWidth="1"/>
    <col min="3067" max="3067" width="7.4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54296875" style="18" customWidth="1"/>
    <col min="3321" max="3321" width="9.81640625" style="18" customWidth="1"/>
    <col min="3322" max="3322" width="14.453125" style="18" customWidth="1"/>
    <col min="3323" max="3323" width="7.4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54296875" style="18" customWidth="1"/>
    <col min="3577" max="3577" width="9.81640625" style="18" customWidth="1"/>
    <col min="3578" max="3578" width="14.453125" style="18" customWidth="1"/>
    <col min="3579" max="3579" width="7.4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54296875" style="18" customWidth="1"/>
    <col min="3833" max="3833" width="9.81640625" style="18" customWidth="1"/>
    <col min="3834" max="3834" width="14.453125" style="18" customWidth="1"/>
    <col min="3835" max="3835" width="7.4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54296875" style="18" customWidth="1"/>
    <col min="4089" max="4089" width="9.81640625" style="18" customWidth="1"/>
    <col min="4090" max="4090" width="14.453125" style="18" customWidth="1"/>
    <col min="4091" max="4091" width="7.4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54296875" style="18" customWidth="1"/>
    <col min="4345" max="4345" width="9.81640625" style="18" customWidth="1"/>
    <col min="4346" max="4346" width="14.453125" style="18" customWidth="1"/>
    <col min="4347" max="4347" width="7.4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54296875" style="18" customWidth="1"/>
    <col min="4601" max="4601" width="9.81640625" style="18" customWidth="1"/>
    <col min="4602" max="4602" width="14.453125" style="18" customWidth="1"/>
    <col min="4603" max="4603" width="7.4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54296875" style="18" customWidth="1"/>
    <col min="4857" max="4857" width="9.81640625" style="18" customWidth="1"/>
    <col min="4858" max="4858" width="14.453125" style="18" customWidth="1"/>
    <col min="4859" max="4859" width="7.4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54296875" style="18" customWidth="1"/>
    <col min="5113" max="5113" width="9.81640625" style="18" customWidth="1"/>
    <col min="5114" max="5114" width="14.453125" style="18" customWidth="1"/>
    <col min="5115" max="5115" width="7.4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54296875" style="18" customWidth="1"/>
    <col min="5369" max="5369" width="9.81640625" style="18" customWidth="1"/>
    <col min="5370" max="5370" width="14.453125" style="18" customWidth="1"/>
    <col min="5371" max="5371" width="7.4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54296875" style="18" customWidth="1"/>
    <col min="5625" max="5625" width="9.81640625" style="18" customWidth="1"/>
    <col min="5626" max="5626" width="14.453125" style="18" customWidth="1"/>
    <col min="5627" max="5627" width="7.4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54296875" style="18" customWidth="1"/>
    <col min="5881" max="5881" width="9.81640625" style="18" customWidth="1"/>
    <col min="5882" max="5882" width="14.453125" style="18" customWidth="1"/>
    <col min="5883" max="5883" width="7.4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54296875" style="18" customWidth="1"/>
    <col min="6137" max="6137" width="9.81640625" style="18" customWidth="1"/>
    <col min="6138" max="6138" width="14.453125" style="18" customWidth="1"/>
    <col min="6139" max="6139" width="7.4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54296875" style="18" customWidth="1"/>
    <col min="6393" max="6393" width="9.81640625" style="18" customWidth="1"/>
    <col min="6394" max="6394" width="14.453125" style="18" customWidth="1"/>
    <col min="6395" max="6395" width="7.4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54296875" style="18" customWidth="1"/>
    <col min="6649" max="6649" width="9.81640625" style="18" customWidth="1"/>
    <col min="6650" max="6650" width="14.453125" style="18" customWidth="1"/>
    <col min="6651" max="6651" width="7.4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54296875" style="18" customWidth="1"/>
    <col min="6905" max="6905" width="9.81640625" style="18" customWidth="1"/>
    <col min="6906" max="6906" width="14.453125" style="18" customWidth="1"/>
    <col min="6907" max="6907" width="7.4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54296875" style="18" customWidth="1"/>
    <col min="7161" max="7161" width="9.81640625" style="18" customWidth="1"/>
    <col min="7162" max="7162" width="14.453125" style="18" customWidth="1"/>
    <col min="7163" max="7163" width="7.4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54296875" style="18" customWidth="1"/>
    <col min="7417" max="7417" width="9.81640625" style="18" customWidth="1"/>
    <col min="7418" max="7418" width="14.453125" style="18" customWidth="1"/>
    <col min="7419" max="7419" width="7.4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54296875" style="18" customWidth="1"/>
    <col min="7673" max="7673" width="9.81640625" style="18" customWidth="1"/>
    <col min="7674" max="7674" width="14.453125" style="18" customWidth="1"/>
    <col min="7675" max="7675" width="7.4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54296875" style="18" customWidth="1"/>
    <col min="7929" max="7929" width="9.81640625" style="18" customWidth="1"/>
    <col min="7930" max="7930" width="14.453125" style="18" customWidth="1"/>
    <col min="7931" max="7931" width="7.4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54296875" style="18" customWidth="1"/>
    <col min="8185" max="8185" width="9.81640625" style="18" customWidth="1"/>
    <col min="8186" max="8186" width="14.453125" style="18" customWidth="1"/>
    <col min="8187" max="8187" width="7.4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54296875" style="18" customWidth="1"/>
    <col min="8441" max="8441" width="9.81640625" style="18" customWidth="1"/>
    <col min="8442" max="8442" width="14.453125" style="18" customWidth="1"/>
    <col min="8443" max="8443" width="7.4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54296875" style="18" customWidth="1"/>
    <col min="8697" max="8697" width="9.81640625" style="18" customWidth="1"/>
    <col min="8698" max="8698" width="14.453125" style="18" customWidth="1"/>
    <col min="8699" max="8699" width="7.4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54296875" style="18" customWidth="1"/>
    <col min="8953" max="8953" width="9.81640625" style="18" customWidth="1"/>
    <col min="8954" max="8954" width="14.453125" style="18" customWidth="1"/>
    <col min="8955" max="8955" width="7.4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54296875" style="18" customWidth="1"/>
    <col min="9209" max="9209" width="9.81640625" style="18" customWidth="1"/>
    <col min="9210" max="9210" width="14.453125" style="18" customWidth="1"/>
    <col min="9211" max="9211" width="7.4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54296875" style="18" customWidth="1"/>
    <col min="9465" max="9465" width="9.81640625" style="18" customWidth="1"/>
    <col min="9466" max="9466" width="14.453125" style="18" customWidth="1"/>
    <col min="9467" max="9467" width="7.4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54296875" style="18" customWidth="1"/>
    <col min="9721" max="9721" width="9.81640625" style="18" customWidth="1"/>
    <col min="9722" max="9722" width="14.453125" style="18" customWidth="1"/>
    <col min="9723" max="9723" width="7.4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54296875" style="18" customWidth="1"/>
    <col min="9977" max="9977" width="9.81640625" style="18" customWidth="1"/>
    <col min="9978" max="9978" width="14.453125" style="18" customWidth="1"/>
    <col min="9979" max="9979" width="7.4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54296875" style="18" customWidth="1"/>
    <col min="10233" max="10233" width="9.81640625" style="18" customWidth="1"/>
    <col min="10234" max="10234" width="14.453125" style="18" customWidth="1"/>
    <col min="10235" max="10235" width="7.4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54296875" style="18" customWidth="1"/>
    <col min="10489" max="10489" width="9.81640625" style="18" customWidth="1"/>
    <col min="10490" max="10490" width="14.453125" style="18" customWidth="1"/>
    <col min="10491" max="10491" width="7.4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54296875" style="18" customWidth="1"/>
    <col min="10745" max="10745" width="9.81640625" style="18" customWidth="1"/>
    <col min="10746" max="10746" width="14.453125" style="18" customWidth="1"/>
    <col min="10747" max="10747" width="7.4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54296875" style="18" customWidth="1"/>
    <col min="11001" max="11001" width="9.81640625" style="18" customWidth="1"/>
    <col min="11002" max="11002" width="14.453125" style="18" customWidth="1"/>
    <col min="11003" max="11003" width="7.4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54296875" style="18" customWidth="1"/>
    <col min="11257" max="11257" width="9.81640625" style="18" customWidth="1"/>
    <col min="11258" max="11258" width="14.453125" style="18" customWidth="1"/>
    <col min="11259" max="11259" width="7.4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54296875" style="18" customWidth="1"/>
    <col min="11513" max="11513" width="9.81640625" style="18" customWidth="1"/>
    <col min="11514" max="11514" width="14.453125" style="18" customWidth="1"/>
    <col min="11515" max="11515" width="7.4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54296875" style="18" customWidth="1"/>
    <col min="11769" max="11769" width="9.81640625" style="18" customWidth="1"/>
    <col min="11770" max="11770" width="14.453125" style="18" customWidth="1"/>
    <col min="11771" max="11771" width="7.4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54296875" style="18" customWidth="1"/>
    <col min="12025" max="12025" width="9.81640625" style="18" customWidth="1"/>
    <col min="12026" max="12026" width="14.453125" style="18" customWidth="1"/>
    <col min="12027" max="12027" width="7.4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54296875" style="18" customWidth="1"/>
    <col min="12281" max="12281" width="9.81640625" style="18" customWidth="1"/>
    <col min="12282" max="12282" width="14.453125" style="18" customWidth="1"/>
    <col min="12283" max="12283" width="7.4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54296875" style="18" customWidth="1"/>
    <col min="12537" max="12537" width="9.81640625" style="18" customWidth="1"/>
    <col min="12538" max="12538" width="14.453125" style="18" customWidth="1"/>
    <col min="12539" max="12539" width="7.4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54296875" style="18" customWidth="1"/>
    <col min="12793" max="12793" width="9.81640625" style="18" customWidth="1"/>
    <col min="12794" max="12794" width="14.453125" style="18" customWidth="1"/>
    <col min="12795" max="12795" width="7.4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54296875" style="18" customWidth="1"/>
    <col min="13049" max="13049" width="9.81640625" style="18" customWidth="1"/>
    <col min="13050" max="13050" width="14.453125" style="18" customWidth="1"/>
    <col min="13051" max="13051" width="7.4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54296875" style="18" customWidth="1"/>
    <col min="13305" max="13305" width="9.81640625" style="18" customWidth="1"/>
    <col min="13306" max="13306" width="14.453125" style="18" customWidth="1"/>
    <col min="13307" max="13307" width="7.4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54296875" style="18" customWidth="1"/>
    <col min="13561" max="13561" width="9.81640625" style="18" customWidth="1"/>
    <col min="13562" max="13562" width="14.453125" style="18" customWidth="1"/>
    <col min="13563" max="13563" width="7.4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54296875" style="18" customWidth="1"/>
    <col min="13817" max="13817" width="9.81640625" style="18" customWidth="1"/>
    <col min="13818" max="13818" width="14.453125" style="18" customWidth="1"/>
    <col min="13819" max="13819" width="7.4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54296875" style="18" customWidth="1"/>
    <col min="14073" max="14073" width="9.81640625" style="18" customWidth="1"/>
    <col min="14074" max="14074" width="14.453125" style="18" customWidth="1"/>
    <col min="14075" max="14075" width="7.4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54296875" style="18" customWidth="1"/>
    <col min="14329" max="14329" width="9.81640625" style="18" customWidth="1"/>
    <col min="14330" max="14330" width="14.453125" style="18" customWidth="1"/>
    <col min="14331" max="14331" width="7.4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54296875" style="18" customWidth="1"/>
    <col min="14585" max="14585" width="9.81640625" style="18" customWidth="1"/>
    <col min="14586" max="14586" width="14.453125" style="18" customWidth="1"/>
    <col min="14587" max="14587" width="7.4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54296875" style="18" customWidth="1"/>
    <col min="14841" max="14841" width="9.81640625" style="18" customWidth="1"/>
    <col min="14842" max="14842" width="14.453125" style="18" customWidth="1"/>
    <col min="14843" max="14843" width="7.4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54296875" style="18" customWidth="1"/>
    <col min="15097" max="15097" width="9.81640625" style="18" customWidth="1"/>
    <col min="15098" max="15098" width="14.453125" style="18" customWidth="1"/>
    <col min="15099" max="15099" width="7.4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54296875" style="18" customWidth="1"/>
    <col min="15353" max="15353" width="9.81640625" style="18" customWidth="1"/>
    <col min="15354" max="15354" width="14.453125" style="18" customWidth="1"/>
    <col min="15355" max="15355" width="7.4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54296875" style="18" customWidth="1"/>
    <col min="15609" max="15609" width="9.81640625" style="18" customWidth="1"/>
    <col min="15610" max="15610" width="14.453125" style="18" customWidth="1"/>
    <col min="15611" max="15611" width="7.4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54296875" style="18" customWidth="1"/>
    <col min="15865" max="15865" width="9.81640625" style="18" customWidth="1"/>
    <col min="15866" max="15866" width="14.453125" style="18" customWidth="1"/>
    <col min="15867" max="15867" width="7.4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54296875" style="18" customWidth="1"/>
    <col min="16121" max="16121" width="9.81640625" style="18" customWidth="1"/>
    <col min="16122" max="16122" width="14.453125" style="18" customWidth="1"/>
    <col min="16123" max="16123" width="7.4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67" t="s">
        <v>165</v>
      </c>
      <c r="B1" s="167"/>
      <c r="C1" s="167"/>
      <c r="D1" s="167"/>
      <c r="E1" s="167"/>
      <c r="F1" s="167"/>
      <c r="G1" s="167"/>
      <c r="H1" s="167"/>
    </row>
    <row r="2" spans="1:26" ht="16.5" customHeight="1" x14ac:dyDescent="0.35">
      <c r="A2" s="168" t="s">
        <v>0</v>
      </c>
      <c r="B2" s="168"/>
      <c r="C2" s="168"/>
      <c r="D2" s="168"/>
      <c r="E2" s="168"/>
      <c r="F2" s="168"/>
      <c r="G2" s="168"/>
      <c r="H2" s="168"/>
    </row>
    <row r="3" spans="1:26" x14ac:dyDescent="0.35">
      <c r="A3" s="82" t="s">
        <v>1</v>
      </c>
      <c r="B3" s="82"/>
      <c r="C3" s="82"/>
      <c r="D3" s="82"/>
      <c r="E3" s="82" t="str">
        <f ca="1">TEXT(TODAY(),"DD/MM/YYYY")</f>
        <v>19/08/2025</v>
      </c>
      <c r="F3" s="82"/>
      <c r="G3" s="82"/>
      <c r="H3" s="82"/>
      <c r="K3" s="49" t="s">
        <v>236</v>
      </c>
      <c r="L3" s="48" t="s">
        <v>234</v>
      </c>
      <c r="M3" s="48" t="s">
        <v>239</v>
      </c>
      <c r="N3" s="48" t="s">
        <v>237</v>
      </c>
      <c r="O3" s="48" t="s">
        <v>238</v>
      </c>
      <c r="P3" s="48" t="s">
        <v>240</v>
      </c>
    </row>
    <row r="4" spans="1:26" ht="15" customHeight="1" x14ac:dyDescent="0.35">
      <c r="A4" s="82" t="s">
        <v>233</v>
      </c>
      <c r="B4" s="82"/>
      <c r="C4" s="82"/>
      <c r="D4" s="82"/>
      <c r="E4" s="82" t="s">
        <v>234</v>
      </c>
      <c r="F4" s="82"/>
      <c r="G4" s="82"/>
      <c r="H4" s="82"/>
      <c r="K4" s="47" t="s">
        <v>235</v>
      </c>
      <c r="L4" s="48" t="s">
        <v>171</v>
      </c>
      <c r="M4" s="48" t="s">
        <v>244</v>
      </c>
      <c r="N4" s="48" t="s">
        <v>246</v>
      </c>
      <c r="O4" s="48" t="s">
        <v>248</v>
      </c>
      <c r="P4" s="48"/>
    </row>
    <row r="5" spans="1:26" ht="15" customHeight="1" x14ac:dyDescent="0.35">
      <c r="A5" s="82" t="s">
        <v>2</v>
      </c>
      <c r="B5" s="82"/>
      <c r="C5" s="82"/>
      <c r="D5" s="82"/>
      <c r="E5" s="82" t="s">
        <v>171</v>
      </c>
      <c r="F5" s="82"/>
      <c r="G5" s="82"/>
      <c r="H5" s="82"/>
      <c r="K5" s="47"/>
      <c r="L5" s="48" t="s">
        <v>241</v>
      </c>
      <c r="M5" s="48" t="s">
        <v>245</v>
      </c>
      <c r="N5" s="48" t="s">
        <v>247</v>
      </c>
      <c r="O5" s="48" t="s">
        <v>249</v>
      </c>
      <c r="P5" s="48"/>
    </row>
    <row r="6" spans="1:26" x14ac:dyDescent="0.35">
      <c r="A6" s="82" t="s">
        <v>3</v>
      </c>
      <c r="B6" s="82"/>
      <c r="C6" s="82"/>
      <c r="D6" s="82"/>
      <c r="E6" s="170">
        <v>45882</v>
      </c>
      <c r="F6" s="82"/>
      <c r="G6" s="82"/>
      <c r="H6" s="82"/>
      <c r="K6" s="47"/>
      <c r="L6" s="48" t="s">
        <v>242</v>
      </c>
      <c r="M6" s="48"/>
      <c r="N6" s="48"/>
      <c r="O6" s="48" t="s">
        <v>250</v>
      </c>
      <c r="P6" s="48"/>
    </row>
    <row r="7" spans="1:26" ht="16.5" customHeight="1" x14ac:dyDescent="0.35">
      <c r="A7" s="82" t="s">
        <v>4</v>
      </c>
      <c r="B7" s="82"/>
      <c r="C7" s="82"/>
      <c r="D7" s="82"/>
      <c r="E7" s="82" t="s">
        <v>378</v>
      </c>
      <c r="F7" s="82"/>
      <c r="G7" s="82"/>
      <c r="H7" s="82"/>
      <c r="K7" s="47"/>
      <c r="L7" s="48" t="s">
        <v>243</v>
      </c>
      <c r="M7" s="48"/>
      <c r="N7" s="48"/>
      <c r="O7" s="48" t="s">
        <v>250</v>
      </c>
      <c r="P7" s="48"/>
    </row>
    <row r="8" spans="1:26" ht="15" customHeight="1" x14ac:dyDescent="0.35">
      <c r="A8" s="82" t="s">
        <v>5</v>
      </c>
      <c r="B8" s="82"/>
      <c r="C8" s="82"/>
      <c r="D8" s="82"/>
      <c r="E8" s="82" t="s">
        <v>332</v>
      </c>
      <c r="F8" s="82"/>
      <c r="G8" s="82"/>
      <c r="H8" s="82"/>
      <c r="K8" s="47"/>
      <c r="L8" s="48"/>
      <c r="M8" s="48"/>
      <c r="N8" s="48"/>
      <c r="O8" s="48" t="s">
        <v>251</v>
      </c>
      <c r="P8" s="48"/>
    </row>
    <row r="9" spans="1:26" x14ac:dyDescent="0.35">
      <c r="A9" s="82" t="s">
        <v>6</v>
      </c>
      <c r="B9" s="82"/>
      <c r="C9" s="82"/>
      <c r="D9" s="82"/>
      <c r="E9" s="169" t="s">
        <v>333</v>
      </c>
      <c r="F9" s="169"/>
      <c r="G9" s="169"/>
      <c r="H9" s="169"/>
      <c r="I9" s="18" t="s">
        <v>384</v>
      </c>
      <c r="K9" s="47"/>
      <c r="L9" s="48"/>
      <c r="M9" s="48"/>
      <c r="N9" s="48"/>
      <c r="O9" s="48" t="s">
        <v>252</v>
      </c>
      <c r="P9" s="48"/>
    </row>
    <row r="10" spans="1:26" x14ac:dyDescent="0.35">
      <c r="A10" s="82" t="s">
        <v>168</v>
      </c>
      <c r="B10" s="82"/>
      <c r="C10" s="82"/>
      <c r="D10" s="82"/>
      <c r="E10" s="82" t="s">
        <v>334</v>
      </c>
      <c r="F10" s="82"/>
      <c r="G10" s="82"/>
      <c r="H10" s="82"/>
      <c r="K10" s="47"/>
      <c r="L10" s="48"/>
      <c r="M10" s="48"/>
      <c r="N10" s="48"/>
      <c r="O10" s="48"/>
      <c r="P10" s="48"/>
    </row>
    <row r="11" spans="1:26" x14ac:dyDescent="0.35">
      <c r="A11" s="82" t="s">
        <v>169</v>
      </c>
      <c r="B11" s="82"/>
      <c r="C11" s="82"/>
      <c r="D11" s="82"/>
      <c r="E11" s="82" t="s">
        <v>390</v>
      </c>
      <c r="F11" s="82"/>
      <c r="G11" s="82"/>
      <c r="H11" s="82"/>
      <c r="I11" s="82" t="s">
        <v>382</v>
      </c>
      <c r="J11" s="82"/>
      <c r="K11" s="82"/>
      <c r="L11" s="82"/>
    </row>
    <row r="12" spans="1:26" x14ac:dyDescent="0.35">
      <c r="A12" s="82" t="s">
        <v>7</v>
      </c>
      <c r="B12" s="82"/>
      <c r="C12" s="82"/>
      <c r="D12" s="82"/>
      <c r="E12" s="82" t="s">
        <v>120</v>
      </c>
      <c r="F12" s="82"/>
      <c r="G12" s="82"/>
      <c r="H12" s="82"/>
    </row>
    <row r="13" spans="1:26" x14ac:dyDescent="0.35">
      <c r="A13" s="82" t="s">
        <v>172</v>
      </c>
      <c r="B13" s="82"/>
      <c r="C13" s="82"/>
      <c r="D13" s="82"/>
      <c r="E13" s="82" t="s">
        <v>336</v>
      </c>
      <c r="F13" s="82"/>
      <c r="G13" s="82"/>
      <c r="H13" s="82"/>
      <c r="S13" s="48" t="s">
        <v>178</v>
      </c>
      <c r="T13" s="48" t="s">
        <v>188</v>
      </c>
      <c r="U13" s="48" t="s">
        <v>173</v>
      </c>
      <c r="V13" s="48" t="s">
        <v>193</v>
      </c>
      <c r="W13" s="48" t="s">
        <v>211</v>
      </c>
      <c r="X13"/>
      <c r="Y13" t="s">
        <v>193</v>
      </c>
      <c r="Z13" t="e">
        <f ca="1">OFFSET($S$13,1,MATCH($G20,$S$13:$W$13,0)-1,15,1)</f>
        <v>#VALUE!</v>
      </c>
    </row>
    <row r="14" spans="1:26" x14ac:dyDescent="0.35">
      <c r="A14" s="105" t="s">
        <v>279</v>
      </c>
      <c r="B14" s="105"/>
      <c r="C14" s="105"/>
      <c r="D14" s="105"/>
      <c r="E14" s="113" t="s">
        <v>337</v>
      </c>
      <c r="F14" s="113"/>
      <c r="G14" s="113"/>
      <c r="H14" s="113"/>
      <c r="S14" s="48" t="s">
        <v>179</v>
      </c>
      <c r="T14" s="48" t="s">
        <v>186</v>
      </c>
      <c r="U14" s="48" t="s">
        <v>208</v>
      </c>
      <c r="V14" s="48" t="s">
        <v>194</v>
      </c>
      <c r="W14" s="48" t="s">
        <v>212</v>
      </c>
      <c r="X14"/>
      <c r="Y14"/>
      <c r="Z14"/>
    </row>
    <row r="15" spans="1:26" x14ac:dyDescent="0.35">
      <c r="A15" s="105" t="s">
        <v>8</v>
      </c>
      <c r="B15" s="105"/>
      <c r="C15" s="105"/>
      <c r="D15" s="105"/>
      <c r="E15" s="113" t="s">
        <v>335</v>
      </c>
      <c r="F15" s="82"/>
      <c r="G15" s="82"/>
      <c r="H15" s="82"/>
      <c r="I15" s="137" t="e">
        <f ca="1">OFFSET($D$5,1,MATCH($J13,$D$5:$H$5,0)-1,15,1)</f>
        <v>#N/A</v>
      </c>
      <c r="J15" s="138"/>
      <c r="K15" s="138"/>
      <c r="L15" s="138"/>
      <c r="M15" s="138"/>
      <c r="N15" s="138"/>
      <c r="O15" s="138"/>
      <c r="P15" s="138"/>
      <c r="S15" s="48" t="s">
        <v>180</v>
      </c>
      <c r="T15" s="48" t="s">
        <v>187</v>
      </c>
      <c r="U15" s="48" t="s">
        <v>209</v>
      </c>
      <c r="V15" s="48" t="s">
        <v>195</v>
      </c>
      <c r="W15" s="48" t="s">
        <v>225</v>
      </c>
      <c r="X15"/>
      <c r="Y15"/>
      <c r="Z15"/>
    </row>
    <row r="16" spans="1:26" ht="48" customHeight="1" x14ac:dyDescent="0.35">
      <c r="A16" s="135" t="s">
        <v>9</v>
      </c>
      <c r="B16" s="135"/>
      <c r="C16" s="135" t="str">
        <f>CONCATENATE((IF(OR(E9="",E9="NA"),"",E9)),", ",(IF(OR(A17="",A17="NA"),"",A17)),".",(IF(OR(C17="",C17="NA"),"",C17)),", near ",(IF(OR(C22="",C22="NA"),"",C22)),", ",(IF(OR(C19="",C19="NA"),"",C19)),", ",(IF(OR(C18="",C18="NA"),"",C18)),", ",(IF(OR(G19="",G19="NA"),"",G19)),", ",(IF(OR(C20="",C20="NA"),"",C20)),", ",(IF(OR(C21="",C21="NA"),"",C21)),", ",(IF(OR(G20="",G20="NA"),"",G20))," - ",(IF(OR(G21="",G21="NA"),"",G21)),".")</f>
        <v>Swastik Coral, CTS No.349 (Pt), S. No.113(Pt), Redevelopement of " Shree Sai CHSL (Building No.36) ", near Adityaraj Sai Prasad, Ashok N Pangare Road, Tagore Nagar, Vikhroli, Vikhroli East, Kurla, Mumbai - 400083.</v>
      </c>
      <c r="D16" s="135"/>
      <c r="E16" s="135"/>
      <c r="F16" s="135"/>
      <c r="G16" s="135"/>
      <c r="H16" s="135"/>
      <c r="S16" s="48" t="s">
        <v>181</v>
      </c>
      <c r="T16" s="48" t="s">
        <v>189</v>
      </c>
      <c r="U16" s="48" t="s">
        <v>210</v>
      </c>
      <c r="V16" s="48" t="s">
        <v>196</v>
      </c>
      <c r="W16" s="48" t="s">
        <v>213</v>
      </c>
      <c r="X16"/>
      <c r="Y16"/>
      <c r="Z16"/>
    </row>
    <row r="17" spans="1:26" ht="18.75" customHeight="1" x14ac:dyDescent="0.35">
      <c r="A17" s="113" t="s">
        <v>176</v>
      </c>
      <c r="B17" s="113"/>
      <c r="C17" s="113" t="s">
        <v>379</v>
      </c>
      <c r="D17" s="113"/>
      <c r="E17" s="113"/>
      <c r="F17" s="113"/>
      <c r="G17" s="113"/>
      <c r="H17" s="113"/>
      <c r="S17" s="48" t="s">
        <v>182</v>
      </c>
      <c r="T17" s="48" t="s">
        <v>190</v>
      </c>
      <c r="U17" s="48" t="s">
        <v>173</v>
      </c>
      <c r="V17" s="48" t="s">
        <v>197</v>
      </c>
      <c r="W17" s="48" t="s">
        <v>214</v>
      </c>
      <c r="X17"/>
      <c r="Y17"/>
      <c r="Z17"/>
    </row>
    <row r="18" spans="1:26" ht="15.75" customHeight="1" x14ac:dyDescent="0.35">
      <c r="A18" s="113" t="s">
        <v>163</v>
      </c>
      <c r="B18" s="113"/>
      <c r="C18" s="113" t="s">
        <v>343</v>
      </c>
      <c r="D18" s="113"/>
      <c r="E18" s="113"/>
      <c r="F18" s="113"/>
      <c r="G18" s="113"/>
      <c r="H18" s="113"/>
      <c r="S18" s="48" t="s">
        <v>183</v>
      </c>
      <c r="T18" s="48" t="s">
        <v>188</v>
      </c>
      <c r="U18" s="48"/>
      <c r="V18" s="48" t="s">
        <v>198</v>
      </c>
      <c r="W18" s="48" t="s">
        <v>215</v>
      </c>
      <c r="X18"/>
      <c r="Y18"/>
      <c r="Z18"/>
    </row>
    <row r="19" spans="1:26" ht="15.75" customHeight="1" x14ac:dyDescent="0.35">
      <c r="A19" s="135" t="s">
        <v>10</v>
      </c>
      <c r="B19" s="135"/>
      <c r="C19" s="82" t="s">
        <v>345</v>
      </c>
      <c r="D19" s="82"/>
      <c r="E19" s="113" t="s">
        <v>70</v>
      </c>
      <c r="F19" s="113"/>
      <c r="G19" s="113" t="s">
        <v>338</v>
      </c>
      <c r="H19" s="113"/>
      <c r="S19" s="48" t="s">
        <v>184</v>
      </c>
      <c r="T19" s="48" t="s">
        <v>191</v>
      </c>
      <c r="U19" s="48"/>
      <c r="V19" s="48" t="s">
        <v>199</v>
      </c>
      <c r="W19" s="48" t="s">
        <v>216</v>
      </c>
      <c r="X19"/>
      <c r="Y19"/>
      <c r="Z19"/>
    </row>
    <row r="20" spans="1:26" x14ac:dyDescent="0.35">
      <c r="A20" s="105" t="s">
        <v>12</v>
      </c>
      <c r="B20" s="105"/>
      <c r="C20" s="113" t="s">
        <v>342</v>
      </c>
      <c r="D20" s="113"/>
      <c r="E20" s="113" t="s">
        <v>11</v>
      </c>
      <c r="F20" s="113"/>
      <c r="G20" s="172" t="s">
        <v>173</v>
      </c>
      <c r="H20" s="172"/>
      <c r="S20" s="48" t="s">
        <v>185</v>
      </c>
      <c r="T20" s="48" t="s">
        <v>192</v>
      </c>
      <c r="U20" s="48"/>
      <c r="V20" s="48" t="s">
        <v>200</v>
      </c>
      <c r="W20" s="48" t="s">
        <v>217</v>
      </c>
      <c r="X20"/>
      <c r="Y20"/>
      <c r="Z20"/>
    </row>
    <row r="21" spans="1:26" x14ac:dyDescent="0.35">
      <c r="A21" s="105" t="s">
        <v>71</v>
      </c>
      <c r="B21" s="105"/>
      <c r="C21" s="113" t="s">
        <v>210</v>
      </c>
      <c r="D21" s="113"/>
      <c r="E21" s="113" t="s">
        <v>13</v>
      </c>
      <c r="F21" s="113"/>
      <c r="G21" s="113">
        <v>400083</v>
      </c>
      <c r="H21" s="113"/>
      <c r="S21" s="48"/>
      <c r="T21" s="48"/>
      <c r="U21" s="48"/>
      <c r="V21" s="48" t="s">
        <v>201</v>
      </c>
      <c r="W21" s="48" t="s">
        <v>218</v>
      </c>
      <c r="X21"/>
      <c r="Y21"/>
      <c r="Z21"/>
    </row>
    <row r="22" spans="1:26" ht="32.25" customHeight="1" x14ac:dyDescent="0.35">
      <c r="A22" s="105" t="s">
        <v>122</v>
      </c>
      <c r="B22" s="105"/>
      <c r="C22" s="113" t="s">
        <v>344</v>
      </c>
      <c r="D22" s="113"/>
      <c r="E22" s="135" t="s">
        <v>14</v>
      </c>
      <c r="F22" s="135"/>
      <c r="G22" s="113" t="s">
        <v>341</v>
      </c>
      <c r="H22" s="113"/>
      <c r="S22" s="48"/>
      <c r="T22" s="48"/>
      <c r="U22" s="48"/>
      <c r="V22" s="48" t="s">
        <v>202</v>
      </c>
      <c r="W22" s="48" t="s">
        <v>219</v>
      </c>
      <c r="X22"/>
      <c r="Y22"/>
      <c r="Z22"/>
    </row>
    <row r="23" spans="1:26" ht="15" customHeight="1" x14ac:dyDescent="0.35">
      <c r="A23" s="135" t="s">
        <v>73</v>
      </c>
      <c r="B23" s="135"/>
      <c r="C23" s="135"/>
      <c r="D23" s="135"/>
      <c r="E23" s="82" t="s">
        <v>15</v>
      </c>
      <c r="F23" s="82"/>
      <c r="G23" s="82"/>
      <c r="H23" s="82"/>
      <c r="S23" s="48"/>
      <c r="T23" s="48"/>
      <c r="U23" s="48"/>
      <c r="V23" s="48" t="s">
        <v>203</v>
      </c>
      <c r="W23" s="48" t="s">
        <v>220</v>
      </c>
      <c r="X23"/>
      <c r="Y23"/>
      <c r="Z23"/>
    </row>
    <row r="24" spans="1:26" ht="18.75" customHeight="1" x14ac:dyDescent="0.35">
      <c r="A24" s="135"/>
      <c r="B24" s="135"/>
      <c r="C24" s="135"/>
      <c r="D24" s="135"/>
      <c r="E24" s="82"/>
      <c r="F24" s="82"/>
      <c r="G24" s="82"/>
      <c r="H24" s="82"/>
      <c r="S24" s="48"/>
      <c r="T24" s="48"/>
      <c r="U24" s="48"/>
      <c r="V24" s="48" t="s">
        <v>204</v>
      </c>
      <c r="W24" s="48" t="s">
        <v>221</v>
      </c>
      <c r="X24"/>
      <c r="Y24"/>
      <c r="Z24"/>
    </row>
    <row r="25" spans="1:26" ht="15" customHeight="1" x14ac:dyDescent="0.35">
      <c r="A25" s="135" t="s">
        <v>16</v>
      </c>
      <c r="B25" s="135"/>
      <c r="C25" s="135"/>
      <c r="D25" s="135"/>
      <c r="E25" s="113" t="s">
        <v>17</v>
      </c>
      <c r="F25" s="113"/>
      <c r="G25" s="113"/>
      <c r="H25" s="113"/>
      <c r="S25" s="48"/>
      <c r="T25" s="48"/>
      <c r="U25" s="48"/>
      <c r="V25" s="48" t="s">
        <v>205</v>
      </c>
      <c r="W25" s="48" t="s">
        <v>222</v>
      </c>
      <c r="X25"/>
      <c r="Y25"/>
      <c r="Z25"/>
    </row>
    <row r="26" spans="1:26" ht="15" customHeight="1" x14ac:dyDescent="0.35">
      <c r="A26" s="105" t="s">
        <v>18</v>
      </c>
      <c r="B26" s="105"/>
      <c r="C26" s="105"/>
      <c r="D26" s="105"/>
      <c r="E26" s="113" t="str">
        <f>IF(AND(G20="Mumbai"),"Upper Class","Middle Class")</f>
        <v>Upper Class</v>
      </c>
      <c r="F26" s="113"/>
      <c r="G26" s="113"/>
      <c r="H26" s="113"/>
      <c r="S26" s="48"/>
      <c r="T26" s="48"/>
      <c r="U26" s="48"/>
      <c r="V26" s="48" t="s">
        <v>206</v>
      </c>
      <c r="W26" s="48" t="s">
        <v>223</v>
      </c>
      <c r="X26"/>
      <c r="Y26"/>
      <c r="Z26"/>
    </row>
    <row r="27" spans="1:26" x14ac:dyDescent="0.35">
      <c r="A27" s="105" t="s">
        <v>19</v>
      </c>
      <c r="B27" s="105"/>
      <c r="C27" s="105"/>
      <c r="D27" s="105"/>
      <c r="E27" s="113" t="s">
        <v>20</v>
      </c>
      <c r="F27" s="113"/>
      <c r="G27" s="113"/>
      <c r="H27" s="113"/>
      <c r="S27" s="48"/>
      <c r="T27" s="48"/>
      <c r="U27" s="48"/>
      <c r="V27" s="48" t="s">
        <v>207</v>
      </c>
      <c r="W27" s="48" t="s">
        <v>224</v>
      </c>
      <c r="X27"/>
      <c r="Y27"/>
      <c r="Z27"/>
    </row>
    <row r="28" spans="1:26" ht="15.75" customHeight="1" x14ac:dyDescent="0.35">
      <c r="A28" s="105" t="s">
        <v>21</v>
      </c>
      <c r="B28" s="105"/>
      <c r="C28" s="105"/>
      <c r="D28" s="105"/>
      <c r="E28" s="113" t="str">
        <f>IF(AND(G20="Mumbai"),"Developed","Developing")</f>
        <v>Developed</v>
      </c>
      <c r="F28" s="113"/>
      <c r="G28" s="113"/>
      <c r="H28" s="113"/>
    </row>
    <row r="29" spans="1:26" x14ac:dyDescent="0.35">
      <c r="A29" s="105" t="s">
        <v>22</v>
      </c>
      <c r="B29" s="105"/>
      <c r="C29" s="105"/>
      <c r="D29" s="105"/>
      <c r="E29" s="113" t="s">
        <v>23</v>
      </c>
      <c r="F29" s="113"/>
      <c r="G29" s="113"/>
      <c r="H29" s="113"/>
    </row>
    <row r="30" spans="1:26" ht="15.75" customHeight="1" x14ac:dyDescent="0.35">
      <c r="A30" s="105" t="s">
        <v>78</v>
      </c>
      <c r="B30" s="105"/>
      <c r="C30" s="105"/>
      <c r="D30" s="105"/>
      <c r="E30" s="113" t="s">
        <v>79</v>
      </c>
      <c r="F30" s="113"/>
      <c r="G30" s="113"/>
      <c r="H30" s="113"/>
    </row>
    <row r="31" spans="1:26" ht="15" customHeight="1" x14ac:dyDescent="0.35">
      <c r="A31" s="105" t="s">
        <v>30</v>
      </c>
      <c r="B31" s="105"/>
      <c r="C31" s="105"/>
      <c r="D31" s="105"/>
      <c r="E31" s="11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3"/>
      <c r="G31" s="113"/>
      <c r="H31" s="113"/>
    </row>
    <row r="32" spans="1:26" ht="15.75" customHeight="1" x14ac:dyDescent="0.35">
      <c r="A32" s="105" t="s">
        <v>90</v>
      </c>
      <c r="B32" s="105"/>
      <c r="C32" s="105"/>
      <c r="D32" s="105"/>
      <c r="E32" s="113" t="s">
        <v>31</v>
      </c>
      <c r="F32" s="113"/>
      <c r="G32" s="113"/>
      <c r="H32" s="113"/>
    </row>
    <row r="33" spans="1:19" s="19" customFormat="1" x14ac:dyDescent="0.35">
      <c r="A33" s="174" t="s">
        <v>91</v>
      </c>
      <c r="B33" s="174"/>
      <c r="C33" s="139" t="s">
        <v>174</v>
      </c>
      <c r="D33" s="139"/>
      <c r="E33" s="139"/>
      <c r="F33" s="139" t="s">
        <v>29</v>
      </c>
      <c r="G33" s="139"/>
      <c r="H33" s="139"/>
      <c r="S33" s="19" t="e">
        <f ca="1">OFFSET($S$13,1,MATCH($G20,$S$13:$W$13,0)-1,15,1)</f>
        <v>#VALUE!</v>
      </c>
    </row>
    <row r="34" spans="1:19" s="19" customFormat="1" x14ac:dyDescent="0.35">
      <c r="A34" s="173" t="s">
        <v>24</v>
      </c>
      <c r="B34" s="173" t="s">
        <v>28</v>
      </c>
      <c r="C34" s="171" t="s">
        <v>348</v>
      </c>
      <c r="D34" s="171"/>
      <c r="E34" s="171"/>
      <c r="F34" s="171" t="s">
        <v>347</v>
      </c>
      <c r="G34" s="171"/>
      <c r="H34" s="171"/>
    </row>
    <row r="35" spans="1:19" x14ac:dyDescent="0.35">
      <c r="A35" s="173" t="s">
        <v>25</v>
      </c>
      <c r="B35" s="173" t="s">
        <v>28</v>
      </c>
      <c r="C35" s="171" t="s">
        <v>349</v>
      </c>
      <c r="D35" s="171"/>
      <c r="E35" s="171"/>
      <c r="F35" s="171" t="s">
        <v>346</v>
      </c>
      <c r="G35" s="171"/>
      <c r="H35" s="171"/>
    </row>
    <row r="36" spans="1:19" s="19" customFormat="1" x14ac:dyDescent="0.35">
      <c r="A36" s="173" t="s">
        <v>27</v>
      </c>
      <c r="B36" s="173" t="s">
        <v>28</v>
      </c>
      <c r="C36" s="171" t="s">
        <v>349</v>
      </c>
      <c r="D36" s="171"/>
      <c r="E36" s="171"/>
      <c r="F36" s="171" t="s">
        <v>345</v>
      </c>
      <c r="G36" s="171"/>
      <c r="H36" s="171"/>
    </row>
    <row r="37" spans="1:19" x14ac:dyDescent="0.35">
      <c r="A37" s="173" t="s">
        <v>26</v>
      </c>
      <c r="B37" s="173" t="s">
        <v>28</v>
      </c>
      <c r="C37" s="171" t="s">
        <v>348</v>
      </c>
      <c r="D37" s="171"/>
      <c r="E37" s="171"/>
      <c r="F37" s="171" t="s">
        <v>344</v>
      </c>
      <c r="G37" s="171"/>
      <c r="H37" s="171"/>
    </row>
    <row r="38" spans="1:19" x14ac:dyDescent="0.35">
      <c r="A38" s="105" t="s">
        <v>280</v>
      </c>
      <c r="B38" s="105"/>
      <c r="C38" s="105"/>
      <c r="D38" s="105"/>
      <c r="E38" s="105"/>
      <c r="F38" s="105"/>
      <c r="G38" s="105"/>
      <c r="H38" s="105"/>
    </row>
    <row r="39" spans="1:19" ht="15.75" customHeight="1" x14ac:dyDescent="0.35">
      <c r="A39" s="105" t="s">
        <v>166</v>
      </c>
      <c r="B39" s="105"/>
      <c r="C39" s="112" t="s">
        <v>339</v>
      </c>
      <c r="D39" s="112"/>
      <c r="E39" s="112"/>
      <c r="F39" s="112"/>
      <c r="G39" s="112"/>
      <c r="H39" s="112"/>
    </row>
    <row r="40" spans="1:19" x14ac:dyDescent="0.35">
      <c r="A40" s="105" t="s">
        <v>162</v>
      </c>
      <c r="B40" s="105"/>
      <c r="C40" s="187" t="s">
        <v>340</v>
      </c>
      <c r="D40" s="113"/>
      <c r="E40" s="113"/>
      <c r="F40" s="113"/>
      <c r="G40" s="113"/>
      <c r="H40" s="113"/>
    </row>
    <row r="41" spans="1:19" x14ac:dyDescent="0.35">
      <c r="A41" s="112" t="s">
        <v>32</v>
      </c>
      <c r="B41" s="112"/>
      <c r="C41" s="112"/>
      <c r="D41" s="112"/>
      <c r="E41" s="112"/>
      <c r="F41" s="112"/>
      <c r="G41" s="112"/>
      <c r="H41" s="112"/>
    </row>
    <row r="42" spans="1:19" x14ac:dyDescent="0.35">
      <c r="A42" s="105" t="s">
        <v>33</v>
      </c>
      <c r="B42" s="105"/>
      <c r="C42" s="105"/>
      <c r="D42" s="105"/>
      <c r="E42" s="175">
        <v>843.23</v>
      </c>
      <c r="F42" s="175"/>
      <c r="G42" s="175"/>
      <c r="H42" s="175"/>
    </row>
    <row r="43" spans="1:19" x14ac:dyDescent="0.35">
      <c r="A43" s="105" t="s">
        <v>34</v>
      </c>
      <c r="B43" s="105"/>
      <c r="C43" s="105"/>
      <c r="D43" s="105"/>
      <c r="E43" s="140">
        <v>3</v>
      </c>
      <c r="F43" s="140"/>
      <c r="G43" s="140"/>
      <c r="H43" s="140"/>
    </row>
    <row r="44" spans="1:19" x14ac:dyDescent="0.35">
      <c r="A44" s="105" t="s">
        <v>35</v>
      </c>
      <c r="B44" s="105"/>
      <c r="C44" s="105"/>
      <c r="D44" s="105"/>
      <c r="E44" s="140">
        <f>E46/E42-E43</f>
        <v>3.4823950760765143</v>
      </c>
      <c r="F44" s="140"/>
      <c r="G44" s="140"/>
      <c r="H44" s="140"/>
    </row>
    <row r="45" spans="1:19" x14ac:dyDescent="0.35">
      <c r="A45" s="105" t="s">
        <v>36</v>
      </c>
      <c r="B45" s="105"/>
      <c r="C45" s="105"/>
      <c r="D45" s="105"/>
      <c r="E45" s="140">
        <f>E43+E44</f>
        <v>6.4823950760765143</v>
      </c>
      <c r="F45" s="140"/>
      <c r="G45" s="140"/>
      <c r="H45" s="140"/>
    </row>
    <row r="46" spans="1:19" x14ac:dyDescent="0.35">
      <c r="A46" s="105" t="s">
        <v>89</v>
      </c>
      <c r="B46" s="105"/>
      <c r="C46" s="105"/>
      <c r="D46" s="105"/>
      <c r="E46" s="177">
        <v>5466.15</v>
      </c>
      <c r="F46" s="177"/>
      <c r="G46" s="177"/>
      <c r="H46" s="177"/>
    </row>
    <row r="47" spans="1:19" x14ac:dyDescent="0.35">
      <c r="A47" s="82" t="s">
        <v>37</v>
      </c>
      <c r="B47" s="82"/>
      <c r="C47" s="82"/>
      <c r="D47" s="82"/>
      <c r="E47" s="82" t="s">
        <v>120</v>
      </c>
      <c r="F47" s="82"/>
      <c r="G47" s="82"/>
      <c r="H47" s="82"/>
    </row>
    <row r="48" spans="1:19" x14ac:dyDescent="0.35">
      <c r="A48" s="112" t="s">
        <v>38</v>
      </c>
      <c r="B48" s="112"/>
      <c r="C48" s="112"/>
      <c r="D48" s="112"/>
      <c r="E48" s="112"/>
      <c r="F48" s="112"/>
      <c r="G48" s="112"/>
      <c r="H48" s="112"/>
    </row>
    <row r="49" spans="1:24" ht="33.75" customHeight="1" x14ac:dyDescent="0.35">
      <c r="A49" s="133" t="s">
        <v>151</v>
      </c>
      <c r="B49" s="128"/>
      <c r="C49" s="182" t="s">
        <v>256</v>
      </c>
      <c r="D49" s="183"/>
      <c r="E49" s="183"/>
      <c r="F49" s="183"/>
      <c r="G49" s="183"/>
      <c r="H49" s="184"/>
      <c r="R49" t="s">
        <v>253</v>
      </c>
      <c r="S49" t="s">
        <v>173</v>
      </c>
      <c r="T49" t="s">
        <v>178</v>
      </c>
      <c r="U49" t="s">
        <v>193</v>
      </c>
      <c r="V49" t="s">
        <v>188</v>
      </c>
    </row>
    <row r="50" spans="1:24" ht="15.75" customHeight="1" x14ac:dyDescent="0.35">
      <c r="A50" s="133" t="s">
        <v>39</v>
      </c>
      <c r="B50" s="128"/>
      <c r="C50" s="133" t="s">
        <v>350</v>
      </c>
      <c r="D50" s="134"/>
      <c r="E50" s="128"/>
      <c r="F50" s="17" t="s">
        <v>40</v>
      </c>
      <c r="G50" s="127">
        <v>45033</v>
      </c>
      <c r="H50" s="128"/>
      <c r="R50"/>
      <c r="S50" t="s">
        <v>254</v>
      </c>
      <c r="T50" t="s">
        <v>259</v>
      </c>
      <c r="U50" t="s">
        <v>270</v>
      </c>
      <c r="V50" t="s">
        <v>275</v>
      </c>
    </row>
    <row r="51" spans="1:24" x14ac:dyDescent="0.35">
      <c r="A51" s="133" t="s">
        <v>41</v>
      </c>
      <c r="B51" s="128"/>
      <c r="C51" s="133" t="str">
        <f>C50</f>
        <v>Mhada-8/1180/2023</v>
      </c>
      <c r="D51" s="134"/>
      <c r="E51" s="128"/>
      <c r="F51" s="17" t="s">
        <v>40</v>
      </c>
      <c r="G51" s="127">
        <f>G50</f>
        <v>45033</v>
      </c>
      <c r="H51" s="128"/>
      <c r="R51"/>
      <c r="S51" t="s">
        <v>255</v>
      </c>
      <c r="T51" t="s">
        <v>260</v>
      </c>
      <c r="U51" t="s">
        <v>268</v>
      </c>
      <c r="V51" t="s">
        <v>276</v>
      </c>
    </row>
    <row r="52" spans="1:24" s="20" customFormat="1" ht="33" customHeight="1" x14ac:dyDescent="0.35">
      <c r="A52" s="129" t="s">
        <v>155</v>
      </c>
      <c r="B52" s="130"/>
      <c r="C52" s="133" t="s">
        <v>380</v>
      </c>
      <c r="D52" s="134"/>
      <c r="E52" s="128"/>
      <c r="F52" s="17" t="s">
        <v>40</v>
      </c>
      <c r="G52" s="127">
        <v>45425</v>
      </c>
      <c r="H52" s="128"/>
      <c r="R52"/>
      <c r="S52" t="s">
        <v>256</v>
      </c>
      <c r="T52" t="s">
        <v>261</v>
      </c>
      <c r="U52" t="s">
        <v>258</v>
      </c>
      <c r="V52" t="s">
        <v>277</v>
      </c>
    </row>
    <row r="53" spans="1:24" s="20" customFormat="1" ht="273.64999999999998" customHeight="1" x14ac:dyDescent="0.35">
      <c r="A53" s="131"/>
      <c r="B53" s="132"/>
      <c r="C53" s="133" t="s">
        <v>381</v>
      </c>
      <c r="D53" s="134"/>
      <c r="E53" s="128"/>
      <c r="F53" s="17" t="s">
        <v>121</v>
      </c>
      <c r="G53" s="127">
        <v>45654</v>
      </c>
      <c r="H53" s="128"/>
      <c r="R53"/>
      <c r="S53" t="s">
        <v>257</v>
      </c>
      <c r="T53" t="s">
        <v>264</v>
      </c>
      <c r="U53" t="s">
        <v>271</v>
      </c>
    </row>
    <row r="54" spans="1:24" s="20" customFormat="1" hidden="1" x14ac:dyDescent="0.35">
      <c r="A54" s="143" t="s">
        <v>281</v>
      </c>
      <c r="B54" s="144"/>
      <c r="C54" s="133" t="str">
        <f>C53</f>
        <v>This C.C.is Re-endorsed and Further extended from 16th floor to 23rd upper Residential Floor with total building
ht. 69.90 mt. from ground level + LMR + OHT and along with parking tower having total height 69.90 mt. AGL as
per approved amended plans dtd. 22.04.2024 vide u/no. MH/EE/B.P.Cell/GM/MHADA-08/1180/2024.
Note:- That the guidelines for reduction of Air Pollution issued by Chief Engineer (D.P.) BMC dt.15/09/2023,Hon’ble Municipal Commissioner (BMC) dt. 25/10/2023 and MHADA circular vide No. ET-321, dtd. 25.10.2023 shall be strictly followed on site.</v>
      </c>
      <c r="D54" s="134"/>
      <c r="E54" s="128"/>
      <c r="F54" s="17" t="s">
        <v>40</v>
      </c>
      <c r="G54" s="133"/>
      <c r="H54" s="128"/>
      <c r="R54"/>
      <c r="S54" t="s">
        <v>256</v>
      </c>
      <c r="T54" t="s">
        <v>261</v>
      </c>
      <c r="U54" t="s">
        <v>258</v>
      </c>
      <c r="V54" t="s">
        <v>277</v>
      </c>
    </row>
    <row r="55" spans="1:24" s="20" customFormat="1" ht="32.25" hidden="1" customHeight="1" x14ac:dyDescent="0.35">
      <c r="A55" s="145"/>
      <c r="B55" s="146"/>
      <c r="C55" s="179"/>
      <c r="D55" s="180"/>
      <c r="E55" s="180"/>
      <c r="F55" s="180"/>
      <c r="G55" s="180"/>
      <c r="H55" s="181"/>
      <c r="R55"/>
      <c r="S55" t="s">
        <v>258</v>
      </c>
      <c r="T55" t="s">
        <v>262</v>
      </c>
      <c r="U55" t="s">
        <v>272</v>
      </c>
      <c r="V55" s="18"/>
      <c r="W55" s="18"/>
      <c r="X55" s="18"/>
    </row>
    <row r="56" spans="1:24" s="20" customFormat="1" ht="34.5" hidden="1" customHeight="1" x14ac:dyDescent="0.35">
      <c r="A56" s="143" t="s">
        <v>282</v>
      </c>
      <c r="B56" s="144"/>
      <c r="C56" s="133">
        <f>C55</f>
        <v>0</v>
      </c>
      <c r="D56" s="134"/>
      <c r="E56" s="128"/>
      <c r="F56" s="17" t="s">
        <v>40</v>
      </c>
      <c r="G56" s="133">
        <f>G55</f>
        <v>0</v>
      </c>
      <c r="H56" s="128"/>
      <c r="R56"/>
      <c r="S56" s="18"/>
      <c r="T56" t="s">
        <v>263</v>
      </c>
      <c r="U56" t="s">
        <v>273</v>
      </c>
      <c r="V56" s="18"/>
      <c r="W56" s="18"/>
      <c r="X56" s="18"/>
    </row>
    <row r="57" spans="1:24" s="20" customFormat="1" ht="41.25" hidden="1" customHeight="1" x14ac:dyDescent="0.35">
      <c r="A57" s="145"/>
      <c r="B57" s="146"/>
      <c r="C57" s="133"/>
      <c r="D57" s="134"/>
      <c r="E57" s="134"/>
      <c r="F57" s="134"/>
      <c r="G57" s="134"/>
      <c r="H57" s="128"/>
      <c r="R57"/>
      <c r="S57" s="18"/>
      <c r="T57" t="s">
        <v>265</v>
      </c>
      <c r="U57" t="s">
        <v>274</v>
      </c>
      <c r="V57" s="18"/>
      <c r="W57" s="18"/>
      <c r="X57" s="18"/>
    </row>
    <row r="58" spans="1:24" s="20" customFormat="1" ht="15.75" hidden="1" customHeight="1" x14ac:dyDescent="0.35">
      <c r="A58" s="143" t="s">
        <v>283</v>
      </c>
      <c r="B58" s="144"/>
      <c r="C58" s="133">
        <f>C57</f>
        <v>0</v>
      </c>
      <c r="D58" s="134"/>
      <c r="E58" s="128"/>
      <c r="F58" s="17" t="s">
        <v>40</v>
      </c>
      <c r="G58" s="133">
        <f>G57</f>
        <v>0</v>
      </c>
      <c r="H58" s="128"/>
      <c r="R58"/>
      <c r="S58" s="18"/>
      <c r="T58" t="s">
        <v>266</v>
      </c>
      <c r="U58" s="18" t="s">
        <v>297</v>
      </c>
      <c r="V58" s="18"/>
      <c r="W58" s="18"/>
      <c r="X58" s="18"/>
    </row>
    <row r="59" spans="1:24" s="20" customFormat="1" ht="14.25" hidden="1" customHeight="1" x14ac:dyDescent="0.35">
      <c r="A59" s="145"/>
      <c r="B59" s="146"/>
      <c r="C59" s="133"/>
      <c r="D59" s="134"/>
      <c r="E59" s="134"/>
      <c r="F59" s="134"/>
      <c r="G59" s="134"/>
      <c r="H59" s="128"/>
      <c r="R59"/>
      <c r="S59" s="18"/>
      <c r="T59" t="s">
        <v>267</v>
      </c>
      <c r="U59" s="18"/>
      <c r="V59" s="18"/>
      <c r="W59" s="18"/>
      <c r="X59" s="18"/>
    </row>
    <row r="60" spans="1:24" x14ac:dyDescent="0.35">
      <c r="A60" s="102" t="s">
        <v>42</v>
      </c>
      <c r="B60" s="103"/>
      <c r="C60" s="102" t="s">
        <v>103</v>
      </c>
      <c r="D60" s="104"/>
      <c r="E60" s="103"/>
      <c r="F60" s="40" t="s">
        <v>40</v>
      </c>
      <c r="G60" s="141" t="s">
        <v>28</v>
      </c>
      <c r="H60" s="142"/>
      <c r="R60"/>
      <c r="T60" t="s">
        <v>269</v>
      </c>
    </row>
    <row r="61" spans="1:24" x14ac:dyDescent="0.35">
      <c r="A61" s="160" t="s">
        <v>44</v>
      </c>
      <c r="B61" s="160"/>
      <c r="C61" s="160"/>
      <c r="D61" s="160"/>
      <c r="E61" s="160"/>
      <c r="F61" s="160"/>
      <c r="G61" s="160"/>
      <c r="H61" s="160"/>
      <c r="T61" t="s">
        <v>278</v>
      </c>
    </row>
    <row r="62" spans="1:24" x14ac:dyDescent="0.35">
      <c r="A62" s="135" t="s">
        <v>88</v>
      </c>
      <c r="B62" s="135"/>
      <c r="C62" s="135"/>
      <c r="D62" s="105">
        <f>E46</f>
        <v>5466.15</v>
      </c>
      <c r="E62" s="105"/>
      <c r="F62" s="105"/>
      <c r="G62" s="105"/>
      <c r="H62" s="105"/>
      <c r="R62"/>
    </row>
    <row r="63" spans="1:24" x14ac:dyDescent="0.35">
      <c r="A63" s="113" t="s">
        <v>45</v>
      </c>
      <c r="B63" s="82"/>
      <c r="C63" s="82"/>
      <c r="D63" s="82" t="s">
        <v>377</v>
      </c>
      <c r="E63" s="82"/>
      <c r="F63" s="82"/>
      <c r="G63" s="82"/>
      <c r="H63" s="82"/>
      <c r="I63" s="21"/>
      <c r="R63"/>
    </row>
    <row r="64" spans="1:24" x14ac:dyDescent="0.35">
      <c r="A64" s="113" t="s">
        <v>46</v>
      </c>
      <c r="B64" s="113"/>
      <c r="C64" s="113"/>
      <c r="D64" s="113" t="s">
        <v>351</v>
      </c>
      <c r="E64" s="82"/>
      <c r="F64" s="82"/>
      <c r="G64" s="82"/>
      <c r="H64" s="82"/>
      <c r="R64"/>
    </row>
    <row r="65" spans="1:19" ht="15.75" customHeight="1" x14ac:dyDescent="0.35">
      <c r="A65" s="113" t="s">
        <v>86</v>
      </c>
      <c r="B65" s="113"/>
      <c r="C65" s="113"/>
      <c r="D65" s="113" t="s">
        <v>353</v>
      </c>
      <c r="E65" s="82"/>
      <c r="F65" s="82"/>
      <c r="G65" s="82"/>
      <c r="H65" s="82"/>
      <c r="R65"/>
    </row>
    <row r="66" spans="1:19" ht="15.75" customHeight="1" x14ac:dyDescent="0.35">
      <c r="A66" s="105" t="s">
        <v>43</v>
      </c>
      <c r="B66" s="105"/>
      <c r="C66" s="105"/>
      <c r="D66" s="135" t="s">
        <v>352</v>
      </c>
      <c r="E66" s="135"/>
      <c r="F66" s="135"/>
      <c r="G66" s="135"/>
      <c r="H66" s="135"/>
      <c r="J66" s="22"/>
      <c r="K66" s="21"/>
      <c r="N66" s="21"/>
      <c r="S66"/>
    </row>
    <row r="67" spans="1:19" ht="15.75" customHeight="1" x14ac:dyDescent="0.35">
      <c r="A67" s="105" t="s">
        <v>84</v>
      </c>
      <c r="B67" s="105"/>
      <c r="C67" s="105"/>
      <c r="D67" s="176" t="str">
        <f>(IF(G60="NA","60 Years After Completion",IF(G60&lt;&gt;"NA",""&amp;60-ROUNDDOWN((E3-G60)/360,0)&amp;" Years"," ")))</f>
        <v>60 Years After Completion</v>
      </c>
      <c r="E67" s="176"/>
      <c r="F67" s="176"/>
      <c r="G67" s="176"/>
      <c r="H67" s="176"/>
      <c r="N67" s="21"/>
      <c r="S67"/>
    </row>
    <row r="68" spans="1:19" ht="15.75" customHeight="1" x14ac:dyDescent="0.35">
      <c r="A68" s="82" t="s">
        <v>85</v>
      </c>
      <c r="B68" s="82"/>
      <c r="C68" s="82"/>
      <c r="D68" s="113" t="s">
        <v>23</v>
      </c>
      <c r="E68" s="113"/>
      <c r="F68" s="113"/>
      <c r="G68" s="113"/>
      <c r="H68" s="113"/>
      <c r="J68" s="23"/>
      <c r="K68" s="23"/>
      <c r="S68"/>
    </row>
    <row r="69" spans="1:19" ht="67" customHeight="1" x14ac:dyDescent="0.35">
      <c r="A69" s="82" t="s">
        <v>354</v>
      </c>
      <c r="B69" s="82"/>
      <c r="C69" s="82"/>
      <c r="D69" s="113" t="s">
        <v>355</v>
      </c>
      <c r="E69" s="113"/>
      <c r="F69" s="113"/>
      <c r="G69" s="113"/>
      <c r="H69" s="113"/>
      <c r="S69"/>
    </row>
    <row r="70" spans="1:19" x14ac:dyDescent="0.35">
      <c r="A70" s="135" t="s">
        <v>148</v>
      </c>
      <c r="B70" s="135"/>
      <c r="C70" s="135"/>
      <c r="D70" s="135" t="s">
        <v>28</v>
      </c>
      <c r="E70" s="135"/>
      <c r="F70" s="135"/>
      <c r="G70" s="135"/>
      <c r="H70" s="135"/>
      <c r="I70" s="24"/>
      <c r="J70" s="24"/>
      <c r="K70" s="24"/>
      <c r="L70" s="24"/>
      <c r="M70" s="24"/>
      <c r="N70" s="24"/>
    </row>
    <row r="71" spans="1:19" ht="15.75" customHeight="1" x14ac:dyDescent="0.35">
      <c r="A71" s="136" t="s">
        <v>83</v>
      </c>
      <c r="B71" s="136"/>
      <c r="C71" s="136"/>
      <c r="D71" s="201" t="str">
        <f ca="1">(IF(G77&gt;95%,"Nothing",IF(G77&gt;0%,"Cement, Aggregate, Steel, etc",IF(G77=0%,"Work not yet Started"))))</f>
        <v>Cement, Aggregate, Steel, etc</v>
      </c>
      <c r="E71" s="201"/>
      <c r="F71" s="201"/>
      <c r="G71" s="201"/>
      <c r="H71" s="201"/>
      <c r="J71" s="23"/>
      <c r="S71"/>
    </row>
    <row r="72" spans="1:19" ht="33.75" customHeight="1" thickBot="1" x14ac:dyDescent="0.4">
      <c r="A72" s="200" t="s">
        <v>116</v>
      </c>
      <c r="B72" s="200"/>
      <c r="C72" s="200"/>
      <c r="D72" s="201" t="str">
        <f ca="1">(IF(D71="Nothing","Yes",IF(D71="Cement, Aggregate, Steel, etc","Under Construction",IF(D71="Work not yet Started","Work not yet Started"))))</f>
        <v>Under Construction</v>
      </c>
      <c r="E72" s="201"/>
      <c r="F72" s="201" t="str">
        <f ca="1">(IF(D71="Nothing","Yes",IF(D71="Cement, Aggregate, Steel, etc","Under Construction",IF(D71="Work not yet Started","Work not yet Started"))))</f>
        <v>Under Construction</v>
      </c>
      <c r="G72" s="201"/>
      <c r="H72" s="201"/>
      <c r="S72"/>
    </row>
    <row r="73" spans="1:19" ht="15.75" customHeight="1" x14ac:dyDescent="0.35">
      <c r="A73" s="193" t="s">
        <v>140</v>
      </c>
      <c r="B73" s="194"/>
      <c r="C73" s="195" t="str">
        <f>D65</f>
        <v>1B + Gr + 1st to 23rd Floor</v>
      </c>
      <c r="D73" s="196"/>
      <c r="E73" s="196"/>
      <c r="F73" s="196"/>
      <c r="G73" s="196"/>
      <c r="H73" s="197"/>
      <c r="I73" s="42" t="str">
        <f ca="1">IF(D86=100%,"All work Completed. Possession granted to the Building.",IF(D85=100%,"All work Completed, Waiting for OC",I74&amp;""&amp;I75&amp;""&amp;J74&amp;""&amp;J73&amp;" "&amp;J75))</f>
        <v>Excavation, Plinth, RCC Slab, Brickwork, Internal Plaster, External Plaster, Flooring, Painting Completed, Finishing upto 8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Finishing upto 8 Floor</v>
      </c>
      <c r="S73"/>
    </row>
    <row r="74" spans="1:19" x14ac:dyDescent="0.35">
      <c r="A74" s="15" t="s">
        <v>142</v>
      </c>
      <c r="B74" s="46">
        <f>IF(AND(ISNUMBER(SEARCH("1B",C73))),1,IF(AND(ISNUMBER(SEARCH("2B",C73))),2,IF(AND(ISNUMBER(SEARCH("3B",C73))),3,IF(AND(ISNUMBER(SEARCH("4B",C73))),4,IF(ISNUMBER(SEARCH("5B",C73)),5,0)))))</f>
        <v>1</v>
      </c>
      <c r="C74" s="46" t="s">
        <v>69</v>
      </c>
      <c r="D74" s="46">
        <v>1</v>
      </c>
      <c r="E74" s="46" t="s">
        <v>68</v>
      </c>
      <c r="F74" s="46">
        <v>0</v>
      </c>
      <c r="G74" s="46" t="s">
        <v>77</v>
      </c>
      <c r="H74" s="16">
        <f ca="1">--TRIM(RIGHT(SUBSTITUTE(LEFT(C73,_xlfn.AGGREGATE(16,6,FIND({0,1,2,3,4,5,6,7,8,9},C73,ROW(INDIRECT("1:"&amp;LEN(C73)))),1))," ",REPT(" ",LEN(C73))),LEN(C73)))</f>
        <v>23</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5" customHeight="1" x14ac:dyDescent="0.35">
      <c r="A75" s="191" t="s">
        <v>87</v>
      </c>
      <c r="B75" s="192"/>
      <c r="C75" s="198" t="str">
        <f ca="1">I73</f>
        <v>Excavation, Plinth, RCC Slab, Brickwork, Internal Plaster, External Plaster, Flooring, Painting Completed, Finishing upto 8 Floor Completed</v>
      </c>
      <c r="D75" s="198"/>
      <c r="E75" s="198"/>
      <c r="F75" s="198"/>
      <c r="G75" s="198"/>
      <c r="H75" s="199"/>
      <c r="I75" s="44" t="str">
        <f ca="1">IF(I74&lt;&gt;""," Completed","")</f>
        <v xml:space="preserve"> Completed</v>
      </c>
      <c r="J75" s="45" t="str">
        <f ca="1">IF(J73&lt;&gt;"","Completed","")</f>
        <v>Completed</v>
      </c>
      <c r="S75"/>
    </row>
    <row r="76" spans="1:19" ht="15.75" customHeight="1" x14ac:dyDescent="0.35">
      <c r="A76" s="125" t="s">
        <v>47</v>
      </c>
      <c r="B76" s="126"/>
      <c r="C76" s="65" t="s">
        <v>139</v>
      </c>
      <c r="D76" s="65" t="s">
        <v>80</v>
      </c>
      <c r="E76" s="114" t="s">
        <v>82</v>
      </c>
      <c r="F76" s="114"/>
      <c r="G76" s="114" t="s">
        <v>81</v>
      </c>
      <c r="H76" s="115"/>
      <c r="I76" s="13" t="s">
        <v>141</v>
      </c>
      <c r="J76" s="25">
        <f ca="1">H74*25%</f>
        <v>5.75</v>
      </c>
      <c r="S76"/>
    </row>
    <row r="77" spans="1:19" x14ac:dyDescent="0.35">
      <c r="A77" s="125" t="s">
        <v>128</v>
      </c>
      <c r="B77" s="126"/>
      <c r="C77" s="65">
        <f ca="1">J78</f>
        <v>23</v>
      </c>
      <c r="D77" s="66">
        <f ca="1">((100/H74)*C77)/100</f>
        <v>1</v>
      </c>
      <c r="E77" s="116">
        <f ca="1">(((C78/H74*10)+(40/(D74+F74+H74)*C79)+(7.5/(H74)*C80)+(7.5/(H74)*C81)+(10/H74*C82)+(10/H74*C83)+(5/H74*C84)+(5/H74*C85)+(5/H74*C86))/100)</f>
        <v>0.91739130434782612</v>
      </c>
      <c r="F77" s="117"/>
      <c r="G77" s="116">
        <f ca="1">((((C77/H74)*20)+((C78/H74)*25)+(30/(H74+F74+D74)*C79)+(5/H74*C80)+(5/H74*C81)+(5/H74*C82)+(5/H74*C83)+(0/H74*C84)+(0/H74*C85)+(5/H74*C86))/100)</f>
        <v>0.95</v>
      </c>
      <c r="H77" s="122"/>
      <c r="I77" s="13" t="s">
        <v>98</v>
      </c>
      <c r="J77" s="26">
        <f ca="1">H74*50%</f>
        <v>11.5</v>
      </c>
    </row>
    <row r="78" spans="1:19" x14ac:dyDescent="0.35">
      <c r="A78" s="125" t="s">
        <v>48</v>
      </c>
      <c r="B78" s="126"/>
      <c r="C78" s="65">
        <f ca="1">J86</f>
        <v>23</v>
      </c>
      <c r="D78" s="66">
        <f ca="1">((100/H74)*C78)/100</f>
        <v>1</v>
      </c>
      <c r="E78" s="118"/>
      <c r="F78" s="119"/>
      <c r="G78" s="118"/>
      <c r="H78" s="123"/>
      <c r="I78" s="13" t="s">
        <v>99</v>
      </c>
      <c r="J78" s="26">
        <f ca="1">H74</f>
        <v>23</v>
      </c>
      <c r="S78"/>
    </row>
    <row r="79" spans="1:19" ht="15.75" customHeight="1" x14ac:dyDescent="0.35">
      <c r="A79" s="125" t="s">
        <v>129</v>
      </c>
      <c r="B79" s="126"/>
      <c r="C79" s="65">
        <v>24</v>
      </c>
      <c r="D79" s="66">
        <f ca="1">((100/(D74+F74+H74))*C79)/100</f>
        <v>1</v>
      </c>
      <c r="E79" s="118"/>
      <c r="F79" s="119"/>
      <c r="G79" s="118"/>
      <c r="H79" s="123"/>
      <c r="I79" s="13" t="s">
        <v>100</v>
      </c>
      <c r="J79" s="27">
        <f ca="1">(IF(B74&gt;1,(H74/(B74+2)),H74/4))</f>
        <v>5.75</v>
      </c>
      <c r="S79"/>
    </row>
    <row r="80" spans="1:19" ht="15.75" customHeight="1" x14ac:dyDescent="0.35">
      <c r="A80" s="125" t="s">
        <v>136</v>
      </c>
      <c r="B80" s="126" t="s">
        <v>130</v>
      </c>
      <c r="C80" s="65">
        <f>C79-D74-F74</f>
        <v>23</v>
      </c>
      <c r="D80" s="66">
        <f ca="1">((100/H74)*C80)/100</f>
        <v>1</v>
      </c>
      <c r="E80" s="118"/>
      <c r="F80" s="119"/>
      <c r="G80" s="118"/>
      <c r="H80" s="123"/>
      <c r="I80" s="13" t="s">
        <v>101</v>
      </c>
      <c r="J80" s="27">
        <f ca="1">(IF(B74&gt;1,(H74/(B74+2)+J79),H74/4+J79))</f>
        <v>11.5</v>
      </c>
    </row>
    <row r="81" spans="1:22" ht="15.75" customHeight="1" x14ac:dyDescent="0.35">
      <c r="A81" s="125" t="s">
        <v>137</v>
      </c>
      <c r="B81" s="126" t="s">
        <v>130</v>
      </c>
      <c r="C81" s="71">
        <v>23</v>
      </c>
      <c r="D81" s="66">
        <f ca="1">((100/H74)*C81)/100</f>
        <v>1</v>
      </c>
      <c r="E81" s="118"/>
      <c r="F81" s="119"/>
      <c r="G81" s="118"/>
      <c r="H81" s="123"/>
      <c r="I81" s="13" t="s">
        <v>146</v>
      </c>
      <c r="J81" s="27">
        <f>(IF(B74&gt;1,(H74/(B74+2)+J80),0))</f>
        <v>0</v>
      </c>
    </row>
    <row r="82" spans="1:22" ht="15" customHeight="1" x14ac:dyDescent="0.35">
      <c r="A82" s="125" t="s">
        <v>135</v>
      </c>
      <c r="B82" s="126" t="s">
        <v>132</v>
      </c>
      <c r="C82" s="71">
        <v>23</v>
      </c>
      <c r="D82" s="66">
        <f ca="1">((100/(H74))*C82)/100</f>
        <v>1</v>
      </c>
      <c r="E82" s="118"/>
      <c r="F82" s="119"/>
      <c r="G82" s="118"/>
      <c r="H82" s="123"/>
      <c r="I82" s="13" t="s">
        <v>143</v>
      </c>
      <c r="J82" s="27">
        <f>(IF(B74&gt;2,(H74/(B74+2)+J81),0))</f>
        <v>0</v>
      </c>
    </row>
    <row r="83" spans="1:22" ht="15.75" customHeight="1" x14ac:dyDescent="0.35">
      <c r="A83" s="125" t="s">
        <v>131</v>
      </c>
      <c r="B83" s="126" t="s">
        <v>131</v>
      </c>
      <c r="C83" s="65">
        <v>23</v>
      </c>
      <c r="D83" s="66">
        <f ca="1">((100/H74)*C83)/100</f>
        <v>1</v>
      </c>
      <c r="E83" s="118"/>
      <c r="F83" s="119"/>
      <c r="G83" s="118"/>
      <c r="H83" s="123"/>
      <c r="I83" s="13" t="s">
        <v>144</v>
      </c>
      <c r="J83" s="28">
        <f>(IF(B74&gt;3,(H74/(B74+2)+J82),0))</f>
        <v>0</v>
      </c>
    </row>
    <row r="84" spans="1:22" ht="15.75" customHeight="1" x14ac:dyDescent="0.35">
      <c r="A84" s="125" t="s">
        <v>138</v>
      </c>
      <c r="B84" s="126"/>
      <c r="C84" s="65">
        <v>23</v>
      </c>
      <c r="D84" s="66">
        <f ca="1">((100/H74)*C84)/100</f>
        <v>1</v>
      </c>
      <c r="E84" s="118"/>
      <c r="F84" s="119"/>
      <c r="G84" s="118"/>
      <c r="H84" s="123"/>
      <c r="I84" s="13" t="s">
        <v>145</v>
      </c>
      <c r="J84" s="27">
        <f>(IF(B74&gt;4,(H74/(B74+2)+J83),0))</f>
        <v>0</v>
      </c>
    </row>
    <row r="85" spans="1:22" ht="15.75" customHeight="1" x14ac:dyDescent="0.35">
      <c r="A85" s="125" t="s">
        <v>133</v>
      </c>
      <c r="B85" s="126" t="s">
        <v>133</v>
      </c>
      <c r="C85" s="65">
        <v>8</v>
      </c>
      <c r="D85" s="66">
        <f ca="1">((100/(H74))*C85)/100</f>
        <v>0.34782608695652173</v>
      </c>
      <c r="E85" s="118"/>
      <c r="F85" s="119"/>
      <c r="G85" s="118"/>
      <c r="H85" s="123"/>
      <c r="I85" s="13" t="s">
        <v>147</v>
      </c>
      <c r="J85" s="27">
        <f ca="1">(IF(B74=1,(H74/(B74+3)+J80),IF(B74=0,(H74/4+J80),IF(B74&gt;1,0))))</f>
        <v>17.25</v>
      </c>
    </row>
    <row r="86" spans="1:22" ht="16" thickBot="1" x14ac:dyDescent="0.4">
      <c r="A86" s="147" t="s">
        <v>134</v>
      </c>
      <c r="B86" s="148"/>
      <c r="C86" s="67">
        <v>0</v>
      </c>
      <c r="D86" s="68">
        <f ca="1">((100/(H74))*C86)/100</f>
        <v>0</v>
      </c>
      <c r="E86" s="120"/>
      <c r="F86" s="121"/>
      <c r="G86" s="120"/>
      <c r="H86" s="124"/>
      <c r="I86" s="14" t="s">
        <v>102</v>
      </c>
      <c r="J86" s="29">
        <f ca="1">(IF(B74&gt;1.5,(H74/(B74+2)+J80+MAX(0,J81-J80)+MAX(0,J82-J81)+MAX(0,J83-J82)+MAX(0,J84-J83)+MAX(0,J85-J84)),IF(B74=1,(H74/(B74+3)+J85),IF(B74=0,H74/4+J85))))</f>
        <v>23</v>
      </c>
    </row>
    <row r="87" spans="1:22" x14ac:dyDescent="0.35">
      <c r="A87" s="186" t="s">
        <v>157</v>
      </c>
      <c r="B87" s="186"/>
      <c r="C87" s="186"/>
      <c r="D87" s="186"/>
      <c r="E87" s="186"/>
      <c r="F87" s="109" t="s">
        <v>161</v>
      </c>
      <c r="G87" s="109"/>
      <c r="H87" s="109"/>
      <c r="R87" t="s">
        <v>253</v>
      </c>
      <c r="S87" t="s">
        <v>173</v>
      </c>
      <c r="T87" t="s">
        <v>178</v>
      </c>
      <c r="U87" t="s">
        <v>193</v>
      </c>
      <c r="V87" t="s">
        <v>188</v>
      </c>
    </row>
    <row r="88" spans="1:22" x14ac:dyDescent="0.35">
      <c r="A88" s="105" t="s">
        <v>159</v>
      </c>
      <c r="B88" s="105"/>
      <c r="C88" s="105"/>
      <c r="D88" s="105"/>
      <c r="E88" s="105"/>
      <c r="F88" s="106">
        <v>14600</v>
      </c>
      <c r="G88" s="106"/>
      <c r="H88" s="106"/>
      <c r="I88" s="76" t="s">
        <v>385</v>
      </c>
      <c r="J88" s="76" t="s">
        <v>386</v>
      </c>
      <c r="K88" s="76" t="s">
        <v>387</v>
      </c>
      <c r="L88" s="76" t="s">
        <v>388</v>
      </c>
      <c r="M88" s="77">
        <v>45799</v>
      </c>
      <c r="R88"/>
      <c r="S88">
        <v>800000</v>
      </c>
      <c r="T88">
        <v>150000</v>
      </c>
      <c r="U88">
        <v>100000</v>
      </c>
      <c r="V88">
        <v>100000</v>
      </c>
    </row>
    <row r="89" spans="1:22" hidden="1" x14ac:dyDescent="0.35">
      <c r="A89" s="105" t="s">
        <v>158</v>
      </c>
      <c r="B89" s="105"/>
      <c r="C89" s="105"/>
      <c r="D89" s="105"/>
      <c r="E89" s="105"/>
      <c r="F89" s="106"/>
      <c r="G89" s="106"/>
      <c r="H89" s="106"/>
      <c r="R89"/>
      <c r="S89">
        <v>900000</v>
      </c>
      <c r="T89">
        <v>200000</v>
      </c>
      <c r="U89">
        <v>150000</v>
      </c>
      <c r="V89">
        <v>150000</v>
      </c>
    </row>
    <row r="90" spans="1:22" hidden="1" x14ac:dyDescent="0.35">
      <c r="A90" s="105" t="s">
        <v>160</v>
      </c>
      <c r="B90" s="105"/>
      <c r="C90" s="105"/>
      <c r="D90" s="105"/>
      <c r="E90" s="105"/>
      <c r="F90" s="106"/>
      <c r="G90" s="106"/>
      <c r="H90" s="106"/>
      <c r="R90"/>
      <c r="S90">
        <v>1000000</v>
      </c>
      <c r="T90">
        <v>250000</v>
      </c>
      <c r="U90">
        <v>200000</v>
      </c>
      <c r="V90">
        <v>200000</v>
      </c>
    </row>
    <row r="91" spans="1:22" s="30" customFormat="1" hidden="1" x14ac:dyDescent="0.35">
      <c r="A91" s="105" t="s">
        <v>175</v>
      </c>
      <c r="B91" s="105"/>
      <c r="C91" s="105"/>
      <c r="D91" s="105"/>
      <c r="E91" s="105"/>
      <c r="F91" s="106"/>
      <c r="G91" s="106"/>
      <c r="H91" s="106"/>
      <c r="R91"/>
      <c r="S91">
        <v>1100000</v>
      </c>
      <c r="T91">
        <v>300000</v>
      </c>
      <c r="U91">
        <v>250000</v>
      </c>
      <c r="V91" s="20">
        <v>250000</v>
      </c>
    </row>
    <row r="92" spans="1:22" s="30" customFormat="1" hidden="1" x14ac:dyDescent="0.35">
      <c r="A92" s="105" t="s">
        <v>92</v>
      </c>
      <c r="B92" s="105"/>
      <c r="C92" s="105"/>
      <c r="D92" s="105"/>
      <c r="E92" s="105"/>
      <c r="F92" s="106"/>
      <c r="G92" s="106"/>
      <c r="H92" s="106"/>
      <c r="R92"/>
      <c r="S92">
        <v>1200000</v>
      </c>
      <c r="T92">
        <v>350000</v>
      </c>
      <c r="U92">
        <v>300000</v>
      </c>
      <c r="V92">
        <v>300000</v>
      </c>
    </row>
    <row r="93" spans="1:22" s="30" customFormat="1" hidden="1" x14ac:dyDescent="0.35">
      <c r="A93" s="105" t="s">
        <v>93</v>
      </c>
      <c r="B93" s="105"/>
      <c r="C93" s="105"/>
      <c r="D93" s="105"/>
      <c r="E93" s="105"/>
      <c r="F93" s="106"/>
      <c r="G93" s="106"/>
      <c r="H93" s="106"/>
      <c r="R93"/>
      <c r="S93">
        <v>1300000</v>
      </c>
      <c r="T93">
        <v>400000</v>
      </c>
      <c r="U93">
        <v>350000</v>
      </c>
      <c r="V93" s="20">
        <v>400000</v>
      </c>
    </row>
    <row r="94" spans="1:22" s="30" customFormat="1" hidden="1" x14ac:dyDescent="0.35">
      <c r="A94" s="105" t="s">
        <v>94</v>
      </c>
      <c r="B94" s="105"/>
      <c r="C94" s="105"/>
      <c r="D94" s="105"/>
      <c r="E94" s="105"/>
      <c r="F94" s="106"/>
      <c r="G94" s="106"/>
      <c r="H94" s="106"/>
      <c r="R94"/>
      <c r="S94">
        <v>1400000</v>
      </c>
      <c r="T94">
        <v>500000</v>
      </c>
      <c r="U94">
        <v>400000</v>
      </c>
      <c r="V94"/>
    </row>
    <row r="95" spans="1:22" s="30" customFormat="1" hidden="1" x14ac:dyDescent="0.35">
      <c r="A95" s="105" t="s">
        <v>95</v>
      </c>
      <c r="B95" s="105"/>
      <c r="C95" s="105"/>
      <c r="D95" s="105"/>
      <c r="E95" s="105"/>
      <c r="F95" s="106"/>
      <c r="G95" s="106"/>
      <c r="H95" s="106"/>
      <c r="R95"/>
      <c r="S95">
        <v>1500000</v>
      </c>
      <c r="T95">
        <v>600000</v>
      </c>
      <c r="U95">
        <v>500000</v>
      </c>
      <c r="V95" s="20"/>
    </row>
    <row r="96" spans="1:22" s="30" customFormat="1" hidden="1" x14ac:dyDescent="0.35">
      <c r="A96" s="105" t="s">
        <v>96</v>
      </c>
      <c r="B96" s="105"/>
      <c r="C96" s="105"/>
      <c r="D96" s="105"/>
      <c r="E96" s="105"/>
      <c r="F96" s="106"/>
      <c r="G96" s="106"/>
      <c r="H96" s="106"/>
      <c r="R96"/>
      <c r="S96">
        <v>1600000</v>
      </c>
      <c r="T96">
        <v>700000</v>
      </c>
      <c r="U96">
        <v>600000</v>
      </c>
      <c r="V96"/>
    </row>
    <row r="97" spans="1:22" s="30" customFormat="1" hidden="1" x14ac:dyDescent="0.35">
      <c r="A97" s="105" t="s">
        <v>97</v>
      </c>
      <c r="B97" s="105"/>
      <c r="C97" s="105"/>
      <c r="D97" s="105"/>
      <c r="E97" s="105"/>
      <c r="F97" s="106"/>
      <c r="G97" s="106"/>
      <c r="H97" s="106"/>
      <c r="R97"/>
      <c r="S97">
        <v>1700000</v>
      </c>
      <c r="T97">
        <v>800000</v>
      </c>
      <c r="U97"/>
      <c r="V97" s="20"/>
    </row>
    <row r="98" spans="1:22" x14ac:dyDescent="0.35">
      <c r="A98" s="105" t="s">
        <v>49</v>
      </c>
      <c r="B98" s="105"/>
      <c r="C98" s="105"/>
      <c r="D98" s="105"/>
      <c r="E98" s="105"/>
      <c r="F98" s="111">
        <v>600000</v>
      </c>
      <c r="G98" s="111"/>
      <c r="H98" s="111"/>
      <c r="R98"/>
      <c r="S98">
        <v>1800000</v>
      </c>
      <c r="T98">
        <v>900000</v>
      </c>
      <c r="U98"/>
    </row>
    <row r="99" spans="1:22" s="31" customFormat="1" x14ac:dyDescent="0.35">
      <c r="A99" s="112" t="s">
        <v>50</v>
      </c>
      <c r="B99" s="112"/>
      <c r="C99" s="112"/>
      <c r="D99" s="112"/>
      <c r="E99" s="112"/>
      <c r="F99" s="106">
        <f>F88*0.8</f>
        <v>11680</v>
      </c>
      <c r="G99" s="106"/>
      <c r="H99" s="106"/>
      <c r="R99" s="18"/>
      <c r="S99" s="18"/>
      <c r="T99">
        <v>1000000</v>
      </c>
      <c r="U99"/>
      <c r="V99" s="18"/>
    </row>
    <row r="100" spans="1:22" s="32" customFormat="1" ht="15.75" hidden="1" customHeight="1" x14ac:dyDescent="0.35">
      <c r="A100" s="110" t="s">
        <v>72</v>
      </c>
      <c r="B100" s="110"/>
      <c r="C100" s="110"/>
      <c r="D100" s="110"/>
      <c r="E100" s="110"/>
      <c r="F100" s="110"/>
      <c r="G100" s="110"/>
      <c r="H100" s="110"/>
      <c r="R100"/>
      <c r="S100" s="18"/>
      <c r="T100"/>
      <c r="U100"/>
      <c r="V100" s="18"/>
    </row>
    <row r="101" spans="1:22" s="32" customFormat="1" ht="15.75" hidden="1" customHeight="1" x14ac:dyDescent="0.35">
      <c r="A101" s="108" t="s">
        <v>51</v>
      </c>
      <c r="B101" s="108"/>
      <c r="C101" s="153" t="s">
        <v>75</v>
      </c>
      <c r="D101" s="153"/>
      <c r="E101" s="107" t="s">
        <v>52</v>
      </c>
      <c r="F101" s="107"/>
      <c r="G101" s="108" t="s">
        <v>53</v>
      </c>
      <c r="H101" s="108"/>
      <c r="R101"/>
      <c r="S101" s="18"/>
      <c r="T101"/>
      <c r="U101" s="18"/>
      <c r="V101" s="18"/>
    </row>
    <row r="102" spans="1:22" s="32" customFormat="1" hidden="1" x14ac:dyDescent="0.35">
      <c r="A102" s="78"/>
      <c r="B102" s="78"/>
      <c r="C102" s="163"/>
      <c r="D102" s="163"/>
      <c r="E102" s="188"/>
      <c r="F102" s="188"/>
      <c r="G102" s="152"/>
      <c r="H102" s="152"/>
      <c r="R102"/>
      <c r="S102" s="18"/>
      <c r="T102"/>
      <c r="U102" s="18"/>
      <c r="V102" s="18"/>
    </row>
    <row r="103" spans="1:22" s="32" customFormat="1" hidden="1" x14ac:dyDescent="0.35">
      <c r="A103" s="78"/>
      <c r="B103" s="78"/>
      <c r="C103" s="163"/>
      <c r="D103" s="163"/>
      <c r="E103" s="188"/>
      <c r="F103" s="188"/>
      <c r="G103" s="152"/>
      <c r="H103" s="152"/>
      <c r="R103"/>
      <c r="S103" s="18"/>
      <c r="T103"/>
      <c r="U103" s="18"/>
      <c r="V103" s="18"/>
    </row>
    <row r="104" spans="1:22" s="32" customFormat="1" hidden="1" x14ac:dyDescent="0.35">
      <c r="A104" s="110" t="s">
        <v>150</v>
      </c>
      <c r="B104" s="110"/>
      <c r="C104" s="153"/>
      <c r="D104" s="153"/>
      <c r="E104" s="107"/>
      <c r="F104" s="107"/>
      <c r="G104" s="108"/>
      <c r="H104" s="108"/>
      <c r="R104"/>
      <c r="S104" s="18"/>
      <c r="T104"/>
      <c r="U104" s="18"/>
      <c r="V104" s="18"/>
    </row>
    <row r="105" spans="1:22" s="32" customFormat="1" x14ac:dyDescent="0.35">
      <c r="A105" s="110" t="s">
        <v>67</v>
      </c>
      <c r="B105" s="110"/>
      <c r="C105" s="110"/>
      <c r="D105" s="110"/>
      <c r="E105" s="110"/>
      <c r="F105" s="110"/>
      <c r="G105" s="110"/>
      <c r="H105" s="110"/>
      <c r="T105"/>
    </row>
    <row r="106" spans="1:22" s="32" customFormat="1" ht="15.75" customHeight="1" x14ac:dyDescent="0.35">
      <c r="A106" s="108" t="s">
        <v>51</v>
      </c>
      <c r="B106" s="108"/>
      <c r="C106" s="153" t="s">
        <v>75</v>
      </c>
      <c r="D106" s="153"/>
      <c r="E106" s="107" t="s">
        <v>52</v>
      </c>
      <c r="F106" s="107"/>
      <c r="G106" s="108" t="s">
        <v>53</v>
      </c>
      <c r="H106" s="108"/>
      <c r="T106"/>
    </row>
    <row r="107" spans="1:22" s="32" customFormat="1" x14ac:dyDescent="0.35">
      <c r="A107" s="78" t="s">
        <v>375</v>
      </c>
      <c r="B107" s="78"/>
      <c r="C107" s="163">
        <f>COUNT(F129:F130,F133,F135)+COUNT(F139:F140,F142:F143)*10+COUNT(F147:F148,F150:F151)+COUNT(F154:F159)+COUNT(F161:F167)*3+COUNT(F171:F175)</f>
        <v>80</v>
      </c>
      <c r="D107" s="163"/>
      <c r="E107" s="164">
        <f>SUM(F129:F130,F133,F135)+SUM(F139:F140,F142:F143)*10+SUM(F147:F148,F150:F151)+SUM(F154:F159)+SUM(F161:F167)*3+SUM(F171:F175)</f>
        <v>35886.530159999988</v>
      </c>
      <c r="F107" s="164"/>
      <c r="G107" s="164">
        <f>SUM(H129:H130,H133,H135)+SUM(H139:H140,H142:H143)*10+SUM(H147:H148,H150:H151)+SUM(H154:H159)+SUM(H161:H167)*3+SUM(H171:H175)</f>
        <v>53829.795239999992</v>
      </c>
      <c r="H107" s="164"/>
      <c r="T107"/>
    </row>
    <row r="108" spans="1:22" s="32" customFormat="1" hidden="1" x14ac:dyDescent="0.35">
      <c r="A108" s="161" t="s">
        <v>150</v>
      </c>
      <c r="B108" s="161"/>
      <c r="C108" s="165">
        <f t="shared" ref="C108:G108" si="0">SUM(C107)</f>
        <v>80</v>
      </c>
      <c r="D108" s="165"/>
      <c r="E108" s="166">
        <f t="shared" si="0"/>
        <v>35886.530159999988</v>
      </c>
      <c r="F108" s="166"/>
      <c r="G108" s="108">
        <f t="shared" si="0"/>
        <v>53829.795239999992</v>
      </c>
      <c r="H108" s="108"/>
      <c r="T108"/>
    </row>
    <row r="109" spans="1:22" s="32" customFormat="1" x14ac:dyDescent="0.35">
      <c r="A109" s="110" t="s">
        <v>67</v>
      </c>
      <c r="B109" s="110"/>
      <c r="C109" s="110"/>
      <c r="D109" s="110"/>
      <c r="E109" s="110"/>
      <c r="F109" s="110"/>
      <c r="G109" s="110"/>
      <c r="H109" s="110"/>
      <c r="T109"/>
    </row>
    <row r="110" spans="1:22" s="32" customFormat="1" x14ac:dyDescent="0.35">
      <c r="A110" s="108" t="s">
        <v>51</v>
      </c>
      <c r="B110" s="108"/>
      <c r="C110" s="153" t="s">
        <v>75</v>
      </c>
      <c r="D110" s="153"/>
      <c r="E110" s="107" t="s">
        <v>52</v>
      </c>
      <c r="F110" s="107"/>
      <c r="G110" s="108" t="s">
        <v>53</v>
      </c>
      <c r="H110" s="108"/>
      <c r="T110"/>
    </row>
    <row r="111" spans="1:22" s="31" customFormat="1" ht="16" thickBot="1" x14ac:dyDescent="0.4">
      <c r="A111" s="162" t="s">
        <v>376</v>
      </c>
      <c r="B111" s="162"/>
      <c r="C111" s="163">
        <f>COUNT(F137:F138,F141)*10+COUNT(F149)+COUNT(F153)</f>
        <v>32</v>
      </c>
      <c r="D111" s="163"/>
      <c r="E111" s="164">
        <f>SUM(F137:F138,F141)*10+SUM(F149)+SUM(F153)</f>
        <v>16364.401559999997</v>
      </c>
      <c r="F111" s="164"/>
      <c r="G111" s="164">
        <f>SUM(H137:H138,H141)*10+SUM(H149)+SUM(H153)</f>
        <v>24546.602339999998</v>
      </c>
      <c r="H111" s="164"/>
      <c r="T111" s="32"/>
    </row>
    <row r="112" spans="1:22" ht="16" hidden="1" thickBot="1" x14ac:dyDescent="0.4">
      <c r="A112" s="161" t="s">
        <v>150</v>
      </c>
      <c r="B112" s="161"/>
      <c r="C112" s="154">
        <f t="shared" ref="C112:G112" si="1">SUM(C111)</f>
        <v>32</v>
      </c>
      <c r="D112" s="154"/>
      <c r="E112" s="189">
        <f t="shared" si="1"/>
        <v>16364.401559999997</v>
      </c>
      <c r="F112" s="189"/>
      <c r="G112" s="190">
        <f t="shared" si="1"/>
        <v>24546.602339999998</v>
      </c>
      <c r="H112" s="190"/>
      <c r="T112" s="32"/>
    </row>
    <row r="113" spans="1:20" s="34" customFormat="1" x14ac:dyDescent="0.35">
      <c r="A113" s="155" t="s">
        <v>167</v>
      </c>
      <c r="B113" s="156"/>
      <c r="C113" s="157">
        <f>C108+C112</f>
        <v>112</v>
      </c>
      <c r="D113" s="157"/>
      <c r="E113" s="157">
        <f>E108+E112</f>
        <v>52250.931719999986</v>
      </c>
      <c r="F113" s="157"/>
      <c r="G113" s="157">
        <f>G108+G112</f>
        <v>78376.39757999999</v>
      </c>
      <c r="H113" s="157"/>
      <c r="T113" s="32"/>
    </row>
    <row r="114" spans="1:20" s="34" customFormat="1" x14ac:dyDescent="0.35">
      <c r="A114" s="139" t="s">
        <v>54</v>
      </c>
      <c r="B114" s="139"/>
      <c r="C114" s="139"/>
      <c r="D114" s="139"/>
      <c r="E114" s="139"/>
      <c r="F114" s="139"/>
      <c r="G114" s="139"/>
      <c r="H114" s="139"/>
      <c r="J114" s="33"/>
      <c r="T114" s="32"/>
    </row>
    <row r="115" spans="1:20" s="34" customFormat="1" ht="15.75" customHeight="1" x14ac:dyDescent="0.35">
      <c r="A115" s="139" t="s">
        <v>356</v>
      </c>
      <c r="B115" s="139"/>
      <c r="C115" s="139"/>
      <c r="D115" s="139"/>
      <c r="E115" s="139"/>
      <c r="F115" s="139"/>
      <c r="G115" s="139"/>
      <c r="H115" s="139"/>
      <c r="I115" s="33"/>
      <c r="L115" s="178"/>
      <c r="M115" s="178"/>
      <c r="N115" s="33"/>
      <c r="T115" s="32"/>
    </row>
    <row r="116" spans="1:20" s="34" customFormat="1" ht="54.75" hidden="1" customHeight="1" x14ac:dyDescent="0.35">
      <c r="A116" s="151" t="s">
        <v>118</v>
      </c>
      <c r="B116" s="151" t="s">
        <v>177</v>
      </c>
      <c r="C116" s="151" t="s">
        <v>55</v>
      </c>
      <c r="D116" s="150" t="s">
        <v>232</v>
      </c>
      <c r="E116" s="185" t="s">
        <v>156</v>
      </c>
      <c r="F116" s="151" t="s">
        <v>56</v>
      </c>
      <c r="G116" s="185" t="s">
        <v>57</v>
      </c>
      <c r="H116" s="72" t="s">
        <v>149</v>
      </c>
      <c r="I116" s="33"/>
      <c r="L116" s="178"/>
      <c r="M116" s="178"/>
      <c r="N116" s="33"/>
      <c r="T116" s="31"/>
    </row>
    <row r="117" spans="1:20" s="34" customFormat="1" ht="15.75" hidden="1" customHeight="1" x14ac:dyDescent="0.35">
      <c r="A117" s="151"/>
      <c r="B117" s="151"/>
      <c r="C117" s="151"/>
      <c r="D117" s="150"/>
      <c r="E117" s="185"/>
      <c r="F117" s="151"/>
      <c r="G117" s="185"/>
      <c r="H117" s="73">
        <v>0.45</v>
      </c>
      <c r="I117" s="33"/>
      <c r="L117" s="178"/>
      <c r="M117" s="178"/>
      <c r="N117" s="33"/>
      <c r="T117" s="18"/>
    </row>
    <row r="118" spans="1:20" s="34" customFormat="1" ht="15.75" hidden="1" customHeight="1" x14ac:dyDescent="0.35">
      <c r="A118" s="84" t="s">
        <v>117</v>
      </c>
      <c r="B118" s="84"/>
      <c r="C118" s="84"/>
      <c r="D118" s="84"/>
      <c r="E118" s="84"/>
      <c r="F118" s="84"/>
      <c r="G118" s="84"/>
      <c r="H118" s="84"/>
      <c r="I118" s="33"/>
      <c r="L118" s="178"/>
      <c r="M118" s="178"/>
      <c r="N118" s="33"/>
      <c r="T118" s="18"/>
    </row>
    <row r="119" spans="1:20" s="34" customFormat="1" hidden="1" x14ac:dyDescent="0.35">
      <c r="A119" s="101">
        <v>1</v>
      </c>
      <c r="B119" s="101"/>
      <c r="C119" s="39"/>
      <c r="D119" s="39">
        <v>0</v>
      </c>
      <c r="E119" s="39">
        <v>0</v>
      </c>
      <c r="F119" s="39">
        <f>D119+(IF(E119&lt;201,E119,IF(E119&lt;301,E119/2,E119/3)))</f>
        <v>0</v>
      </c>
      <c r="G119" s="39">
        <v>0</v>
      </c>
      <c r="H119" s="39">
        <f>(F119+(IF(G119&lt;101,G119,IF(G119&lt;201,G119/2,IF(G119&lt;=301,G119/3,G119/4)))))*(($H$117)+1)</f>
        <v>0</v>
      </c>
      <c r="I119" s="33"/>
      <c r="N119" s="33"/>
    </row>
    <row r="120" spans="1:20" hidden="1" x14ac:dyDescent="0.35">
      <c r="A120" s="101">
        <f>A119+1</f>
        <v>2</v>
      </c>
      <c r="B120" s="101"/>
      <c r="C120" s="39"/>
      <c r="D120" s="39"/>
      <c r="E120" s="39">
        <v>0</v>
      </c>
      <c r="F120" s="39">
        <f t="shared" ref="F120:F122" si="2">D120+(IF(E120&lt;201,E120,IF(E120&lt;301,E120/2,E120/3)))</f>
        <v>0</v>
      </c>
      <c r="G120" s="39">
        <v>0</v>
      </c>
      <c r="H120" s="39">
        <f t="shared" ref="H120:H122" si="3">(F120+(IF(G120&lt;101,G120,IF(G120&lt;201,G120/2,IF(G120&lt;=301,G120/3,G120/4)))))*(($H$117)+1)</f>
        <v>0</v>
      </c>
      <c r="I120" s="33"/>
      <c r="T120" s="34"/>
    </row>
    <row r="121" spans="1:20" s="34" customFormat="1" hidden="1" x14ac:dyDescent="0.35">
      <c r="A121" s="101">
        <f>A120+1</f>
        <v>3</v>
      </c>
      <c r="B121" s="101"/>
      <c r="C121" s="39"/>
      <c r="D121" s="39"/>
      <c r="E121" s="39">
        <v>0</v>
      </c>
      <c r="F121" s="39">
        <f t="shared" si="2"/>
        <v>0</v>
      </c>
      <c r="G121" s="39">
        <v>0</v>
      </c>
      <c r="H121" s="39">
        <f t="shared" si="3"/>
        <v>0</v>
      </c>
      <c r="I121" s="69">
        <v>10.763999999999999</v>
      </c>
    </row>
    <row r="122" spans="1:20" s="34" customFormat="1" hidden="1" x14ac:dyDescent="0.35">
      <c r="A122" s="101">
        <f>A121+1</f>
        <v>4</v>
      </c>
      <c r="B122" s="101"/>
      <c r="C122" s="39"/>
      <c r="D122" s="39"/>
      <c r="E122" s="39">
        <v>0</v>
      </c>
      <c r="F122" s="39">
        <f t="shared" si="2"/>
        <v>0</v>
      </c>
      <c r="G122" s="39">
        <v>0</v>
      </c>
      <c r="H122" s="39">
        <f t="shared" si="3"/>
        <v>0</v>
      </c>
      <c r="J122" s="33"/>
    </row>
    <row r="123" spans="1:20" s="34" customFormat="1" ht="15.75" customHeight="1" x14ac:dyDescent="0.35">
      <c r="A123" s="101"/>
      <c r="B123" s="101"/>
      <c r="C123" s="101"/>
      <c r="D123" s="101"/>
      <c r="E123" s="101"/>
      <c r="F123" s="101"/>
      <c r="G123" s="101"/>
      <c r="H123" s="101"/>
      <c r="I123" s="33"/>
      <c r="L123" s="178"/>
      <c r="M123" s="178"/>
      <c r="N123" s="33"/>
    </row>
    <row r="124" spans="1:20" s="34" customFormat="1" ht="51" customHeight="1" x14ac:dyDescent="0.35">
      <c r="A124" s="151" t="s">
        <v>119</v>
      </c>
      <c r="B124" s="151" t="s">
        <v>366</v>
      </c>
      <c r="C124" s="151" t="s">
        <v>55</v>
      </c>
      <c r="D124" s="150" t="s">
        <v>232</v>
      </c>
      <c r="E124" s="151" t="s">
        <v>231</v>
      </c>
      <c r="F124" s="151" t="s">
        <v>56</v>
      </c>
      <c r="G124" s="185" t="s">
        <v>57</v>
      </c>
      <c r="H124" s="74" t="s">
        <v>149</v>
      </c>
      <c r="I124" s="33"/>
      <c r="L124" s="178"/>
      <c r="M124" s="178"/>
      <c r="N124" s="33"/>
    </row>
    <row r="125" spans="1:20" s="34" customFormat="1" x14ac:dyDescent="0.35">
      <c r="A125" s="151"/>
      <c r="B125" s="151"/>
      <c r="C125" s="151"/>
      <c r="D125" s="150"/>
      <c r="E125" s="151"/>
      <c r="F125" s="151"/>
      <c r="G125" s="185"/>
      <c r="H125" s="75">
        <v>0.5</v>
      </c>
      <c r="I125" s="33">
        <f>4.47*2.75+2.15*2.9+2.75*3.37+3.07*2.75+2.02*1.2*2+2.3*1.35+0.9*1.07</f>
        <v>45.153499999999994</v>
      </c>
      <c r="L125" s="178"/>
      <c r="M125" s="178"/>
      <c r="N125" s="33"/>
    </row>
    <row r="126" spans="1:20" s="34" customFormat="1" ht="15.75" customHeight="1" x14ac:dyDescent="0.35">
      <c r="A126" s="88" t="s">
        <v>357</v>
      </c>
      <c r="B126" s="89"/>
      <c r="C126" s="89"/>
      <c r="D126" s="89"/>
      <c r="E126" s="89"/>
      <c r="F126" s="89"/>
      <c r="G126" s="89"/>
      <c r="H126" s="90"/>
      <c r="I126" s="33"/>
      <c r="L126" s="178"/>
      <c r="M126" s="178"/>
      <c r="N126" s="33"/>
      <c r="T126" s="18"/>
    </row>
    <row r="127" spans="1:20" s="34" customFormat="1" x14ac:dyDescent="0.35">
      <c r="A127" s="88" t="s">
        <v>358</v>
      </c>
      <c r="B127" s="89"/>
      <c r="C127" s="89"/>
      <c r="D127" s="89"/>
      <c r="E127" s="89"/>
      <c r="F127" s="89"/>
      <c r="G127" s="89"/>
      <c r="H127" s="90"/>
      <c r="I127" s="33"/>
      <c r="L127" s="178"/>
      <c r="M127" s="178"/>
    </row>
    <row r="128" spans="1:20" s="34" customFormat="1" x14ac:dyDescent="0.35">
      <c r="A128" s="88" t="s">
        <v>360</v>
      </c>
      <c r="B128" s="89"/>
      <c r="C128" s="89"/>
      <c r="D128" s="89"/>
      <c r="E128" s="89"/>
      <c r="F128" s="89"/>
      <c r="G128" s="89"/>
      <c r="H128" s="90"/>
      <c r="I128" s="33"/>
      <c r="N128" s="33"/>
    </row>
    <row r="129" spans="1:14" s="34" customFormat="1" x14ac:dyDescent="0.35">
      <c r="A129" s="39">
        <v>1</v>
      </c>
      <c r="B129" s="39" t="s">
        <v>367</v>
      </c>
      <c r="C129" s="39" t="s">
        <v>359</v>
      </c>
      <c r="D129" s="69">
        <f>(47.61)*10.764</f>
        <v>512.47403999999995</v>
      </c>
      <c r="E129" s="39">
        <v>0</v>
      </c>
      <c r="F129" s="39">
        <f>D129+E129</f>
        <v>512.47403999999995</v>
      </c>
      <c r="G129" s="39">
        <v>0</v>
      </c>
      <c r="H129" s="39">
        <f>F129*(($H$125)+1)+(IF(G129&lt;101,G129,IF(G129&lt;201,G129/2,IF(G129&lt;=301,G129/3,G129/4))))</f>
        <v>768.71105999999986</v>
      </c>
      <c r="I129" s="33">
        <f>2.75*4.48+2.25*3.15+2.75*3.15+2*1.2+1.2*1.85+0.9*0.6</f>
        <v>33.229999999999997</v>
      </c>
      <c r="N129" s="33"/>
    </row>
    <row r="130" spans="1:14" s="34" customFormat="1" x14ac:dyDescent="0.35">
      <c r="A130" s="39">
        <f>A129+1</f>
        <v>2</v>
      </c>
      <c r="B130" s="39" t="s">
        <v>367</v>
      </c>
      <c r="C130" s="39" t="s">
        <v>359</v>
      </c>
      <c r="D130" s="69">
        <f>(47.54)*10.764</f>
        <v>511.72055999999998</v>
      </c>
      <c r="E130" s="39">
        <v>0</v>
      </c>
      <c r="F130" s="39">
        <f>D130+E130</f>
        <v>511.72055999999998</v>
      </c>
      <c r="G130" s="39">
        <v>0</v>
      </c>
      <c r="H130" s="39">
        <f>F130*(($H$125)+1)+(IF(G130&lt;101,G130,IF(G130&lt;201,G130/2,IF(G130&lt;=301,G130/3,G130/4))))</f>
        <v>767.58083999999997</v>
      </c>
      <c r="I130" s="33"/>
      <c r="N130" s="33"/>
    </row>
    <row r="131" spans="1:14" s="34" customFormat="1" ht="15.75" customHeight="1" x14ac:dyDescent="0.35">
      <c r="A131" s="39">
        <v>3</v>
      </c>
      <c r="B131" s="39" t="s">
        <v>362</v>
      </c>
      <c r="C131" s="95" t="s">
        <v>361</v>
      </c>
      <c r="D131" s="96"/>
      <c r="E131" s="96"/>
      <c r="F131" s="96"/>
      <c r="G131" s="96"/>
      <c r="H131" s="97"/>
      <c r="I131" s="33"/>
      <c r="N131" s="33"/>
    </row>
    <row r="132" spans="1:14" s="34" customFormat="1" x14ac:dyDescent="0.35">
      <c r="A132" s="39">
        <v>4</v>
      </c>
      <c r="B132" s="39" t="s">
        <v>362</v>
      </c>
      <c r="C132" s="98"/>
      <c r="D132" s="99"/>
      <c r="E132" s="99"/>
      <c r="F132" s="99"/>
      <c r="G132" s="99"/>
      <c r="H132" s="100"/>
      <c r="I132" s="33"/>
      <c r="N132" s="33"/>
    </row>
    <row r="133" spans="1:14" s="34" customFormat="1" ht="15.75" customHeight="1" x14ac:dyDescent="0.35">
      <c r="A133" s="39">
        <v>5</v>
      </c>
      <c r="B133" s="39" t="s">
        <v>367</v>
      </c>
      <c r="C133" s="39" t="s">
        <v>363</v>
      </c>
      <c r="D133" s="69">
        <f>(35.18)*10.764</f>
        <v>378.67751999999996</v>
      </c>
      <c r="E133" s="39">
        <v>0</v>
      </c>
      <c r="F133" s="39">
        <f>D133+E133</f>
        <v>378.67751999999996</v>
      </c>
      <c r="G133" s="39">
        <v>0</v>
      </c>
      <c r="H133" s="39">
        <f>F133*(($H$125)+1)+(IF(G133&lt;101,G133,IF(G133&lt;201,G133/2,IF(G133&lt;=301,G133/3,G133/4))))</f>
        <v>568.01627999999994</v>
      </c>
      <c r="I133" s="33"/>
    </row>
    <row r="134" spans="1:14" s="34" customFormat="1" ht="15.75" customHeight="1" x14ac:dyDescent="0.35">
      <c r="A134" s="39">
        <v>6</v>
      </c>
      <c r="B134" s="39" t="s">
        <v>362</v>
      </c>
      <c r="C134" s="92" t="s">
        <v>364</v>
      </c>
      <c r="D134" s="93"/>
      <c r="E134" s="93"/>
      <c r="F134" s="93"/>
      <c r="G134" s="93"/>
      <c r="H134" s="94"/>
      <c r="I134" s="33"/>
    </row>
    <row r="135" spans="1:14" s="34" customFormat="1" ht="15.75" customHeight="1" x14ac:dyDescent="0.35">
      <c r="A135" s="39">
        <v>7</v>
      </c>
      <c r="B135" s="39" t="s">
        <v>367</v>
      </c>
      <c r="C135" s="39" t="s">
        <v>363</v>
      </c>
      <c r="D135" s="69">
        <f>(34.01)*10.764</f>
        <v>366.08363999999995</v>
      </c>
      <c r="E135" s="39">
        <v>0</v>
      </c>
      <c r="F135" s="39">
        <f>D135+E135</f>
        <v>366.08363999999995</v>
      </c>
      <c r="G135" s="39">
        <v>0</v>
      </c>
      <c r="H135" s="39">
        <f>F135*(($H$125)+1)+(IF(G135&lt;101,G135,IF(G135&lt;201,G135/2,IF(G135&lt;=301,G135/3,G135/4))))</f>
        <v>549.12545999999998</v>
      </c>
      <c r="I135" s="33"/>
    </row>
    <row r="136" spans="1:14" s="34" customFormat="1" ht="15.75" customHeight="1" x14ac:dyDescent="0.35">
      <c r="A136" s="84" t="s">
        <v>365</v>
      </c>
      <c r="B136" s="84"/>
      <c r="C136" s="84"/>
      <c r="D136" s="84"/>
      <c r="E136" s="84"/>
      <c r="F136" s="84"/>
      <c r="G136" s="84"/>
      <c r="H136" s="84"/>
      <c r="I136" s="33"/>
    </row>
    <row r="137" spans="1:14" s="34" customFormat="1" ht="15.75" customHeight="1" x14ac:dyDescent="0.35">
      <c r="A137" s="39">
        <v>1</v>
      </c>
      <c r="B137" s="39" t="s">
        <v>368</v>
      </c>
      <c r="C137" s="39" t="s">
        <v>359</v>
      </c>
      <c r="D137" s="69">
        <f>(47.61)*10.764</f>
        <v>512.47403999999995</v>
      </c>
      <c r="E137" s="39">
        <v>0</v>
      </c>
      <c r="F137" s="39">
        <f t="shared" ref="F137:F143" si="4">D137+E137</f>
        <v>512.47403999999995</v>
      </c>
      <c r="G137" s="39">
        <v>0</v>
      </c>
      <c r="H137" s="39">
        <f t="shared" ref="H137:H143" si="5">F137*(($H$125)+1)+(IF(G137&lt;101,G137,IF(G137&lt;201,G137/2,IF(G137&lt;=301,G137/3,G137/4))))</f>
        <v>768.71105999999986</v>
      </c>
      <c r="I137" s="33"/>
    </row>
    <row r="138" spans="1:14" s="34" customFormat="1" ht="15.75" customHeight="1" x14ac:dyDescent="0.35">
      <c r="A138" s="39">
        <f t="shared" ref="A138:A143" si="6">A137+1</f>
        <v>2</v>
      </c>
      <c r="B138" s="39" t="s">
        <v>368</v>
      </c>
      <c r="C138" s="39" t="s">
        <v>359</v>
      </c>
      <c r="D138" s="69">
        <f>(47.54)*10.764</f>
        <v>511.72055999999998</v>
      </c>
      <c r="E138" s="39">
        <v>0</v>
      </c>
      <c r="F138" s="39">
        <f t="shared" si="4"/>
        <v>511.72055999999998</v>
      </c>
      <c r="G138" s="39">
        <v>0</v>
      </c>
      <c r="H138" s="39">
        <f t="shared" si="5"/>
        <v>767.58083999999997</v>
      </c>
      <c r="I138" s="33"/>
    </row>
    <row r="139" spans="1:14" s="34" customFormat="1" x14ac:dyDescent="0.35">
      <c r="A139" s="39">
        <f t="shared" si="6"/>
        <v>3</v>
      </c>
      <c r="B139" s="39" t="s">
        <v>367</v>
      </c>
      <c r="C139" s="39" t="s">
        <v>363</v>
      </c>
      <c r="D139" s="69">
        <f>(37.15)*10.764</f>
        <v>399.88259999999997</v>
      </c>
      <c r="E139" s="39">
        <v>0</v>
      </c>
      <c r="F139" s="39">
        <f t="shared" si="4"/>
        <v>399.88259999999997</v>
      </c>
      <c r="G139" s="39">
        <v>0</v>
      </c>
      <c r="H139" s="39">
        <f t="shared" si="5"/>
        <v>599.82389999999998</v>
      </c>
      <c r="I139" s="33"/>
    </row>
    <row r="140" spans="1:14" s="34" customFormat="1" ht="15.75" customHeight="1" x14ac:dyDescent="0.35">
      <c r="A140" s="39">
        <f t="shared" si="6"/>
        <v>4</v>
      </c>
      <c r="B140" s="39" t="s">
        <v>367</v>
      </c>
      <c r="C140" s="39" t="s">
        <v>363</v>
      </c>
      <c r="D140" s="69">
        <f>(38.04)*10.764</f>
        <v>409.46255999999994</v>
      </c>
      <c r="E140" s="39">
        <v>0</v>
      </c>
      <c r="F140" s="39">
        <f t="shared" si="4"/>
        <v>409.46255999999994</v>
      </c>
      <c r="G140" s="39">
        <v>0</v>
      </c>
      <c r="H140" s="39">
        <f t="shared" si="5"/>
        <v>614.19383999999991</v>
      </c>
      <c r="I140" s="33"/>
    </row>
    <row r="141" spans="1:14" s="34" customFormat="1" ht="15.75" customHeight="1" x14ac:dyDescent="0.35">
      <c r="A141" s="39">
        <f t="shared" si="6"/>
        <v>5</v>
      </c>
      <c r="B141" s="39" t="s">
        <v>368</v>
      </c>
      <c r="C141" s="39" t="s">
        <v>359</v>
      </c>
      <c r="D141" s="69">
        <f>(47.38)*10.764</f>
        <v>509.99831999999998</v>
      </c>
      <c r="E141" s="39">
        <v>0</v>
      </c>
      <c r="F141" s="39">
        <f t="shared" si="4"/>
        <v>509.99831999999998</v>
      </c>
      <c r="G141" s="39">
        <v>0</v>
      </c>
      <c r="H141" s="39">
        <f t="shared" si="5"/>
        <v>764.99748</v>
      </c>
      <c r="I141" s="33"/>
    </row>
    <row r="142" spans="1:14" s="34" customFormat="1" ht="15.75" customHeight="1" x14ac:dyDescent="0.35">
      <c r="A142" s="39">
        <f t="shared" si="6"/>
        <v>6</v>
      </c>
      <c r="B142" s="39" t="s">
        <v>367</v>
      </c>
      <c r="C142" s="39" t="s">
        <v>359</v>
      </c>
      <c r="D142" s="69">
        <f>(51.57)*10.764</f>
        <v>555.09947999999997</v>
      </c>
      <c r="E142" s="39">
        <v>0</v>
      </c>
      <c r="F142" s="39">
        <f t="shared" si="4"/>
        <v>555.09947999999997</v>
      </c>
      <c r="G142" s="39">
        <v>0</v>
      </c>
      <c r="H142" s="39">
        <f t="shared" si="5"/>
        <v>832.64922000000001</v>
      </c>
      <c r="I142" s="33"/>
    </row>
    <row r="143" spans="1:14" s="34" customFormat="1" ht="15.75" customHeight="1" x14ac:dyDescent="0.35">
      <c r="A143" s="39">
        <f t="shared" si="6"/>
        <v>7</v>
      </c>
      <c r="B143" s="39" t="s">
        <v>367</v>
      </c>
      <c r="C143" s="39" t="s">
        <v>363</v>
      </c>
      <c r="D143" s="69">
        <f>(34.01)*10.764</f>
        <v>366.08363999999995</v>
      </c>
      <c r="E143" s="39">
        <v>0</v>
      </c>
      <c r="F143" s="39">
        <f t="shared" si="4"/>
        <v>366.08363999999995</v>
      </c>
      <c r="G143" s="39">
        <v>0</v>
      </c>
      <c r="H143" s="39">
        <f t="shared" si="5"/>
        <v>549.12545999999998</v>
      </c>
      <c r="I143" s="33"/>
    </row>
    <row r="144" spans="1:14" s="34" customFormat="1" ht="15.75" customHeight="1" x14ac:dyDescent="0.35">
      <c r="A144" s="84" t="s">
        <v>369</v>
      </c>
      <c r="B144" s="84"/>
      <c r="C144" s="84"/>
      <c r="D144" s="84"/>
      <c r="E144" s="84"/>
      <c r="F144" s="84"/>
      <c r="G144" s="84"/>
      <c r="H144" s="84"/>
      <c r="I144" s="33"/>
    </row>
    <row r="145" spans="1:20" s="34" customFormat="1" ht="15.75" customHeight="1" x14ac:dyDescent="0.35">
      <c r="A145" s="39">
        <v>1</v>
      </c>
      <c r="B145" s="95" t="s">
        <v>370</v>
      </c>
      <c r="C145" s="96"/>
      <c r="D145" s="96"/>
      <c r="E145" s="96"/>
      <c r="F145" s="96"/>
      <c r="G145" s="96"/>
      <c r="H145" s="97"/>
      <c r="I145" s="33"/>
    </row>
    <row r="146" spans="1:20" s="34" customFormat="1" ht="15.75" customHeight="1" x14ac:dyDescent="0.35">
      <c r="A146" s="39">
        <f t="shared" ref="A146:A151" si="7">A145+1</f>
        <v>2</v>
      </c>
      <c r="B146" s="98"/>
      <c r="C146" s="99"/>
      <c r="D146" s="99"/>
      <c r="E146" s="99"/>
      <c r="F146" s="99"/>
      <c r="G146" s="99"/>
      <c r="H146" s="100"/>
      <c r="I146" s="33"/>
    </row>
    <row r="147" spans="1:20" s="34" customFormat="1" ht="15.75" customHeight="1" x14ac:dyDescent="0.35">
      <c r="A147" s="39">
        <f t="shared" si="7"/>
        <v>3</v>
      </c>
      <c r="B147" s="70" t="s">
        <v>367</v>
      </c>
      <c r="C147" s="39" t="s">
        <v>363</v>
      </c>
      <c r="D147" s="69">
        <f>(37.15)*10.764</f>
        <v>399.88259999999997</v>
      </c>
      <c r="E147" s="39">
        <v>0</v>
      </c>
      <c r="F147" s="39">
        <f>D147+E147</f>
        <v>399.88259999999997</v>
      </c>
      <c r="G147" s="39">
        <v>0</v>
      </c>
      <c r="H147" s="39">
        <f>F147*(($H$125)+1)+(IF(G147&lt;101,G147,IF(G147&lt;201,G147/2,IF(G147&lt;=301,G147/3,G147/4))))</f>
        <v>599.82389999999998</v>
      </c>
      <c r="I147" s="33"/>
    </row>
    <row r="148" spans="1:20" s="34" customFormat="1" ht="15.75" customHeight="1" x14ac:dyDescent="0.35">
      <c r="A148" s="39">
        <f t="shared" si="7"/>
        <v>4</v>
      </c>
      <c r="B148" s="70" t="s">
        <v>367</v>
      </c>
      <c r="C148" s="39" t="s">
        <v>363</v>
      </c>
      <c r="D148" s="69">
        <f>(38.04)*10.764</f>
        <v>409.46255999999994</v>
      </c>
      <c r="E148" s="39">
        <v>0</v>
      </c>
      <c r="F148" s="39">
        <f>D148+E148</f>
        <v>409.46255999999994</v>
      </c>
      <c r="G148" s="39">
        <v>0</v>
      </c>
      <c r="H148" s="39">
        <f>F148*(($H$125)+1)+(IF(G148&lt;101,G148,IF(G148&lt;201,G148/2,IF(G148&lt;=301,G148/3,G148/4))))</f>
        <v>614.19383999999991</v>
      </c>
      <c r="I148" s="33"/>
    </row>
    <row r="149" spans="1:20" s="34" customFormat="1" ht="15.75" customHeight="1" x14ac:dyDescent="0.35">
      <c r="A149" s="39">
        <f t="shared" si="7"/>
        <v>5</v>
      </c>
      <c r="B149" s="70" t="s">
        <v>368</v>
      </c>
      <c r="C149" s="39" t="s">
        <v>359</v>
      </c>
      <c r="D149" s="69">
        <f>(47.38)*10.764</f>
        <v>509.99831999999998</v>
      </c>
      <c r="E149" s="39">
        <v>0</v>
      </c>
      <c r="F149" s="39">
        <f>D149+E149</f>
        <v>509.99831999999998</v>
      </c>
      <c r="G149" s="39">
        <v>0</v>
      </c>
      <c r="H149" s="39">
        <f>F149*(($H$125)+1)+(IF(G149&lt;101,G149,IF(G149&lt;201,G149/2,IF(G149&lt;=301,G149/3,G149/4))))</f>
        <v>764.99748</v>
      </c>
      <c r="I149" s="33"/>
    </row>
    <row r="150" spans="1:20" s="34" customFormat="1" ht="15.75" customHeight="1" x14ac:dyDescent="0.35">
      <c r="A150" s="39">
        <f t="shared" si="7"/>
        <v>6</v>
      </c>
      <c r="B150" s="70" t="s">
        <v>367</v>
      </c>
      <c r="C150" s="39" t="s">
        <v>359</v>
      </c>
      <c r="D150" s="69">
        <f>(51.57)*10.764</f>
        <v>555.09947999999997</v>
      </c>
      <c r="E150" s="39">
        <v>0</v>
      </c>
      <c r="F150" s="39">
        <f>D150+E150</f>
        <v>555.09947999999997</v>
      </c>
      <c r="G150" s="39">
        <v>0</v>
      </c>
      <c r="H150" s="39">
        <f>F150*(($H$125)+1)+(IF(G150&lt;101,G150,IF(G150&lt;201,G150/2,IF(G150&lt;=301,G150/3,G150/4))))</f>
        <v>832.64922000000001</v>
      </c>
      <c r="I150" s="33"/>
    </row>
    <row r="151" spans="1:20" s="32" customFormat="1" x14ac:dyDescent="0.35">
      <c r="A151" s="39">
        <f t="shared" si="7"/>
        <v>7</v>
      </c>
      <c r="B151" s="70" t="s">
        <v>367</v>
      </c>
      <c r="C151" s="39" t="s">
        <v>363</v>
      </c>
      <c r="D151" s="69">
        <f>(34.01)*10.764</f>
        <v>366.08363999999995</v>
      </c>
      <c r="E151" s="39">
        <v>0</v>
      </c>
      <c r="F151" s="39">
        <f>D151+E151</f>
        <v>366.08363999999995</v>
      </c>
      <c r="G151" s="39">
        <v>0</v>
      </c>
      <c r="H151" s="39">
        <f>F151*(($H$125)+1)+(IF(G151&lt;101,G151,IF(G151&lt;201,G151/2,IF(G151&lt;=301,G151/3,G151/4))))</f>
        <v>549.12545999999998</v>
      </c>
      <c r="J151" s="32">
        <f>7800000/H151</f>
        <v>14204.4042175717</v>
      </c>
      <c r="T151" s="34"/>
    </row>
    <row r="152" spans="1:20" s="32" customFormat="1" x14ac:dyDescent="0.35">
      <c r="A152" s="91" t="s">
        <v>372</v>
      </c>
      <c r="B152" s="91"/>
      <c r="C152" s="91"/>
      <c r="D152" s="91"/>
      <c r="E152" s="91"/>
      <c r="F152" s="91"/>
      <c r="G152" s="91"/>
      <c r="H152" s="91"/>
      <c r="T152" s="34"/>
    </row>
    <row r="153" spans="1:20" s="32" customFormat="1" x14ac:dyDescent="0.35">
      <c r="A153" s="39">
        <v>1</v>
      </c>
      <c r="B153" s="70" t="s">
        <v>368</v>
      </c>
      <c r="C153" s="39" t="s">
        <v>359</v>
      </c>
      <c r="D153" s="69">
        <f>(47.61)*10.764</f>
        <v>512.47403999999995</v>
      </c>
      <c r="E153" s="39">
        <v>0</v>
      </c>
      <c r="F153" s="39">
        <f t="shared" ref="F153:F159" si="8">D153+E153</f>
        <v>512.47403999999995</v>
      </c>
      <c r="G153" s="39">
        <v>0</v>
      </c>
      <c r="H153" s="39">
        <f t="shared" ref="H153:H159" si="9">F153*(($H$125)+1)+(IF(G153&lt;101,G153,IF(G153&lt;201,G153/2,IF(G153&lt;=301,G153/3,G153/4))))</f>
        <v>768.71105999999986</v>
      </c>
      <c r="T153" s="34"/>
    </row>
    <row r="154" spans="1:20" s="32" customFormat="1" x14ac:dyDescent="0.35">
      <c r="A154" s="39">
        <f t="shared" ref="A154:A159" si="10">A153+1</f>
        <v>2</v>
      </c>
      <c r="B154" s="70" t="s">
        <v>367</v>
      </c>
      <c r="C154" s="39" t="s">
        <v>359</v>
      </c>
      <c r="D154" s="69">
        <f>(47.54)*10.764</f>
        <v>511.72055999999998</v>
      </c>
      <c r="E154" s="39">
        <v>0</v>
      </c>
      <c r="F154" s="39">
        <f t="shared" si="8"/>
        <v>511.72055999999998</v>
      </c>
      <c r="G154" s="39">
        <v>0</v>
      </c>
      <c r="H154" s="39">
        <f t="shared" si="9"/>
        <v>767.58083999999997</v>
      </c>
      <c r="T154" s="34"/>
    </row>
    <row r="155" spans="1:20" s="32" customFormat="1" x14ac:dyDescent="0.35">
      <c r="A155" s="39">
        <f t="shared" si="10"/>
        <v>3</v>
      </c>
      <c r="B155" s="70" t="s">
        <v>367</v>
      </c>
      <c r="C155" s="39" t="s">
        <v>363</v>
      </c>
      <c r="D155" s="69">
        <f>(37.15)*10.764</f>
        <v>399.88259999999997</v>
      </c>
      <c r="E155" s="39">
        <v>0</v>
      </c>
      <c r="F155" s="39">
        <f t="shared" si="8"/>
        <v>399.88259999999997</v>
      </c>
      <c r="G155" s="39">
        <v>0</v>
      </c>
      <c r="H155" s="39">
        <f t="shared" si="9"/>
        <v>599.82389999999998</v>
      </c>
      <c r="T155" s="34"/>
    </row>
    <row r="156" spans="1:20" s="32" customFormat="1" x14ac:dyDescent="0.35">
      <c r="A156" s="39">
        <f t="shared" si="10"/>
        <v>4</v>
      </c>
      <c r="B156" s="70" t="s">
        <v>367</v>
      </c>
      <c r="C156" s="39" t="s">
        <v>363</v>
      </c>
      <c r="D156" s="69">
        <f>(38.04)*10.764</f>
        <v>409.46255999999994</v>
      </c>
      <c r="E156" s="39">
        <v>0</v>
      </c>
      <c r="F156" s="39">
        <f t="shared" si="8"/>
        <v>409.46255999999994</v>
      </c>
      <c r="G156" s="39">
        <v>0</v>
      </c>
      <c r="H156" s="39">
        <f t="shared" si="9"/>
        <v>614.19383999999991</v>
      </c>
      <c r="T156" s="34"/>
    </row>
    <row r="157" spans="1:20" s="32" customFormat="1" x14ac:dyDescent="0.35">
      <c r="A157" s="39">
        <f t="shared" si="10"/>
        <v>5</v>
      </c>
      <c r="B157" s="70" t="s">
        <v>367</v>
      </c>
      <c r="C157" s="39" t="s">
        <v>359</v>
      </c>
      <c r="D157" s="69">
        <f>(51.56)*10.764</f>
        <v>554.99184000000002</v>
      </c>
      <c r="E157" s="39">
        <v>0</v>
      </c>
      <c r="F157" s="39">
        <f t="shared" si="8"/>
        <v>554.99184000000002</v>
      </c>
      <c r="G157" s="39">
        <v>0</v>
      </c>
      <c r="H157" s="39">
        <f t="shared" si="9"/>
        <v>832.48775999999998</v>
      </c>
    </row>
    <row r="158" spans="1:20" s="32" customFormat="1" x14ac:dyDescent="0.35">
      <c r="A158" s="39">
        <f t="shared" si="10"/>
        <v>6</v>
      </c>
      <c r="B158" s="70" t="s">
        <v>367</v>
      </c>
      <c r="C158" s="39" t="s">
        <v>359</v>
      </c>
      <c r="D158" s="69">
        <f>(51.57)*10.764</f>
        <v>555.09947999999997</v>
      </c>
      <c r="E158" s="39">
        <v>0</v>
      </c>
      <c r="F158" s="39">
        <f t="shared" si="8"/>
        <v>555.09947999999997</v>
      </c>
      <c r="G158" s="39">
        <v>0</v>
      </c>
      <c r="H158" s="39">
        <f t="shared" si="9"/>
        <v>832.64922000000001</v>
      </c>
    </row>
    <row r="159" spans="1:20" s="32" customFormat="1" x14ac:dyDescent="0.35">
      <c r="A159" s="39">
        <f t="shared" si="10"/>
        <v>7</v>
      </c>
      <c r="B159" s="39" t="s">
        <v>367</v>
      </c>
      <c r="C159" s="39" t="s">
        <v>363</v>
      </c>
      <c r="D159" s="69">
        <f>(34.01)*10.764</f>
        <v>366.08363999999995</v>
      </c>
      <c r="E159" s="39">
        <v>0</v>
      </c>
      <c r="F159" s="39">
        <f t="shared" si="8"/>
        <v>366.08363999999995</v>
      </c>
      <c r="G159" s="39">
        <v>0</v>
      </c>
      <c r="H159" s="39">
        <f t="shared" si="9"/>
        <v>549.12545999999998</v>
      </c>
    </row>
    <row r="160" spans="1:20" s="32" customFormat="1" x14ac:dyDescent="0.35">
      <c r="A160" s="84" t="s">
        <v>371</v>
      </c>
      <c r="B160" s="84"/>
      <c r="C160" s="84"/>
      <c r="D160" s="84"/>
      <c r="E160" s="84"/>
      <c r="F160" s="84"/>
      <c r="G160" s="84"/>
      <c r="H160" s="84"/>
    </row>
    <row r="161" spans="1:20" s="32" customFormat="1" x14ac:dyDescent="0.35">
      <c r="A161" s="39">
        <v>1</v>
      </c>
      <c r="B161" s="39" t="s">
        <v>367</v>
      </c>
      <c r="C161" s="39" t="s">
        <v>359</v>
      </c>
      <c r="D161" s="69">
        <f>(47.61)*10.764</f>
        <v>512.47403999999995</v>
      </c>
      <c r="E161" s="39">
        <v>0</v>
      </c>
      <c r="F161" s="39">
        <f t="shared" ref="F161:F167" si="11">D161+E161</f>
        <v>512.47403999999995</v>
      </c>
      <c r="G161" s="39">
        <v>0</v>
      </c>
      <c r="H161" s="39">
        <f t="shared" ref="H161:H167" si="12">F161*(($H$125)+1)+(IF(G161&lt;101,G161,IF(G161&lt;201,G161/2,IF(G161&lt;=301,G161/3,G161/4))))</f>
        <v>768.71105999999986</v>
      </c>
    </row>
    <row r="162" spans="1:20" s="32" customFormat="1" x14ac:dyDescent="0.35">
      <c r="A162" s="39">
        <f t="shared" ref="A162:A167" si="13">A161+1</f>
        <v>2</v>
      </c>
      <c r="B162" s="39" t="s">
        <v>367</v>
      </c>
      <c r="C162" s="39" t="s">
        <v>359</v>
      </c>
      <c r="D162" s="69">
        <f>(47.54)*10.764</f>
        <v>511.72055999999998</v>
      </c>
      <c r="E162" s="39">
        <v>0</v>
      </c>
      <c r="F162" s="39">
        <f t="shared" si="11"/>
        <v>511.72055999999998</v>
      </c>
      <c r="G162" s="39">
        <v>0</v>
      </c>
      <c r="H162" s="39">
        <f t="shared" si="12"/>
        <v>767.58083999999997</v>
      </c>
    </row>
    <row r="163" spans="1:20" s="32" customFormat="1" x14ac:dyDescent="0.35">
      <c r="A163" s="39">
        <f t="shared" si="13"/>
        <v>3</v>
      </c>
      <c r="B163" s="39" t="s">
        <v>367</v>
      </c>
      <c r="C163" s="39" t="s">
        <v>363</v>
      </c>
      <c r="D163" s="69">
        <f>(37.15)*10.764</f>
        <v>399.88259999999997</v>
      </c>
      <c r="E163" s="39">
        <v>0</v>
      </c>
      <c r="F163" s="39">
        <f t="shared" si="11"/>
        <v>399.88259999999997</v>
      </c>
      <c r="G163" s="39">
        <v>0</v>
      </c>
      <c r="H163" s="39">
        <f t="shared" si="12"/>
        <v>599.82389999999998</v>
      </c>
    </row>
    <row r="164" spans="1:20" x14ac:dyDescent="0.35">
      <c r="A164" s="39">
        <f t="shared" si="13"/>
        <v>4</v>
      </c>
      <c r="B164" s="39" t="s">
        <v>367</v>
      </c>
      <c r="C164" s="39" t="s">
        <v>363</v>
      </c>
      <c r="D164" s="69">
        <f>(38.04)*10.764</f>
        <v>409.46255999999994</v>
      </c>
      <c r="E164" s="39">
        <v>0</v>
      </c>
      <c r="F164" s="39">
        <f t="shared" si="11"/>
        <v>409.46255999999994</v>
      </c>
      <c r="G164" s="39">
        <v>0</v>
      </c>
      <c r="H164" s="39">
        <f t="shared" si="12"/>
        <v>614.19383999999991</v>
      </c>
      <c r="T164" s="32"/>
    </row>
    <row r="165" spans="1:20" ht="15.75" customHeight="1" x14ac:dyDescent="0.35">
      <c r="A165" s="39">
        <f t="shared" si="13"/>
        <v>5</v>
      </c>
      <c r="B165" s="39" t="s">
        <v>367</v>
      </c>
      <c r="C165" s="39" t="s">
        <v>359</v>
      </c>
      <c r="D165" s="69">
        <f>(51.56)*10.764</f>
        <v>554.99184000000002</v>
      </c>
      <c r="E165" s="39">
        <v>0</v>
      </c>
      <c r="F165" s="39">
        <f t="shared" si="11"/>
        <v>554.99184000000002</v>
      </c>
      <c r="G165" s="39">
        <v>0</v>
      </c>
      <c r="H165" s="39">
        <f t="shared" si="12"/>
        <v>832.48775999999998</v>
      </c>
      <c r="T165" s="32"/>
    </row>
    <row r="166" spans="1:20" x14ac:dyDescent="0.35">
      <c r="A166" s="39">
        <f t="shared" si="13"/>
        <v>6</v>
      </c>
      <c r="B166" s="39" t="s">
        <v>367</v>
      </c>
      <c r="C166" s="39" t="s">
        <v>359</v>
      </c>
      <c r="D166" s="69">
        <f>(51.57)*10.764</f>
        <v>555.09947999999997</v>
      </c>
      <c r="E166" s="39">
        <v>0</v>
      </c>
      <c r="F166" s="39">
        <f t="shared" si="11"/>
        <v>555.09947999999997</v>
      </c>
      <c r="G166" s="39">
        <v>0</v>
      </c>
      <c r="H166" s="39">
        <f t="shared" si="12"/>
        <v>832.64922000000001</v>
      </c>
      <c r="T166" s="32"/>
    </row>
    <row r="167" spans="1:20" x14ac:dyDescent="0.35">
      <c r="A167" s="39">
        <f t="shared" si="13"/>
        <v>7</v>
      </c>
      <c r="B167" s="39" t="s">
        <v>367</v>
      </c>
      <c r="C167" s="39" t="s">
        <v>363</v>
      </c>
      <c r="D167" s="69">
        <f>(34.01)*10.764</f>
        <v>366.08363999999995</v>
      </c>
      <c r="E167" s="39">
        <v>0</v>
      </c>
      <c r="F167" s="39">
        <f t="shared" si="11"/>
        <v>366.08363999999995</v>
      </c>
      <c r="G167" s="39">
        <v>0</v>
      </c>
      <c r="H167" s="39">
        <f t="shared" si="12"/>
        <v>549.12545999999998</v>
      </c>
      <c r="T167" s="32"/>
    </row>
    <row r="168" spans="1:20" x14ac:dyDescent="0.35">
      <c r="A168" s="84" t="s">
        <v>373</v>
      </c>
      <c r="B168" s="84"/>
      <c r="C168" s="84"/>
      <c r="D168" s="84"/>
      <c r="E168" s="84"/>
      <c r="F168" s="84"/>
      <c r="G168" s="84"/>
      <c r="H168" s="84"/>
      <c r="T168" s="32"/>
    </row>
    <row r="169" spans="1:20" x14ac:dyDescent="0.35">
      <c r="A169" s="39">
        <v>1</v>
      </c>
      <c r="B169" s="95" t="s">
        <v>370</v>
      </c>
      <c r="C169" s="96"/>
      <c r="D169" s="96"/>
      <c r="E169" s="96"/>
      <c r="F169" s="96"/>
      <c r="G169" s="96"/>
      <c r="H169" s="97"/>
    </row>
    <row r="170" spans="1:20" x14ac:dyDescent="0.35">
      <c r="A170" s="39">
        <v>2</v>
      </c>
      <c r="B170" s="98"/>
      <c r="C170" s="99"/>
      <c r="D170" s="99"/>
      <c r="E170" s="99"/>
      <c r="F170" s="99"/>
      <c r="G170" s="99"/>
      <c r="H170" s="100"/>
    </row>
    <row r="171" spans="1:20" x14ac:dyDescent="0.35">
      <c r="A171" s="39">
        <v>3</v>
      </c>
      <c r="B171" s="39" t="s">
        <v>367</v>
      </c>
      <c r="C171" s="39" t="s">
        <v>363</v>
      </c>
      <c r="D171" s="69">
        <f>(43.64)*10.764</f>
        <v>469.74095999999997</v>
      </c>
      <c r="E171" s="39">
        <v>0</v>
      </c>
      <c r="F171" s="39">
        <f>D171+E171</f>
        <v>469.74095999999997</v>
      </c>
      <c r="G171" s="39">
        <v>0</v>
      </c>
      <c r="H171" s="39">
        <f>F171*(($H$125)+1)+(IF(G171&lt;101,G171,IF(G171&lt;201,G171/2,IF(G171&lt;=301,G171/3,G171/4))))</f>
        <v>704.6114399999999</v>
      </c>
    </row>
    <row r="172" spans="1:20" x14ac:dyDescent="0.35">
      <c r="A172" s="39">
        <f t="shared" ref="A172:A175" si="14">A171+1</f>
        <v>4</v>
      </c>
      <c r="B172" s="39" t="s">
        <v>367</v>
      </c>
      <c r="C172" s="39" t="s">
        <v>363</v>
      </c>
      <c r="D172" s="69">
        <f>(38.04)*10.764</f>
        <v>409.46255999999994</v>
      </c>
      <c r="E172" s="39">
        <v>0</v>
      </c>
      <c r="F172" s="39">
        <f>D172+E172</f>
        <v>409.46255999999994</v>
      </c>
      <c r="G172" s="39">
        <v>0</v>
      </c>
      <c r="H172" s="39">
        <f>F172*(($H$125)+1)+(IF(G172&lt;101,G172,IF(G172&lt;201,G172/2,IF(G172&lt;=301,G172/3,G172/4))))</f>
        <v>614.19383999999991</v>
      </c>
    </row>
    <row r="173" spans="1:20" x14ac:dyDescent="0.35">
      <c r="A173" s="39">
        <f t="shared" si="14"/>
        <v>5</v>
      </c>
      <c r="B173" s="39" t="s">
        <v>367</v>
      </c>
      <c r="C173" s="39" t="s">
        <v>359</v>
      </c>
      <c r="D173" s="69">
        <f>(51.56)*10.764</f>
        <v>554.99184000000002</v>
      </c>
      <c r="E173" s="39">
        <v>0</v>
      </c>
      <c r="F173" s="39">
        <f>D173+E173</f>
        <v>554.99184000000002</v>
      </c>
      <c r="G173" s="39">
        <v>0</v>
      </c>
      <c r="H173" s="39">
        <f>F173*(($H$125)+1)+(IF(G173&lt;101,G173,IF(G173&lt;201,G173/2,IF(G173&lt;=301,G173/3,G173/4))))</f>
        <v>832.48775999999998</v>
      </c>
    </row>
    <row r="174" spans="1:20" x14ac:dyDescent="0.35">
      <c r="A174" s="39">
        <f t="shared" si="14"/>
        <v>6</v>
      </c>
      <c r="B174" s="39" t="s">
        <v>367</v>
      </c>
      <c r="C174" s="39" t="s">
        <v>359</v>
      </c>
      <c r="D174" s="69">
        <f>(51.57)*10.764</f>
        <v>555.09947999999997</v>
      </c>
      <c r="E174" s="39">
        <v>0</v>
      </c>
      <c r="F174" s="39">
        <f>D174+E174</f>
        <v>555.09947999999997</v>
      </c>
      <c r="G174" s="39">
        <v>0</v>
      </c>
      <c r="H174" s="39">
        <f>F174*(($H$125)+1)+(IF(G174&lt;101,G174,IF(G174&lt;201,G174/2,IF(G174&lt;=301,G174/3,G174/4))))</f>
        <v>832.64922000000001</v>
      </c>
      <c r="L174" s="18">
        <f>20000/1.45</f>
        <v>13793.103448275862</v>
      </c>
    </row>
    <row r="175" spans="1:20" x14ac:dyDescent="0.35">
      <c r="A175" s="39">
        <f t="shared" si="14"/>
        <v>7</v>
      </c>
      <c r="B175" s="39" t="s">
        <v>367</v>
      </c>
      <c r="C175" s="39" t="s">
        <v>363</v>
      </c>
      <c r="D175" s="69">
        <f>(34.01)*10.764</f>
        <v>366.08363999999995</v>
      </c>
      <c r="E175" s="39">
        <v>0</v>
      </c>
      <c r="F175" s="39">
        <f>D175+E175</f>
        <v>366.08363999999995</v>
      </c>
      <c r="G175" s="39">
        <v>0</v>
      </c>
      <c r="H175" s="39">
        <f>F175*(($H$125)+1)+(IF(G175&lt;101,G175,IF(G175&lt;201,G175/2,IF(G175&lt;=301,G175/3,G175/4))))</f>
        <v>549.12545999999998</v>
      </c>
    </row>
    <row r="176" spans="1:20" x14ac:dyDescent="0.35">
      <c r="A176" s="92"/>
      <c r="B176" s="93"/>
      <c r="C176" s="93"/>
      <c r="D176" s="93"/>
      <c r="E176" s="93"/>
      <c r="F176" s="93"/>
      <c r="G176" s="93"/>
      <c r="H176" s="94"/>
    </row>
    <row r="177" spans="1:8" x14ac:dyDescent="0.35">
      <c r="A177" s="83" t="s">
        <v>65</v>
      </c>
      <c r="B177" s="83"/>
      <c r="C177" s="83"/>
      <c r="D177" s="83"/>
      <c r="E177" s="83"/>
      <c r="F177" s="83"/>
      <c r="G177" s="83"/>
      <c r="H177" s="83"/>
    </row>
    <row r="178" spans="1:8" ht="15" customHeight="1" x14ac:dyDescent="0.35">
      <c r="A178" s="41" t="s">
        <v>153</v>
      </c>
      <c r="B178" s="79" t="s">
        <v>391</v>
      </c>
      <c r="C178" s="80"/>
      <c r="D178" s="80"/>
      <c r="E178" s="80"/>
      <c r="F178" s="80"/>
      <c r="G178" s="80"/>
      <c r="H178" s="81"/>
    </row>
    <row r="179" spans="1:8" x14ac:dyDescent="0.35">
      <c r="A179" s="41" t="s">
        <v>153</v>
      </c>
      <c r="B179" s="79" t="str">
        <f>(IF(H124="Saleable area Loading :","We have considered Saleable area of Flats as per our Calculation.","We considered Saleable area of Flat as per Builder area Sheet."))</f>
        <v>We have considered Saleable area of Flats as per our Calculation.</v>
      </c>
      <c r="C179" s="80"/>
      <c r="D179" s="80"/>
      <c r="E179" s="80"/>
      <c r="F179" s="80"/>
      <c r="G179" s="80"/>
      <c r="H179" s="81"/>
    </row>
    <row r="180" spans="1:8" hidden="1" x14ac:dyDescent="0.35">
      <c r="A180" s="41" t="s">
        <v>153</v>
      </c>
      <c r="B180" s="79" t="str">
        <f>(IF(H116="Saleable area Loading :","We have considered Saleable area of Commercial as per our Calculation.","We considered Saleable area of Commercial as per Builder area Sheet."))</f>
        <v>We have considered Saleable area of Commercial as per our Calculation.</v>
      </c>
      <c r="C180" s="80"/>
      <c r="D180" s="80"/>
      <c r="E180" s="80"/>
      <c r="F180" s="80"/>
      <c r="G180" s="80"/>
      <c r="H180" s="81"/>
    </row>
    <row r="181" spans="1:8" x14ac:dyDescent="0.35">
      <c r="A181" s="41" t="s">
        <v>153</v>
      </c>
      <c r="B181" s="85" t="s">
        <v>123</v>
      </c>
      <c r="C181" s="86"/>
      <c r="D181" s="86"/>
      <c r="E181" s="86"/>
      <c r="F181" s="86"/>
      <c r="G181" s="86"/>
      <c r="H181" s="87"/>
    </row>
    <row r="182" spans="1:8" x14ac:dyDescent="0.35">
      <c r="A182" s="41" t="s">
        <v>153</v>
      </c>
      <c r="B182" s="85" t="s">
        <v>374</v>
      </c>
      <c r="C182" s="86"/>
      <c r="D182" s="86"/>
      <c r="E182" s="86"/>
      <c r="F182" s="86"/>
      <c r="G182" s="86"/>
      <c r="H182" s="87"/>
    </row>
    <row r="183" spans="1:8" x14ac:dyDescent="0.35">
      <c r="A183" s="41" t="s">
        <v>153</v>
      </c>
      <c r="B183" s="85" t="s">
        <v>152</v>
      </c>
      <c r="C183" s="86"/>
      <c r="D183" s="86"/>
      <c r="E183" s="86"/>
      <c r="F183" s="86"/>
      <c r="G183" s="86"/>
      <c r="H183" s="87"/>
    </row>
    <row r="184" spans="1:8" x14ac:dyDescent="0.35">
      <c r="A184" s="41" t="s">
        <v>153</v>
      </c>
      <c r="B184" s="85" t="s">
        <v>124</v>
      </c>
      <c r="C184" s="86"/>
      <c r="D184" s="86"/>
      <c r="E184" s="86"/>
      <c r="F184" s="86"/>
      <c r="G184" s="86"/>
      <c r="H184" s="87"/>
    </row>
    <row r="185" spans="1:8" ht="35.25" customHeight="1" x14ac:dyDescent="0.35">
      <c r="A185" s="41" t="s">
        <v>153</v>
      </c>
      <c r="B185" s="85" t="s">
        <v>154</v>
      </c>
      <c r="C185" s="86"/>
      <c r="D185" s="86"/>
      <c r="E185" s="86"/>
      <c r="F185" s="86"/>
      <c r="G185" s="86"/>
      <c r="H185" s="87"/>
    </row>
    <row r="186" spans="1:8" x14ac:dyDescent="0.35">
      <c r="A186" s="41" t="s">
        <v>153</v>
      </c>
      <c r="B186" s="85" t="s">
        <v>125</v>
      </c>
      <c r="C186" s="86"/>
      <c r="D186" s="86"/>
      <c r="E186" s="86"/>
      <c r="F186" s="86"/>
      <c r="G186" s="86"/>
      <c r="H186" s="87"/>
    </row>
    <row r="187" spans="1:8" x14ac:dyDescent="0.35">
      <c r="A187" s="41" t="s">
        <v>153</v>
      </c>
      <c r="B187" s="79" t="s">
        <v>389</v>
      </c>
      <c r="C187" s="80"/>
      <c r="D187" s="80"/>
      <c r="E187" s="80"/>
      <c r="F187" s="80"/>
      <c r="G187" s="80"/>
      <c r="H187" s="81"/>
    </row>
    <row r="188" spans="1:8" x14ac:dyDescent="0.35">
      <c r="A188" s="41" t="s">
        <v>153</v>
      </c>
      <c r="B188" s="79" t="s">
        <v>383</v>
      </c>
      <c r="C188" s="80"/>
      <c r="D188" s="80"/>
      <c r="E188" s="80"/>
      <c r="F188" s="80"/>
      <c r="G188" s="80"/>
      <c r="H188" s="81"/>
    </row>
    <row r="189" spans="1:8" x14ac:dyDescent="0.35">
      <c r="A189" s="160" t="s">
        <v>58</v>
      </c>
      <c r="B189" s="160"/>
      <c r="C189" s="160"/>
      <c r="D189" s="160"/>
      <c r="E189" s="160"/>
      <c r="F189" s="160"/>
      <c r="G189" s="160"/>
      <c r="H189" s="160"/>
    </row>
    <row r="190" spans="1:8" x14ac:dyDescent="0.35">
      <c r="A190" s="105" t="s">
        <v>59</v>
      </c>
      <c r="B190" s="105"/>
      <c r="C190" s="105"/>
      <c r="D190" s="105"/>
      <c r="E190" s="105"/>
      <c r="F190" s="105"/>
      <c r="G190" s="105"/>
      <c r="H190" s="105"/>
    </row>
    <row r="191" spans="1:8" x14ac:dyDescent="0.35">
      <c r="A191" s="149" t="s">
        <v>60</v>
      </c>
      <c r="B191" s="149"/>
      <c r="C191" s="149"/>
      <c r="D191" s="149"/>
      <c r="E191" s="149"/>
      <c r="F191" s="149"/>
      <c r="G191" s="149"/>
      <c r="H191" s="149"/>
    </row>
    <row r="192" spans="1:8" x14ac:dyDescent="0.35">
      <c r="A192" s="105" t="s">
        <v>61</v>
      </c>
      <c r="B192" s="105"/>
      <c r="C192" s="105"/>
      <c r="D192" s="105"/>
      <c r="E192" s="105"/>
      <c r="F192" s="105"/>
      <c r="G192" s="105"/>
      <c r="H192" s="105"/>
    </row>
    <row r="193" spans="1:8" x14ac:dyDescent="0.35">
      <c r="A193" s="105" t="s">
        <v>62</v>
      </c>
      <c r="B193" s="105"/>
      <c r="C193" s="105"/>
      <c r="D193" s="105"/>
      <c r="E193" s="105"/>
      <c r="F193" s="105"/>
      <c r="G193" s="105"/>
      <c r="H193" s="105"/>
    </row>
    <row r="194" spans="1:8" x14ac:dyDescent="0.35">
      <c r="A194" s="105" t="s">
        <v>126</v>
      </c>
      <c r="B194" s="105"/>
      <c r="C194" s="105"/>
      <c r="D194" s="105"/>
      <c r="E194" s="105"/>
      <c r="F194" s="105"/>
      <c r="G194" s="105"/>
      <c r="H194" s="105"/>
    </row>
    <row r="195" spans="1:8" x14ac:dyDescent="0.35">
      <c r="A195" s="135" t="s">
        <v>127</v>
      </c>
      <c r="B195" s="135"/>
      <c r="C195" s="135"/>
      <c r="D195" s="135"/>
      <c r="E195" s="135"/>
      <c r="F195" s="135"/>
      <c r="G195" s="135"/>
      <c r="H195" s="135"/>
    </row>
    <row r="196" spans="1:8" x14ac:dyDescent="0.35">
      <c r="A196" s="159" t="s">
        <v>74</v>
      </c>
      <c r="B196" s="159"/>
      <c r="C196" s="159" t="s">
        <v>393</v>
      </c>
      <c r="D196" s="159"/>
      <c r="E196" s="159" t="s">
        <v>104</v>
      </c>
      <c r="F196" s="159"/>
      <c r="G196" s="159" t="s">
        <v>392</v>
      </c>
      <c r="H196" s="159"/>
    </row>
    <row r="197" spans="1:8" x14ac:dyDescent="0.35">
      <c r="A197" s="158" t="s">
        <v>76</v>
      </c>
      <c r="B197" s="158"/>
      <c r="C197" s="158"/>
      <c r="D197" s="158"/>
      <c r="E197" s="158"/>
      <c r="F197" s="158"/>
      <c r="G197" s="158"/>
      <c r="H197" s="158"/>
    </row>
    <row r="198" spans="1:8" x14ac:dyDescent="0.35">
      <c r="A198" s="158"/>
      <c r="B198" s="158"/>
      <c r="C198" s="158"/>
      <c r="D198" s="158"/>
      <c r="E198" s="158"/>
      <c r="F198" s="158"/>
      <c r="G198" s="158"/>
      <c r="H198" s="158"/>
    </row>
    <row r="199" spans="1:8" x14ac:dyDescent="0.35">
      <c r="A199" s="158"/>
      <c r="B199" s="158"/>
      <c r="C199" s="158"/>
      <c r="D199" s="158"/>
      <c r="E199" s="158"/>
      <c r="F199" s="158"/>
      <c r="G199" s="158"/>
      <c r="H199" s="158"/>
    </row>
    <row r="200" spans="1:8" x14ac:dyDescent="0.35">
      <c r="A200" s="158"/>
      <c r="B200" s="158"/>
      <c r="C200" s="158"/>
      <c r="D200" s="158"/>
      <c r="E200" s="158"/>
      <c r="F200" s="158"/>
      <c r="G200" s="158"/>
      <c r="H200" s="158"/>
    </row>
    <row r="201" spans="1:8" x14ac:dyDescent="0.35">
      <c r="A201" s="35" t="s">
        <v>63</v>
      </c>
      <c r="B201" s="36"/>
      <c r="C201" s="36"/>
      <c r="D201" s="35" t="str">
        <f>E9</f>
        <v>Swastik Coral</v>
      </c>
      <c r="F201" s="36"/>
      <c r="G201" s="36"/>
      <c r="H201" s="36"/>
    </row>
    <row r="202" spans="1:8" x14ac:dyDescent="0.35">
      <c r="A202" s="36"/>
      <c r="B202" s="36"/>
      <c r="C202" s="36"/>
      <c r="D202" s="36"/>
      <c r="E202" s="36"/>
      <c r="F202" s="36"/>
      <c r="G202" s="36"/>
      <c r="H202" s="36"/>
    </row>
    <row r="203" spans="1:8" x14ac:dyDescent="0.35">
      <c r="A203" s="36"/>
      <c r="B203" s="36"/>
      <c r="C203" s="36"/>
      <c r="D203" s="36"/>
      <c r="E203" s="36"/>
      <c r="F203" s="36"/>
      <c r="G203" s="36"/>
      <c r="H203" s="36"/>
    </row>
    <row r="244" spans="1:1" x14ac:dyDescent="0.35">
      <c r="A244" s="38" t="s">
        <v>164</v>
      </c>
    </row>
    <row r="286" spans="1:1" x14ac:dyDescent="0.35">
      <c r="A286" s="38" t="s">
        <v>64</v>
      </c>
    </row>
  </sheetData>
  <mergeCells count="315">
    <mergeCell ref="A45:D4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50:H50"/>
    <mergeCell ref="G52:H52"/>
    <mergeCell ref="A51:B51"/>
    <mergeCell ref="A61:H61"/>
    <mergeCell ref="A62:C62"/>
    <mergeCell ref="A63:C63"/>
    <mergeCell ref="D63:H63"/>
    <mergeCell ref="L127:M127"/>
    <mergeCell ref="A40:B40"/>
    <mergeCell ref="C40:H40"/>
    <mergeCell ref="F116:F117"/>
    <mergeCell ref="C102:D102"/>
    <mergeCell ref="E102:F102"/>
    <mergeCell ref="B116:B117"/>
    <mergeCell ref="A116:A117"/>
    <mergeCell ref="C124:C125"/>
    <mergeCell ref="G124:G125"/>
    <mergeCell ref="L126:M126"/>
    <mergeCell ref="L123:M123"/>
    <mergeCell ref="G113:H113"/>
    <mergeCell ref="L124:M124"/>
    <mergeCell ref="G116:G117"/>
    <mergeCell ref="A92:E92"/>
    <mergeCell ref="A112:B112"/>
    <mergeCell ref="E112:F112"/>
    <mergeCell ref="A97:E97"/>
    <mergeCell ref="G112:H112"/>
    <mergeCell ref="C103:D103"/>
    <mergeCell ref="E103:F103"/>
    <mergeCell ref="G103:H103"/>
    <mergeCell ref="A75:B75"/>
    <mergeCell ref="L125:M125"/>
    <mergeCell ref="C55:H55"/>
    <mergeCell ref="A76:B76"/>
    <mergeCell ref="A49:B49"/>
    <mergeCell ref="C49:H49"/>
    <mergeCell ref="F89:H89"/>
    <mergeCell ref="A89:E89"/>
    <mergeCell ref="D116:D117"/>
    <mergeCell ref="L118:M118"/>
    <mergeCell ref="L117:M117"/>
    <mergeCell ref="L116:M116"/>
    <mergeCell ref="L115:M115"/>
    <mergeCell ref="A84:B84"/>
    <mergeCell ref="C107:D107"/>
    <mergeCell ref="E107:F107"/>
    <mergeCell ref="G107:H107"/>
    <mergeCell ref="A88:E88"/>
    <mergeCell ref="A118:H118"/>
    <mergeCell ref="E116:E117"/>
    <mergeCell ref="A91:E91"/>
    <mergeCell ref="A90:E90"/>
    <mergeCell ref="A87:E87"/>
    <mergeCell ref="F91:H91"/>
    <mergeCell ref="A110:B110"/>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G110:H110"/>
    <mergeCell ref="A111:B111"/>
    <mergeCell ref="C111:D111"/>
    <mergeCell ref="E111:F111"/>
    <mergeCell ref="G111:H111"/>
    <mergeCell ref="A104:B104"/>
    <mergeCell ref="C104:D104"/>
    <mergeCell ref="C106:D106"/>
    <mergeCell ref="A105:H105"/>
    <mergeCell ref="E104:F104"/>
    <mergeCell ref="G104:H104"/>
    <mergeCell ref="C108:D108"/>
    <mergeCell ref="E108:F108"/>
    <mergeCell ref="G108:H108"/>
    <mergeCell ref="G106:H106"/>
    <mergeCell ref="A197:H200"/>
    <mergeCell ref="A196:B196"/>
    <mergeCell ref="E196:F196"/>
    <mergeCell ref="C196:D196"/>
    <mergeCell ref="G196:H196"/>
    <mergeCell ref="A136:H136"/>
    <mergeCell ref="A107:B107"/>
    <mergeCell ref="A192:H192"/>
    <mergeCell ref="A195:H195"/>
    <mergeCell ref="A193:H193"/>
    <mergeCell ref="A189:H189"/>
    <mergeCell ref="C116:C117"/>
    <mergeCell ref="B124:B125"/>
    <mergeCell ref="A190:H190"/>
    <mergeCell ref="B183:H183"/>
    <mergeCell ref="A108:B108"/>
    <mergeCell ref="A122:B122"/>
    <mergeCell ref="A121:B121"/>
    <mergeCell ref="A109:H109"/>
    <mergeCell ref="B187:H187"/>
    <mergeCell ref="A123:H123"/>
    <mergeCell ref="A114:H114"/>
    <mergeCell ref="C110:D110"/>
    <mergeCell ref="E110:F110"/>
    <mergeCell ref="A194:H194"/>
    <mergeCell ref="A191:H191"/>
    <mergeCell ref="A106:B106"/>
    <mergeCell ref="D124:D125"/>
    <mergeCell ref="E124:E125"/>
    <mergeCell ref="F88:H88"/>
    <mergeCell ref="G102:H102"/>
    <mergeCell ref="F94:H94"/>
    <mergeCell ref="C101:D101"/>
    <mergeCell ref="C112:D112"/>
    <mergeCell ref="A126:H126"/>
    <mergeCell ref="A119:B119"/>
    <mergeCell ref="A113:B113"/>
    <mergeCell ref="C113:D113"/>
    <mergeCell ref="E113:F113"/>
    <mergeCell ref="B186:H186"/>
    <mergeCell ref="B184:H184"/>
    <mergeCell ref="B180:H180"/>
    <mergeCell ref="B178:H178"/>
    <mergeCell ref="B179:H179"/>
    <mergeCell ref="B181:H181"/>
    <mergeCell ref="E106:F106"/>
    <mergeCell ref="A124:A125"/>
    <mergeCell ref="F124:F125"/>
    <mergeCell ref="I15:P15"/>
    <mergeCell ref="F97:H97"/>
    <mergeCell ref="F95:H95"/>
    <mergeCell ref="A115:H115"/>
    <mergeCell ref="G101:H101"/>
    <mergeCell ref="A96:E96"/>
    <mergeCell ref="E43:H43"/>
    <mergeCell ref="A43:D43"/>
    <mergeCell ref="A50:B50"/>
    <mergeCell ref="C50:E50"/>
    <mergeCell ref="C53:E53"/>
    <mergeCell ref="G53:H53"/>
    <mergeCell ref="G60:H60"/>
    <mergeCell ref="A54:B55"/>
    <mergeCell ref="C54:E54"/>
    <mergeCell ref="G54:H54"/>
    <mergeCell ref="A56:B57"/>
    <mergeCell ref="C56:E56"/>
    <mergeCell ref="G56:H56"/>
    <mergeCell ref="A58:B59"/>
    <mergeCell ref="C58:E58"/>
    <mergeCell ref="G58:H58"/>
    <mergeCell ref="A86:B86"/>
    <mergeCell ref="A83:B83"/>
    <mergeCell ref="A65:C65"/>
    <mergeCell ref="D65:H65"/>
    <mergeCell ref="G76:H76"/>
    <mergeCell ref="E77:F86"/>
    <mergeCell ref="G77:H86"/>
    <mergeCell ref="A85:B85"/>
    <mergeCell ref="G51:H51"/>
    <mergeCell ref="A52:B53"/>
    <mergeCell ref="C52:E52"/>
    <mergeCell ref="C51:E51"/>
    <mergeCell ref="A79:B79"/>
    <mergeCell ref="D70:H70"/>
    <mergeCell ref="A71:C71"/>
    <mergeCell ref="A82:B82"/>
    <mergeCell ref="A101:B101"/>
    <mergeCell ref="F87:H87"/>
    <mergeCell ref="F92:H92"/>
    <mergeCell ref="A93:E93"/>
    <mergeCell ref="F93:H93"/>
    <mergeCell ref="A95:E95"/>
    <mergeCell ref="F90:H90"/>
    <mergeCell ref="A94:E94"/>
    <mergeCell ref="A100:H100"/>
    <mergeCell ref="A98:E98"/>
    <mergeCell ref="F98:H98"/>
    <mergeCell ref="A99:E99"/>
    <mergeCell ref="F99:H99"/>
    <mergeCell ref="A103:B103"/>
    <mergeCell ref="A102:B102"/>
    <mergeCell ref="B188:H188"/>
    <mergeCell ref="I11:L11"/>
    <mergeCell ref="A177:H177"/>
    <mergeCell ref="A144:H144"/>
    <mergeCell ref="B185:H185"/>
    <mergeCell ref="A128:H128"/>
    <mergeCell ref="A127:H127"/>
    <mergeCell ref="A152:H152"/>
    <mergeCell ref="A168:H168"/>
    <mergeCell ref="A176:H176"/>
    <mergeCell ref="A160:H160"/>
    <mergeCell ref="B169:H170"/>
    <mergeCell ref="C131:H132"/>
    <mergeCell ref="C134:H134"/>
    <mergeCell ref="B145:H146"/>
    <mergeCell ref="B182:H182"/>
    <mergeCell ref="A120:B120"/>
    <mergeCell ref="A60:B60"/>
    <mergeCell ref="C60:E60"/>
    <mergeCell ref="D62:H62"/>
    <mergeCell ref="F96:H96"/>
    <mergeCell ref="E101:F101"/>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6:E117">
      <formula1>"Attached Loft area,Attached Otla area,Attached Mezzanine area"</formula1>
    </dataValidation>
    <dataValidation type="list" allowBlank="1" showInputMessage="1" showErrorMessage="1" sqref="G196:H196">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6:B117">
      <formula1>"Shop No. (Sale Plan),Sale / Rehab,Sale / Mhada"</formula1>
    </dataValidation>
    <dataValidation type="list" allowBlank="1" showInputMessage="1" showErrorMessage="1" sqref="B124:B12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4:E125">
      <formula1>"Fungible area,Balcony Area,Chajja Area,Cornice Area,AP Area,WS Area"</formula1>
    </dataValidation>
    <dataValidation type="list" allowBlank="1" showInputMessage="1" showErrorMessage="1" sqref="H117 H12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6 H124">
      <formula1>"Saleable area Loading :,Builder Saleable Area"</formula1>
    </dataValidation>
    <dataValidation type="list" allowBlank="1" showInputMessage="1" showErrorMessage="1" sqref="D116:D117 D124:D12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00" max="7" man="1"/>
    <brk id="243" max="7" man="1"/>
    <brk id="28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54296875" defaultRowHeight="14.5" x14ac:dyDescent="0.35"/>
  <cols>
    <col min="1" max="1" width="8.5429687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54296875" style="1"/>
  </cols>
  <sheetData>
    <row r="1" spans="1:9" ht="15" customHeight="1" x14ac:dyDescent="0.35"/>
    <row r="2" spans="1:9" ht="15" customHeight="1" x14ac:dyDescent="0.35">
      <c r="A2" s="2"/>
      <c r="B2" s="2"/>
      <c r="C2" s="2"/>
      <c r="D2" s="2"/>
      <c r="E2" s="2"/>
      <c r="F2" s="2"/>
      <c r="G2" s="2"/>
      <c r="H2" s="2"/>
    </row>
    <row r="3" spans="1:9" ht="15.75" customHeight="1" x14ac:dyDescent="0.35">
      <c r="A3" s="2"/>
      <c r="B3" s="202" t="s">
        <v>105</v>
      </c>
      <c r="C3" s="202"/>
      <c r="D3" s="202"/>
      <c r="E3" s="202"/>
      <c r="F3" s="202"/>
      <c r="G3" s="202"/>
      <c r="H3" s="202"/>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178</v>
      </c>
      <c r="E4" s="48" t="s">
        <v>188</v>
      </c>
      <c r="F4" s="48" t="s">
        <v>173</v>
      </c>
      <c r="G4" s="48" t="s">
        <v>193</v>
      </c>
      <c r="H4" s="48" t="s">
        <v>211</v>
      </c>
      <c r="J4" t="s">
        <v>193</v>
      </c>
      <c r="K4" t="s">
        <v>209</v>
      </c>
    </row>
    <row r="5" spans="2:11" x14ac:dyDescent="0.35">
      <c r="B5" s="47"/>
      <c r="C5" s="47"/>
      <c r="D5" s="48" t="s">
        <v>179</v>
      </c>
      <c r="E5" s="48" t="s">
        <v>186</v>
      </c>
      <c r="F5" s="48" t="s">
        <v>208</v>
      </c>
      <c r="G5" s="48" t="s">
        <v>194</v>
      </c>
      <c r="H5" s="48" t="s">
        <v>212</v>
      </c>
    </row>
    <row r="6" spans="2:11" x14ac:dyDescent="0.35">
      <c r="B6" s="47"/>
      <c r="C6" s="47"/>
      <c r="D6" s="48" t="s">
        <v>180</v>
      </c>
      <c r="E6" s="48" t="s">
        <v>187</v>
      </c>
      <c r="F6" s="48" t="s">
        <v>209</v>
      </c>
      <c r="G6" s="48" t="s">
        <v>195</v>
      </c>
      <c r="H6" s="48" t="s">
        <v>225</v>
      </c>
    </row>
    <row r="7" spans="2:11" x14ac:dyDescent="0.35">
      <c r="B7" s="47"/>
      <c r="C7" s="47"/>
      <c r="D7" s="48" t="s">
        <v>181</v>
      </c>
      <c r="E7" s="48" t="s">
        <v>189</v>
      </c>
      <c r="F7" s="48" t="s">
        <v>210</v>
      </c>
      <c r="G7" s="48" t="s">
        <v>196</v>
      </c>
      <c r="H7" s="48" t="s">
        <v>213</v>
      </c>
    </row>
    <row r="8" spans="2:11" x14ac:dyDescent="0.35">
      <c r="B8" s="47"/>
      <c r="C8" s="47"/>
      <c r="D8" s="48" t="s">
        <v>182</v>
      </c>
      <c r="E8" s="48" t="s">
        <v>190</v>
      </c>
      <c r="F8" s="48"/>
      <c r="G8" s="48" t="s">
        <v>197</v>
      </c>
      <c r="H8" s="48" t="s">
        <v>214</v>
      </c>
    </row>
    <row r="9" spans="2:11" x14ac:dyDescent="0.35">
      <c r="B9" s="47"/>
      <c r="C9" s="47"/>
      <c r="D9" s="48" t="s">
        <v>183</v>
      </c>
      <c r="E9" s="48" t="s">
        <v>188</v>
      </c>
      <c r="F9" s="48"/>
      <c r="G9" s="48" t="s">
        <v>198</v>
      </c>
      <c r="H9" s="48" t="s">
        <v>215</v>
      </c>
    </row>
    <row r="10" spans="2:11" x14ac:dyDescent="0.35">
      <c r="B10" s="47"/>
      <c r="C10" s="47"/>
      <c r="D10" s="48" t="s">
        <v>184</v>
      </c>
      <c r="E10" s="48" t="s">
        <v>191</v>
      </c>
      <c r="F10" s="48"/>
      <c r="G10" s="48" t="s">
        <v>199</v>
      </c>
      <c r="H10" s="48" t="s">
        <v>216</v>
      </c>
    </row>
    <row r="11" spans="2:11" x14ac:dyDescent="0.35">
      <c r="B11" s="47"/>
      <c r="C11" s="47"/>
      <c r="D11" s="48" t="s">
        <v>185</v>
      </c>
      <c r="E11" s="48" t="s">
        <v>192</v>
      </c>
      <c r="F11" s="48"/>
      <c r="G11" s="48" t="s">
        <v>200</v>
      </c>
      <c r="H11" s="48" t="s">
        <v>217</v>
      </c>
    </row>
    <row r="12" spans="2:11" x14ac:dyDescent="0.35">
      <c r="B12" s="47"/>
      <c r="C12" s="47"/>
      <c r="D12" s="48"/>
      <c r="E12" s="48"/>
      <c r="F12" s="48"/>
      <c r="G12" s="48" t="s">
        <v>201</v>
      </c>
      <c r="H12" s="48" t="s">
        <v>218</v>
      </c>
    </row>
    <row r="13" spans="2:11" x14ac:dyDescent="0.35">
      <c r="B13" s="47"/>
      <c r="C13" s="47"/>
      <c r="D13" s="48"/>
      <c r="E13" s="48"/>
      <c r="F13" s="48"/>
      <c r="G13" s="48" t="s">
        <v>202</v>
      </c>
      <c r="H13" s="48" t="s">
        <v>219</v>
      </c>
    </row>
    <row r="14" spans="2:11" x14ac:dyDescent="0.35">
      <c r="B14" s="47"/>
      <c r="C14" s="47"/>
      <c r="D14" s="48"/>
      <c r="E14" s="48"/>
      <c r="F14" s="48"/>
      <c r="G14" s="48" t="s">
        <v>203</v>
      </c>
      <c r="H14" s="48" t="s">
        <v>220</v>
      </c>
    </row>
    <row r="15" spans="2:11" x14ac:dyDescent="0.35">
      <c r="B15" s="47"/>
      <c r="C15" s="47"/>
      <c r="D15" s="48"/>
      <c r="E15" s="48"/>
      <c r="F15" s="48"/>
      <c r="G15" s="48" t="s">
        <v>204</v>
      </c>
      <c r="H15" s="48" t="s">
        <v>221</v>
      </c>
    </row>
    <row r="16" spans="2:11" x14ac:dyDescent="0.35">
      <c r="B16" s="47"/>
      <c r="C16" s="47"/>
      <c r="D16" s="48"/>
      <c r="E16" s="48"/>
      <c r="F16" s="48"/>
      <c r="G16" s="48" t="s">
        <v>205</v>
      </c>
      <c r="H16" s="48" t="s">
        <v>222</v>
      </c>
    </row>
    <row r="17" spans="2:8" x14ac:dyDescent="0.35">
      <c r="B17" s="47"/>
      <c r="C17" s="47"/>
      <c r="D17" s="48"/>
      <c r="E17" s="48"/>
      <c r="F17" s="48"/>
      <c r="G17" s="48" t="s">
        <v>206</v>
      </c>
      <c r="H17" s="48" t="s">
        <v>223</v>
      </c>
    </row>
    <row r="18" spans="2:8" x14ac:dyDescent="0.35">
      <c r="B18" s="47"/>
      <c r="C18" s="47"/>
      <c r="D18" s="48"/>
      <c r="E18" s="48"/>
      <c r="F18" s="48"/>
      <c r="G18" s="48" t="s">
        <v>207</v>
      </c>
      <c r="H18" s="48" t="s">
        <v>224</v>
      </c>
    </row>
    <row r="24" spans="2:8" x14ac:dyDescent="0.35">
      <c r="C24" t="s">
        <v>170</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170</v>
      </c>
    </row>
    <row r="33" spans="3:11" x14ac:dyDescent="0.35">
      <c r="J33">
        <v>1</v>
      </c>
      <c r="K33">
        <v>2</v>
      </c>
    </row>
    <row r="34" spans="3:11" x14ac:dyDescent="0.35">
      <c r="C34" s="49" t="s">
        <v>236</v>
      </c>
      <c r="D34" s="48" t="s">
        <v>234</v>
      </c>
      <c r="E34" s="48" t="s">
        <v>239</v>
      </c>
      <c r="F34" s="48" t="s">
        <v>237</v>
      </c>
      <c r="G34" s="48" t="s">
        <v>238</v>
      </c>
      <c r="H34" s="48" t="s">
        <v>240</v>
      </c>
      <c r="J34" t="s">
        <v>193</v>
      </c>
      <c r="K34" t="s">
        <v>209</v>
      </c>
    </row>
    <row r="35" spans="3:11" x14ac:dyDescent="0.35">
      <c r="C35" s="47" t="s">
        <v>235</v>
      </c>
      <c r="D35" s="48" t="s">
        <v>171</v>
      </c>
      <c r="E35" s="48" t="s">
        <v>244</v>
      </c>
      <c r="F35" s="48" t="s">
        <v>246</v>
      </c>
      <c r="G35" s="48" t="s">
        <v>248</v>
      </c>
      <c r="H35" s="48"/>
    </row>
    <row r="36" spans="3:11" x14ac:dyDescent="0.35">
      <c r="C36" s="47"/>
      <c r="D36" s="48" t="s">
        <v>241</v>
      </c>
      <c r="E36" s="48" t="s">
        <v>245</v>
      </c>
      <c r="F36" s="48" t="s">
        <v>247</v>
      </c>
      <c r="G36" s="48" t="s">
        <v>249</v>
      </c>
      <c r="H36" s="48"/>
    </row>
    <row r="37" spans="3:11" x14ac:dyDescent="0.35">
      <c r="C37" s="47"/>
      <c r="D37" s="48" t="s">
        <v>242</v>
      </c>
      <c r="E37" s="48"/>
      <c r="F37" s="48"/>
      <c r="G37" s="48" t="s">
        <v>250</v>
      </c>
      <c r="H37" s="48"/>
    </row>
    <row r="38" spans="3:11" x14ac:dyDescent="0.35">
      <c r="C38" s="47"/>
      <c r="D38" s="48" t="s">
        <v>243</v>
      </c>
      <c r="E38" s="48"/>
      <c r="F38" s="48"/>
      <c r="G38" s="48" t="s">
        <v>250</v>
      </c>
      <c r="H38" s="48"/>
    </row>
    <row r="39" spans="3:11" x14ac:dyDescent="0.35">
      <c r="C39" s="47"/>
      <c r="D39" s="48"/>
      <c r="E39" s="48"/>
      <c r="F39" s="48"/>
      <c r="G39" s="48" t="s">
        <v>251</v>
      </c>
      <c r="H39" s="48"/>
    </row>
    <row r="40" spans="3:11" x14ac:dyDescent="0.35">
      <c r="C40" s="47"/>
      <c r="D40" s="48"/>
      <c r="E40" s="48"/>
      <c r="F40" s="48"/>
      <c r="G40" s="48" t="s">
        <v>252</v>
      </c>
      <c r="H40" s="48"/>
    </row>
    <row r="41" spans="3:11" x14ac:dyDescent="0.35">
      <c r="C41" s="47"/>
      <c r="D41" s="48"/>
      <c r="E41" s="48"/>
      <c r="F41" s="48"/>
      <c r="G41" s="48"/>
      <c r="H41" s="48"/>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C9" sqref="C9"/>
    </sheetView>
  </sheetViews>
  <sheetFormatPr defaultRowHeight="14.5" x14ac:dyDescent="0.35"/>
  <cols>
    <col min="2" max="2" width="3" bestFit="1" customWidth="1"/>
    <col min="3" max="3" width="130" customWidth="1"/>
  </cols>
  <sheetData>
    <row r="2" spans="2:3" ht="15" customHeight="1" x14ac:dyDescent="0.35">
      <c r="B2" s="50">
        <v>1</v>
      </c>
      <c r="C2" s="52" t="s">
        <v>284</v>
      </c>
    </row>
    <row r="3" spans="2:3" x14ac:dyDescent="0.35">
      <c r="B3" s="50">
        <v>2</v>
      </c>
      <c r="C3" s="51" t="s">
        <v>285</v>
      </c>
    </row>
    <row r="4" spans="2:3" x14ac:dyDescent="0.35">
      <c r="B4" s="50">
        <v>3</v>
      </c>
      <c r="C4" s="50" t="s">
        <v>286</v>
      </c>
    </row>
    <row r="5" spans="2:3" x14ac:dyDescent="0.35">
      <c r="B5" s="50">
        <v>4</v>
      </c>
      <c r="C5" s="51" t="s">
        <v>287</v>
      </c>
    </row>
    <row r="6" spans="2:3" x14ac:dyDescent="0.35">
      <c r="B6" s="50">
        <v>5</v>
      </c>
      <c r="C6" s="50" t="s">
        <v>288</v>
      </c>
    </row>
    <row r="7" spans="2:3" ht="29" x14ac:dyDescent="0.35">
      <c r="B7" s="50">
        <v>6</v>
      </c>
      <c r="C7" s="51" t="s">
        <v>289</v>
      </c>
    </row>
    <row r="8" spans="2:3" ht="72.5" x14ac:dyDescent="0.35">
      <c r="B8" s="50">
        <v>7</v>
      </c>
      <c r="C8" s="51" t="s">
        <v>290</v>
      </c>
    </row>
    <row r="9" spans="2:3" x14ac:dyDescent="0.35">
      <c r="B9" s="50">
        <v>8</v>
      </c>
      <c r="C9" s="50" t="s">
        <v>291</v>
      </c>
    </row>
    <row r="10" spans="2:3" x14ac:dyDescent="0.35">
      <c r="B10" s="50">
        <v>9</v>
      </c>
      <c r="C10" s="50" t="s">
        <v>292</v>
      </c>
    </row>
    <row r="11" spans="2:3" x14ac:dyDescent="0.35">
      <c r="B11" s="50">
        <v>10</v>
      </c>
      <c r="C11" s="50" t="s">
        <v>293</v>
      </c>
    </row>
    <row r="12" spans="2:3" x14ac:dyDescent="0.35">
      <c r="B12" s="50">
        <v>11</v>
      </c>
      <c r="C12" s="50" t="s">
        <v>294</v>
      </c>
    </row>
    <row r="13" spans="2:3" x14ac:dyDescent="0.35">
      <c r="B13" s="50">
        <v>12</v>
      </c>
      <c r="C13" s="50" t="s">
        <v>295</v>
      </c>
    </row>
    <row r="14" spans="2:3" x14ac:dyDescent="0.35">
      <c r="B14" s="50">
        <v>13</v>
      </c>
      <c r="C14" s="50" t="s">
        <v>296</v>
      </c>
    </row>
    <row r="15" spans="2:3" x14ac:dyDescent="0.35">
      <c r="B15" s="50">
        <v>14</v>
      </c>
      <c r="C15" s="50" t="s">
        <v>286</v>
      </c>
    </row>
    <row r="16" spans="2:3" x14ac:dyDescent="0.35">
      <c r="B16" s="50">
        <v>15</v>
      </c>
      <c r="C16" s="50" t="s">
        <v>298</v>
      </c>
    </row>
    <row r="17" spans="2:3" ht="31.5" customHeight="1" x14ac:dyDescent="0.35">
      <c r="B17" s="53">
        <v>16</v>
      </c>
      <c r="C17" s="55" t="s">
        <v>299</v>
      </c>
    </row>
    <row r="18" spans="2:3" x14ac:dyDescent="0.35">
      <c r="B18" s="54">
        <v>17</v>
      </c>
      <c r="C18" s="55" t="s">
        <v>300</v>
      </c>
    </row>
    <row r="19" spans="2:3" x14ac:dyDescent="0.35">
      <c r="B19" s="53">
        <v>18</v>
      </c>
      <c r="C19" s="50" t="s">
        <v>301</v>
      </c>
    </row>
    <row r="20" spans="2:3" x14ac:dyDescent="0.35">
      <c r="B20" s="54">
        <v>19</v>
      </c>
      <c r="C20" s="50" t="s">
        <v>302</v>
      </c>
    </row>
    <row r="21" spans="2:3" x14ac:dyDescent="0.35">
      <c r="B21" s="50">
        <v>20</v>
      </c>
      <c r="C21" s="50" t="s">
        <v>303</v>
      </c>
    </row>
    <row r="22" spans="2:3" x14ac:dyDescent="0.35">
      <c r="B22" s="54">
        <v>21</v>
      </c>
      <c r="C22" s="50" t="s">
        <v>301</v>
      </c>
    </row>
    <row r="23" spans="2:3" s="63" customFormat="1" ht="29.25" customHeight="1" x14ac:dyDescent="0.35">
      <c r="B23" s="62">
        <v>22</v>
      </c>
      <c r="C23" s="52" t="s">
        <v>330</v>
      </c>
    </row>
    <row r="24" spans="2:3" s="63" customFormat="1" ht="30.75" customHeight="1" x14ac:dyDescent="0.35">
      <c r="B24" s="64">
        <v>23</v>
      </c>
      <c r="C24" s="52" t="s">
        <v>331</v>
      </c>
    </row>
    <row r="25" spans="2:3" x14ac:dyDescent="0.35">
      <c r="B25" s="50">
        <v>24</v>
      </c>
      <c r="C25" s="50"/>
    </row>
    <row r="26" spans="2:3" x14ac:dyDescent="0.35">
      <c r="B26" s="54">
        <v>25</v>
      </c>
      <c r="C26"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7"/>
    <col min="2" max="2" width="12.453125" style="47" customWidth="1"/>
    <col min="3" max="16384" width="9.1796875" style="47"/>
  </cols>
  <sheetData>
    <row r="2" spans="1:12" x14ac:dyDescent="0.35">
      <c r="B2" s="56" t="s">
        <v>304</v>
      </c>
      <c r="C2" s="203"/>
      <c r="D2" s="203"/>
    </row>
    <row r="3" spans="1:12" x14ac:dyDescent="0.35">
      <c r="D3" s="57"/>
      <c r="E3" s="57"/>
      <c r="F3" s="57"/>
      <c r="G3" s="57"/>
      <c r="H3" s="57"/>
      <c r="I3" s="57"/>
    </row>
    <row r="4" spans="1:12" x14ac:dyDescent="0.35">
      <c r="A4" s="56" t="s">
        <v>66</v>
      </c>
      <c r="B4" s="58" t="s">
        <v>305</v>
      </c>
      <c r="C4" s="204" t="s">
        <v>306</v>
      </c>
      <c r="D4" s="204"/>
      <c r="E4" s="204"/>
      <c r="F4" s="58"/>
      <c r="G4" s="205" t="s">
        <v>307</v>
      </c>
      <c r="H4" s="205"/>
      <c r="I4" s="205"/>
      <c r="J4" s="206" t="s">
        <v>308</v>
      </c>
      <c r="K4" s="206"/>
      <c r="L4" s="206"/>
    </row>
    <row r="5" spans="1:12" x14ac:dyDescent="0.35">
      <c r="A5" s="56"/>
      <c r="B5" s="58"/>
      <c r="C5" s="58" t="s">
        <v>309</v>
      </c>
      <c r="D5" s="58" t="s">
        <v>310</v>
      </c>
      <c r="E5" s="58" t="s">
        <v>311</v>
      </c>
      <c r="F5" s="58"/>
      <c r="G5" s="58" t="s">
        <v>309</v>
      </c>
      <c r="H5" s="58" t="s">
        <v>310</v>
      </c>
      <c r="I5" s="58" t="s">
        <v>311</v>
      </c>
      <c r="J5" s="58" t="s">
        <v>309</v>
      </c>
      <c r="K5" s="58" t="s">
        <v>310</v>
      </c>
      <c r="L5" s="58" t="s">
        <v>311</v>
      </c>
    </row>
    <row r="6" spans="1:12" x14ac:dyDescent="0.35">
      <c r="B6" s="48" t="s">
        <v>312</v>
      </c>
      <c r="C6" s="48"/>
      <c r="D6" s="48"/>
      <c r="E6" s="48">
        <f>C6*D6</f>
        <v>0</v>
      </c>
      <c r="F6" s="48" t="s">
        <v>329</v>
      </c>
      <c r="G6" s="48"/>
      <c r="H6" s="48"/>
      <c r="I6" s="48">
        <f>G6*H6</f>
        <v>0</v>
      </c>
      <c r="J6" s="48"/>
      <c r="K6" s="48"/>
      <c r="L6" s="48">
        <f>J6*K6</f>
        <v>0</v>
      </c>
    </row>
    <row r="7" spans="1:12" x14ac:dyDescent="0.35">
      <c r="B7" s="48"/>
      <c r="C7" s="48"/>
      <c r="D7" s="48"/>
      <c r="E7" s="48">
        <f t="shared" ref="E7:E41" si="0">C7*D7</f>
        <v>0</v>
      </c>
      <c r="F7" s="48" t="s">
        <v>329</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313</v>
      </c>
      <c r="G9" s="48"/>
      <c r="H9" s="48"/>
      <c r="I9" s="48">
        <f t="shared" si="1"/>
        <v>0</v>
      </c>
      <c r="J9" s="48"/>
      <c r="K9" s="48"/>
      <c r="L9" s="48">
        <f t="shared" si="2"/>
        <v>0</v>
      </c>
    </row>
    <row r="10" spans="1:12" x14ac:dyDescent="0.35">
      <c r="B10" s="48" t="s">
        <v>314</v>
      </c>
      <c r="C10" s="48"/>
      <c r="D10" s="48"/>
      <c r="E10" s="48">
        <f t="shared" si="0"/>
        <v>0</v>
      </c>
      <c r="F10" s="48" t="s">
        <v>313</v>
      </c>
      <c r="G10" s="48"/>
      <c r="H10" s="48"/>
      <c r="I10" s="48">
        <f t="shared" si="1"/>
        <v>0</v>
      </c>
      <c r="J10" s="48"/>
      <c r="K10" s="48"/>
      <c r="L10" s="48">
        <f t="shared" si="2"/>
        <v>0</v>
      </c>
    </row>
    <row r="11" spans="1:12" x14ac:dyDescent="0.35">
      <c r="B11" s="48"/>
      <c r="C11" s="48"/>
      <c r="D11" s="48"/>
      <c r="E11" s="48">
        <f t="shared" si="0"/>
        <v>0</v>
      </c>
      <c r="F11" s="48" t="s">
        <v>315</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316</v>
      </c>
      <c r="C14" s="48"/>
      <c r="D14" s="48"/>
      <c r="E14" s="48">
        <f t="shared" si="0"/>
        <v>0</v>
      </c>
      <c r="F14" s="48" t="s">
        <v>313</v>
      </c>
      <c r="G14" s="48"/>
      <c r="H14" s="48"/>
      <c r="I14" s="48">
        <f t="shared" si="1"/>
        <v>0</v>
      </c>
      <c r="J14" s="48"/>
      <c r="K14" s="48"/>
      <c r="L14" s="48">
        <f t="shared" si="2"/>
        <v>0</v>
      </c>
    </row>
    <row r="15" spans="1:12" x14ac:dyDescent="0.35">
      <c r="B15" s="48"/>
      <c r="C15" s="48"/>
      <c r="D15" s="48"/>
      <c r="E15" s="48">
        <f t="shared" si="0"/>
        <v>0</v>
      </c>
      <c r="F15" s="48" t="s">
        <v>315</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317</v>
      </c>
      <c r="C18" s="48"/>
      <c r="D18" s="48"/>
      <c r="E18" s="48">
        <f t="shared" si="0"/>
        <v>0</v>
      </c>
      <c r="F18" s="48" t="s">
        <v>313</v>
      </c>
      <c r="G18" s="48"/>
      <c r="H18" s="48"/>
      <c r="I18" s="48">
        <f t="shared" si="1"/>
        <v>0</v>
      </c>
      <c r="J18" s="48"/>
      <c r="K18" s="48"/>
      <c r="L18" s="48">
        <f t="shared" si="2"/>
        <v>0</v>
      </c>
    </row>
    <row r="19" spans="2:12" x14ac:dyDescent="0.35">
      <c r="B19" s="48"/>
      <c r="C19" s="48"/>
      <c r="D19" s="48"/>
      <c r="E19" s="48">
        <f t="shared" si="0"/>
        <v>0</v>
      </c>
      <c r="F19" s="48" t="s">
        <v>315</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318</v>
      </c>
      <c r="C21" s="48"/>
      <c r="D21" s="48"/>
      <c r="E21" s="48">
        <f t="shared" si="0"/>
        <v>0</v>
      </c>
      <c r="F21" s="48" t="s">
        <v>313</v>
      </c>
      <c r="G21" s="48"/>
      <c r="H21" s="48"/>
      <c r="I21" s="48">
        <f t="shared" si="1"/>
        <v>0</v>
      </c>
      <c r="J21" s="48"/>
      <c r="K21" s="48"/>
      <c r="L21" s="48">
        <f t="shared" si="2"/>
        <v>0</v>
      </c>
    </row>
    <row r="22" spans="2:12" x14ac:dyDescent="0.35">
      <c r="B22" s="48"/>
      <c r="C22" s="48"/>
      <c r="D22" s="48"/>
      <c r="E22" s="48">
        <f t="shared" si="0"/>
        <v>0</v>
      </c>
      <c r="F22" s="48" t="s">
        <v>315</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319</v>
      </c>
      <c r="C24" s="48"/>
      <c r="D24" s="48"/>
      <c r="E24" s="48">
        <f t="shared" si="0"/>
        <v>0</v>
      </c>
      <c r="F24" s="48" t="s">
        <v>320</v>
      </c>
      <c r="G24" s="48"/>
      <c r="H24" s="48"/>
      <c r="I24" s="48">
        <f t="shared" si="1"/>
        <v>0</v>
      </c>
      <c r="J24" s="48"/>
      <c r="K24" s="48"/>
      <c r="L24" s="48">
        <f t="shared" si="2"/>
        <v>0</v>
      </c>
    </row>
    <row r="25" spans="2:12" x14ac:dyDescent="0.35">
      <c r="B25" s="48"/>
      <c r="C25" s="48"/>
      <c r="D25" s="48"/>
      <c r="E25" s="48">
        <f t="shared" ref="E25:E27" si="3">C25*D25</f>
        <v>0</v>
      </c>
      <c r="F25" s="48" t="s">
        <v>320</v>
      </c>
      <c r="G25" s="48"/>
      <c r="H25" s="48"/>
      <c r="I25" s="48">
        <f t="shared" ref="I25:I27" si="4">G25*H25</f>
        <v>0</v>
      </c>
      <c r="J25" s="48"/>
      <c r="K25" s="48"/>
      <c r="L25" s="48">
        <f t="shared" ref="L25:L27" si="5">J25*K25</f>
        <v>0</v>
      </c>
    </row>
    <row r="26" spans="2:12" x14ac:dyDescent="0.35">
      <c r="B26" s="48"/>
      <c r="C26" s="48"/>
      <c r="D26" s="48"/>
      <c r="E26" s="48">
        <f t="shared" si="3"/>
        <v>0</v>
      </c>
      <c r="F26" s="48" t="s">
        <v>320</v>
      </c>
      <c r="G26" s="48"/>
      <c r="H26" s="48"/>
      <c r="I26" s="48">
        <f t="shared" si="4"/>
        <v>0</v>
      </c>
      <c r="J26" s="48"/>
      <c r="K26" s="48"/>
      <c r="L26" s="48">
        <f t="shared" si="5"/>
        <v>0</v>
      </c>
    </row>
    <row r="27" spans="2:12" x14ac:dyDescent="0.35">
      <c r="B27" s="48"/>
      <c r="C27" s="48"/>
      <c r="D27" s="48"/>
      <c r="E27" s="48">
        <f t="shared" si="3"/>
        <v>0</v>
      </c>
      <c r="F27" s="48" t="s">
        <v>320</v>
      </c>
      <c r="G27" s="48"/>
      <c r="H27" s="48"/>
      <c r="I27" s="48">
        <f t="shared" si="4"/>
        <v>0</v>
      </c>
      <c r="J27" s="48"/>
      <c r="K27" s="48"/>
      <c r="L27" s="48">
        <f t="shared" si="5"/>
        <v>0</v>
      </c>
    </row>
    <row r="28" spans="2:12" x14ac:dyDescent="0.35">
      <c r="B28" s="48" t="s">
        <v>321</v>
      </c>
      <c r="C28" s="48"/>
      <c r="D28" s="48"/>
      <c r="E28" s="48">
        <f t="shared" si="0"/>
        <v>0</v>
      </c>
      <c r="F28" s="48" t="s">
        <v>320</v>
      </c>
      <c r="G28" s="48"/>
      <c r="H28" s="48"/>
      <c r="I28" s="48">
        <f t="shared" si="1"/>
        <v>0</v>
      </c>
      <c r="J28" s="48"/>
      <c r="K28" s="48"/>
      <c r="L28" s="48">
        <f t="shared" si="2"/>
        <v>0</v>
      </c>
    </row>
    <row r="29" spans="2:12" x14ac:dyDescent="0.35">
      <c r="B29" s="48" t="s">
        <v>322</v>
      </c>
      <c r="C29" s="48"/>
      <c r="D29" s="48"/>
      <c r="E29" s="48">
        <f t="shared" si="0"/>
        <v>0</v>
      </c>
      <c r="F29" s="48" t="s">
        <v>320</v>
      </c>
      <c r="G29" s="48"/>
      <c r="H29" s="48"/>
      <c r="I29" s="48">
        <f t="shared" si="1"/>
        <v>0</v>
      </c>
      <c r="J29" s="48"/>
      <c r="K29" s="48"/>
      <c r="L29" s="48">
        <f t="shared" si="2"/>
        <v>0</v>
      </c>
    </row>
    <row r="30" spans="2:12" x14ac:dyDescent="0.35">
      <c r="B30" s="48" t="s">
        <v>326</v>
      </c>
      <c r="C30" s="48"/>
      <c r="D30" s="48"/>
      <c r="E30" s="48">
        <f t="shared" si="0"/>
        <v>0</v>
      </c>
      <c r="F30" s="48"/>
      <c r="G30" s="48"/>
      <c r="H30" s="48"/>
      <c r="I30" s="48">
        <f t="shared" si="1"/>
        <v>0</v>
      </c>
      <c r="J30" s="48"/>
      <c r="K30" s="48"/>
      <c r="L30" s="48">
        <f t="shared" si="2"/>
        <v>0</v>
      </c>
    </row>
    <row r="31" spans="2:12" x14ac:dyDescent="0.35">
      <c r="B31" s="48"/>
      <c r="C31" s="48"/>
      <c r="D31" s="48"/>
      <c r="E31" s="48">
        <f t="shared" ref="E31:E32" si="6">C31*D31</f>
        <v>0</v>
      </c>
      <c r="F31" s="48"/>
      <c r="G31" s="48"/>
      <c r="H31" s="48"/>
      <c r="I31" s="48">
        <f t="shared" ref="I31:I32" si="7">G31*H31</f>
        <v>0</v>
      </c>
      <c r="J31" s="48"/>
      <c r="K31" s="48"/>
      <c r="L31" s="48">
        <f t="shared" ref="L31:L32" si="8">J31*K31</f>
        <v>0</v>
      </c>
    </row>
    <row r="32" spans="2:12" x14ac:dyDescent="0.35">
      <c r="B32" s="48"/>
      <c r="C32" s="48"/>
      <c r="D32" s="48"/>
      <c r="E32" s="48">
        <f t="shared" si="6"/>
        <v>0</v>
      </c>
      <c r="F32" s="48"/>
      <c r="G32" s="48"/>
      <c r="H32" s="48"/>
      <c r="I32" s="48">
        <f t="shared" si="7"/>
        <v>0</v>
      </c>
      <c r="J32" s="48"/>
      <c r="K32" s="48"/>
      <c r="L32" s="48">
        <f t="shared" si="8"/>
        <v>0</v>
      </c>
    </row>
    <row r="33" spans="2:12" x14ac:dyDescent="0.35">
      <c r="B33" s="48" t="s">
        <v>323</v>
      </c>
      <c r="C33" s="48"/>
      <c r="D33" s="48"/>
      <c r="E33" s="48">
        <f t="shared" si="0"/>
        <v>0</v>
      </c>
      <c r="F33" s="48"/>
      <c r="G33" s="48"/>
      <c r="H33" s="48"/>
      <c r="I33" s="48">
        <f t="shared" si="1"/>
        <v>0</v>
      </c>
      <c r="J33" s="48"/>
      <c r="K33" s="48"/>
      <c r="L33" s="48">
        <f t="shared" si="2"/>
        <v>0</v>
      </c>
    </row>
    <row r="34" spans="2:12" x14ac:dyDescent="0.35">
      <c r="B34" s="48" t="s">
        <v>327</v>
      </c>
      <c r="C34" s="48"/>
      <c r="D34" s="48"/>
      <c r="E34" s="48">
        <f t="shared" si="0"/>
        <v>0</v>
      </c>
      <c r="F34" s="48"/>
      <c r="G34" s="48"/>
      <c r="H34" s="48"/>
      <c r="I34" s="48">
        <f t="shared" si="1"/>
        <v>0</v>
      </c>
      <c r="J34" s="48"/>
      <c r="K34" s="48"/>
      <c r="L34" s="48">
        <f t="shared" si="2"/>
        <v>0</v>
      </c>
    </row>
    <row r="35" spans="2:12" x14ac:dyDescent="0.35">
      <c r="B35" s="48" t="s">
        <v>324</v>
      </c>
      <c r="C35" s="48"/>
      <c r="D35" s="48"/>
      <c r="E35" s="48">
        <f t="shared" si="0"/>
        <v>0</v>
      </c>
      <c r="F35" s="48"/>
      <c r="G35" s="48"/>
      <c r="H35" s="48"/>
      <c r="I35" s="48">
        <f t="shared" si="1"/>
        <v>0</v>
      </c>
      <c r="J35" s="48"/>
      <c r="K35" s="48"/>
      <c r="L35" s="48">
        <f t="shared" si="2"/>
        <v>0</v>
      </c>
    </row>
    <row r="36" spans="2:12" x14ac:dyDescent="0.35">
      <c r="B36" s="48" t="s">
        <v>325</v>
      </c>
      <c r="C36" s="48"/>
      <c r="D36" s="48"/>
      <c r="E36" s="48">
        <f t="shared" si="0"/>
        <v>0</v>
      </c>
      <c r="F36" s="48"/>
      <c r="G36" s="48"/>
      <c r="H36" s="48"/>
      <c r="I36" s="48">
        <f>G36*H36</f>
        <v>0</v>
      </c>
      <c r="J36" s="48"/>
      <c r="K36" s="48"/>
      <c r="L36" s="48">
        <f>J36*K36</f>
        <v>0</v>
      </c>
    </row>
    <row r="37" spans="2:12" x14ac:dyDescent="0.35">
      <c r="B37" s="48"/>
      <c r="C37" s="48"/>
      <c r="D37" s="48"/>
      <c r="E37" s="48">
        <f t="shared" ref="E37:E38" si="9">C37*D37</f>
        <v>0</v>
      </c>
      <c r="F37" s="48"/>
      <c r="G37" s="48"/>
      <c r="H37" s="48"/>
      <c r="I37" s="48">
        <f t="shared" ref="I37:I38" si="10">G37*H37</f>
        <v>0</v>
      </c>
      <c r="J37" s="48"/>
      <c r="K37" s="48"/>
      <c r="L37" s="48">
        <f t="shared" ref="L37:L38" si="11">J37*K37</f>
        <v>0</v>
      </c>
    </row>
    <row r="38" spans="2:12" x14ac:dyDescent="0.35">
      <c r="B38" s="48" t="s">
        <v>328</v>
      </c>
      <c r="C38" s="48"/>
      <c r="D38" s="48"/>
      <c r="E38" s="48">
        <f t="shared" si="9"/>
        <v>0</v>
      </c>
      <c r="F38" s="48"/>
      <c r="G38" s="48"/>
      <c r="H38" s="48"/>
      <c r="I38" s="48">
        <f t="shared" si="10"/>
        <v>0</v>
      </c>
      <c r="J38" s="48"/>
      <c r="K38" s="48"/>
      <c r="L38" s="48">
        <f t="shared" si="11"/>
        <v>0</v>
      </c>
    </row>
    <row r="39" spans="2:12" x14ac:dyDescent="0.35">
      <c r="B39" s="48"/>
      <c r="C39" s="48"/>
      <c r="D39" s="48"/>
      <c r="E39" s="48">
        <f t="shared" si="0"/>
        <v>0</v>
      </c>
      <c r="F39" s="48"/>
      <c r="G39" s="48"/>
      <c r="H39" s="48"/>
      <c r="I39" s="48">
        <f>G39*H39</f>
        <v>0</v>
      </c>
      <c r="J39" s="48"/>
      <c r="K39" s="48"/>
      <c r="L39" s="48">
        <f>J39*K39</f>
        <v>0</v>
      </c>
    </row>
    <row r="40" spans="2:12" x14ac:dyDescent="0.35">
      <c r="B40" s="48"/>
      <c r="C40" s="48"/>
      <c r="D40" s="48"/>
      <c r="E40" s="48">
        <f t="shared" si="0"/>
        <v>0</v>
      </c>
      <c r="F40" s="48"/>
      <c r="G40" s="48"/>
      <c r="H40" s="48"/>
      <c r="I40" s="48">
        <f>G40*H40</f>
        <v>0</v>
      </c>
      <c r="J40" s="48"/>
      <c r="K40" s="48"/>
      <c r="L40" s="48">
        <f>J40*K40</f>
        <v>0</v>
      </c>
    </row>
    <row r="41" spans="2:12" x14ac:dyDescent="0.35">
      <c r="B41" s="48"/>
      <c r="C41" s="48"/>
      <c r="D41" s="48"/>
      <c r="E41" s="48">
        <f t="shared" si="0"/>
        <v>0</v>
      </c>
      <c r="F41" s="48"/>
      <c r="G41" s="48"/>
      <c r="H41" s="48"/>
      <c r="I41" s="48">
        <f>G41*H41</f>
        <v>0</v>
      </c>
      <c r="J41" s="48"/>
      <c r="K41" s="48"/>
      <c r="L41" s="48">
        <f>J41*K41</f>
        <v>0</v>
      </c>
    </row>
    <row r="42" spans="2:12" x14ac:dyDescent="0.35">
      <c r="B42" s="48" t="s">
        <v>150</v>
      </c>
      <c r="C42" s="48"/>
      <c r="D42" s="48">
        <f>E42*10.764</f>
        <v>0</v>
      </c>
      <c r="E42" s="61">
        <f>SUM(E6:E41)</f>
        <v>0</v>
      </c>
      <c r="F42" s="48"/>
      <c r="G42" s="48"/>
      <c r="H42" s="48">
        <f>I42*10.764</f>
        <v>0</v>
      </c>
      <c r="I42" s="60">
        <f>SUM(I6:I41)</f>
        <v>0</v>
      </c>
      <c r="J42" s="48"/>
      <c r="K42" s="48">
        <f>L42*10.764</f>
        <v>0</v>
      </c>
      <c r="L42" s="59">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2025-05-22T10:13:27Z</cp:lastPrinted>
  <dcterms:created xsi:type="dcterms:W3CDTF">2019-07-16T09:29:46Z</dcterms:created>
  <dcterms:modified xsi:type="dcterms:W3CDTF">2025-08-19T13:33:21Z</dcterms:modified>
</cp:coreProperties>
</file>